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drawings/drawing4.xml" ContentType="application/vnd.openxmlformats-officedocument.drawing+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defaultThemeVersion="124226"/>
  <mc:AlternateContent xmlns:mc="http://schemas.openxmlformats.org/markup-compatibility/2006">
    <mc:Choice Requires="x15">
      <x15ac:absPath xmlns:x15ac="http://schemas.microsoft.com/office/spreadsheetml/2010/11/ac" url="P:\_Projects\ccp_2022-23\"/>
    </mc:Choice>
  </mc:AlternateContent>
  <xr:revisionPtr revIDLastSave="0" documentId="13_ncr:1_{7EE78AF7-43FD-4A2D-9FBB-E0F45C1E996D}" xr6:coauthVersionLast="47" xr6:coauthVersionMax="47" xr10:uidLastSave="{00000000-0000-0000-0000-000000000000}"/>
  <bookViews>
    <workbookView xWindow="-108" yWindow="-108" windowWidth="23256" windowHeight="12720" xr2:uid="{00000000-000D-0000-FFFF-FFFF00000000}"/>
  </bookViews>
  <sheets>
    <sheet name="ROS Graph" sheetId="44" r:id="rId1"/>
    <sheet name="Advanced Settings" sheetId="41" r:id="rId2"/>
    <sheet name="Calculation Tools" sheetId="43" r:id="rId3"/>
    <sheet name="Ladder Fuels" sheetId="45" r:id="rId4"/>
    <sheet name="Settings" sheetId="24" state="hidden" r:id="rId5"/>
    <sheet name="Calcs-control1" sheetId="11" state="hidden" r:id="rId6"/>
    <sheet name="Calcs-control3" sheetId="37" state="hidden" r:id="rId7"/>
    <sheet name="FBP outputs" sheetId="35" state="hidden" r:id="rId8"/>
    <sheet name="CCP Calcs" sheetId="40" state="hidden" r:id="rId9"/>
  </sheets>
  <definedNames>
    <definedName name="ISI" localSheetId="5">'Calcs-control1'!$A$4</definedName>
    <definedName name="ISI" localSheetId="6">'Calcs-control3'!$A$4</definedName>
    <definedName name="ISI" localSheetId="8">#REF!</definedName>
    <definedName name="IS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40" l="1"/>
  <c r="B6" i="40"/>
  <c r="B7" i="40"/>
  <c r="B8" i="40"/>
  <c r="B9" i="40"/>
  <c r="B10" i="40"/>
  <c r="B11" i="40"/>
  <c r="B12" i="40"/>
  <c r="B13" i="40"/>
  <c r="B14" i="40"/>
  <c r="B15" i="40"/>
  <c r="B16" i="40"/>
  <c r="B17" i="40"/>
  <c r="B18" i="40"/>
  <c r="B19" i="40"/>
  <c r="B20" i="40"/>
  <c r="B21" i="40"/>
  <c r="B22" i="40"/>
  <c r="B23" i="40"/>
  <c r="B24" i="40"/>
  <c r="B25" i="40"/>
  <c r="B26" i="40"/>
  <c r="B27" i="40"/>
  <c r="B28" i="40"/>
  <c r="B29" i="40"/>
  <c r="B30" i="40"/>
  <c r="B31" i="40"/>
  <c r="B32" i="40"/>
  <c r="B33" i="40"/>
  <c r="B34" i="40"/>
  <c r="B35" i="40"/>
  <c r="B36" i="40"/>
  <c r="B37" i="40"/>
  <c r="B38" i="40"/>
  <c r="B4" i="40"/>
  <c r="BO5" i="40"/>
  <c r="BO6" i="40"/>
  <c r="BO7" i="40"/>
  <c r="BO8" i="40"/>
  <c r="BO9" i="40"/>
  <c r="BO10" i="40"/>
  <c r="BO11" i="40"/>
  <c r="BO12" i="40"/>
  <c r="BO13" i="40"/>
  <c r="BO14" i="40"/>
  <c r="BO15" i="40"/>
  <c r="BO16" i="40"/>
  <c r="BO17" i="40"/>
  <c r="BO18" i="40"/>
  <c r="BO19" i="40"/>
  <c r="BO20" i="40"/>
  <c r="BO21" i="40"/>
  <c r="BO22" i="40"/>
  <c r="BO23" i="40"/>
  <c r="BO24" i="40"/>
  <c r="BO25" i="40"/>
  <c r="BO26" i="40"/>
  <c r="BO27" i="40"/>
  <c r="BO28" i="40"/>
  <c r="BO29" i="40"/>
  <c r="BO30" i="40"/>
  <c r="BO31" i="40"/>
  <c r="BO32" i="40"/>
  <c r="BO33" i="40"/>
  <c r="BO34" i="40"/>
  <c r="BO35" i="40"/>
  <c r="BO36" i="40"/>
  <c r="BO37" i="40"/>
  <c r="BO38" i="40"/>
  <c r="BO4" i="40"/>
  <c r="W29" i="45"/>
  <c r="E35" i="45" s="1"/>
  <c r="E28" i="45"/>
  <c r="W21" i="45"/>
  <c r="E30" i="45" s="1"/>
  <c r="E38" i="45" s="1"/>
  <c r="E40" i="45" l="1"/>
  <c r="CL1" i="40"/>
  <c r="CL10" i="40"/>
  <c r="CL11" i="40"/>
  <c r="CL12" i="40"/>
  <c r="CL13" i="40"/>
  <c r="CL14" i="40"/>
  <c r="CL15" i="40"/>
  <c r="CL16" i="40"/>
  <c r="CL17" i="40"/>
  <c r="CL18" i="40"/>
  <c r="CL19" i="40"/>
  <c r="CL20" i="40"/>
  <c r="CL21" i="40"/>
  <c r="CL22" i="40"/>
  <c r="CL23" i="40"/>
  <c r="CL24" i="40"/>
  <c r="CL25" i="40"/>
  <c r="CL26" i="40"/>
  <c r="CL27" i="40"/>
  <c r="CL28" i="40"/>
  <c r="CL29" i="40"/>
  <c r="CL30" i="40"/>
  <c r="CL31" i="40"/>
  <c r="CL32" i="40"/>
  <c r="CL33" i="40"/>
  <c r="CL34" i="40"/>
  <c r="CL35" i="40"/>
  <c r="CL36" i="40"/>
  <c r="CL37" i="40"/>
  <c r="CL38" i="40"/>
  <c r="CL39" i="40"/>
  <c r="CL40" i="40"/>
  <c r="CL41" i="40"/>
  <c r="CL42" i="40"/>
  <c r="CL43" i="40"/>
  <c r="CL44" i="40"/>
  <c r="CL45" i="40"/>
  <c r="CL46" i="40"/>
  <c r="CL47" i="40"/>
  <c r="CL48" i="40"/>
  <c r="CL49" i="40"/>
  <c r="CL50" i="40"/>
  <c r="CL51" i="40"/>
  <c r="CL52" i="40"/>
  <c r="CL53" i="40"/>
  <c r="CL54" i="40"/>
  <c r="CL55" i="40"/>
  <c r="CL56" i="40"/>
  <c r="CL57" i="40"/>
  <c r="CL58" i="40"/>
  <c r="CL59" i="40"/>
  <c r="CL60" i="40"/>
  <c r="CL61" i="40"/>
  <c r="CL62" i="40"/>
  <c r="CL63" i="40"/>
  <c r="CL64" i="40"/>
  <c r="CL65" i="40"/>
  <c r="CL66" i="40"/>
  <c r="CL67" i="40"/>
  <c r="CL68" i="40"/>
  <c r="CL69" i="40"/>
  <c r="CL70" i="40"/>
  <c r="CL71" i="40"/>
  <c r="CL72" i="40"/>
  <c r="CL73" i="40"/>
  <c r="CL74" i="40"/>
  <c r="CL5" i="40"/>
  <c r="CL6" i="40"/>
  <c r="CL7" i="40"/>
  <c r="CL8" i="40"/>
  <c r="CL9" i="40"/>
  <c r="CL4" i="40"/>
  <c r="Y5" i="40"/>
  <c r="Y6" i="40"/>
  <c r="Y7" i="40"/>
  <c r="Y8" i="40"/>
  <c r="Y9" i="40"/>
  <c r="Y10" i="40"/>
  <c r="Y11" i="40"/>
  <c r="Y12" i="40"/>
  <c r="Y13" i="40"/>
  <c r="Y14" i="40"/>
  <c r="Y15" i="40"/>
  <c r="Y16" i="40"/>
  <c r="Y17" i="40"/>
  <c r="Y18" i="40"/>
  <c r="Y19" i="40"/>
  <c r="Y20" i="40"/>
  <c r="Y21" i="40"/>
  <c r="Y22" i="40"/>
  <c r="Y23" i="40"/>
  <c r="Y24" i="40"/>
  <c r="Y25" i="40"/>
  <c r="Y26" i="40"/>
  <c r="Y27" i="40"/>
  <c r="Y28" i="40"/>
  <c r="Y29" i="40"/>
  <c r="Y30" i="40"/>
  <c r="Y31" i="40"/>
  <c r="Y32" i="40"/>
  <c r="Y33" i="40"/>
  <c r="Y34" i="40"/>
  <c r="Y35" i="40"/>
  <c r="Y36" i="40"/>
  <c r="Y37" i="40"/>
  <c r="Y38" i="40"/>
  <c r="Y39" i="40"/>
  <c r="Y40" i="40"/>
  <c r="Y41" i="40"/>
  <c r="Y42" i="40"/>
  <c r="Y43" i="40"/>
  <c r="Y44" i="40"/>
  <c r="Y45" i="40"/>
  <c r="Y46" i="40"/>
  <c r="Y47" i="40"/>
  <c r="Y48" i="40"/>
  <c r="Y49" i="40"/>
  <c r="Y50" i="40"/>
  <c r="Y51" i="40"/>
  <c r="Y52" i="40"/>
  <c r="Y53" i="40"/>
  <c r="Y54" i="40"/>
  <c r="Y55" i="40"/>
  <c r="Y56" i="40"/>
  <c r="Y57" i="40"/>
  <c r="Y58" i="40"/>
  <c r="Y59" i="40"/>
  <c r="Y60" i="40"/>
  <c r="Y61" i="40"/>
  <c r="Y62" i="40"/>
  <c r="Y63" i="40"/>
  <c r="Y64" i="40"/>
  <c r="Y65" i="40"/>
  <c r="Y66" i="40"/>
  <c r="Y67" i="40"/>
  <c r="Y68" i="40"/>
  <c r="Y69" i="40"/>
  <c r="Y70" i="40"/>
  <c r="Y71" i="40"/>
  <c r="Y72" i="40"/>
  <c r="Y73" i="40"/>
  <c r="Y74" i="40"/>
  <c r="Y4" i="40"/>
  <c r="X1" i="40"/>
  <c r="EP63" i="40"/>
  <c r="EP64" i="40"/>
  <c r="EP65" i="40"/>
  <c r="EP66" i="40"/>
  <c r="EP67" i="40"/>
  <c r="EP68" i="40"/>
  <c r="EP69" i="40"/>
  <c r="EP70" i="40"/>
  <c r="EP71" i="40"/>
  <c r="EP72" i="40"/>
  <c r="EP73" i="40"/>
  <c r="EP74" i="40"/>
  <c r="EP48" i="40"/>
  <c r="EP49" i="40"/>
  <c r="EP50" i="40"/>
  <c r="EP51" i="40"/>
  <c r="EP52" i="40"/>
  <c r="EP53" i="40"/>
  <c r="EP54" i="40"/>
  <c r="EP55" i="40"/>
  <c r="EP56" i="40"/>
  <c r="EP57" i="40"/>
  <c r="EP58" i="40"/>
  <c r="EP59" i="40"/>
  <c r="EP60" i="40"/>
  <c r="EP61" i="40"/>
  <c r="EP62" i="40"/>
  <c r="EP34" i="40"/>
  <c r="EP35" i="40"/>
  <c r="EP36" i="40"/>
  <c r="EP37" i="40"/>
  <c r="EP38" i="40"/>
  <c r="EP39" i="40"/>
  <c r="EP40" i="40"/>
  <c r="EP41" i="40"/>
  <c r="EP42" i="40"/>
  <c r="EP43" i="40"/>
  <c r="EP44" i="40"/>
  <c r="EP45" i="40"/>
  <c r="EP46" i="40"/>
  <c r="EP47" i="40"/>
  <c r="EP23" i="40"/>
  <c r="EP24" i="40"/>
  <c r="EP25" i="40"/>
  <c r="EP26" i="40"/>
  <c r="EP27" i="40"/>
  <c r="EP28" i="40"/>
  <c r="EP29" i="40"/>
  <c r="EP30" i="40"/>
  <c r="EP31" i="40"/>
  <c r="EP32" i="40"/>
  <c r="EP33" i="40"/>
  <c r="EP16" i="40"/>
  <c r="EP17" i="40"/>
  <c r="EP18" i="40"/>
  <c r="EP19" i="40"/>
  <c r="EP20" i="40"/>
  <c r="EP21" i="40"/>
  <c r="EP22" i="40"/>
  <c r="EP5" i="40"/>
  <c r="EP6" i="40"/>
  <c r="EP7" i="40"/>
  <c r="EP8" i="40"/>
  <c r="EP9" i="40"/>
  <c r="EP10" i="40"/>
  <c r="EP11" i="40"/>
  <c r="EP12" i="40"/>
  <c r="EP13" i="40"/>
  <c r="EP14" i="40"/>
  <c r="EP15" i="40"/>
  <c r="EP4" i="40"/>
  <c r="O13" i="40"/>
  <c r="O14" i="40" s="1"/>
  <c r="AM17" i="40"/>
  <c r="DC4" i="40"/>
  <c r="DC5" i="40"/>
  <c r="DC6" i="40"/>
  <c r="DC7" i="40"/>
  <c r="DC8" i="40"/>
  <c r="DC3" i="40"/>
  <c r="BE7" i="24" l="1"/>
  <c r="R5" i="24" l="1"/>
  <c r="S5" i="24"/>
  <c r="R6" i="24"/>
  <c r="S6" i="24"/>
  <c r="R7" i="24"/>
  <c r="S7" i="24"/>
  <c r="R8" i="24"/>
  <c r="S8" i="24"/>
  <c r="R9" i="24"/>
  <c r="S9" i="24"/>
  <c r="R10" i="24"/>
  <c r="S10" i="24"/>
  <c r="R11" i="24"/>
  <c r="S11" i="24"/>
  <c r="R12" i="24"/>
  <c r="S12" i="24"/>
  <c r="R13" i="24"/>
  <c r="S13" i="24"/>
  <c r="R14" i="24"/>
  <c r="S14" i="24"/>
  <c r="R15" i="24"/>
  <c r="S15" i="24"/>
  <c r="R16" i="24"/>
  <c r="S16" i="24"/>
  <c r="R17" i="24"/>
  <c r="S17" i="24"/>
  <c r="R18" i="24"/>
  <c r="S18" i="24"/>
  <c r="R19" i="24"/>
  <c r="S19" i="24"/>
  <c r="R20" i="24"/>
  <c r="S20" i="24"/>
  <c r="R21" i="24"/>
  <c r="S21" i="24"/>
  <c r="R22" i="24"/>
  <c r="S22" i="24"/>
  <c r="R23" i="24"/>
  <c r="S23" i="24"/>
  <c r="R24" i="24"/>
  <c r="S24" i="24"/>
  <c r="R25" i="24"/>
  <c r="S25" i="24"/>
  <c r="R26" i="24"/>
  <c r="S26" i="24"/>
  <c r="R27" i="24"/>
  <c r="S27" i="24"/>
  <c r="R28" i="24"/>
  <c r="S28" i="24"/>
  <c r="R29" i="24"/>
  <c r="S29" i="24"/>
  <c r="R30" i="24"/>
  <c r="S30" i="24"/>
  <c r="R31" i="24"/>
  <c r="S31" i="24"/>
  <c r="R32" i="24"/>
  <c r="S32" i="24"/>
  <c r="R33" i="24"/>
  <c r="S33" i="24"/>
  <c r="R34" i="24"/>
  <c r="S34" i="24"/>
  <c r="R35" i="24"/>
  <c r="S35" i="24"/>
  <c r="R36" i="24"/>
  <c r="S36" i="24"/>
  <c r="R37" i="24"/>
  <c r="S37" i="24"/>
  <c r="R38" i="24"/>
  <c r="S38" i="24"/>
  <c r="R39" i="24"/>
  <c r="S39" i="24"/>
  <c r="R40" i="24"/>
  <c r="S40" i="24"/>
  <c r="R41" i="24"/>
  <c r="S41" i="24"/>
  <c r="R42" i="24"/>
  <c r="S42" i="24"/>
  <c r="R43" i="24"/>
  <c r="S43" i="24"/>
  <c r="R44" i="24"/>
  <c r="S44" i="24"/>
  <c r="R45" i="24"/>
  <c r="S45" i="24"/>
  <c r="R46" i="24"/>
  <c r="S46" i="24"/>
  <c r="S47" i="24"/>
  <c r="S48" i="24"/>
  <c r="S49" i="24"/>
  <c r="S50" i="24"/>
  <c r="S51" i="24"/>
  <c r="S52" i="24"/>
  <c r="S53" i="24"/>
  <c r="S54" i="24"/>
  <c r="S55" i="24"/>
  <c r="AO18" i="24" l="1"/>
  <c r="AO15" i="24"/>
  <c r="AO8" i="24"/>
  <c r="BR5" i="40"/>
  <c r="BR6" i="40"/>
  <c r="BR7" i="40"/>
  <c r="BR8" i="40"/>
  <c r="BR9" i="40"/>
  <c r="BR10" i="40"/>
  <c r="BR11" i="40"/>
  <c r="BR12" i="40"/>
  <c r="BR13" i="40"/>
  <c r="BR14" i="40"/>
  <c r="BR15" i="40"/>
  <c r="BR16" i="40"/>
  <c r="BR17" i="40"/>
  <c r="BR18" i="40"/>
  <c r="BR19" i="40"/>
  <c r="BR20" i="40"/>
  <c r="BR21" i="40"/>
  <c r="BR22" i="40"/>
  <c r="BR23" i="40"/>
  <c r="BR24" i="40"/>
  <c r="BR25" i="40"/>
  <c r="BR26" i="40"/>
  <c r="BR27" i="40"/>
  <c r="BR28" i="40"/>
  <c r="BR29" i="40"/>
  <c r="BR30" i="40"/>
  <c r="BR31" i="40"/>
  <c r="BR32" i="40"/>
  <c r="BR33" i="40"/>
  <c r="BR4" i="40"/>
  <c r="E5" i="40"/>
  <c r="E6" i="40"/>
  <c r="E7" i="40"/>
  <c r="E8" i="40"/>
  <c r="E9" i="40"/>
  <c r="E10" i="40"/>
  <c r="E11" i="40"/>
  <c r="E12" i="40"/>
  <c r="E13" i="40"/>
  <c r="E14" i="40"/>
  <c r="E15" i="40"/>
  <c r="E16" i="40"/>
  <c r="E17" i="40"/>
  <c r="E18" i="40"/>
  <c r="E19" i="40"/>
  <c r="E20" i="40"/>
  <c r="E21" i="40"/>
  <c r="E22" i="40"/>
  <c r="E23" i="40"/>
  <c r="E24" i="40"/>
  <c r="E25" i="40"/>
  <c r="E26" i="40"/>
  <c r="E27" i="40"/>
  <c r="F5" i="40" s="1"/>
  <c r="W5" i="45" s="1"/>
  <c r="E28" i="40"/>
  <c r="E29" i="40"/>
  <c r="E30" i="40"/>
  <c r="E31" i="40"/>
  <c r="E32" i="40"/>
  <c r="E33" i="40"/>
  <c r="E4" i="40"/>
  <c r="H6" i="24"/>
  <c r="B5" i="37" s="1"/>
  <c r="H7" i="24"/>
  <c r="B6" i="37" s="1"/>
  <c r="H8" i="24"/>
  <c r="B7" i="37" s="1"/>
  <c r="H9" i="24"/>
  <c r="B8" i="37" s="1"/>
  <c r="H10" i="24"/>
  <c r="B9" i="37" s="1"/>
  <c r="H11" i="24"/>
  <c r="B10" i="37" s="1"/>
  <c r="H12" i="24"/>
  <c r="B11" i="37" s="1"/>
  <c r="H13" i="24"/>
  <c r="B12" i="37" s="1"/>
  <c r="H14" i="24"/>
  <c r="B13" i="37" s="1"/>
  <c r="H15" i="24"/>
  <c r="B14" i="37" s="1"/>
  <c r="H16" i="24"/>
  <c r="B15" i="37" s="1"/>
  <c r="H17" i="24"/>
  <c r="B16" i="37" s="1"/>
  <c r="H18" i="24"/>
  <c r="B17" i="37" s="1"/>
  <c r="H19" i="24"/>
  <c r="B18" i="37" s="1"/>
  <c r="H20" i="24"/>
  <c r="B19" i="37" s="1"/>
  <c r="H21" i="24"/>
  <c r="B20" i="37" s="1"/>
  <c r="H22" i="24"/>
  <c r="B21" i="37" s="1"/>
  <c r="H23" i="24"/>
  <c r="B22" i="37" s="1"/>
  <c r="H24" i="24"/>
  <c r="B23" i="37" s="1"/>
  <c r="H25" i="24"/>
  <c r="B24" i="37" s="1"/>
  <c r="H5" i="24"/>
  <c r="B4" i="37" s="1"/>
  <c r="F6" i="24"/>
  <c r="F7" i="24"/>
  <c r="F8" i="24"/>
  <c r="F9" i="24"/>
  <c r="F10" i="24"/>
  <c r="F11" i="24"/>
  <c r="F12" i="24"/>
  <c r="F13" i="24"/>
  <c r="F14" i="24"/>
  <c r="F15" i="24"/>
  <c r="F16" i="24"/>
  <c r="F17" i="24"/>
  <c r="F18" i="24"/>
  <c r="F19" i="24"/>
  <c r="F20" i="24"/>
  <c r="F21" i="24"/>
  <c r="F22" i="24"/>
  <c r="F23" i="24"/>
  <c r="F24" i="24"/>
  <c r="F25" i="24"/>
  <c r="F26" i="24"/>
  <c r="F27" i="24"/>
  <c r="F28" i="24"/>
  <c r="F29" i="24"/>
  <c r="F30" i="24"/>
  <c r="F31" i="24"/>
  <c r="F32" i="24"/>
  <c r="F33" i="24"/>
  <c r="F34" i="24"/>
  <c r="F35" i="24"/>
  <c r="F36" i="24"/>
  <c r="F37" i="24"/>
  <c r="F38" i="24"/>
  <c r="F39" i="24"/>
  <c r="F40" i="24"/>
  <c r="F41" i="24"/>
  <c r="F42" i="24"/>
  <c r="F43" i="24"/>
  <c r="F5" i="24"/>
  <c r="O6" i="24"/>
  <c r="O7" i="24"/>
  <c r="O8" i="24"/>
  <c r="O9" i="24"/>
  <c r="O10" i="24"/>
  <c r="O11" i="24"/>
  <c r="O12" i="24"/>
  <c r="O13" i="24"/>
  <c r="O14" i="24"/>
  <c r="O15" i="24"/>
  <c r="O16" i="24"/>
  <c r="O17" i="24"/>
  <c r="O18" i="24"/>
  <c r="O19" i="24"/>
  <c r="O20" i="24"/>
  <c r="O21" i="24"/>
  <c r="O22" i="24"/>
  <c r="O5" i="24"/>
  <c r="AA2" i="24"/>
  <c r="Y13" i="24"/>
  <c r="E5" i="35"/>
  <c r="E6" i="35"/>
  <c r="E7" i="35"/>
  <c r="E8" i="35"/>
  <c r="E9" i="35"/>
  <c r="E10" i="35"/>
  <c r="E11" i="35"/>
  <c r="E12" i="35"/>
  <c r="E13" i="35"/>
  <c r="E14" i="35"/>
  <c r="E15" i="35"/>
  <c r="E16" i="35"/>
  <c r="E17" i="35"/>
  <c r="E18" i="35"/>
  <c r="E19" i="35"/>
  <c r="E20" i="35"/>
  <c r="E21" i="35"/>
  <c r="E22" i="35"/>
  <c r="E23" i="35"/>
  <c r="E24" i="35"/>
  <c r="E25" i="35"/>
  <c r="E26" i="35"/>
  <c r="E27" i="35"/>
  <c r="E28" i="35"/>
  <c r="E29" i="35"/>
  <c r="E30" i="35"/>
  <c r="E31" i="35"/>
  <c r="E32" i="35"/>
  <c r="E33" i="35"/>
  <c r="E34" i="35"/>
  <c r="E35" i="35"/>
  <c r="E36" i="35"/>
  <c r="E37" i="35"/>
  <c r="E38" i="35"/>
  <c r="E39" i="35"/>
  <c r="E40" i="35"/>
  <c r="E41" i="35"/>
  <c r="E42" i="35"/>
  <c r="E43" i="35"/>
  <c r="E44" i="35"/>
  <c r="E45" i="35"/>
  <c r="E46" i="35"/>
  <c r="E47" i="35"/>
  <c r="E48" i="35"/>
  <c r="E49" i="35"/>
  <c r="E50" i="35"/>
  <c r="E51" i="35"/>
  <c r="E52" i="35"/>
  <c r="E53" i="35"/>
  <c r="E54" i="35"/>
  <c r="E55" i="35"/>
  <c r="E56" i="35"/>
  <c r="E57" i="35"/>
  <c r="E58" i="35"/>
  <c r="E59" i="35"/>
  <c r="E60" i="35"/>
  <c r="E61" i="35"/>
  <c r="E62" i="35"/>
  <c r="E63" i="35"/>
  <c r="E64" i="35"/>
  <c r="E65" i="35"/>
  <c r="E66" i="35"/>
  <c r="E67" i="35"/>
  <c r="E68" i="35"/>
  <c r="E69" i="35"/>
  <c r="E70" i="35"/>
  <c r="E71" i="35"/>
  <c r="E72" i="35"/>
  <c r="E73" i="35"/>
  <c r="E74" i="35"/>
  <c r="E4" i="35"/>
  <c r="C5" i="44"/>
  <c r="W4" i="45" l="1"/>
  <c r="W6" i="45" s="1"/>
  <c r="E7" i="45"/>
  <c r="AH54" i="40"/>
  <c r="AH62" i="40"/>
  <c r="AH70" i="40"/>
  <c r="AH55" i="40"/>
  <c r="AH63" i="40"/>
  <c r="AH56" i="40"/>
  <c r="AH64" i="40"/>
  <c r="AH57" i="40"/>
  <c r="AH65" i="40"/>
  <c r="AH58" i="40"/>
  <c r="AH66" i="40"/>
  <c r="AH69" i="40"/>
  <c r="AH59" i="40"/>
  <c r="AH67" i="40"/>
  <c r="AH60" i="40"/>
  <c r="AH68" i="40"/>
  <c r="AH61" i="40"/>
  <c r="BS5" i="40"/>
  <c r="R9" i="43"/>
  <c r="R10" i="43"/>
  <c r="R11" i="43"/>
  <c r="R12" i="43"/>
  <c r="R13" i="43"/>
  <c r="R8" i="43"/>
  <c r="W7" i="45" l="1"/>
  <c r="E10" i="45" s="1"/>
  <c r="B11" i="45" s="1"/>
  <c r="E8" i="45"/>
  <c r="CW69" i="40"/>
  <c r="CW55" i="40"/>
  <c r="CW63" i="40"/>
  <c r="CW45" i="40"/>
  <c r="CW70" i="40"/>
  <c r="CW56" i="40"/>
  <c r="CW64" i="40"/>
  <c r="CW46" i="40"/>
  <c r="CW65" i="40"/>
  <c r="CW57" i="40"/>
  <c r="CW40" i="40"/>
  <c r="CW47" i="40"/>
  <c r="CW66" i="40"/>
  <c r="CW58" i="40"/>
  <c r="CW41" i="40"/>
  <c r="CW48" i="40"/>
  <c r="CW67" i="40"/>
  <c r="CW59" i="40"/>
  <c r="CW42" i="40"/>
  <c r="CW62" i="40"/>
  <c r="CW68" i="40"/>
  <c r="CW60" i="40"/>
  <c r="CW39" i="40"/>
  <c r="CW44" i="40"/>
  <c r="CW53" i="40"/>
  <c r="CW61" i="40"/>
  <c r="CW43" i="40"/>
  <c r="CW54" i="40"/>
  <c r="P8" i="43"/>
  <c r="P11" i="43" s="1"/>
  <c r="C8" i="43" l="1"/>
  <c r="C9" i="43"/>
  <c r="BB7" i="24"/>
  <c r="BC7" i="24" s="1"/>
  <c r="BB5" i="24"/>
  <c r="BC5" i="24" s="1"/>
  <c r="C22" i="43" s="1"/>
  <c r="A41" i="45" l="1"/>
  <c r="AZ21" i="24"/>
  <c r="AZ6" i="24"/>
  <c r="AZ44" i="24"/>
  <c r="AZ36" i="24"/>
  <c r="AZ28" i="24"/>
  <c r="AZ42" i="24"/>
  <c r="AZ34" i="24"/>
  <c r="AZ26" i="24"/>
  <c r="AZ43" i="24"/>
  <c r="AZ25" i="24"/>
  <c r="AZ35" i="24"/>
  <c r="AZ49" i="24"/>
  <c r="AZ33" i="24"/>
  <c r="AZ48" i="24"/>
  <c r="AZ40" i="24"/>
  <c r="AZ32" i="24"/>
  <c r="AZ24" i="24"/>
  <c r="AZ27" i="24"/>
  <c r="AZ41" i="24"/>
  <c r="AZ47" i="24"/>
  <c r="AZ39" i="24"/>
  <c r="AZ31" i="24"/>
  <c r="AZ23" i="24"/>
  <c r="AZ46" i="24"/>
  <c r="AZ22" i="24"/>
  <c r="AZ38" i="24"/>
  <c r="AZ30" i="24"/>
  <c r="AZ45" i="24"/>
  <c r="AZ37" i="24"/>
  <c r="AZ29" i="24"/>
  <c r="AZ14" i="24"/>
  <c r="AZ13" i="24"/>
  <c r="AZ12" i="24"/>
  <c r="AZ8" i="24"/>
  <c r="AZ5" i="24"/>
  <c r="AZ11" i="24"/>
  <c r="AZ20" i="24"/>
  <c r="AZ10" i="24"/>
  <c r="AZ15" i="24"/>
  <c r="AZ19" i="24"/>
  <c r="AZ7" i="24"/>
  <c r="AZ52" i="24" s="1"/>
  <c r="AZ18" i="24"/>
  <c r="AZ17" i="24"/>
  <c r="AZ9" i="24"/>
  <c r="AZ16" i="24"/>
  <c r="AZ60" i="24" l="1"/>
  <c r="AZ59" i="24"/>
  <c r="AZ58" i="24"/>
  <c r="AZ55" i="24"/>
  <c r="AZ64" i="24"/>
  <c r="BE9" i="24"/>
  <c r="C19" i="43" s="1"/>
  <c r="AZ54" i="24"/>
  <c r="AZ51" i="24"/>
  <c r="AZ63" i="24"/>
  <c r="AZ61" i="24"/>
  <c r="AZ62" i="24"/>
  <c r="AZ50" i="24"/>
  <c r="AZ56" i="24"/>
  <c r="AZ53" i="24"/>
  <c r="AZ57" i="24"/>
  <c r="Q26" i="43" l="1"/>
  <c r="Q30" i="43" s="1"/>
  <c r="Q31" i="43"/>
  <c r="Q32" i="43" s="1"/>
  <c r="Q35" i="43"/>
  <c r="Q36" i="43"/>
  <c r="R13" i="41" l="1"/>
  <c r="P13" i="41"/>
  <c r="BG3" i="40"/>
  <c r="BF3" i="40"/>
  <c r="AB5" i="24" l="1"/>
  <c r="AB7" i="24" l="1"/>
  <c r="T36" i="24"/>
  <c r="T30" i="24"/>
  <c r="T33" i="24" s="1"/>
  <c r="J6" i="24"/>
  <c r="L29" i="43" s="1"/>
  <c r="L33" i="43" s="1"/>
  <c r="L35" i="43" s="1"/>
  <c r="T39" i="24" l="1"/>
  <c r="T5" i="24"/>
  <c r="BG11" i="11"/>
  <c r="BG12" i="11" s="1"/>
  <c r="BH11" i="11"/>
  <c r="BH12" i="11" s="1"/>
  <c r="B5" i="11"/>
  <c r="B6" i="11"/>
  <c r="B7" i="11"/>
  <c r="B8" i="11"/>
  <c r="B9" i="11"/>
  <c r="B10" i="11"/>
  <c r="B11" i="11"/>
  <c r="B12" i="11"/>
  <c r="B13" i="11"/>
  <c r="B14" i="11"/>
  <c r="B15" i="11"/>
  <c r="B16" i="11"/>
  <c r="B17" i="11"/>
  <c r="B18" i="11"/>
  <c r="B19" i="11"/>
  <c r="B20" i="11"/>
  <c r="B21" i="11"/>
  <c r="B22" i="11"/>
  <c r="B23" i="11"/>
  <c r="B24" i="11"/>
  <c r="B4" i="11"/>
  <c r="AQ8" i="24" l="1"/>
  <c r="AQ9" i="24"/>
  <c r="AQ5" i="24"/>
  <c r="AQ6" i="24"/>
  <c r="AQ7" i="24"/>
  <c r="AP5" i="24"/>
  <c r="AP6" i="24"/>
  <c r="AP7" i="24"/>
  <c r="AO7" i="24"/>
  <c r="AO6" i="24"/>
  <c r="AO5" i="24"/>
  <c r="T7" i="24"/>
  <c r="C6" i="44" s="1"/>
  <c r="Y9" i="24"/>
  <c r="T16" i="24" l="1"/>
  <c r="T13" i="24"/>
  <c r="T19" i="24" l="1"/>
  <c r="AH20" i="24"/>
  <c r="AH21" i="24"/>
  <c r="AH22" i="24"/>
  <c r="AH23" i="24"/>
  <c r="AH24" i="24"/>
  <c r="AH25" i="24"/>
  <c r="AH26" i="24"/>
  <c r="AH27" i="24"/>
  <c r="AH28" i="24"/>
  <c r="AH29" i="24"/>
  <c r="AH30" i="24"/>
  <c r="AH31" i="24"/>
  <c r="AH32" i="24"/>
  <c r="AH33" i="24"/>
  <c r="AH34" i="24"/>
  <c r="AH35" i="24"/>
  <c r="AH36" i="24"/>
  <c r="AH37" i="24"/>
  <c r="AH38" i="24"/>
  <c r="AH39" i="24"/>
  <c r="AH40" i="24"/>
  <c r="AH41" i="24"/>
  <c r="AH42" i="24"/>
  <c r="AH43" i="24"/>
  <c r="AH44" i="24"/>
  <c r="AH45" i="24"/>
  <c r="AH46" i="24"/>
  <c r="AH47" i="24"/>
  <c r="AH48" i="24"/>
  <c r="AH49" i="24"/>
  <c r="AH6" i="24"/>
  <c r="AH7" i="24"/>
  <c r="AH8" i="24"/>
  <c r="AH9" i="24"/>
  <c r="AH10" i="24"/>
  <c r="AH11" i="24"/>
  <c r="AH12" i="24"/>
  <c r="AH13" i="24"/>
  <c r="AH14" i="24"/>
  <c r="AH15" i="24"/>
  <c r="AH16" i="24"/>
  <c r="AH17" i="24"/>
  <c r="AH18" i="24"/>
  <c r="AH19" i="24"/>
  <c r="AH5" i="24"/>
  <c r="AD5" i="24" l="1"/>
  <c r="F35" i="43" l="1"/>
  <c r="B36" i="43" l="1"/>
  <c r="DF1" i="40"/>
  <c r="CP1" i="40"/>
  <c r="AQ1" i="40"/>
  <c r="AC1" i="40"/>
  <c r="F36" i="43" l="1"/>
  <c r="Q38" i="43"/>
  <c r="B39" i="43" s="1"/>
  <c r="C5" i="37" l="1"/>
  <c r="B162" i="37" l="1"/>
  <c r="C5" i="11"/>
  <c r="B162" i="11" s="1"/>
  <c r="CI2" i="40"/>
  <c r="EF1" i="40"/>
  <c r="G22" i="44" s="1"/>
  <c r="C22" i="44" l="1"/>
  <c r="DS1" i="40" l="1"/>
  <c r="BD1" i="40" l="1"/>
  <c r="H5" i="40" l="1"/>
  <c r="H6" i="40"/>
  <c r="H7" i="40"/>
  <c r="H8" i="40"/>
  <c r="H9" i="40"/>
  <c r="H10" i="40"/>
  <c r="H11" i="40"/>
  <c r="H12" i="40"/>
  <c r="H13" i="40"/>
  <c r="H14" i="40"/>
  <c r="H15" i="40"/>
  <c r="H16" i="40"/>
  <c r="H17" i="40"/>
  <c r="H18" i="40"/>
  <c r="H19" i="40"/>
  <c r="H20" i="40"/>
  <c r="H21" i="40"/>
  <c r="H22" i="40"/>
  <c r="H23" i="40"/>
  <c r="H24" i="40"/>
  <c r="H25" i="40"/>
  <c r="H26" i="40"/>
  <c r="H27" i="40"/>
  <c r="H28" i="40"/>
  <c r="H29" i="40"/>
  <c r="H30" i="40"/>
  <c r="H31" i="40"/>
  <c r="H32" i="40"/>
  <c r="H33" i="40"/>
  <c r="H34" i="40"/>
  <c r="H35" i="40"/>
  <c r="H36" i="40"/>
  <c r="H37" i="40"/>
  <c r="H38" i="40"/>
  <c r="H39" i="40"/>
  <c r="H40" i="40"/>
  <c r="H41" i="40"/>
  <c r="H42" i="40"/>
  <c r="H43" i="40"/>
  <c r="H44" i="40"/>
  <c r="H45" i="40"/>
  <c r="H46" i="40"/>
  <c r="H47" i="40"/>
  <c r="H48" i="40"/>
  <c r="H49" i="40"/>
  <c r="H50" i="40"/>
  <c r="H51" i="40"/>
  <c r="H52" i="40"/>
  <c r="H53" i="40"/>
  <c r="H54" i="40"/>
  <c r="H55" i="40"/>
  <c r="H56" i="40"/>
  <c r="H57" i="40"/>
  <c r="H4" i="40"/>
  <c r="AH32" i="40" l="1"/>
  <c r="AH40" i="40"/>
  <c r="AH48" i="40"/>
  <c r="AH50" i="40"/>
  <c r="AH43" i="40"/>
  <c r="AH36" i="40"/>
  <c r="AH52" i="40"/>
  <c r="AH45" i="40"/>
  <c r="AH53" i="40"/>
  <c r="AH38" i="40"/>
  <c r="AH47" i="40"/>
  <c r="AH33" i="40"/>
  <c r="AH41" i="40"/>
  <c r="AH49" i="40"/>
  <c r="AH42" i="40"/>
  <c r="AH35" i="40"/>
  <c r="AH51" i="40"/>
  <c r="AH44" i="40"/>
  <c r="AH37" i="40"/>
  <c r="AH39" i="40"/>
  <c r="AH31" i="40"/>
  <c r="AH34" i="40"/>
  <c r="AH46" i="40"/>
  <c r="CW33" i="40"/>
  <c r="CW49" i="40"/>
  <c r="CW34" i="40"/>
  <c r="CW50" i="40"/>
  <c r="CY26" i="40" s="1"/>
  <c r="CW32" i="40"/>
  <c r="CW35" i="40"/>
  <c r="CW51" i="40"/>
  <c r="CW31" i="40"/>
  <c r="CW36" i="40"/>
  <c r="CW52" i="40"/>
  <c r="CW37" i="40"/>
  <c r="CW38" i="40"/>
  <c r="CX14" i="40"/>
  <c r="CX16" i="40"/>
  <c r="CX19" i="40"/>
  <c r="CX7" i="40"/>
  <c r="CX11" i="40"/>
  <c r="CX15" i="40"/>
  <c r="CX20" i="40"/>
  <c r="CX4" i="40"/>
  <c r="CX10" i="40"/>
  <c r="CX17" i="40"/>
  <c r="CX18" i="40"/>
  <c r="CX6" i="40"/>
  <c r="CX9" i="40"/>
  <c r="CX12" i="40"/>
  <c r="CX13" i="40"/>
  <c r="CX8" i="40"/>
  <c r="CX5" i="40"/>
  <c r="AI5" i="40"/>
  <c r="AI4" i="40"/>
  <c r="AI6" i="40"/>
  <c r="AI8" i="40"/>
  <c r="AI12" i="40"/>
  <c r="AI16" i="40"/>
  <c r="AI20" i="40"/>
  <c r="AI9" i="40"/>
  <c r="AI13" i="40"/>
  <c r="AI17" i="40"/>
  <c r="AI7" i="40"/>
  <c r="AI10" i="40"/>
  <c r="AI14" i="40"/>
  <c r="AI18" i="40"/>
  <c r="AI11" i="40"/>
  <c r="AI15" i="40"/>
  <c r="AI19" i="40"/>
  <c r="I5" i="40"/>
  <c r="AJ26" i="40" l="1"/>
  <c r="AK26" i="40" s="1"/>
  <c r="CX22" i="40"/>
  <c r="CZ26" i="40" s="1"/>
  <c r="K6" i="24"/>
  <c r="Y10" i="24" s="1"/>
  <c r="AC5" i="24" s="1"/>
  <c r="AL28" i="24" s="1"/>
  <c r="Q1" i="40" l="1"/>
  <c r="AZ456" i="37"/>
  <c r="AZ455" i="37"/>
  <c r="AZ454" i="37"/>
  <c r="AZ453" i="37"/>
  <c r="AZ452" i="37"/>
  <c r="AZ451" i="37"/>
  <c r="AZ450" i="37"/>
  <c r="AZ449" i="37"/>
  <c r="AZ448" i="37"/>
  <c r="AZ447" i="37"/>
  <c r="AZ446" i="37"/>
  <c r="AZ445" i="37"/>
  <c r="AZ444" i="37"/>
  <c r="AZ443" i="37"/>
  <c r="AZ442" i="37"/>
  <c r="AZ441" i="37"/>
  <c r="AZ440" i="37"/>
  <c r="AZ439" i="37"/>
  <c r="AZ438" i="37"/>
  <c r="AZ437" i="37"/>
  <c r="AZ436" i="37"/>
  <c r="AZ435" i="37"/>
  <c r="AZ434" i="37"/>
  <c r="AZ433" i="37"/>
  <c r="AZ432" i="37"/>
  <c r="AZ431" i="37"/>
  <c r="AZ430" i="37"/>
  <c r="AZ429" i="37"/>
  <c r="AZ428" i="37"/>
  <c r="AZ427" i="37"/>
  <c r="AZ426" i="37"/>
  <c r="AZ425" i="37"/>
  <c r="AZ424" i="37"/>
  <c r="AZ423" i="37"/>
  <c r="AZ422" i="37"/>
  <c r="AZ421" i="37"/>
  <c r="AZ420" i="37"/>
  <c r="AZ419" i="37"/>
  <c r="AZ418" i="37"/>
  <c r="AZ417" i="37"/>
  <c r="AZ416" i="37"/>
  <c r="AZ415" i="37"/>
  <c r="AZ414" i="37"/>
  <c r="AZ413" i="37"/>
  <c r="AZ412" i="37"/>
  <c r="AZ411" i="37"/>
  <c r="AZ410" i="37"/>
  <c r="AZ409" i="37"/>
  <c r="AZ408" i="37"/>
  <c r="AZ407" i="37"/>
  <c r="AZ406" i="37"/>
  <c r="AZ405" i="37"/>
  <c r="AZ404" i="37"/>
  <c r="AZ403" i="37"/>
  <c r="AZ402" i="37"/>
  <c r="AZ401" i="37"/>
  <c r="AZ400" i="37"/>
  <c r="AZ399" i="37"/>
  <c r="AZ398" i="37"/>
  <c r="AZ397" i="37"/>
  <c r="AZ396" i="37"/>
  <c r="AZ395" i="37"/>
  <c r="AZ394" i="37"/>
  <c r="AZ393" i="37"/>
  <c r="AZ392" i="37"/>
  <c r="AZ391" i="37"/>
  <c r="AZ390" i="37"/>
  <c r="AZ389" i="37"/>
  <c r="AZ388" i="37"/>
  <c r="AZ387" i="37"/>
  <c r="AZ386" i="37"/>
  <c r="AZ456" i="11"/>
  <c r="AZ455" i="11"/>
  <c r="AZ454" i="11"/>
  <c r="AZ453" i="11"/>
  <c r="AZ452" i="11"/>
  <c r="AZ451" i="11"/>
  <c r="AZ450" i="11"/>
  <c r="AZ449" i="11"/>
  <c r="AZ448" i="11"/>
  <c r="AZ447" i="11"/>
  <c r="AZ446" i="11"/>
  <c r="AZ445" i="11"/>
  <c r="AZ444" i="11"/>
  <c r="AZ443" i="11"/>
  <c r="AZ442" i="11"/>
  <c r="AZ441" i="11"/>
  <c r="AZ440" i="11"/>
  <c r="AZ439" i="11"/>
  <c r="AZ438" i="11"/>
  <c r="AZ437" i="11"/>
  <c r="AZ436" i="11"/>
  <c r="AZ435" i="11"/>
  <c r="AZ434" i="11"/>
  <c r="AZ433" i="11"/>
  <c r="AZ432" i="11"/>
  <c r="AZ431" i="11"/>
  <c r="AZ430" i="11"/>
  <c r="AZ429" i="11"/>
  <c r="AZ428" i="11"/>
  <c r="AZ427" i="11"/>
  <c r="AZ426" i="11"/>
  <c r="AZ425" i="11"/>
  <c r="AZ424" i="11"/>
  <c r="AZ423" i="11"/>
  <c r="AZ422" i="11"/>
  <c r="AZ421" i="11"/>
  <c r="AZ420" i="11"/>
  <c r="AZ419" i="11"/>
  <c r="AZ418" i="11"/>
  <c r="AZ417" i="11"/>
  <c r="AZ416" i="11"/>
  <c r="AZ415" i="11"/>
  <c r="AZ414" i="11"/>
  <c r="AZ413" i="11"/>
  <c r="AZ412" i="11"/>
  <c r="AZ411" i="11"/>
  <c r="AZ410" i="11"/>
  <c r="AZ409" i="11"/>
  <c r="AZ408" i="11"/>
  <c r="AZ407" i="11"/>
  <c r="AZ406" i="11"/>
  <c r="AZ405" i="11"/>
  <c r="AZ404" i="11"/>
  <c r="AZ403" i="11"/>
  <c r="AZ402" i="11"/>
  <c r="AZ401" i="11"/>
  <c r="AZ400" i="11"/>
  <c r="AZ399" i="11"/>
  <c r="AZ398" i="11"/>
  <c r="AZ397" i="11"/>
  <c r="AZ396" i="11"/>
  <c r="AZ395" i="11"/>
  <c r="AZ394" i="11"/>
  <c r="AZ393" i="11"/>
  <c r="AZ392" i="11"/>
  <c r="AZ391" i="11"/>
  <c r="AZ390" i="11"/>
  <c r="AZ389" i="11"/>
  <c r="AZ388" i="11"/>
  <c r="AZ387" i="11"/>
  <c r="AZ386" i="11"/>
  <c r="Y456" i="11"/>
  <c r="Y455" i="11"/>
  <c r="Y454" i="11"/>
  <c r="Y453" i="11"/>
  <c r="Y452" i="11"/>
  <c r="Y451" i="11"/>
  <c r="Y450" i="11"/>
  <c r="Y449" i="11"/>
  <c r="Y448" i="11"/>
  <c r="Y447" i="11"/>
  <c r="Y446" i="11"/>
  <c r="Y445" i="11"/>
  <c r="Y444" i="11"/>
  <c r="Y443" i="11"/>
  <c r="Y442" i="11"/>
  <c r="Y441" i="11"/>
  <c r="Y440" i="11"/>
  <c r="Y439" i="11"/>
  <c r="Y438" i="11"/>
  <c r="Y437" i="11"/>
  <c r="Y436" i="11"/>
  <c r="Y435" i="11"/>
  <c r="Y434" i="11"/>
  <c r="Y433" i="11"/>
  <c r="Y432" i="11"/>
  <c r="Y431" i="11"/>
  <c r="Y430" i="11"/>
  <c r="Y429" i="11"/>
  <c r="Y428" i="11"/>
  <c r="Y427" i="11"/>
  <c r="Y426" i="11"/>
  <c r="Y425" i="11"/>
  <c r="Y424" i="11"/>
  <c r="Y423" i="11"/>
  <c r="Y422" i="11"/>
  <c r="Y421" i="11"/>
  <c r="Y420" i="11"/>
  <c r="Y419" i="11"/>
  <c r="Y418" i="11"/>
  <c r="Y417" i="11"/>
  <c r="Y416" i="11"/>
  <c r="Y415" i="11"/>
  <c r="Y414" i="11"/>
  <c r="Y413" i="11"/>
  <c r="Y412" i="11"/>
  <c r="Y411" i="11"/>
  <c r="Y410" i="11"/>
  <c r="Y409" i="11"/>
  <c r="Y408" i="11"/>
  <c r="Y407" i="11"/>
  <c r="Y406" i="11"/>
  <c r="Y405" i="11"/>
  <c r="Y404" i="11"/>
  <c r="Y403" i="11"/>
  <c r="Y402" i="11"/>
  <c r="Y401" i="11"/>
  <c r="Y400" i="11"/>
  <c r="Y399" i="11"/>
  <c r="Y398" i="11"/>
  <c r="Y397" i="11"/>
  <c r="Y396" i="11"/>
  <c r="Y395" i="11"/>
  <c r="Y394" i="11"/>
  <c r="Y393" i="11"/>
  <c r="Y392" i="11"/>
  <c r="Y391" i="11"/>
  <c r="Y390" i="11"/>
  <c r="Y389" i="11"/>
  <c r="Y388" i="11"/>
  <c r="Y387" i="11"/>
  <c r="Y386" i="11"/>
  <c r="AZ156" i="11"/>
  <c r="AZ155" i="11"/>
  <c r="AZ154" i="11"/>
  <c r="AZ153" i="11"/>
  <c r="AZ152" i="11"/>
  <c r="AZ151" i="11"/>
  <c r="AZ150" i="11"/>
  <c r="AZ149" i="11"/>
  <c r="AZ148" i="11"/>
  <c r="AZ147" i="11"/>
  <c r="AZ146" i="11"/>
  <c r="AZ145" i="11"/>
  <c r="AZ144" i="11"/>
  <c r="AZ143" i="11"/>
  <c r="AZ142" i="11"/>
  <c r="AZ141" i="11"/>
  <c r="AZ140" i="11"/>
  <c r="AZ139" i="11"/>
  <c r="AZ138" i="11"/>
  <c r="AZ137" i="11"/>
  <c r="AZ136" i="11"/>
  <c r="AZ135" i="11"/>
  <c r="AZ134" i="11"/>
  <c r="AZ133" i="11"/>
  <c r="AZ132" i="11"/>
  <c r="AZ131" i="11"/>
  <c r="AZ130" i="11"/>
  <c r="AZ129" i="11"/>
  <c r="AZ128" i="11"/>
  <c r="AZ127" i="11"/>
  <c r="AZ126" i="11"/>
  <c r="AZ125" i="11"/>
  <c r="AZ124" i="11"/>
  <c r="AZ123" i="11"/>
  <c r="AZ122" i="11"/>
  <c r="AZ121" i="11"/>
  <c r="AZ120" i="11"/>
  <c r="AZ119" i="11"/>
  <c r="AZ118" i="11"/>
  <c r="AZ117" i="11"/>
  <c r="AZ116" i="11"/>
  <c r="AZ115" i="11"/>
  <c r="AZ114" i="11"/>
  <c r="AZ113" i="11"/>
  <c r="AZ112" i="11"/>
  <c r="AZ111" i="11"/>
  <c r="AZ110" i="11"/>
  <c r="AZ109" i="11"/>
  <c r="AZ108" i="11"/>
  <c r="AZ107" i="11"/>
  <c r="AZ106" i="11"/>
  <c r="AZ105" i="11"/>
  <c r="AZ104" i="11"/>
  <c r="AZ103" i="11"/>
  <c r="AZ102" i="11"/>
  <c r="AZ101" i="11"/>
  <c r="AZ100" i="11"/>
  <c r="AZ99" i="11"/>
  <c r="AZ98" i="11"/>
  <c r="AZ97" i="11"/>
  <c r="AZ96" i="11"/>
  <c r="AZ95" i="11"/>
  <c r="AZ94" i="11"/>
  <c r="AZ93" i="11"/>
  <c r="AZ92" i="11"/>
  <c r="AZ91" i="11"/>
  <c r="AZ90" i="11"/>
  <c r="AZ89" i="11"/>
  <c r="AZ88" i="11"/>
  <c r="AZ87" i="11"/>
  <c r="AZ86" i="11"/>
  <c r="Y156" i="11"/>
  <c r="Y155" i="11"/>
  <c r="Y154" i="11"/>
  <c r="Y153" i="11"/>
  <c r="Y152" i="11"/>
  <c r="Y151" i="11"/>
  <c r="Y150" i="11"/>
  <c r="Y149" i="11"/>
  <c r="Y148" i="11"/>
  <c r="Y147" i="11"/>
  <c r="Y146" i="11"/>
  <c r="Y145" i="11"/>
  <c r="Y144" i="11"/>
  <c r="Y143" i="11"/>
  <c r="Y142" i="11"/>
  <c r="Y141" i="11"/>
  <c r="Y140" i="11"/>
  <c r="Y139" i="11"/>
  <c r="Y138" i="11"/>
  <c r="Y137" i="11"/>
  <c r="Y136" i="11"/>
  <c r="Y135" i="11"/>
  <c r="Y134" i="11"/>
  <c r="Y133" i="11"/>
  <c r="Y132" i="11"/>
  <c r="Y131" i="11"/>
  <c r="Y130" i="11"/>
  <c r="Y129" i="11"/>
  <c r="Y128" i="11"/>
  <c r="Y127" i="11"/>
  <c r="Y126" i="11"/>
  <c r="Y125" i="11"/>
  <c r="Y124" i="11"/>
  <c r="Y123" i="11"/>
  <c r="Y122" i="11"/>
  <c r="Y121" i="11"/>
  <c r="Y120" i="11"/>
  <c r="Y119" i="11"/>
  <c r="Y118" i="11"/>
  <c r="Y117" i="11"/>
  <c r="Y116" i="11"/>
  <c r="Y115" i="11"/>
  <c r="Y114" i="11"/>
  <c r="Y113" i="11"/>
  <c r="Y112" i="11"/>
  <c r="Y111" i="11"/>
  <c r="Y110" i="11"/>
  <c r="Y109" i="11"/>
  <c r="Y108" i="11"/>
  <c r="Y107" i="11"/>
  <c r="Y106" i="11"/>
  <c r="Y105" i="11"/>
  <c r="Y104" i="11"/>
  <c r="Y103" i="11"/>
  <c r="Y102" i="11"/>
  <c r="Y101" i="11"/>
  <c r="Y100" i="11"/>
  <c r="Y99" i="11"/>
  <c r="Y98" i="11"/>
  <c r="Y97" i="11"/>
  <c r="Y96" i="11"/>
  <c r="Y95" i="11"/>
  <c r="Y94" i="11"/>
  <c r="Y93" i="11"/>
  <c r="Y92" i="11"/>
  <c r="Y91" i="11"/>
  <c r="Y90" i="11"/>
  <c r="Y89" i="11"/>
  <c r="Y88" i="11"/>
  <c r="Y87" i="11"/>
  <c r="Y86" i="11"/>
  <c r="AZ156" i="37"/>
  <c r="AZ155" i="37"/>
  <c r="AZ154" i="37"/>
  <c r="AZ153" i="37"/>
  <c r="AZ152" i="37"/>
  <c r="AZ151" i="37"/>
  <c r="AZ150" i="37"/>
  <c r="AZ149" i="37"/>
  <c r="AZ148" i="37"/>
  <c r="AZ147" i="37"/>
  <c r="AZ146" i="37"/>
  <c r="AZ145" i="37"/>
  <c r="AZ144" i="37"/>
  <c r="AZ143" i="37"/>
  <c r="AZ142" i="37"/>
  <c r="AZ141" i="37"/>
  <c r="AZ140" i="37"/>
  <c r="AZ139" i="37"/>
  <c r="AZ138" i="37"/>
  <c r="AZ137" i="37"/>
  <c r="AZ136" i="37"/>
  <c r="AZ135" i="37"/>
  <c r="AZ134" i="37"/>
  <c r="AZ133" i="37"/>
  <c r="AZ132" i="37"/>
  <c r="AZ131" i="37"/>
  <c r="AZ130" i="37"/>
  <c r="AZ129" i="37"/>
  <c r="AZ128" i="37"/>
  <c r="AZ127" i="37"/>
  <c r="AZ126" i="37"/>
  <c r="AZ125" i="37"/>
  <c r="AZ124" i="37"/>
  <c r="AZ123" i="37"/>
  <c r="AZ122" i="37"/>
  <c r="AZ121" i="37"/>
  <c r="AZ120" i="37"/>
  <c r="AZ119" i="37"/>
  <c r="AZ118" i="37"/>
  <c r="AZ117" i="37"/>
  <c r="AZ116" i="37"/>
  <c r="AZ115" i="37"/>
  <c r="AZ114" i="37"/>
  <c r="AZ113" i="37"/>
  <c r="AZ112" i="37"/>
  <c r="AZ111" i="37"/>
  <c r="AZ110" i="37"/>
  <c r="AZ109" i="37"/>
  <c r="AZ108" i="37"/>
  <c r="AZ107" i="37"/>
  <c r="AZ106" i="37"/>
  <c r="AZ105" i="37"/>
  <c r="AZ104" i="37"/>
  <c r="AZ103" i="37"/>
  <c r="AZ102" i="37"/>
  <c r="AZ101" i="37"/>
  <c r="AZ100" i="37"/>
  <c r="AZ99" i="37"/>
  <c r="AZ98" i="37"/>
  <c r="AZ97" i="37"/>
  <c r="AZ96" i="37"/>
  <c r="AZ95" i="37"/>
  <c r="AZ94" i="37"/>
  <c r="AZ93" i="37"/>
  <c r="AZ92" i="37"/>
  <c r="AZ91" i="37"/>
  <c r="AZ90" i="37"/>
  <c r="AZ89" i="37"/>
  <c r="AZ88" i="37"/>
  <c r="AZ87" i="37"/>
  <c r="AZ86" i="37"/>
  <c r="AA4" i="40" l="1"/>
  <c r="AB4" i="40" s="1"/>
  <c r="AC4" i="40" s="1"/>
  <c r="AA8" i="40"/>
  <c r="AB8" i="40" s="1"/>
  <c r="AA5" i="40"/>
  <c r="AB5" i="40" s="1"/>
  <c r="AA12" i="40"/>
  <c r="AB12" i="40" s="1"/>
  <c r="AA15" i="40"/>
  <c r="AB15" i="40" s="1"/>
  <c r="AA17" i="40"/>
  <c r="AB17" i="40" s="1"/>
  <c r="AA19" i="40"/>
  <c r="AB19" i="40" s="1"/>
  <c r="AA21" i="40"/>
  <c r="AB21" i="40" s="1"/>
  <c r="AA23" i="40"/>
  <c r="AB23" i="40" s="1"/>
  <c r="AA25" i="40"/>
  <c r="AB25" i="40" s="1"/>
  <c r="AA27" i="40"/>
  <c r="AB27" i="40" s="1"/>
  <c r="AA29" i="40"/>
  <c r="AB29" i="40" s="1"/>
  <c r="AA31" i="40"/>
  <c r="AB31" i="40" s="1"/>
  <c r="AA33" i="40"/>
  <c r="AB33" i="40" s="1"/>
  <c r="AA35" i="40"/>
  <c r="AB35" i="40" s="1"/>
  <c r="AA37" i="40"/>
  <c r="AB37" i="40" s="1"/>
  <c r="AA39" i="40"/>
  <c r="AB39" i="40" s="1"/>
  <c r="AA41" i="40"/>
  <c r="AB41" i="40" s="1"/>
  <c r="AA43" i="40"/>
  <c r="AB43" i="40" s="1"/>
  <c r="AA45" i="40"/>
  <c r="AB45" i="40" s="1"/>
  <c r="AA47" i="40"/>
  <c r="AB47" i="40" s="1"/>
  <c r="AA49" i="40"/>
  <c r="AB49" i="40" s="1"/>
  <c r="AA51" i="40"/>
  <c r="AB51" i="40" s="1"/>
  <c r="AA53" i="40"/>
  <c r="AB53" i="40" s="1"/>
  <c r="AA55" i="40"/>
  <c r="AB55" i="40" s="1"/>
  <c r="AA57" i="40"/>
  <c r="AB57" i="40" s="1"/>
  <c r="AA59" i="40"/>
  <c r="AB59" i="40" s="1"/>
  <c r="AA61" i="40"/>
  <c r="AB61" i="40" s="1"/>
  <c r="AA63" i="40"/>
  <c r="AB63" i="40" s="1"/>
  <c r="AA65" i="40"/>
  <c r="AB65" i="40" s="1"/>
  <c r="AA67" i="40"/>
  <c r="AB67" i="40" s="1"/>
  <c r="AA69" i="40"/>
  <c r="AB69" i="40" s="1"/>
  <c r="AA71" i="40"/>
  <c r="AB71" i="40" s="1"/>
  <c r="AA73" i="40"/>
  <c r="AB73" i="40" s="1"/>
  <c r="AA7" i="40"/>
  <c r="AB7" i="40" s="1"/>
  <c r="AA22" i="40"/>
  <c r="AB22" i="40" s="1"/>
  <c r="AA28" i="40"/>
  <c r="AB28" i="40" s="1"/>
  <c r="AA32" i="40"/>
  <c r="AB32" i="40" s="1"/>
  <c r="AA40" i="40"/>
  <c r="AB40" i="40" s="1"/>
  <c r="AA48" i="40"/>
  <c r="AB48" i="40" s="1"/>
  <c r="AA56" i="40"/>
  <c r="AB56" i="40" s="1"/>
  <c r="AA66" i="40"/>
  <c r="AB66" i="40" s="1"/>
  <c r="AA72" i="40"/>
  <c r="AB72" i="40" s="1"/>
  <c r="AA9" i="40"/>
  <c r="AB9" i="40" s="1"/>
  <c r="AA20" i="40"/>
  <c r="AB20" i="40" s="1"/>
  <c r="AA26" i="40"/>
  <c r="AB26" i="40" s="1"/>
  <c r="AA36" i="40"/>
  <c r="AB36" i="40" s="1"/>
  <c r="AA44" i="40"/>
  <c r="AB44" i="40" s="1"/>
  <c r="AA54" i="40"/>
  <c r="AB54" i="40" s="1"/>
  <c r="AA62" i="40"/>
  <c r="AB62" i="40" s="1"/>
  <c r="AA70" i="40"/>
  <c r="AB70" i="40" s="1"/>
  <c r="AA6" i="40"/>
  <c r="AB6" i="40" s="1"/>
  <c r="AA18" i="40"/>
  <c r="AB18" i="40" s="1"/>
  <c r="AA24" i="40"/>
  <c r="AB24" i="40" s="1"/>
  <c r="AA34" i="40"/>
  <c r="AB34" i="40" s="1"/>
  <c r="AA42" i="40"/>
  <c r="AB42" i="40" s="1"/>
  <c r="AA52" i="40"/>
  <c r="AB52" i="40" s="1"/>
  <c r="AA60" i="40"/>
  <c r="AB60" i="40" s="1"/>
  <c r="AA64" i="40"/>
  <c r="AB64" i="40" s="1"/>
  <c r="AA74" i="40"/>
  <c r="AB74" i="40" s="1"/>
  <c r="AA14" i="40"/>
  <c r="AB14" i="40" s="1"/>
  <c r="AA10" i="40"/>
  <c r="AB10" i="40" s="1"/>
  <c r="AA13" i="40"/>
  <c r="AB13" i="40" s="1"/>
  <c r="AA16" i="40"/>
  <c r="AB16" i="40" s="1"/>
  <c r="AA30" i="40"/>
  <c r="AB30" i="40" s="1"/>
  <c r="AA38" i="40"/>
  <c r="AB38" i="40" s="1"/>
  <c r="AA46" i="40"/>
  <c r="AB46" i="40" s="1"/>
  <c r="AA50" i="40"/>
  <c r="AB50" i="40" s="1"/>
  <c r="AA58" i="40"/>
  <c r="AB58" i="40" s="1"/>
  <c r="AA68" i="40"/>
  <c r="AB68" i="40" s="1"/>
  <c r="AA11" i="40"/>
  <c r="AB11" i="40" s="1"/>
  <c r="CN46" i="40"/>
  <c r="CN4" i="40"/>
  <c r="CN43" i="40"/>
  <c r="CN74" i="40"/>
  <c r="CN42" i="40"/>
  <c r="CN61" i="40"/>
  <c r="CN45" i="40"/>
  <c r="CN29" i="40"/>
  <c r="CN9" i="40"/>
  <c r="CN64" i="40"/>
  <c r="CN48" i="40"/>
  <c r="CN32" i="40"/>
  <c r="CN16" i="40"/>
  <c r="CN31" i="40"/>
  <c r="CN15" i="40"/>
  <c r="CN34" i="40"/>
  <c r="CN14" i="40"/>
  <c r="CN25" i="40"/>
  <c r="CN70" i="40"/>
  <c r="CN71" i="40"/>
  <c r="CN67" i="40"/>
  <c r="CN66" i="40"/>
  <c r="CN73" i="40"/>
  <c r="CN57" i="40"/>
  <c r="CN41" i="40"/>
  <c r="CN21" i="40"/>
  <c r="CN5" i="40"/>
  <c r="CN60" i="40"/>
  <c r="CN44" i="40"/>
  <c r="CN28" i="40"/>
  <c r="CN12" i="40"/>
  <c r="CN27" i="40"/>
  <c r="CN11" i="40"/>
  <c r="CN26" i="40"/>
  <c r="CN10" i="40"/>
  <c r="CN62" i="40"/>
  <c r="CN55" i="40"/>
  <c r="CN59" i="40"/>
  <c r="CN63" i="40"/>
  <c r="CN58" i="40"/>
  <c r="CN69" i="40"/>
  <c r="CN53" i="40"/>
  <c r="CN37" i="40"/>
  <c r="CN17" i="40"/>
  <c r="CN72" i="40"/>
  <c r="CN56" i="40"/>
  <c r="CN40" i="40"/>
  <c r="CN24" i="40"/>
  <c r="CN8" i="40"/>
  <c r="CN23" i="40"/>
  <c r="CN7" i="40"/>
  <c r="CN22" i="40"/>
  <c r="CN6" i="40"/>
  <c r="CN54" i="40"/>
  <c r="CN39" i="40"/>
  <c r="CN51" i="40"/>
  <c r="CN47" i="40"/>
  <c r="CN50" i="40"/>
  <c r="CN65" i="40"/>
  <c r="CN49" i="40"/>
  <c r="CN33" i="40"/>
  <c r="CN13" i="40"/>
  <c r="CN68" i="40"/>
  <c r="CN52" i="40"/>
  <c r="CN36" i="40"/>
  <c r="CN20" i="40"/>
  <c r="CN35" i="40"/>
  <c r="CN19" i="40"/>
  <c r="CN38" i="40"/>
  <c r="CN18" i="40"/>
  <c r="CN30" i="40"/>
  <c r="AU312" i="37"/>
  <c r="AT312" i="37"/>
  <c r="AS312" i="37"/>
  <c r="AR312" i="37"/>
  <c r="AQ312" i="37"/>
  <c r="AP312" i="37"/>
  <c r="AO312" i="37"/>
  <c r="AU311" i="37"/>
  <c r="AT311" i="37"/>
  <c r="AS311" i="37"/>
  <c r="AR311" i="37"/>
  <c r="AQ311" i="37"/>
  <c r="AP311" i="37"/>
  <c r="AO311" i="37"/>
  <c r="AU310" i="37"/>
  <c r="AT310" i="37"/>
  <c r="AS310" i="37"/>
  <c r="AR310" i="37"/>
  <c r="AQ310" i="37"/>
  <c r="AP310" i="37"/>
  <c r="AO310" i="37"/>
  <c r="AU309" i="37"/>
  <c r="AT309" i="37"/>
  <c r="AS309" i="37"/>
  <c r="AR309" i="37"/>
  <c r="AQ309" i="37"/>
  <c r="AP309" i="37"/>
  <c r="AO309" i="37"/>
  <c r="AU308" i="37"/>
  <c r="AT308" i="37"/>
  <c r="AS308" i="37"/>
  <c r="AR308" i="37"/>
  <c r="AQ308" i="37"/>
  <c r="AP308" i="37"/>
  <c r="AO308" i="37"/>
  <c r="AU307" i="37"/>
  <c r="AT307" i="37"/>
  <c r="AS307" i="37"/>
  <c r="AR307" i="37"/>
  <c r="AQ307" i="37"/>
  <c r="AP307" i="37"/>
  <c r="AO307" i="37"/>
  <c r="AU306" i="37"/>
  <c r="AT306" i="37"/>
  <c r="AS306" i="37"/>
  <c r="AR306" i="37"/>
  <c r="AQ306" i="37"/>
  <c r="AP306" i="37"/>
  <c r="AO306" i="37"/>
  <c r="AU305" i="37"/>
  <c r="AT305" i="37"/>
  <c r="AS305" i="37"/>
  <c r="AR305" i="37"/>
  <c r="AQ305" i="37"/>
  <c r="AP305" i="37"/>
  <c r="AO305" i="37"/>
  <c r="AU304" i="37"/>
  <c r="AT304" i="37"/>
  <c r="AS304" i="37"/>
  <c r="AR304" i="37"/>
  <c r="AQ304" i="37"/>
  <c r="AP304" i="37"/>
  <c r="AO304" i="37"/>
  <c r="AU303" i="37"/>
  <c r="AT303" i="37"/>
  <c r="AS303" i="37"/>
  <c r="AR303" i="37"/>
  <c r="AQ303" i="37"/>
  <c r="AP303" i="37"/>
  <c r="AO303" i="37"/>
  <c r="AU302" i="37"/>
  <c r="AT302" i="37"/>
  <c r="AS302" i="37"/>
  <c r="AR302" i="37"/>
  <c r="AQ302" i="37"/>
  <c r="AP302" i="37"/>
  <c r="AO302" i="37"/>
  <c r="AU301" i="37"/>
  <c r="AT301" i="37"/>
  <c r="AS301" i="37"/>
  <c r="AR301" i="37"/>
  <c r="AQ301" i="37"/>
  <c r="AP301" i="37"/>
  <c r="AO301" i="37"/>
  <c r="AU300" i="37"/>
  <c r="AT300" i="37"/>
  <c r="AS300" i="37"/>
  <c r="AR300" i="37"/>
  <c r="AQ300" i="37"/>
  <c r="AP300" i="37"/>
  <c r="AO300" i="37"/>
  <c r="AU299" i="37"/>
  <c r="AT299" i="37"/>
  <c r="AS299" i="37"/>
  <c r="AR299" i="37"/>
  <c r="AQ299" i="37"/>
  <c r="AP299" i="37"/>
  <c r="AO299" i="37"/>
  <c r="AU298" i="37"/>
  <c r="AT298" i="37"/>
  <c r="AS298" i="37"/>
  <c r="AR298" i="37"/>
  <c r="AQ298" i="37"/>
  <c r="AP298" i="37"/>
  <c r="AO298" i="37"/>
  <c r="AU297" i="37"/>
  <c r="AT297" i="37"/>
  <c r="AS297" i="37"/>
  <c r="AR297" i="37"/>
  <c r="AQ297" i="37"/>
  <c r="AP297" i="37"/>
  <c r="AO297" i="37"/>
  <c r="AU296" i="37"/>
  <c r="AT296" i="37"/>
  <c r="AS296" i="37"/>
  <c r="AR296" i="37"/>
  <c r="AQ296" i="37"/>
  <c r="AP296" i="37"/>
  <c r="AO296" i="37"/>
  <c r="AU295" i="37"/>
  <c r="AT295" i="37"/>
  <c r="AS295" i="37"/>
  <c r="AR295" i="37"/>
  <c r="AQ295" i="37"/>
  <c r="AP295" i="37"/>
  <c r="AO295" i="37"/>
  <c r="AU294" i="37"/>
  <c r="AT294" i="37"/>
  <c r="AS294" i="37"/>
  <c r="AR294" i="37"/>
  <c r="AQ294" i="37"/>
  <c r="AP294" i="37"/>
  <c r="AO294" i="37"/>
  <c r="AU293" i="37"/>
  <c r="AT293" i="37"/>
  <c r="AS293" i="37"/>
  <c r="AR293" i="37"/>
  <c r="AQ293" i="37"/>
  <c r="AP293" i="37"/>
  <c r="AO293" i="37"/>
  <c r="AU292" i="37"/>
  <c r="AT292" i="37"/>
  <c r="AS292" i="37"/>
  <c r="AR292" i="37"/>
  <c r="AQ292" i="37"/>
  <c r="AP292" i="37"/>
  <c r="AO292" i="37"/>
  <c r="AU291" i="37"/>
  <c r="AT291" i="37"/>
  <c r="AS291" i="37"/>
  <c r="AR291" i="37"/>
  <c r="AQ291" i="37"/>
  <c r="AP291" i="37"/>
  <c r="AO291" i="37"/>
  <c r="AU290" i="37"/>
  <c r="AT290" i="37"/>
  <c r="AS290" i="37"/>
  <c r="AR290" i="37"/>
  <c r="AQ290" i="37"/>
  <c r="AP290" i="37"/>
  <c r="AO290" i="37"/>
  <c r="AU289" i="37"/>
  <c r="AT289" i="37"/>
  <c r="AS289" i="37"/>
  <c r="AR289" i="37"/>
  <c r="AQ289" i="37"/>
  <c r="AP289" i="37"/>
  <c r="AO289" i="37"/>
  <c r="AU288" i="37"/>
  <c r="AT288" i="37"/>
  <c r="AS288" i="37"/>
  <c r="AR288" i="37"/>
  <c r="AQ288" i="37"/>
  <c r="AP288" i="37"/>
  <c r="AO288" i="37"/>
  <c r="AU287" i="37"/>
  <c r="AT287" i="37"/>
  <c r="AS287" i="37"/>
  <c r="AR287" i="37"/>
  <c r="AQ287" i="37"/>
  <c r="AP287" i="37"/>
  <c r="AO287" i="37"/>
  <c r="AU286" i="37"/>
  <c r="AT286" i="37"/>
  <c r="AS286" i="37"/>
  <c r="AR286" i="37"/>
  <c r="AQ286" i="37"/>
  <c r="AP286" i="37"/>
  <c r="AO286" i="37"/>
  <c r="AU285" i="37"/>
  <c r="AT285" i="37"/>
  <c r="AS285" i="37"/>
  <c r="AR285" i="37"/>
  <c r="AQ285" i="37"/>
  <c r="AP285" i="37"/>
  <c r="AO285" i="37"/>
  <c r="AU284" i="37"/>
  <c r="AT284" i="37"/>
  <c r="AS284" i="37"/>
  <c r="AR284" i="37"/>
  <c r="AQ284" i="37"/>
  <c r="AP284" i="37"/>
  <c r="AO284" i="37"/>
  <c r="AU283" i="37"/>
  <c r="AT283" i="37"/>
  <c r="AS283" i="37"/>
  <c r="AR283" i="37"/>
  <c r="AQ283" i="37"/>
  <c r="AP283" i="37"/>
  <c r="AO283" i="37"/>
  <c r="AU282" i="37"/>
  <c r="AT282" i="37"/>
  <c r="AS282" i="37"/>
  <c r="AR282" i="37"/>
  <c r="AQ282" i="37"/>
  <c r="AP282" i="37"/>
  <c r="AO282" i="37"/>
  <c r="AU281" i="37"/>
  <c r="AT281" i="37"/>
  <c r="AS281" i="37"/>
  <c r="AR281" i="37"/>
  <c r="AQ281" i="37"/>
  <c r="AP281" i="37"/>
  <c r="AO281" i="37"/>
  <c r="AU280" i="37"/>
  <c r="AT280" i="37"/>
  <c r="AS280" i="37"/>
  <c r="AR280" i="37"/>
  <c r="AQ280" i="37"/>
  <c r="AP280" i="37"/>
  <c r="AO280" i="37"/>
  <c r="AU279" i="37"/>
  <c r="AT279" i="37"/>
  <c r="AS279" i="37"/>
  <c r="AR279" i="37"/>
  <c r="AQ279" i="37"/>
  <c r="AP279" i="37"/>
  <c r="AO279" i="37"/>
  <c r="AU278" i="37"/>
  <c r="AT278" i="37"/>
  <c r="AS278" i="37"/>
  <c r="AR278" i="37"/>
  <c r="AQ278" i="37"/>
  <c r="AP278" i="37"/>
  <c r="AO278" i="37"/>
  <c r="AU277" i="37"/>
  <c r="AT277" i="37"/>
  <c r="AS277" i="37"/>
  <c r="AR277" i="37"/>
  <c r="AQ277" i="37"/>
  <c r="AP277" i="37"/>
  <c r="AO277" i="37"/>
  <c r="AU276" i="37"/>
  <c r="AT276" i="37"/>
  <c r="AS276" i="37"/>
  <c r="AR276" i="37"/>
  <c r="AQ276" i="37"/>
  <c r="AP276" i="37"/>
  <c r="AO276" i="37"/>
  <c r="AU275" i="37"/>
  <c r="AT275" i="37"/>
  <c r="AS275" i="37"/>
  <c r="AR275" i="37"/>
  <c r="AQ275" i="37"/>
  <c r="AP275" i="37"/>
  <c r="AO275" i="37"/>
  <c r="AU274" i="37"/>
  <c r="AT274" i="37"/>
  <c r="AS274" i="37"/>
  <c r="AR274" i="37"/>
  <c r="AQ274" i="37"/>
  <c r="AP274" i="37"/>
  <c r="AO274" i="37"/>
  <c r="AU273" i="37"/>
  <c r="AT273" i="37"/>
  <c r="AS273" i="37"/>
  <c r="AR273" i="37"/>
  <c r="AQ273" i="37"/>
  <c r="AP273" i="37"/>
  <c r="AO273" i="37"/>
  <c r="AU272" i="37"/>
  <c r="AT272" i="37"/>
  <c r="AS272" i="37"/>
  <c r="AR272" i="37"/>
  <c r="AQ272" i="37"/>
  <c r="AP272" i="37"/>
  <c r="AO272" i="37"/>
  <c r="AU271" i="37"/>
  <c r="AT271" i="37"/>
  <c r="AS271" i="37"/>
  <c r="AR271" i="37"/>
  <c r="AQ271" i="37"/>
  <c r="AP271" i="37"/>
  <c r="AO271" i="37"/>
  <c r="AU270" i="37"/>
  <c r="AT270" i="37"/>
  <c r="AS270" i="37"/>
  <c r="AR270" i="37"/>
  <c r="AQ270" i="37"/>
  <c r="AP270" i="37"/>
  <c r="AO270" i="37"/>
  <c r="AU269" i="37"/>
  <c r="AT269" i="37"/>
  <c r="AS269" i="37"/>
  <c r="AR269" i="37"/>
  <c r="AQ269" i="37"/>
  <c r="AP269" i="37"/>
  <c r="AO269" i="37"/>
  <c r="AU268" i="37"/>
  <c r="AT268" i="37"/>
  <c r="AS268" i="37"/>
  <c r="AR268" i="37"/>
  <c r="AQ268" i="37"/>
  <c r="AP268" i="37"/>
  <c r="AO268" i="37"/>
  <c r="AU267" i="37"/>
  <c r="AT267" i="37"/>
  <c r="AS267" i="37"/>
  <c r="AR267" i="37"/>
  <c r="AQ267" i="37"/>
  <c r="AP267" i="37"/>
  <c r="AO267" i="37"/>
  <c r="AU266" i="37"/>
  <c r="AT266" i="37"/>
  <c r="AS266" i="37"/>
  <c r="AR266" i="37"/>
  <c r="AQ266" i="37"/>
  <c r="AP266" i="37"/>
  <c r="AO266" i="37"/>
  <c r="AU265" i="37"/>
  <c r="AT265" i="37"/>
  <c r="AS265" i="37"/>
  <c r="AR265" i="37"/>
  <c r="AQ265" i="37"/>
  <c r="AP265" i="37"/>
  <c r="AO265" i="37"/>
  <c r="AU264" i="37"/>
  <c r="AT264" i="37"/>
  <c r="AS264" i="37"/>
  <c r="AR264" i="37"/>
  <c r="AQ264" i="37"/>
  <c r="AP264" i="37"/>
  <c r="AO264" i="37"/>
  <c r="AU263" i="37"/>
  <c r="AT263" i="37"/>
  <c r="AS263" i="37"/>
  <c r="AR263" i="37"/>
  <c r="AQ263" i="37"/>
  <c r="AP263" i="37"/>
  <c r="AO263" i="37"/>
  <c r="AU262" i="37"/>
  <c r="AT262" i="37"/>
  <c r="AS262" i="37"/>
  <c r="AR262" i="37"/>
  <c r="AQ262" i="37"/>
  <c r="AP262" i="37"/>
  <c r="AO262" i="37"/>
  <c r="AU261" i="37"/>
  <c r="AT261" i="37"/>
  <c r="AS261" i="37"/>
  <c r="AR261" i="37"/>
  <c r="AQ261" i="37"/>
  <c r="AP261" i="37"/>
  <c r="AO261" i="37"/>
  <c r="AU260" i="37"/>
  <c r="AT260" i="37"/>
  <c r="AS260" i="37"/>
  <c r="AR260" i="37"/>
  <c r="AQ260" i="37"/>
  <c r="AP260" i="37"/>
  <c r="AO260" i="37"/>
  <c r="AU259" i="37"/>
  <c r="AT259" i="37"/>
  <c r="AS259" i="37"/>
  <c r="AR259" i="37"/>
  <c r="AQ259" i="37"/>
  <c r="AP259" i="37"/>
  <c r="AO259" i="37"/>
  <c r="AU258" i="37"/>
  <c r="AT258" i="37"/>
  <c r="AS258" i="37"/>
  <c r="AR258" i="37"/>
  <c r="AQ258" i="37"/>
  <c r="AP258" i="37"/>
  <c r="AO258" i="37"/>
  <c r="AU257" i="37"/>
  <c r="AT257" i="37"/>
  <c r="AS257" i="37"/>
  <c r="AR257" i="37"/>
  <c r="AQ257" i="37"/>
  <c r="AP257" i="37"/>
  <c r="AO257" i="37"/>
  <c r="AU256" i="37"/>
  <c r="AT256" i="37"/>
  <c r="AS256" i="37"/>
  <c r="AR256" i="37"/>
  <c r="AQ256" i="37"/>
  <c r="AP256" i="37"/>
  <c r="AO256" i="37"/>
  <c r="AU255" i="37"/>
  <c r="AT255" i="37"/>
  <c r="AS255" i="37"/>
  <c r="AR255" i="37"/>
  <c r="AQ255" i="37"/>
  <c r="AP255" i="37"/>
  <c r="AO255" i="37"/>
  <c r="AU254" i="37"/>
  <c r="AT254" i="37"/>
  <c r="AS254" i="37"/>
  <c r="AR254" i="37"/>
  <c r="AQ254" i="37"/>
  <c r="AP254" i="37"/>
  <c r="AO254" i="37"/>
  <c r="AU253" i="37"/>
  <c r="AT253" i="37"/>
  <c r="AS253" i="37"/>
  <c r="AR253" i="37"/>
  <c r="AQ253" i="37"/>
  <c r="AP253" i="37"/>
  <c r="AO253" i="37"/>
  <c r="AU252" i="37"/>
  <c r="AT252" i="37"/>
  <c r="AS252" i="37"/>
  <c r="AR252" i="37"/>
  <c r="AQ252" i="37"/>
  <c r="AP252" i="37"/>
  <c r="AO252" i="37"/>
  <c r="AU251" i="37"/>
  <c r="AT251" i="37"/>
  <c r="AS251" i="37"/>
  <c r="AR251" i="37"/>
  <c r="AQ251" i="37"/>
  <c r="AP251" i="37"/>
  <c r="AO251" i="37"/>
  <c r="AU250" i="37"/>
  <c r="AT250" i="37"/>
  <c r="AS250" i="37"/>
  <c r="AR250" i="37"/>
  <c r="AQ250" i="37"/>
  <c r="AP250" i="37"/>
  <c r="AO250" i="37"/>
  <c r="AU249" i="37"/>
  <c r="AT249" i="37"/>
  <c r="AS249" i="37"/>
  <c r="AR249" i="37"/>
  <c r="AQ249" i="37"/>
  <c r="AP249" i="37"/>
  <c r="AO249" i="37"/>
  <c r="AU248" i="37"/>
  <c r="AT248" i="37"/>
  <c r="AS248" i="37"/>
  <c r="AR248" i="37"/>
  <c r="AQ248" i="37"/>
  <c r="AP248" i="37"/>
  <c r="AO248" i="37"/>
  <c r="AU247" i="37"/>
  <c r="AT247" i="37"/>
  <c r="AS247" i="37"/>
  <c r="AR247" i="37"/>
  <c r="AQ247" i="37"/>
  <c r="AP247" i="37"/>
  <c r="AO247" i="37"/>
  <c r="AU246" i="37"/>
  <c r="AT246" i="37"/>
  <c r="AS246" i="37"/>
  <c r="AR246" i="37"/>
  <c r="AQ246" i="37"/>
  <c r="AP246" i="37"/>
  <c r="AO246" i="37"/>
  <c r="AU245" i="37"/>
  <c r="AT245" i="37"/>
  <c r="AS245" i="37"/>
  <c r="AR245" i="37"/>
  <c r="AQ245" i="37"/>
  <c r="AP245" i="37"/>
  <c r="AO245" i="37"/>
  <c r="AU244" i="37"/>
  <c r="AT244" i="37"/>
  <c r="AS244" i="37"/>
  <c r="AR244" i="37"/>
  <c r="AQ244" i="37"/>
  <c r="AP244" i="37"/>
  <c r="AO244" i="37"/>
  <c r="AU243" i="37"/>
  <c r="AT243" i="37"/>
  <c r="AS243" i="37"/>
  <c r="AR243" i="37"/>
  <c r="AQ243" i="37"/>
  <c r="AP243" i="37"/>
  <c r="AO243" i="37"/>
  <c r="AU242" i="37"/>
  <c r="AT242" i="37"/>
  <c r="AS242" i="37"/>
  <c r="AR242" i="37"/>
  <c r="AQ242" i="37"/>
  <c r="AP242" i="37"/>
  <c r="AO242" i="37"/>
  <c r="AW7" i="37"/>
  <c r="AU312" i="11"/>
  <c r="AT312" i="11"/>
  <c r="AS312" i="11"/>
  <c r="AR312" i="11"/>
  <c r="AQ312" i="11"/>
  <c r="AP312" i="11"/>
  <c r="AO312" i="11"/>
  <c r="AU311" i="11"/>
  <c r="AT311" i="11"/>
  <c r="AS311" i="11"/>
  <c r="AR311" i="11"/>
  <c r="AQ311" i="11"/>
  <c r="AP311" i="11"/>
  <c r="AO311" i="11"/>
  <c r="AU310" i="11"/>
  <c r="AT310" i="11"/>
  <c r="AS310" i="11"/>
  <c r="AR310" i="11"/>
  <c r="AQ310" i="11"/>
  <c r="AP310" i="11"/>
  <c r="AO310" i="11"/>
  <c r="AU309" i="11"/>
  <c r="AT309" i="11"/>
  <c r="AS309" i="11"/>
  <c r="AR309" i="11"/>
  <c r="AQ309" i="11"/>
  <c r="AP309" i="11"/>
  <c r="AO309" i="11"/>
  <c r="AU308" i="11"/>
  <c r="AT308" i="11"/>
  <c r="AS308" i="11"/>
  <c r="AR308" i="11"/>
  <c r="AQ308" i="11"/>
  <c r="AP308" i="11"/>
  <c r="AO308" i="11"/>
  <c r="AU307" i="11"/>
  <c r="AT307" i="11"/>
  <c r="AS307" i="11"/>
  <c r="AR307" i="11"/>
  <c r="AQ307" i="11"/>
  <c r="AP307" i="11"/>
  <c r="AO307" i="11"/>
  <c r="AU306" i="11"/>
  <c r="AT306" i="11"/>
  <c r="AS306" i="11"/>
  <c r="AR306" i="11"/>
  <c r="AQ306" i="11"/>
  <c r="AP306" i="11"/>
  <c r="AO306" i="11"/>
  <c r="AU305" i="11"/>
  <c r="AT305" i="11"/>
  <c r="AS305" i="11"/>
  <c r="AR305" i="11"/>
  <c r="AQ305" i="11"/>
  <c r="AP305" i="11"/>
  <c r="AO305" i="11"/>
  <c r="AU304" i="11"/>
  <c r="AT304" i="11"/>
  <c r="AS304" i="11"/>
  <c r="AR304" i="11"/>
  <c r="AQ304" i="11"/>
  <c r="AP304" i="11"/>
  <c r="AO304" i="11"/>
  <c r="AU303" i="11"/>
  <c r="AT303" i="11"/>
  <c r="AS303" i="11"/>
  <c r="AR303" i="11"/>
  <c r="AQ303" i="11"/>
  <c r="AP303" i="11"/>
  <c r="AO303" i="11"/>
  <c r="AU302" i="11"/>
  <c r="AT302" i="11"/>
  <c r="AS302" i="11"/>
  <c r="AR302" i="11"/>
  <c r="AQ302" i="11"/>
  <c r="AP302" i="11"/>
  <c r="AO302" i="11"/>
  <c r="AU301" i="11"/>
  <c r="AT301" i="11"/>
  <c r="AS301" i="11"/>
  <c r="AR301" i="11"/>
  <c r="AQ301" i="11"/>
  <c r="AP301" i="11"/>
  <c r="AO301" i="11"/>
  <c r="AU300" i="11"/>
  <c r="AT300" i="11"/>
  <c r="AS300" i="11"/>
  <c r="AR300" i="11"/>
  <c r="AQ300" i="11"/>
  <c r="AP300" i="11"/>
  <c r="AO300" i="11"/>
  <c r="AU299" i="11"/>
  <c r="AT299" i="11"/>
  <c r="AS299" i="11"/>
  <c r="AR299" i="11"/>
  <c r="AQ299" i="11"/>
  <c r="AP299" i="11"/>
  <c r="AO299" i="11"/>
  <c r="AU298" i="11"/>
  <c r="AT298" i="11"/>
  <c r="AS298" i="11"/>
  <c r="AR298" i="11"/>
  <c r="AQ298" i="11"/>
  <c r="AP298" i="11"/>
  <c r="AO298" i="11"/>
  <c r="AU297" i="11"/>
  <c r="AT297" i="11"/>
  <c r="AS297" i="11"/>
  <c r="AR297" i="11"/>
  <c r="AQ297" i="11"/>
  <c r="AP297" i="11"/>
  <c r="AO297" i="11"/>
  <c r="AU296" i="11"/>
  <c r="AT296" i="11"/>
  <c r="AS296" i="11"/>
  <c r="AR296" i="11"/>
  <c r="AQ296" i="11"/>
  <c r="AP296" i="11"/>
  <c r="AO296" i="11"/>
  <c r="AU295" i="11"/>
  <c r="AT295" i="11"/>
  <c r="AS295" i="11"/>
  <c r="AR295" i="11"/>
  <c r="AQ295" i="11"/>
  <c r="AP295" i="11"/>
  <c r="AO295" i="11"/>
  <c r="AU294" i="11"/>
  <c r="AT294" i="11"/>
  <c r="AS294" i="11"/>
  <c r="AR294" i="11"/>
  <c r="AQ294" i="11"/>
  <c r="AP294" i="11"/>
  <c r="AO294" i="11"/>
  <c r="AU293" i="11"/>
  <c r="AT293" i="11"/>
  <c r="AS293" i="11"/>
  <c r="AR293" i="11"/>
  <c r="AQ293" i="11"/>
  <c r="AP293" i="11"/>
  <c r="AO293" i="11"/>
  <c r="AU292" i="11"/>
  <c r="AT292" i="11"/>
  <c r="AS292" i="11"/>
  <c r="AR292" i="11"/>
  <c r="AQ292" i="11"/>
  <c r="AP292" i="11"/>
  <c r="AO292" i="11"/>
  <c r="AU291" i="11"/>
  <c r="AT291" i="11"/>
  <c r="AS291" i="11"/>
  <c r="AR291" i="11"/>
  <c r="AQ291" i="11"/>
  <c r="AP291" i="11"/>
  <c r="AO291" i="11"/>
  <c r="AU290" i="11"/>
  <c r="AT290" i="11"/>
  <c r="AS290" i="11"/>
  <c r="AR290" i="11"/>
  <c r="AQ290" i="11"/>
  <c r="AP290" i="11"/>
  <c r="AO290" i="11"/>
  <c r="AU289" i="11"/>
  <c r="AT289" i="11"/>
  <c r="AS289" i="11"/>
  <c r="AR289" i="11"/>
  <c r="AQ289" i="11"/>
  <c r="AP289" i="11"/>
  <c r="AO289" i="11"/>
  <c r="AU288" i="11"/>
  <c r="AT288" i="11"/>
  <c r="AS288" i="11"/>
  <c r="AR288" i="11"/>
  <c r="AQ288" i="11"/>
  <c r="AP288" i="11"/>
  <c r="AO288" i="11"/>
  <c r="AU287" i="11"/>
  <c r="AT287" i="11"/>
  <c r="AS287" i="11"/>
  <c r="AR287" i="11"/>
  <c r="AQ287" i="11"/>
  <c r="AP287" i="11"/>
  <c r="AO287" i="11"/>
  <c r="AU286" i="11"/>
  <c r="AT286" i="11"/>
  <c r="AS286" i="11"/>
  <c r="AR286" i="11"/>
  <c r="AQ286" i="11"/>
  <c r="AP286" i="11"/>
  <c r="AO286" i="11"/>
  <c r="AU285" i="11"/>
  <c r="AT285" i="11"/>
  <c r="AS285" i="11"/>
  <c r="AR285" i="11"/>
  <c r="AQ285" i="11"/>
  <c r="AP285" i="11"/>
  <c r="AO285" i="11"/>
  <c r="AU284" i="11"/>
  <c r="AT284" i="11"/>
  <c r="AS284" i="11"/>
  <c r="AR284" i="11"/>
  <c r="AQ284" i="11"/>
  <c r="AP284" i="11"/>
  <c r="AO284" i="11"/>
  <c r="AU283" i="11"/>
  <c r="AT283" i="11"/>
  <c r="AS283" i="11"/>
  <c r="AR283" i="11"/>
  <c r="AQ283" i="11"/>
  <c r="AP283" i="11"/>
  <c r="AO283" i="11"/>
  <c r="AU282" i="11"/>
  <c r="AT282" i="11"/>
  <c r="AS282" i="11"/>
  <c r="AR282" i="11"/>
  <c r="AQ282" i="11"/>
  <c r="AP282" i="11"/>
  <c r="AO282" i="11"/>
  <c r="AU281" i="11"/>
  <c r="AT281" i="11"/>
  <c r="AS281" i="11"/>
  <c r="AR281" i="11"/>
  <c r="AQ281" i="11"/>
  <c r="AP281" i="11"/>
  <c r="AO281" i="11"/>
  <c r="AU280" i="11"/>
  <c r="AT280" i="11"/>
  <c r="AS280" i="11"/>
  <c r="AR280" i="11"/>
  <c r="AQ280" i="11"/>
  <c r="AP280" i="11"/>
  <c r="AO280" i="11"/>
  <c r="AU279" i="11"/>
  <c r="AT279" i="11"/>
  <c r="AS279" i="11"/>
  <c r="AR279" i="11"/>
  <c r="AQ279" i="11"/>
  <c r="AP279" i="11"/>
  <c r="AO279" i="11"/>
  <c r="AU278" i="11"/>
  <c r="AT278" i="11"/>
  <c r="AS278" i="11"/>
  <c r="AR278" i="11"/>
  <c r="AQ278" i="11"/>
  <c r="AP278" i="11"/>
  <c r="AO278" i="11"/>
  <c r="AU277" i="11"/>
  <c r="AT277" i="11"/>
  <c r="AS277" i="11"/>
  <c r="AR277" i="11"/>
  <c r="AQ277" i="11"/>
  <c r="AP277" i="11"/>
  <c r="AO277" i="11"/>
  <c r="AU276" i="11"/>
  <c r="AT276" i="11"/>
  <c r="AS276" i="11"/>
  <c r="AR276" i="11"/>
  <c r="AQ276" i="11"/>
  <c r="AP276" i="11"/>
  <c r="AO276" i="11"/>
  <c r="AU275" i="11"/>
  <c r="AT275" i="11"/>
  <c r="AS275" i="11"/>
  <c r="AR275" i="11"/>
  <c r="AQ275" i="11"/>
  <c r="AP275" i="11"/>
  <c r="AO275" i="11"/>
  <c r="AU274" i="11"/>
  <c r="AT274" i="11"/>
  <c r="AS274" i="11"/>
  <c r="AR274" i="11"/>
  <c r="AQ274" i="11"/>
  <c r="AP274" i="11"/>
  <c r="AO274" i="11"/>
  <c r="AU273" i="11"/>
  <c r="AT273" i="11"/>
  <c r="AS273" i="11"/>
  <c r="AR273" i="11"/>
  <c r="AQ273" i="11"/>
  <c r="AP273" i="11"/>
  <c r="AO273" i="11"/>
  <c r="AU272" i="11"/>
  <c r="AT272" i="11"/>
  <c r="AS272" i="11"/>
  <c r="AR272" i="11"/>
  <c r="AQ272" i="11"/>
  <c r="AP272" i="11"/>
  <c r="AO272" i="11"/>
  <c r="AU271" i="11"/>
  <c r="AT271" i="11"/>
  <c r="AS271" i="11"/>
  <c r="AR271" i="11"/>
  <c r="AQ271" i="11"/>
  <c r="AP271" i="11"/>
  <c r="AO271" i="11"/>
  <c r="AU270" i="11"/>
  <c r="AT270" i="11"/>
  <c r="AS270" i="11"/>
  <c r="AR270" i="11"/>
  <c r="AQ270" i="11"/>
  <c r="AP270" i="11"/>
  <c r="AO270" i="11"/>
  <c r="AU269" i="11"/>
  <c r="AT269" i="11"/>
  <c r="AS269" i="11"/>
  <c r="AR269" i="11"/>
  <c r="AQ269" i="11"/>
  <c r="AP269" i="11"/>
  <c r="AO269" i="11"/>
  <c r="AU268" i="11"/>
  <c r="AT268" i="11"/>
  <c r="AS268" i="11"/>
  <c r="AR268" i="11"/>
  <c r="AQ268" i="11"/>
  <c r="AP268" i="11"/>
  <c r="AO268" i="11"/>
  <c r="AU267" i="11"/>
  <c r="AT267" i="11"/>
  <c r="AS267" i="11"/>
  <c r="AR267" i="11"/>
  <c r="AQ267" i="11"/>
  <c r="AP267" i="11"/>
  <c r="AO267" i="11"/>
  <c r="AU266" i="11"/>
  <c r="AT266" i="11"/>
  <c r="AS266" i="11"/>
  <c r="AR266" i="11"/>
  <c r="AQ266" i="11"/>
  <c r="AP266" i="11"/>
  <c r="AO266" i="11"/>
  <c r="AU265" i="11"/>
  <c r="AT265" i="11"/>
  <c r="AS265" i="11"/>
  <c r="AR265" i="11"/>
  <c r="AQ265" i="11"/>
  <c r="AP265" i="11"/>
  <c r="AO265" i="11"/>
  <c r="AU264" i="11"/>
  <c r="AT264" i="11"/>
  <c r="AS264" i="11"/>
  <c r="AR264" i="11"/>
  <c r="AQ264" i="11"/>
  <c r="AP264" i="11"/>
  <c r="AO264" i="11"/>
  <c r="AU263" i="11"/>
  <c r="AT263" i="11"/>
  <c r="AS263" i="11"/>
  <c r="AR263" i="11"/>
  <c r="AQ263" i="11"/>
  <c r="AP263" i="11"/>
  <c r="AO263" i="11"/>
  <c r="AU262" i="11"/>
  <c r="AT262" i="11"/>
  <c r="AS262" i="11"/>
  <c r="AR262" i="11"/>
  <c r="AQ262" i="11"/>
  <c r="AP262" i="11"/>
  <c r="AO262" i="11"/>
  <c r="AU261" i="11"/>
  <c r="AT261" i="11"/>
  <c r="AS261" i="11"/>
  <c r="AR261" i="11"/>
  <c r="AQ261" i="11"/>
  <c r="AP261" i="11"/>
  <c r="AO261" i="11"/>
  <c r="AU260" i="11"/>
  <c r="AT260" i="11"/>
  <c r="AS260" i="11"/>
  <c r="AR260" i="11"/>
  <c r="AQ260" i="11"/>
  <c r="AP260" i="11"/>
  <c r="AO260" i="11"/>
  <c r="AU259" i="11"/>
  <c r="AT259" i="11"/>
  <c r="AS259" i="11"/>
  <c r="AR259" i="11"/>
  <c r="AQ259" i="11"/>
  <c r="AP259" i="11"/>
  <c r="AO259" i="11"/>
  <c r="AU258" i="11"/>
  <c r="AT258" i="11"/>
  <c r="AS258" i="11"/>
  <c r="AR258" i="11"/>
  <c r="AQ258" i="11"/>
  <c r="AP258" i="11"/>
  <c r="AO258" i="11"/>
  <c r="AU257" i="11"/>
  <c r="AT257" i="11"/>
  <c r="AS257" i="11"/>
  <c r="AR257" i="11"/>
  <c r="AQ257" i="11"/>
  <c r="AP257" i="11"/>
  <c r="AO257" i="11"/>
  <c r="AU256" i="11"/>
  <c r="AT256" i="11"/>
  <c r="AS256" i="11"/>
  <c r="AR256" i="11"/>
  <c r="AQ256" i="11"/>
  <c r="AP256" i="11"/>
  <c r="AO256" i="11"/>
  <c r="AU255" i="11"/>
  <c r="AT255" i="11"/>
  <c r="AS255" i="11"/>
  <c r="AR255" i="11"/>
  <c r="AQ255" i="11"/>
  <c r="AP255" i="11"/>
  <c r="AO255" i="11"/>
  <c r="AU254" i="11"/>
  <c r="AT254" i="11"/>
  <c r="AS254" i="11"/>
  <c r="AR254" i="11"/>
  <c r="AQ254" i="11"/>
  <c r="AP254" i="11"/>
  <c r="AO254" i="11"/>
  <c r="AU253" i="11"/>
  <c r="AT253" i="11"/>
  <c r="AS253" i="11"/>
  <c r="AR253" i="11"/>
  <c r="AQ253" i="11"/>
  <c r="AP253" i="11"/>
  <c r="AO253" i="11"/>
  <c r="AU252" i="11"/>
  <c r="AT252" i="11"/>
  <c r="AS252" i="11"/>
  <c r="AR252" i="11"/>
  <c r="AQ252" i="11"/>
  <c r="AP252" i="11"/>
  <c r="AO252" i="11"/>
  <c r="AU251" i="11"/>
  <c r="AT251" i="11"/>
  <c r="AS251" i="11"/>
  <c r="AR251" i="11"/>
  <c r="AQ251" i="11"/>
  <c r="AP251" i="11"/>
  <c r="AO251" i="11"/>
  <c r="AU250" i="11"/>
  <c r="AT250" i="11"/>
  <c r="AS250" i="11"/>
  <c r="AR250" i="11"/>
  <c r="AQ250" i="11"/>
  <c r="AP250" i="11"/>
  <c r="AO250" i="11"/>
  <c r="AU249" i="11"/>
  <c r="AT249" i="11"/>
  <c r="AS249" i="11"/>
  <c r="AR249" i="11"/>
  <c r="AQ249" i="11"/>
  <c r="AP249" i="11"/>
  <c r="AO249" i="11"/>
  <c r="AU248" i="11"/>
  <c r="AT248" i="11"/>
  <c r="AS248" i="11"/>
  <c r="AR248" i="11"/>
  <c r="AQ248" i="11"/>
  <c r="AP248" i="11"/>
  <c r="AO248" i="11"/>
  <c r="AU247" i="11"/>
  <c r="AT247" i="11"/>
  <c r="AS247" i="11"/>
  <c r="AR247" i="11"/>
  <c r="AQ247" i="11"/>
  <c r="AP247" i="11"/>
  <c r="AO247" i="11"/>
  <c r="AU246" i="11"/>
  <c r="AT246" i="11"/>
  <c r="AS246" i="11"/>
  <c r="AR246" i="11"/>
  <c r="AQ246" i="11"/>
  <c r="AP246" i="11"/>
  <c r="AO246" i="11"/>
  <c r="AU245" i="11"/>
  <c r="AT245" i="11"/>
  <c r="AS245" i="11"/>
  <c r="AR245" i="11"/>
  <c r="AQ245" i="11"/>
  <c r="AP245" i="11"/>
  <c r="AO245" i="11"/>
  <c r="AU244" i="11"/>
  <c r="AT244" i="11"/>
  <c r="AS244" i="11"/>
  <c r="AR244" i="11"/>
  <c r="AQ244" i="11"/>
  <c r="AP244" i="11"/>
  <c r="AO244" i="11"/>
  <c r="AU243" i="11"/>
  <c r="AT243" i="11"/>
  <c r="AS243" i="11"/>
  <c r="AR243" i="11"/>
  <c r="AQ243" i="11"/>
  <c r="AP243" i="11"/>
  <c r="AO243" i="11"/>
  <c r="AU242" i="11"/>
  <c r="AT242" i="11"/>
  <c r="AS242" i="11"/>
  <c r="AR242" i="11"/>
  <c r="AQ242" i="11"/>
  <c r="AP242" i="11"/>
  <c r="AO242" i="11"/>
  <c r="AA156" i="11"/>
  <c r="AA155" i="11"/>
  <c r="AA154" i="11"/>
  <c r="AA153" i="11"/>
  <c r="AA152" i="11"/>
  <c r="AA151" i="11"/>
  <c r="AA150" i="11"/>
  <c r="AA149" i="11"/>
  <c r="AA148" i="11"/>
  <c r="AA147" i="11"/>
  <c r="AA146" i="11"/>
  <c r="AA145" i="11"/>
  <c r="AA144" i="11"/>
  <c r="AA143" i="11"/>
  <c r="AA142" i="11"/>
  <c r="AA141" i="11"/>
  <c r="AA140" i="11"/>
  <c r="AA139" i="11"/>
  <c r="AA138" i="11"/>
  <c r="AA137" i="11"/>
  <c r="AA136" i="11"/>
  <c r="AA135" i="11"/>
  <c r="AA134" i="11"/>
  <c r="AA133" i="11"/>
  <c r="AA132" i="11"/>
  <c r="AA131" i="11"/>
  <c r="AA130" i="11"/>
  <c r="AA129" i="11"/>
  <c r="AA128" i="11"/>
  <c r="AA127" i="11"/>
  <c r="AA126" i="11"/>
  <c r="AA125" i="11"/>
  <c r="AA124" i="11"/>
  <c r="AA123" i="11"/>
  <c r="AA122" i="11"/>
  <c r="AA121" i="11"/>
  <c r="AA120" i="11"/>
  <c r="AA119" i="11"/>
  <c r="AA118" i="11"/>
  <c r="AA117" i="11"/>
  <c r="AA116" i="11"/>
  <c r="AA115" i="11"/>
  <c r="AA114" i="11"/>
  <c r="AA113" i="11"/>
  <c r="AA112" i="11"/>
  <c r="AA111" i="11"/>
  <c r="AA110" i="11"/>
  <c r="AA109" i="11"/>
  <c r="AA108" i="11"/>
  <c r="AA107" i="11"/>
  <c r="AA106" i="11"/>
  <c r="AA105" i="11"/>
  <c r="AA104" i="11"/>
  <c r="AA103" i="11"/>
  <c r="AA102" i="11"/>
  <c r="AA101" i="11"/>
  <c r="AA100" i="11"/>
  <c r="AA99" i="11"/>
  <c r="AA98" i="11"/>
  <c r="AA97" i="11"/>
  <c r="AA96" i="11"/>
  <c r="AA95" i="11"/>
  <c r="AA94" i="11"/>
  <c r="AA93" i="11"/>
  <c r="AA92" i="11"/>
  <c r="AA91" i="11"/>
  <c r="AA90" i="11"/>
  <c r="AA89" i="11"/>
  <c r="AA88" i="11"/>
  <c r="AA87" i="11"/>
  <c r="AA86" i="11"/>
  <c r="AW7" i="11"/>
  <c r="X6" i="24"/>
  <c r="W6" i="24"/>
  <c r="L6" i="24"/>
  <c r="B158" i="11"/>
  <c r="I6" i="24"/>
  <c r="B160" i="37" s="1"/>
  <c r="C5" i="40"/>
  <c r="M2" i="35"/>
  <c r="N4" i="40" l="1"/>
  <c r="AC56" i="40"/>
  <c r="AC16" i="40"/>
  <c r="AC62" i="40"/>
  <c r="AC13" i="40"/>
  <c r="AC10" i="40"/>
  <c r="AC46" i="40"/>
  <c r="AC30" i="40"/>
  <c r="AC40" i="40"/>
  <c r="AC72" i="40"/>
  <c r="AC34" i="40"/>
  <c r="AC58" i="40"/>
  <c r="AC42" i="40"/>
  <c r="AC48" i="40"/>
  <c r="AC26" i="40"/>
  <c r="AC74" i="40"/>
  <c r="AC9" i="40"/>
  <c r="AC64" i="40"/>
  <c r="AC11" i="40"/>
  <c r="AC32" i="40"/>
  <c r="AC5" i="40"/>
  <c r="AC67" i="40"/>
  <c r="AC44" i="40"/>
  <c r="AC24" i="40"/>
  <c r="AC6" i="40"/>
  <c r="AC60" i="40"/>
  <c r="AC18" i="40"/>
  <c r="AC50" i="40"/>
  <c r="AC36" i="40"/>
  <c r="AC51" i="40"/>
  <c r="AC19" i="40"/>
  <c r="AC70" i="40"/>
  <c r="AC7" i="40"/>
  <c r="AC38" i="40"/>
  <c r="AC54" i="40"/>
  <c r="AC69" i="40"/>
  <c r="AC53" i="40"/>
  <c r="AC37" i="40"/>
  <c r="AC21" i="40"/>
  <c r="AC68" i="40"/>
  <c r="AC65" i="40"/>
  <c r="AC49" i="40"/>
  <c r="AC33" i="40"/>
  <c r="AC17" i="40"/>
  <c r="AC14" i="40"/>
  <c r="AC20" i="40"/>
  <c r="AC28" i="40"/>
  <c r="AC63" i="40"/>
  <c r="AC47" i="40"/>
  <c r="AC31" i="40"/>
  <c r="AC15" i="40"/>
  <c r="AC35" i="40"/>
  <c r="AC22" i="40"/>
  <c r="AC61" i="40"/>
  <c r="AC45" i="40"/>
  <c r="AC29" i="40"/>
  <c r="AC12" i="40"/>
  <c r="AC59" i="40"/>
  <c r="AC43" i="40"/>
  <c r="AC27" i="40"/>
  <c r="AC66" i="40"/>
  <c r="AC73" i="40"/>
  <c r="AC57" i="40"/>
  <c r="AC41" i="40"/>
  <c r="AC25" i="40"/>
  <c r="AC8" i="40"/>
  <c r="AC52" i="40"/>
  <c r="AC71" i="40"/>
  <c r="AC55" i="40"/>
  <c r="AC39" i="40"/>
  <c r="AC23" i="40"/>
  <c r="L3" i="43"/>
  <c r="AU7" i="11"/>
  <c r="AU8" i="11" s="1"/>
  <c r="AV7" i="11"/>
  <c r="AT7" i="11"/>
  <c r="AT8" i="11" s="1"/>
  <c r="AY7" i="11"/>
  <c r="AX7" i="11"/>
  <c r="S1" i="40"/>
  <c r="CO16" i="40"/>
  <c r="CO40" i="40"/>
  <c r="CO24" i="40"/>
  <c r="CO46" i="40"/>
  <c r="CO60" i="40"/>
  <c r="CO7" i="40"/>
  <c r="CO31" i="40"/>
  <c r="CO53" i="40"/>
  <c r="CO67" i="40"/>
  <c r="CO14" i="40"/>
  <c r="CO38" i="40"/>
  <c r="CO22" i="40"/>
  <c r="CO74" i="40"/>
  <c r="CO4" i="40"/>
  <c r="CP4" i="40" s="1"/>
  <c r="CO5" i="40"/>
  <c r="CO29" i="40"/>
  <c r="CO51" i="40"/>
  <c r="CO65" i="40"/>
  <c r="CO61" i="40"/>
  <c r="CO36" i="40"/>
  <c r="CO72" i="40"/>
  <c r="CO43" i="40"/>
  <c r="CO49" i="40"/>
  <c r="CO10" i="40"/>
  <c r="CO70" i="40"/>
  <c r="CO17" i="40"/>
  <c r="CO47" i="40"/>
  <c r="CO25" i="40"/>
  <c r="CO8" i="40"/>
  <c r="CO32" i="40"/>
  <c r="CO54" i="40"/>
  <c r="CO68" i="40"/>
  <c r="CO15" i="40"/>
  <c r="CO39" i="40"/>
  <c r="CO23" i="40"/>
  <c r="CO45" i="40"/>
  <c r="CO59" i="40"/>
  <c r="CO6" i="40"/>
  <c r="CO30" i="40"/>
  <c r="CO52" i="40"/>
  <c r="CO66" i="40"/>
  <c r="CO13" i="40"/>
  <c r="CO37" i="40"/>
  <c r="CO21" i="40"/>
  <c r="CO73" i="40"/>
  <c r="CO20" i="40"/>
  <c r="CO44" i="40"/>
  <c r="CO28" i="40"/>
  <c r="CO50" i="40"/>
  <c r="CO64" i="40"/>
  <c r="CO11" i="40"/>
  <c r="CO35" i="40"/>
  <c r="CO71" i="40"/>
  <c r="CO18" i="40"/>
  <c r="CO42" i="40"/>
  <c r="CO26" i="40"/>
  <c r="CO48" i="40"/>
  <c r="CO62" i="40"/>
  <c r="CO9" i="40"/>
  <c r="CO33" i="40"/>
  <c r="CO55" i="40"/>
  <c r="CO12" i="40"/>
  <c r="CO58" i="40"/>
  <c r="CO19" i="40"/>
  <c r="CO27" i="40"/>
  <c r="CO63" i="40"/>
  <c r="CO34" i="40"/>
  <c r="CO56" i="40"/>
  <c r="CO41" i="40"/>
  <c r="CO57" i="40"/>
  <c r="CO69" i="40"/>
  <c r="B161" i="37"/>
  <c r="B161" i="11"/>
  <c r="AX164" i="37"/>
  <c r="AI164" i="37"/>
  <c r="AW164" i="37"/>
  <c r="AL164" i="37"/>
  <c r="AH164" i="37"/>
  <c r="AC160" i="37"/>
  <c r="AM166" i="37" s="1"/>
  <c r="AV164" i="37"/>
  <c r="AK164" i="37"/>
  <c r="AY164" i="37"/>
  <c r="AN164" i="37"/>
  <c r="AJ164" i="37"/>
  <c r="B160" i="11"/>
  <c r="AT7" i="37"/>
  <c r="AT8" i="37" s="1"/>
  <c r="AY7" i="37"/>
  <c r="AV7" i="37"/>
  <c r="AX7" i="37"/>
  <c r="AU7" i="37"/>
  <c r="AU8" i="37" s="1"/>
  <c r="B159" i="37"/>
  <c r="AC159" i="37" s="1"/>
  <c r="AW11" i="37"/>
  <c r="AW12" i="37" s="1"/>
  <c r="AQ11" i="37"/>
  <c r="AM11" i="37"/>
  <c r="AM160" i="37" s="1"/>
  <c r="AI11" i="37"/>
  <c r="BA11" i="37"/>
  <c r="BA12" i="37" s="1"/>
  <c r="AV11" i="37"/>
  <c r="AV12" i="37" s="1"/>
  <c r="AP11" i="37"/>
  <c r="AL11" i="37"/>
  <c r="AH11" i="37"/>
  <c r="AH12" i="37" s="1"/>
  <c r="AY11" i="37"/>
  <c r="AS11" i="37"/>
  <c r="AO11" i="37"/>
  <c r="AK11" i="37"/>
  <c r="AX11" i="37"/>
  <c r="AR11" i="37"/>
  <c r="AN11" i="37"/>
  <c r="AJ11" i="37"/>
  <c r="B159" i="11"/>
  <c r="AC159" i="11" s="1"/>
  <c r="AK11" i="11"/>
  <c r="AO11" i="11"/>
  <c r="AS11" i="11"/>
  <c r="AY11" i="11"/>
  <c r="AH11" i="11"/>
  <c r="AH12" i="11" s="1"/>
  <c r="AL11" i="11"/>
  <c r="AP11" i="11"/>
  <c r="AV11" i="11"/>
  <c r="AV12" i="11" s="1"/>
  <c r="BA11" i="11"/>
  <c r="BA12" i="11" s="1"/>
  <c r="AI11" i="11"/>
  <c r="AM11" i="11"/>
  <c r="AM160" i="11" s="1"/>
  <c r="AQ11" i="11"/>
  <c r="AW11" i="11"/>
  <c r="AW12" i="11" s="1"/>
  <c r="AJ11" i="11"/>
  <c r="AN11" i="11"/>
  <c r="AR11" i="11"/>
  <c r="AX11" i="11"/>
  <c r="AC158" i="11"/>
  <c r="B158" i="37"/>
  <c r="AC75" i="40" l="1"/>
  <c r="BD60" i="40"/>
  <c r="BD7" i="40"/>
  <c r="BD56" i="40"/>
  <c r="BD63" i="40"/>
  <c r="BD52" i="40"/>
  <c r="BD14" i="40"/>
  <c r="BD74" i="40"/>
  <c r="BD62" i="40"/>
  <c r="BD40" i="40"/>
  <c r="BD50" i="40"/>
  <c r="BD36" i="40"/>
  <c r="BD34" i="40"/>
  <c r="BD15" i="40"/>
  <c r="BD32" i="40"/>
  <c r="BD9" i="40"/>
  <c r="BD67" i="40"/>
  <c r="BD28" i="40"/>
  <c r="BD69" i="40"/>
  <c r="BD55" i="40"/>
  <c r="BD24" i="40"/>
  <c r="BD57" i="40"/>
  <c r="BD10" i="40"/>
  <c r="BD20" i="40"/>
  <c r="BD49" i="40"/>
  <c r="BD66" i="40"/>
  <c r="BD11" i="40"/>
  <c r="BD37" i="40"/>
  <c r="BD58" i="40"/>
  <c r="BD59" i="40"/>
  <c r="BD25" i="40"/>
  <c r="BD46" i="40"/>
  <c r="BD51" i="40"/>
  <c r="BD17" i="40"/>
  <c r="BD38" i="40"/>
  <c r="BD47" i="40"/>
  <c r="BD5" i="40"/>
  <c r="BD43" i="40"/>
  <c r="BD13" i="40"/>
  <c r="BD73" i="40"/>
  <c r="BD35" i="40"/>
  <c r="BD65" i="40"/>
  <c r="BD31" i="40"/>
  <c r="BD61" i="40"/>
  <c r="BD27" i="40"/>
  <c r="BD53" i="40"/>
  <c r="BD23" i="40"/>
  <c r="BD45" i="40"/>
  <c r="BD19" i="40"/>
  <c r="BD41" i="40"/>
  <c r="BD71" i="40"/>
  <c r="BD44" i="40"/>
  <c r="BD33" i="40"/>
  <c r="BD6" i="40"/>
  <c r="BD48" i="40"/>
  <c r="BD29" i="40"/>
  <c r="BD70" i="40"/>
  <c r="BD21" i="40"/>
  <c r="BD54" i="40"/>
  <c r="BD16" i="40"/>
  <c r="BD42" i="40"/>
  <c r="BD12" i="40"/>
  <c r="BD30" i="40"/>
  <c r="BD8" i="40"/>
  <c r="BD26" i="40"/>
  <c r="BD72" i="40"/>
  <c r="BD22" i="40"/>
  <c r="BD68" i="40"/>
  <c r="BD18" i="40"/>
  <c r="BD64" i="40"/>
  <c r="DS73" i="40"/>
  <c r="CP73" i="40"/>
  <c r="DS74" i="40"/>
  <c r="CP74" i="40"/>
  <c r="DS61" i="40"/>
  <c r="CP61" i="40"/>
  <c r="DS21" i="40"/>
  <c r="CP21" i="40"/>
  <c r="DS22" i="40"/>
  <c r="CP22" i="40"/>
  <c r="DS37" i="40"/>
  <c r="CP37" i="40"/>
  <c r="DS38" i="40"/>
  <c r="CP38" i="40"/>
  <c r="DS44" i="40"/>
  <c r="CP44" i="40"/>
  <c r="DS13" i="40"/>
  <c r="CP13" i="40"/>
  <c r="DS14" i="40"/>
  <c r="CP14" i="40"/>
  <c r="DS66" i="40"/>
  <c r="CP66" i="40"/>
  <c r="DS67" i="40"/>
  <c r="CP67" i="40"/>
  <c r="DS51" i="40"/>
  <c r="CP51" i="40"/>
  <c r="DS52" i="40"/>
  <c r="CP52" i="40"/>
  <c r="DS53" i="40"/>
  <c r="CP53" i="40"/>
  <c r="DS69" i="40"/>
  <c r="CP69" i="40"/>
  <c r="DS30" i="40"/>
  <c r="CP30" i="40"/>
  <c r="DS31" i="40"/>
  <c r="CP31" i="40"/>
  <c r="DS57" i="40"/>
  <c r="CP57" i="40"/>
  <c r="DS6" i="40"/>
  <c r="CP6" i="40"/>
  <c r="DS7" i="40"/>
  <c r="CP7" i="40"/>
  <c r="DS29" i="40"/>
  <c r="CP29" i="40"/>
  <c r="DS41" i="40"/>
  <c r="CP41" i="40"/>
  <c r="DS59" i="40"/>
  <c r="CP59" i="40"/>
  <c r="DS60" i="40"/>
  <c r="CP60" i="40"/>
  <c r="DS20" i="40"/>
  <c r="CP20" i="40"/>
  <c r="DS56" i="40"/>
  <c r="CP56" i="40"/>
  <c r="DS45" i="40"/>
  <c r="CP45" i="40"/>
  <c r="DS46" i="40"/>
  <c r="CP46" i="40"/>
  <c r="DS34" i="40"/>
  <c r="CP34" i="40"/>
  <c r="DS23" i="40"/>
  <c r="CP23" i="40"/>
  <c r="DS24" i="40"/>
  <c r="CP24" i="40"/>
  <c r="DS63" i="40"/>
  <c r="CP63" i="40"/>
  <c r="DS39" i="40"/>
  <c r="CP39" i="40"/>
  <c r="DS40" i="40"/>
  <c r="CP40" i="40"/>
  <c r="DS27" i="40"/>
  <c r="CP27" i="40"/>
  <c r="DS15" i="40"/>
  <c r="CP15" i="40"/>
  <c r="DS16" i="40"/>
  <c r="CP16" i="40"/>
  <c r="DS19" i="40"/>
  <c r="CP19" i="40"/>
  <c r="DS68" i="40"/>
  <c r="CP68" i="40"/>
  <c r="DS58" i="40"/>
  <c r="CP58" i="40"/>
  <c r="DS54" i="40"/>
  <c r="CP54" i="40"/>
  <c r="DS5" i="40"/>
  <c r="CP5" i="40"/>
  <c r="DS12" i="40"/>
  <c r="CP12" i="40"/>
  <c r="DS32" i="40"/>
  <c r="CP32" i="40"/>
  <c r="DS50" i="40"/>
  <c r="CP50" i="40"/>
  <c r="DS55" i="40"/>
  <c r="CP55" i="40"/>
  <c r="DS8" i="40"/>
  <c r="CP8" i="40"/>
  <c r="DS11" i="40"/>
  <c r="CP11" i="40"/>
  <c r="DS28" i="40"/>
  <c r="CP28" i="40"/>
  <c r="DS33" i="40"/>
  <c r="CP33" i="40"/>
  <c r="DS25" i="40"/>
  <c r="CP25" i="40"/>
  <c r="DS9" i="40"/>
  <c r="CP9" i="40"/>
  <c r="DS47" i="40"/>
  <c r="CP47" i="40"/>
  <c r="DS62" i="40"/>
  <c r="CP62" i="40"/>
  <c r="DS17" i="40"/>
  <c r="CP17" i="40"/>
  <c r="DS48" i="40"/>
  <c r="CP48" i="40"/>
  <c r="DS70" i="40"/>
  <c r="CP70" i="40"/>
  <c r="DS26" i="40"/>
  <c r="CP26" i="40"/>
  <c r="DS10" i="40"/>
  <c r="CP10" i="40"/>
  <c r="DS42" i="40"/>
  <c r="CP42" i="40"/>
  <c r="DS49" i="40"/>
  <c r="CP49" i="40"/>
  <c r="DS18" i="40"/>
  <c r="CP18" i="40"/>
  <c r="DS43" i="40"/>
  <c r="CP43" i="40"/>
  <c r="DS65" i="40"/>
  <c r="CP65" i="40"/>
  <c r="DS71" i="40"/>
  <c r="CP71" i="40"/>
  <c r="DS72" i="40"/>
  <c r="CP72" i="40"/>
  <c r="DS64" i="40"/>
  <c r="CP64" i="40"/>
  <c r="DS35" i="40"/>
  <c r="CP35" i="40"/>
  <c r="DS36" i="40"/>
  <c r="DV37" i="40" s="1"/>
  <c r="CP36" i="40"/>
  <c r="DS4" i="40"/>
  <c r="BD39" i="40"/>
  <c r="BD4" i="40"/>
  <c r="AJ12" i="40"/>
  <c r="L10" i="43" s="1"/>
  <c r="CY12" i="40"/>
  <c r="AC162" i="11"/>
  <c r="AM162" i="11" s="1"/>
  <c r="AM164" i="11" s="1"/>
  <c r="AM165" i="11" s="1"/>
  <c r="AC161" i="11"/>
  <c r="AC162" i="37"/>
  <c r="AM162" i="37" s="1"/>
  <c r="AM164" i="37" s="1"/>
  <c r="AM165" i="37" s="1"/>
  <c r="AC161" i="37"/>
  <c r="AX164" i="11"/>
  <c r="AI164" i="11"/>
  <c r="AW164" i="11"/>
  <c r="AL164" i="11"/>
  <c r="AH164" i="11"/>
  <c r="AC160" i="11"/>
  <c r="AM166" i="11" s="1"/>
  <c r="AV164" i="11"/>
  <c r="AK164" i="11"/>
  <c r="AY164" i="11"/>
  <c r="AN164" i="11"/>
  <c r="AJ164" i="11"/>
  <c r="AX160" i="11"/>
  <c r="CY20" i="40" s="1"/>
  <c r="AX12" i="11"/>
  <c r="AO160" i="11"/>
  <c r="AO12" i="11"/>
  <c r="AR158" i="37"/>
  <c r="AR159" i="37"/>
  <c r="AR12" i="37"/>
  <c r="AS158" i="37"/>
  <c r="AS159" i="37"/>
  <c r="AS12" i="37"/>
  <c r="AI160" i="37"/>
  <c r="AI12" i="37"/>
  <c r="AR159" i="11"/>
  <c r="AR158" i="11"/>
  <c r="AR12" i="11"/>
  <c r="AQ159" i="11"/>
  <c r="AQ158" i="11"/>
  <c r="AQ12" i="11"/>
  <c r="AP160" i="11"/>
  <c r="AP12" i="11"/>
  <c r="AK160" i="11"/>
  <c r="AK12" i="11"/>
  <c r="AX160" i="37"/>
  <c r="AX12" i="37"/>
  <c r="AY160" i="37"/>
  <c r="AY165" i="37" s="1"/>
  <c r="AY12" i="37"/>
  <c r="AL160" i="37"/>
  <c r="AL165" i="37" s="1"/>
  <c r="AL12" i="37"/>
  <c r="AN159" i="11"/>
  <c r="AN12" i="11"/>
  <c r="AL160" i="11"/>
  <c r="CY11" i="40" s="1"/>
  <c r="AL12" i="11"/>
  <c r="AY160" i="11"/>
  <c r="AY12" i="11"/>
  <c r="Z156" i="11"/>
  <c r="Z155" i="11"/>
  <c r="Z154" i="11"/>
  <c r="Z153" i="11"/>
  <c r="Z152" i="11"/>
  <c r="Z151" i="11"/>
  <c r="Z150" i="11"/>
  <c r="Z149" i="11"/>
  <c r="Z148" i="11"/>
  <c r="Z147" i="11"/>
  <c r="Z146" i="11"/>
  <c r="Z145" i="11"/>
  <c r="Z144" i="11"/>
  <c r="Z143" i="11"/>
  <c r="Z142" i="11"/>
  <c r="Z141" i="11"/>
  <c r="Z140" i="11"/>
  <c r="Z139" i="11"/>
  <c r="Z138" i="11"/>
  <c r="Z137" i="11"/>
  <c r="Z133" i="11"/>
  <c r="Z132" i="11"/>
  <c r="Z131" i="11"/>
  <c r="Z130" i="11"/>
  <c r="Z129" i="11"/>
  <c r="Z128" i="11"/>
  <c r="Z127" i="11"/>
  <c r="Z126" i="11"/>
  <c r="Z125" i="11"/>
  <c r="Z124" i="11"/>
  <c r="Z123" i="11"/>
  <c r="Z122" i="11"/>
  <c r="Z121" i="11"/>
  <c r="Z120" i="11"/>
  <c r="Z119"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136" i="11"/>
  <c r="Z135" i="11"/>
  <c r="Z134" i="11"/>
  <c r="AJ160" i="37"/>
  <c r="AJ165" i="37" s="1"/>
  <c r="AJ12" i="37"/>
  <c r="AK160" i="37"/>
  <c r="AK165" i="37" s="1"/>
  <c r="AK12" i="37"/>
  <c r="AP160" i="37"/>
  <c r="AP12" i="37"/>
  <c r="AQ159" i="37"/>
  <c r="AQ158" i="37"/>
  <c r="AQ12" i="37"/>
  <c r="AJ160" i="11"/>
  <c r="CY9" i="40" s="1"/>
  <c r="AJ12" i="11"/>
  <c r="AI160" i="11"/>
  <c r="AI12" i="11"/>
  <c r="AS158" i="11"/>
  <c r="AS159" i="11"/>
  <c r="AS12" i="11"/>
  <c r="AN159" i="37"/>
  <c r="AN12" i="37"/>
  <c r="AO160" i="37"/>
  <c r="AO12" i="37"/>
  <c r="AN158" i="11"/>
  <c r="AD14" i="11"/>
  <c r="AE37" i="11" s="1"/>
  <c r="BD37" i="11" s="1"/>
  <c r="AH160" i="11"/>
  <c r="AC158" i="37"/>
  <c r="AI165" i="37" l="1"/>
  <c r="AV160" i="37"/>
  <c r="AW160" i="37"/>
  <c r="AW165" i="37" s="1"/>
  <c r="BF37" i="40"/>
  <c r="AX165" i="37"/>
  <c r="AJ20" i="40"/>
  <c r="L18" i="43" s="1"/>
  <c r="BF63" i="40"/>
  <c r="BG32" i="40"/>
  <c r="DV73" i="40"/>
  <c r="BG57" i="40"/>
  <c r="BF69" i="40"/>
  <c r="BG8" i="40"/>
  <c r="BF64" i="40"/>
  <c r="BG7" i="40"/>
  <c r="BG70" i="40"/>
  <c r="BF35" i="40"/>
  <c r="BF38" i="40"/>
  <c r="BF61" i="40"/>
  <c r="BG37" i="40"/>
  <c r="BG28" i="40"/>
  <c r="BG48" i="40"/>
  <c r="BG38" i="40"/>
  <c r="BG21" i="40"/>
  <c r="BG16" i="40"/>
  <c r="BG29" i="40"/>
  <c r="DV30" i="40"/>
  <c r="BF15" i="40"/>
  <c r="DU64" i="40"/>
  <c r="DV43" i="40"/>
  <c r="DV6" i="40"/>
  <c r="BF66" i="40"/>
  <c r="BG18" i="40"/>
  <c r="DV16" i="40"/>
  <c r="DV31" i="40"/>
  <c r="DV52" i="40"/>
  <c r="DV74" i="40"/>
  <c r="BF33" i="40"/>
  <c r="BF54" i="40"/>
  <c r="BG41" i="40"/>
  <c r="DU34" i="40"/>
  <c r="BG73" i="40"/>
  <c r="DV11" i="40"/>
  <c r="DU46" i="40"/>
  <c r="BG49" i="40"/>
  <c r="BG56" i="40"/>
  <c r="BF56" i="40"/>
  <c r="BF44" i="40"/>
  <c r="BF41" i="40"/>
  <c r="BF74" i="40"/>
  <c r="BF14" i="40"/>
  <c r="BF22" i="40"/>
  <c r="BF71" i="40"/>
  <c r="BF57" i="40"/>
  <c r="BG15" i="40"/>
  <c r="BG44" i="40"/>
  <c r="BG11" i="40"/>
  <c r="BG50" i="40"/>
  <c r="DV46" i="40"/>
  <c r="BG34" i="40"/>
  <c r="BG36" i="40"/>
  <c r="BF36" i="40"/>
  <c r="BF50" i="40"/>
  <c r="BF48" i="40"/>
  <c r="BG14" i="40"/>
  <c r="BF72" i="40"/>
  <c r="BG72" i="40"/>
  <c r="BF70" i="40"/>
  <c r="BF29" i="40"/>
  <c r="BF6" i="40"/>
  <c r="BG6" i="40"/>
  <c r="BG33" i="40"/>
  <c r="BF49" i="40"/>
  <c r="BG71" i="40"/>
  <c r="BG74" i="40"/>
  <c r="BG65" i="40"/>
  <c r="BF65" i="40"/>
  <c r="BG63" i="40"/>
  <c r="BG35" i="40"/>
  <c r="BF73" i="40"/>
  <c r="BF7" i="40"/>
  <c r="BF11" i="40"/>
  <c r="DU31" i="40"/>
  <c r="BG25" i="40"/>
  <c r="DV60" i="40"/>
  <c r="BF13" i="40"/>
  <c r="DU30" i="40"/>
  <c r="BG60" i="40"/>
  <c r="BG40" i="40"/>
  <c r="DV62" i="40"/>
  <c r="DU19" i="40"/>
  <c r="DV41" i="40"/>
  <c r="DV39" i="40"/>
  <c r="BG42" i="40"/>
  <c r="BF28" i="40"/>
  <c r="BG64" i="40"/>
  <c r="BG69" i="40"/>
  <c r="BG58" i="40"/>
  <c r="BF34" i="40"/>
  <c r="DV47" i="40"/>
  <c r="DU29" i="40"/>
  <c r="BG61" i="40"/>
  <c r="BF18" i="40"/>
  <c r="DV35" i="40"/>
  <c r="DV7" i="40"/>
  <c r="DU22" i="40"/>
  <c r="BF55" i="40"/>
  <c r="BF43" i="40"/>
  <c r="DV24" i="40"/>
  <c r="BF58" i="40"/>
  <c r="BG22" i="40"/>
  <c r="DU74" i="40"/>
  <c r="BG66" i="40"/>
  <c r="BF21" i="40"/>
  <c r="DU60" i="40"/>
  <c r="DV26" i="40"/>
  <c r="DU6" i="40"/>
  <c r="DV57" i="40"/>
  <c r="DV66" i="40"/>
  <c r="BG27" i="40"/>
  <c r="BG20" i="40"/>
  <c r="BG52" i="40"/>
  <c r="BG68" i="40"/>
  <c r="DU7" i="40"/>
  <c r="DV71" i="40"/>
  <c r="DV20" i="40"/>
  <c r="DU15" i="40"/>
  <c r="BG45" i="40"/>
  <c r="BG47" i="40"/>
  <c r="BG10" i="40"/>
  <c r="DU58" i="40"/>
  <c r="DV61" i="40"/>
  <c r="BF31" i="40"/>
  <c r="BG23" i="40"/>
  <c r="DU40" i="40"/>
  <c r="BF60" i="40"/>
  <c r="DV48" i="40"/>
  <c r="BF32" i="40"/>
  <c r="DU17" i="40"/>
  <c r="BG59" i="40"/>
  <c r="BG55" i="40"/>
  <c r="DV28" i="40"/>
  <c r="DU65" i="40"/>
  <c r="DV22" i="40"/>
  <c r="DU37" i="40"/>
  <c r="DU41" i="40"/>
  <c r="BG67" i="40"/>
  <c r="BF68" i="40"/>
  <c r="BG13" i="40"/>
  <c r="BF67" i="40"/>
  <c r="DV38" i="40"/>
  <c r="BG43" i="40"/>
  <c r="BF47" i="40"/>
  <c r="BF12" i="40"/>
  <c r="DU73" i="40"/>
  <c r="BG12" i="40"/>
  <c r="BF42" i="40"/>
  <c r="BF17" i="40"/>
  <c r="DU28" i="40"/>
  <c r="BG17" i="40"/>
  <c r="BF16" i="40"/>
  <c r="BG51" i="40"/>
  <c r="BF25" i="40"/>
  <c r="DU11" i="40"/>
  <c r="BF62" i="40"/>
  <c r="BF59" i="40"/>
  <c r="BG62" i="40"/>
  <c r="BF51" i="40"/>
  <c r="DU21" i="40"/>
  <c r="DU16" i="40"/>
  <c r="DV63" i="40"/>
  <c r="DV36" i="40"/>
  <c r="DU36" i="40"/>
  <c r="BF53" i="40"/>
  <c r="DU35" i="40"/>
  <c r="BF52" i="40"/>
  <c r="DV72" i="40"/>
  <c r="BF24" i="40"/>
  <c r="DU72" i="40"/>
  <c r="BG24" i="40"/>
  <c r="DU59" i="40"/>
  <c r="BF19" i="40"/>
  <c r="BF46" i="40"/>
  <c r="BF9" i="40"/>
  <c r="BG19" i="40"/>
  <c r="BG46" i="40"/>
  <c r="BG9" i="40"/>
  <c r="BF45" i="40"/>
  <c r="DV15" i="40"/>
  <c r="DU14" i="40"/>
  <c r="DU71" i="40"/>
  <c r="BF26" i="40"/>
  <c r="BF23" i="40"/>
  <c r="DV14" i="40"/>
  <c r="BG26" i="40"/>
  <c r="BF8" i="40"/>
  <c r="BG53" i="40"/>
  <c r="DU38" i="40"/>
  <c r="DU57" i="40"/>
  <c r="BF30" i="40"/>
  <c r="BF27" i="40"/>
  <c r="DU48" i="40"/>
  <c r="BG30" i="40"/>
  <c r="DV17" i="40"/>
  <c r="DV21" i="40"/>
  <c r="DU62" i="40"/>
  <c r="BG31" i="40"/>
  <c r="DV19" i="40"/>
  <c r="DU8" i="40"/>
  <c r="DV69" i="40"/>
  <c r="DV40" i="40"/>
  <c r="DU18" i="40"/>
  <c r="DU55" i="40"/>
  <c r="DV23" i="40"/>
  <c r="DV54" i="40"/>
  <c r="BG54" i="40"/>
  <c r="BF20" i="40"/>
  <c r="DU20" i="40"/>
  <c r="DU39" i="40"/>
  <c r="DU49" i="40"/>
  <c r="DV34" i="40"/>
  <c r="BF10" i="40"/>
  <c r="DU63" i="40"/>
  <c r="DU42" i="40"/>
  <c r="DU32" i="40"/>
  <c r="DU47" i="40"/>
  <c r="DV29" i="40"/>
  <c r="DU10" i="40"/>
  <c r="DU13" i="40"/>
  <c r="DV45" i="40"/>
  <c r="DV67" i="40"/>
  <c r="CP75" i="40"/>
  <c r="CS4" i="40" s="1"/>
  <c r="DU50" i="40"/>
  <c r="DU51" i="40"/>
  <c r="DU54" i="40"/>
  <c r="DU23" i="40"/>
  <c r="DV49" i="40"/>
  <c r="DV42" i="40"/>
  <c r="DV10" i="40"/>
  <c r="DV70" i="40"/>
  <c r="DV68" i="40"/>
  <c r="DU27" i="40"/>
  <c r="DV27" i="40"/>
  <c r="DV53" i="40"/>
  <c r="DU52" i="40"/>
  <c r="DV59" i="40"/>
  <c r="DU45" i="40"/>
  <c r="DV51" i="40"/>
  <c r="DV32" i="40"/>
  <c r="DU67" i="40"/>
  <c r="DU12" i="40"/>
  <c r="DU66" i="40"/>
  <c r="DU61" i="40"/>
  <c r="DV65" i="40"/>
  <c r="DV64" i="40"/>
  <c r="DV58" i="40"/>
  <c r="DV56" i="40"/>
  <c r="DU56" i="40"/>
  <c r="DU9" i="40"/>
  <c r="DU44" i="40"/>
  <c r="DV9" i="40"/>
  <c r="DU53" i="40"/>
  <c r="DV44" i="40"/>
  <c r="DU43" i="40"/>
  <c r="DV18" i="40"/>
  <c r="DU25" i="40"/>
  <c r="DV25" i="40"/>
  <c r="DV55" i="40"/>
  <c r="DU33" i="40"/>
  <c r="DV33" i="40"/>
  <c r="DV12" i="40"/>
  <c r="DV8" i="40"/>
  <c r="DV13" i="40"/>
  <c r="DV50" i="40"/>
  <c r="DU24" i="40"/>
  <c r="DU26" i="40"/>
  <c r="DU68" i="40"/>
  <c r="DU70" i="40"/>
  <c r="DU69" i="40"/>
  <c r="DV4" i="40"/>
  <c r="DU4" i="40"/>
  <c r="DU5" i="40"/>
  <c r="DV5" i="40"/>
  <c r="BF40" i="40"/>
  <c r="BG4" i="40"/>
  <c r="BF4" i="40"/>
  <c r="BF5" i="40"/>
  <c r="BG39" i="40"/>
  <c r="BF39" i="40"/>
  <c r="BG5" i="40"/>
  <c r="AJ7" i="40"/>
  <c r="L5" i="43" s="1"/>
  <c r="CY7" i="40"/>
  <c r="AJ8" i="40"/>
  <c r="L6" i="43" s="1"/>
  <c r="CY8" i="40"/>
  <c r="AJ10" i="40"/>
  <c r="L8" i="43" s="1"/>
  <c r="CY10" i="40"/>
  <c r="AJ14" i="40"/>
  <c r="L12" i="43" s="1"/>
  <c r="CY14" i="40"/>
  <c r="AJ165" i="11"/>
  <c r="AJ9" i="40"/>
  <c r="L7" i="43" s="1"/>
  <c r="AL165" i="11"/>
  <c r="AJ11" i="40"/>
  <c r="L9" i="43" s="1"/>
  <c r="AX165" i="11"/>
  <c r="AI165" i="11"/>
  <c r="AY165" i="11"/>
  <c r="AK165" i="11"/>
  <c r="AN160" i="11"/>
  <c r="AJ13" i="40" s="1"/>
  <c r="AQ160" i="37"/>
  <c r="AQ374" i="37" s="1"/>
  <c r="AU160" i="37"/>
  <c r="AT160" i="37"/>
  <c r="AT160" i="11"/>
  <c r="AU160" i="11"/>
  <c r="AQ160" i="11"/>
  <c r="CY15" i="40" s="1"/>
  <c r="AR160" i="11"/>
  <c r="CY16" i="40" s="1"/>
  <c r="AS160" i="11"/>
  <c r="CY17" i="40" s="1"/>
  <c r="AP381" i="11"/>
  <c r="AP377" i="11"/>
  <c r="AP373" i="11"/>
  <c r="AP369" i="11"/>
  <c r="AP382" i="11"/>
  <c r="AP378" i="11"/>
  <c r="AP374" i="11"/>
  <c r="AP370" i="11"/>
  <c r="AP366" i="11"/>
  <c r="AP383" i="11"/>
  <c r="AP379" i="11"/>
  <c r="AP375" i="11"/>
  <c r="AP371" i="11"/>
  <c r="AP367" i="11"/>
  <c r="AP363" i="11"/>
  <c r="AP384" i="11"/>
  <c r="AP380" i="11"/>
  <c r="AP376" i="11"/>
  <c r="AP372" i="11"/>
  <c r="AP368" i="11"/>
  <c r="AP364" i="11"/>
  <c r="AP359" i="11"/>
  <c r="AP355" i="11"/>
  <c r="AP351" i="11"/>
  <c r="AP347" i="11"/>
  <c r="AP343" i="11"/>
  <c r="AP339" i="11"/>
  <c r="AP335" i="11"/>
  <c r="AP331" i="11"/>
  <c r="AP327" i="11"/>
  <c r="AP323" i="11"/>
  <c r="AP319" i="11"/>
  <c r="AP315" i="11"/>
  <c r="AP360" i="11"/>
  <c r="AP356" i="11"/>
  <c r="AP352" i="11"/>
  <c r="AP348" i="11"/>
  <c r="AP344" i="11"/>
  <c r="AP340" i="11"/>
  <c r="AP336" i="11"/>
  <c r="AP332" i="11"/>
  <c r="AP328" i="11"/>
  <c r="AP324" i="11"/>
  <c r="AP320" i="11"/>
  <c r="AP316" i="11"/>
  <c r="AP361" i="11"/>
  <c r="AP357" i="11"/>
  <c r="AP353" i="11"/>
  <c r="AP349" i="11"/>
  <c r="AP345" i="11"/>
  <c r="AP341" i="11"/>
  <c r="AP337" i="11"/>
  <c r="AP333" i="11"/>
  <c r="AP329" i="11"/>
  <c r="AP325" i="11"/>
  <c r="AP321" i="11"/>
  <c r="AP317" i="11"/>
  <c r="AP365" i="11"/>
  <c r="AP362" i="11"/>
  <c r="AP358" i="11"/>
  <c r="AP354" i="11"/>
  <c r="AP350" i="11"/>
  <c r="AP346" i="11"/>
  <c r="AP342" i="11"/>
  <c r="AP338" i="11"/>
  <c r="AP334" i="11"/>
  <c r="AP330" i="11"/>
  <c r="AP326" i="11"/>
  <c r="AP322" i="11"/>
  <c r="AP318" i="11"/>
  <c r="AP314" i="11"/>
  <c r="AS160" i="37"/>
  <c r="AO383" i="37"/>
  <c r="AO384" i="37"/>
  <c r="AO380" i="37"/>
  <c r="AO376" i="37"/>
  <c r="AO372" i="37"/>
  <c r="AO368" i="37"/>
  <c r="AO364" i="37"/>
  <c r="AO360" i="37"/>
  <c r="AO356" i="37"/>
  <c r="AO352" i="37"/>
  <c r="AO348" i="37"/>
  <c r="AO344" i="37"/>
  <c r="AO340" i="37"/>
  <c r="AO336" i="37"/>
  <c r="AO332" i="37"/>
  <c r="AO328" i="37"/>
  <c r="AO324" i="37"/>
  <c r="AO320" i="37"/>
  <c r="AO316" i="37"/>
  <c r="AO381" i="37"/>
  <c r="AO377" i="37"/>
  <c r="AO373" i="37"/>
  <c r="AO369" i="37"/>
  <c r="AO365" i="37"/>
  <c r="AO361" i="37"/>
  <c r="AO357" i="37"/>
  <c r="AO353" i="37"/>
  <c r="AO349" i="37"/>
  <c r="AO345" i="37"/>
  <c r="AO341" i="37"/>
  <c r="AO337" i="37"/>
  <c r="AO333" i="37"/>
  <c r="AO329" i="37"/>
  <c r="AO325" i="37"/>
  <c r="AO321" i="37"/>
  <c r="AO317" i="37"/>
  <c r="AO382" i="37"/>
  <c r="AO378" i="37"/>
  <c r="AO374" i="37"/>
  <c r="AO370" i="37"/>
  <c r="AO366" i="37"/>
  <c r="AO362" i="37"/>
  <c r="AO358" i="37"/>
  <c r="AO354" i="37"/>
  <c r="AO350" i="37"/>
  <c r="AO346" i="37"/>
  <c r="AO342" i="37"/>
  <c r="AO338" i="37"/>
  <c r="AO334" i="37"/>
  <c r="AO330" i="37"/>
  <c r="AO326" i="37"/>
  <c r="AO322" i="37"/>
  <c r="AO379" i="37"/>
  <c r="AO375" i="37"/>
  <c r="AO371" i="37"/>
  <c r="AO367" i="37"/>
  <c r="AO363" i="37"/>
  <c r="AO359" i="37"/>
  <c r="AO355" i="37"/>
  <c r="AO351" i="37"/>
  <c r="AO347" i="37"/>
  <c r="AO343" i="37"/>
  <c r="AO339" i="37"/>
  <c r="AO335" i="37"/>
  <c r="AO331" i="37"/>
  <c r="AO327" i="37"/>
  <c r="AO323" i="37"/>
  <c r="AO319" i="37"/>
  <c r="AO315" i="37"/>
  <c r="AO314" i="37"/>
  <c r="AO318" i="37"/>
  <c r="AV160" i="11"/>
  <c r="CY19" i="40" s="1"/>
  <c r="AW160" i="11"/>
  <c r="AO384" i="11"/>
  <c r="AO380" i="11"/>
  <c r="AO376" i="11"/>
  <c r="AO372" i="11"/>
  <c r="AO368" i="11"/>
  <c r="AO381" i="11"/>
  <c r="AO377" i="11"/>
  <c r="AO373" i="11"/>
  <c r="AO369" i="11"/>
  <c r="AO365" i="11"/>
  <c r="AO382" i="11"/>
  <c r="AO378" i="11"/>
  <c r="AO374" i="11"/>
  <c r="AO370" i="11"/>
  <c r="AO366" i="11"/>
  <c r="AO383" i="11"/>
  <c r="AO379" i="11"/>
  <c r="AO375" i="11"/>
  <c r="AO371" i="11"/>
  <c r="AO367" i="11"/>
  <c r="AO363" i="11"/>
  <c r="AO362" i="11"/>
  <c r="AO358" i="11"/>
  <c r="AO354" i="11"/>
  <c r="AO350" i="11"/>
  <c r="AO346" i="11"/>
  <c r="AO342" i="11"/>
  <c r="AO338" i="11"/>
  <c r="AO334" i="11"/>
  <c r="AO330" i="11"/>
  <c r="AO326" i="11"/>
  <c r="AO322" i="11"/>
  <c r="AO318" i="11"/>
  <c r="AO314" i="11"/>
  <c r="AO359" i="11"/>
  <c r="AO355" i="11"/>
  <c r="AO351" i="11"/>
  <c r="AO347" i="11"/>
  <c r="AO343" i="11"/>
  <c r="AO339" i="11"/>
  <c r="AO335" i="11"/>
  <c r="AO331" i="11"/>
  <c r="AO327" i="11"/>
  <c r="AO323" i="11"/>
  <c r="AO319" i="11"/>
  <c r="AO315" i="11"/>
  <c r="AO364" i="11"/>
  <c r="AO360" i="11"/>
  <c r="AO356" i="11"/>
  <c r="AO352" i="11"/>
  <c r="AO348" i="11"/>
  <c r="AO344" i="11"/>
  <c r="AO340" i="11"/>
  <c r="AO336" i="11"/>
  <c r="AO332" i="11"/>
  <c r="AO328" i="11"/>
  <c r="AO324" i="11"/>
  <c r="AO320" i="11"/>
  <c r="AO316" i="11"/>
  <c r="AO361" i="11"/>
  <c r="AO357" i="11"/>
  <c r="AO353" i="11"/>
  <c r="AO349" i="11"/>
  <c r="AO345" i="11"/>
  <c r="AO341" i="11"/>
  <c r="AO337" i="11"/>
  <c r="AO333" i="11"/>
  <c r="AO329" i="11"/>
  <c r="AO325" i="11"/>
  <c r="AO321" i="11"/>
  <c r="AO317" i="11"/>
  <c r="AR160" i="37"/>
  <c r="AP383" i="37"/>
  <c r="AP384" i="37"/>
  <c r="AP381" i="37"/>
  <c r="AP377" i="37"/>
  <c r="AP373" i="37"/>
  <c r="AP369" i="37"/>
  <c r="AP365" i="37"/>
  <c r="AP361" i="37"/>
  <c r="AP357" i="37"/>
  <c r="AP353" i="37"/>
  <c r="AP349" i="37"/>
  <c r="AP345" i="37"/>
  <c r="AP341" i="37"/>
  <c r="AP337" i="37"/>
  <c r="AP333" i="37"/>
  <c r="AP329" i="37"/>
  <c r="AP325" i="37"/>
  <c r="AP321" i="37"/>
  <c r="AP317" i="37"/>
  <c r="AP382" i="37"/>
  <c r="AP378" i="37"/>
  <c r="AP374" i="37"/>
  <c r="AP370" i="37"/>
  <c r="AP366" i="37"/>
  <c r="AP362" i="37"/>
  <c r="AP358" i="37"/>
  <c r="AP354" i="37"/>
  <c r="AP350" i="37"/>
  <c r="AP346" i="37"/>
  <c r="AP342" i="37"/>
  <c r="AP338" i="37"/>
  <c r="AP334" i="37"/>
  <c r="AP330" i="37"/>
  <c r="AP326" i="37"/>
  <c r="AP322" i="37"/>
  <c r="AP318" i="37"/>
  <c r="AP314" i="37"/>
  <c r="AP379" i="37"/>
  <c r="AP375" i="37"/>
  <c r="AP371" i="37"/>
  <c r="AP367" i="37"/>
  <c r="AP363" i="37"/>
  <c r="AP359" i="37"/>
  <c r="AP355" i="37"/>
  <c r="AP351" i="37"/>
  <c r="AP347" i="37"/>
  <c r="AP343" i="37"/>
  <c r="AP339" i="37"/>
  <c r="AP335" i="37"/>
  <c r="AP331" i="37"/>
  <c r="AP327" i="37"/>
  <c r="AP323" i="37"/>
  <c r="AP380" i="37"/>
  <c r="AP376" i="37"/>
  <c r="AP372" i="37"/>
  <c r="AP368" i="37"/>
  <c r="AP364" i="37"/>
  <c r="AP360" i="37"/>
  <c r="AP356" i="37"/>
  <c r="AP352" i="37"/>
  <c r="AP348" i="37"/>
  <c r="AP344" i="37"/>
  <c r="AP340" i="37"/>
  <c r="AP336" i="37"/>
  <c r="AP332" i="37"/>
  <c r="AP328" i="37"/>
  <c r="AP324" i="37"/>
  <c r="AP320" i="37"/>
  <c r="AP316" i="37"/>
  <c r="AP315" i="37"/>
  <c r="AP319" i="37"/>
  <c r="AE22" i="11"/>
  <c r="AE18" i="11"/>
  <c r="AE14" i="11"/>
  <c r="AE21" i="11"/>
  <c r="AE17" i="11"/>
  <c r="AE84" i="11"/>
  <c r="AE83" i="11"/>
  <c r="AE82" i="11"/>
  <c r="AE81" i="11"/>
  <c r="AE80" i="11"/>
  <c r="AE79" i="11"/>
  <c r="AE78" i="11"/>
  <c r="AE77" i="11"/>
  <c r="AE76" i="11"/>
  <c r="AE75" i="11"/>
  <c r="AE74" i="11"/>
  <c r="AE73" i="11"/>
  <c r="AE72" i="11"/>
  <c r="AE71" i="11"/>
  <c r="AE70" i="11"/>
  <c r="AE69" i="11"/>
  <c r="AE68" i="11"/>
  <c r="AE67" i="11"/>
  <c r="AE66" i="11"/>
  <c r="AE65" i="11"/>
  <c r="AE64" i="11"/>
  <c r="AE63" i="11"/>
  <c r="AE62" i="11"/>
  <c r="AE61" i="11"/>
  <c r="AE60" i="11"/>
  <c r="AE59" i="11"/>
  <c r="AE58" i="11"/>
  <c r="AE57" i="11"/>
  <c r="AE56" i="11"/>
  <c r="AE55" i="11"/>
  <c r="AE54" i="11"/>
  <c r="AE53" i="11"/>
  <c r="AE52" i="11"/>
  <c r="AE51" i="11"/>
  <c r="AE50" i="11"/>
  <c r="AE49" i="11"/>
  <c r="AE48" i="11"/>
  <c r="AE47" i="11"/>
  <c r="AE46" i="11"/>
  <c r="AE45" i="11"/>
  <c r="AE44" i="11"/>
  <c r="AE43" i="11"/>
  <c r="AE42" i="11"/>
  <c r="AE41" i="11"/>
  <c r="AE40" i="11"/>
  <c r="AE39" i="11"/>
  <c r="AE38" i="11"/>
  <c r="EF27" i="40"/>
  <c r="AE36" i="11"/>
  <c r="AE35" i="11"/>
  <c r="AE34" i="11"/>
  <c r="AE33" i="11"/>
  <c r="AE32" i="11"/>
  <c r="AE31" i="11"/>
  <c r="AE30" i="11"/>
  <c r="AE29" i="11"/>
  <c r="AE28" i="11"/>
  <c r="AE27" i="11"/>
  <c r="AE26" i="11"/>
  <c r="AE25" i="11"/>
  <c r="AE24" i="11"/>
  <c r="AE20" i="11"/>
  <c r="AE16" i="11"/>
  <c r="AE23" i="11"/>
  <c r="AE19" i="11"/>
  <c r="AE15" i="11"/>
  <c r="AN158" i="37"/>
  <c r="AN160" i="37" s="1"/>
  <c r="AH160" i="37"/>
  <c r="AD14" i="37"/>
  <c r="AH165" i="11"/>
  <c r="BD53" i="11" l="1"/>
  <c r="EF43" i="40" s="1"/>
  <c r="BD25" i="11"/>
  <c r="EF15" i="40" s="1"/>
  <c r="BD57" i="11"/>
  <c r="EF47" i="40" s="1"/>
  <c r="BD81" i="11"/>
  <c r="EF71" i="40" s="1"/>
  <c r="BD19" i="11"/>
  <c r="EF9" i="40" s="1"/>
  <c r="BD28" i="11"/>
  <c r="EF18" i="40" s="1"/>
  <c r="BD36" i="11"/>
  <c r="EF26" i="40" s="1"/>
  <c r="BD44" i="11"/>
  <c r="EF34" i="40" s="1"/>
  <c r="BD52" i="11"/>
  <c r="EF42" i="40" s="1"/>
  <c r="BD60" i="11"/>
  <c r="EF50" i="40" s="1"/>
  <c r="BD68" i="11"/>
  <c r="EF58" i="40" s="1"/>
  <c r="BD76" i="11"/>
  <c r="EF66" i="40" s="1"/>
  <c r="BD84" i="11"/>
  <c r="EF74" i="40" s="1"/>
  <c r="BD23" i="11"/>
  <c r="EF13" i="40" s="1"/>
  <c r="BD69" i="11"/>
  <c r="EF59" i="40" s="1"/>
  <c r="BD16" i="11"/>
  <c r="EF6" i="40" s="1"/>
  <c r="BD30" i="11"/>
  <c r="EF20" i="40" s="1"/>
  <c r="BD38" i="11"/>
  <c r="EF28" i="40" s="1"/>
  <c r="BD46" i="11"/>
  <c r="EF36" i="40" s="1"/>
  <c r="BD54" i="11"/>
  <c r="EF44" i="40" s="1"/>
  <c r="BD62" i="11"/>
  <c r="EF52" i="40" s="1"/>
  <c r="BD70" i="11"/>
  <c r="EF60" i="40" s="1"/>
  <c r="BD78" i="11"/>
  <c r="EF68" i="40" s="1"/>
  <c r="BD21" i="11"/>
  <c r="EF11" i="40" s="1"/>
  <c r="BD17" i="11"/>
  <c r="EF7" i="40" s="1"/>
  <c r="BD20" i="11"/>
  <c r="EF10" i="40" s="1"/>
  <c r="BD31" i="11"/>
  <c r="EF21" i="40" s="1"/>
  <c r="BD39" i="11"/>
  <c r="EF29" i="40" s="1"/>
  <c r="BD47" i="11"/>
  <c r="EF37" i="40" s="1"/>
  <c r="BD55" i="11"/>
  <c r="EF45" i="40" s="1"/>
  <c r="BD63" i="11"/>
  <c r="EF53" i="40" s="1"/>
  <c r="BD71" i="11"/>
  <c r="EF61" i="40" s="1"/>
  <c r="BD79" i="11"/>
  <c r="EF69" i="40" s="1"/>
  <c r="BD14" i="11"/>
  <c r="EF4" i="40" s="1"/>
  <c r="BD29" i="11"/>
  <c r="EF19" i="40" s="1"/>
  <c r="BD77" i="11"/>
  <c r="EF67" i="40" s="1"/>
  <c r="BD24" i="11"/>
  <c r="EF14" i="40" s="1"/>
  <c r="BD32" i="11"/>
  <c r="EF22" i="40" s="1"/>
  <c r="BD40" i="11"/>
  <c r="EF30" i="40" s="1"/>
  <c r="BD48" i="11"/>
  <c r="EF38" i="40" s="1"/>
  <c r="BD56" i="11"/>
  <c r="EF46" i="40" s="1"/>
  <c r="BD64" i="11"/>
  <c r="EF54" i="40" s="1"/>
  <c r="BD72" i="11"/>
  <c r="EF62" i="40" s="1"/>
  <c r="BD80" i="11"/>
  <c r="EF70" i="40" s="1"/>
  <c r="BD18" i="11"/>
  <c r="EF8" i="40" s="1"/>
  <c r="BD22" i="11"/>
  <c r="EF12" i="40" s="1"/>
  <c r="BD61" i="11"/>
  <c r="EF51" i="40" s="1"/>
  <c r="BD41" i="11"/>
  <c r="EF31" i="40" s="1"/>
  <c r="BD65" i="11"/>
  <c r="EF55" i="40" s="1"/>
  <c r="BD26" i="11"/>
  <c r="EF16" i="40" s="1"/>
  <c r="BD34" i="11"/>
  <c r="EF24" i="40" s="1"/>
  <c r="BD42" i="11"/>
  <c r="EF32" i="40" s="1"/>
  <c r="BD50" i="11"/>
  <c r="EF40" i="40" s="1"/>
  <c r="BD58" i="11"/>
  <c r="EF48" i="40" s="1"/>
  <c r="BD66" i="11"/>
  <c r="EF56" i="40" s="1"/>
  <c r="BD74" i="11"/>
  <c r="EF64" i="40" s="1"/>
  <c r="BD82" i="11"/>
  <c r="EF72" i="40" s="1"/>
  <c r="BD45" i="11"/>
  <c r="EF35" i="40" s="1"/>
  <c r="BD33" i="11"/>
  <c r="EF23" i="40" s="1"/>
  <c r="BD49" i="11"/>
  <c r="EF39" i="40" s="1"/>
  <c r="BD73" i="11"/>
  <c r="EF63" i="40" s="1"/>
  <c r="BD15" i="11"/>
  <c r="EF5" i="40" s="1"/>
  <c r="BD27" i="11"/>
  <c r="EF17" i="40" s="1"/>
  <c r="BD35" i="11"/>
  <c r="EF25" i="40" s="1"/>
  <c r="BD43" i="11"/>
  <c r="EF33" i="40" s="1"/>
  <c r="BD51" i="11"/>
  <c r="EF41" i="40" s="1"/>
  <c r="BD59" i="11"/>
  <c r="EF49" i="40" s="1"/>
  <c r="BD67" i="11"/>
  <c r="EF57" i="40" s="1"/>
  <c r="BD75" i="11"/>
  <c r="EF65" i="40" s="1"/>
  <c r="BD83" i="11"/>
  <c r="EF73" i="40" s="1"/>
  <c r="AR316" i="11"/>
  <c r="AR359" i="11"/>
  <c r="AR383" i="11"/>
  <c r="AR348" i="11"/>
  <c r="AR327" i="11"/>
  <c r="AR338" i="11"/>
  <c r="AR317" i="11"/>
  <c r="AR353" i="11"/>
  <c r="AR373" i="11"/>
  <c r="CY13" i="40"/>
  <c r="L11" i="43"/>
  <c r="AV165" i="37"/>
  <c r="AJ19" i="40"/>
  <c r="L17" i="43" s="1"/>
  <c r="AQ321" i="37"/>
  <c r="AQ324" i="37"/>
  <c r="AQ319" i="37"/>
  <c r="AQ383" i="37"/>
  <c r="AS335" i="11"/>
  <c r="AQ339" i="11"/>
  <c r="AQ330" i="11"/>
  <c r="AQ344" i="11"/>
  <c r="AQ372" i="11"/>
  <c r="AQ323" i="11"/>
  <c r="AQ355" i="11"/>
  <c r="AQ314" i="11"/>
  <c r="AQ346" i="11"/>
  <c r="AQ362" i="11"/>
  <c r="AQ329" i="11"/>
  <c r="AQ345" i="11"/>
  <c r="AQ361" i="11"/>
  <c r="AQ328" i="11"/>
  <c r="AQ360" i="11"/>
  <c r="AQ377" i="11"/>
  <c r="AQ367" i="11"/>
  <c r="AQ383" i="11"/>
  <c r="AQ382" i="11"/>
  <c r="AJ18" i="40"/>
  <c r="CY18" i="40"/>
  <c r="AK5" i="40"/>
  <c r="CZ5" i="40"/>
  <c r="AQ384" i="37"/>
  <c r="AQ370" i="37"/>
  <c r="AQ354" i="37"/>
  <c r="AQ338" i="37"/>
  <c r="AQ322" i="37"/>
  <c r="AQ379" i="37"/>
  <c r="AQ363" i="37"/>
  <c r="AQ347" i="37"/>
  <c r="AQ331" i="37"/>
  <c r="AQ315" i="37"/>
  <c r="AQ368" i="37"/>
  <c r="AQ352" i="37"/>
  <c r="AQ336" i="37"/>
  <c r="AQ381" i="37"/>
  <c r="AQ365" i="37"/>
  <c r="AQ349" i="37"/>
  <c r="AQ333" i="37"/>
  <c r="AQ317" i="37"/>
  <c r="AQ382" i="37"/>
  <c r="AQ366" i="37"/>
  <c r="AQ350" i="37"/>
  <c r="AQ334" i="37"/>
  <c r="AQ318" i="37"/>
  <c r="AQ375" i="37"/>
  <c r="AQ359" i="37"/>
  <c r="AQ343" i="37"/>
  <c r="AQ327" i="37"/>
  <c r="AQ380" i="37"/>
  <c r="AQ364" i="37"/>
  <c r="AQ348" i="37"/>
  <c r="AQ332" i="37"/>
  <c r="AQ377" i="37"/>
  <c r="AQ361" i="37"/>
  <c r="AQ345" i="37"/>
  <c r="AQ329" i="37"/>
  <c r="AQ316" i="37"/>
  <c r="AQ378" i="37"/>
  <c r="AQ362" i="37"/>
  <c r="AQ346" i="37"/>
  <c r="AQ330" i="37"/>
  <c r="AQ314" i="37"/>
  <c r="AQ371" i="37"/>
  <c r="AQ355" i="37"/>
  <c r="AQ339" i="37"/>
  <c r="AQ323" i="37"/>
  <c r="AQ376" i="37"/>
  <c r="AQ360" i="37"/>
  <c r="AQ344" i="37"/>
  <c r="AQ328" i="37"/>
  <c r="AQ373" i="37"/>
  <c r="AQ357" i="37"/>
  <c r="AQ341" i="37"/>
  <c r="AQ325" i="37"/>
  <c r="AQ320" i="37"/>
  <c r="AQ337" i="37"/>
  <c r="AQ340" i="37"/>
  <c r="AQ335" i="37"/>
  <c r="AQ326" i="37"/>
  <c r="AQ353" i="37"/>
  <c r="AQ356" i="37"/>
  <c r="AQ351" i="37"/>
  <c r="AQ342" i="37"/>
  <c r="AQ369" i="37"/>
  <c r="AQ372" i="37"/>
  <c r="AQ367" i="37"/>
  <c r="AQ358" i="37"/>
  <c r="AS370" i="11"/>
  <c r="AJ17" i="40"/>
  <c r="L15" i="43" s="1"/>
  <c r="AR384" i="11"/>
  <c r="AJ16" i="40"/>
  <c r="L14" i="43" s="1"/>
  <c r="AV165" i="11"/>
  <c r="AW165" i="11"/>
  <c r="AQ378" i="11"/>
  <c r="AJ15" i="40"/>
  <c r="L13" i="43" s="1"/>
  <c r="AN165" i="11"/>
  <c r="AR324" i="11"/>
  <c r="AR356" i="11"/>
  <c r="AR335" i="11"/>
  <c r="AR314" i="11"/>
  <c r="AR346" i="11"/>
  <c r="AR325" i="11"/>
  <c r="AR361" i="11"/>
  <c r="AR368" i="11"/>
  <c r="AS350" i="11"/>
  <c r="AR332" i="11"/>
  <c r="AR367" i="11"/>
  <c r="AR343" i="11"/>
  <c r="AR322" i="11"/>
  <c r="AR354" i="11"/>
  <c r="AR333" i="11"/>
  <c r="AR374" i="11"/>
  <c r="AR380" i="11"/>
  <c r="AS365" i="11"/>
  <c r="AR340" i="11"/>
  <c r="AR319" i="11"/>
  <c r="AR351" i="11"/>
  <c r="AR330" i="11"/>
  <c r="AR362" i="11"/>
  <c r="AR341" i="11"/>
  <c r="AR365" i="11"/>
  <c r="AR371" i="11"/>
  <c r="AS320" i="11"/>
  <c r="AR320" i="11"/>
  <c r="AR336" i="11"/>
  <c r="AR352" i="11"/>
  <c r="AR315" i="11"/>
  <c r="AR331" i="11"/>
  <c r="AR347" i="11"/>
  <c r="AR363" i="11"/>
  <c r="AR326" i="11"/>
  <c r="AR342" i="11"/>
  <c r="AR358" i="11"/>
  <c r="AR321" i="11"/>
  <c r="AR337" i="11"/>
  <c r="AR357" i="11"/>
  <c r="AR378" i="11"/>
  <c r="AR381" i="11"/>
  <c r="AS353" i="11"/>
  <c r="AS319" i="11"/>
  <c r="AS334" i="11"/>
  <c r="AS372" i="11"/>
  <c r="AS373" i="11"/>
  <c r="AS378" i="11"/>
  <c r="AS383" i="11"/>
  <c r="AS367" i="11"/>
  <c r="AS358" i="11"/>
  <c r="AS342" i="11"/>
  <c r="AS326" i="11"/>
  <c r="AS359" i="11"/>
  <c r="AS343" i="11"/>
  <c r="AS327" i="11"/>
  <c r="AS360" i="11"/>
  <c r="AS344" i="11"/>
  <c r="AS328" i="11"/>
  <c r="AS361" i="11"/>
  <c r="AS345" i="11"/>
  <c r="AS329" i="11"/>
  <c r="AS384" i="11"/>
  <c r="AS368" i="11"/>
  <c r="AS369" i="11"/>
  <c r="AS374" i="11"/>
  <c r="AS379" i="11"/>
  <c r="AS363" i="11"/>
  <c r="AS354" i="11"/>
  <c r="AS338" i="11"/>
  <c r="AS322" i="11"/>
  <c r="AS355" i="11"/>
  <c r="AS339" i="11"/>
  <c r="AS323" i="11"/>
  <c r="AS356" i="11"/>
  <c r="AS340" i="11"/>
  <c r="AS324" i="11"/>
  <c r="AS357" i="11"/>
  <c r="AS341" i="11"/>
  <c r="AS325" i="11"/>
  <c r="AS376" i="11"/>
  <c r="AS377" i="11"/>
  <c r="AS382" i="11"/>
  <c r="AS366" i="11"/>
  <c r="AS371" i="11"/>
  <c r="AS362" i="11"/>
  <c r="AS346" i="11"/>
  <c r="AS330" i="11"/>
  <c r="AS314" i="11"/>
  <c r="AS347" i="11"/>
  <c r="AS331" i="11"/>
  <c r="AS315" i="11"/>
  <c r="AS348" i="11"/>
  <c r="AS332" i="11"/>
  <c r="AS316" i="11"/>
  <c r="AS349" i="11"/>
  <c r="AS333" i="11"/>
  <c r="AS317" i="11"/>
  <c r="AR375" i="11"/>
  <c r="AR376" i="11"/>
  <c r="AR377" i="11"/>
  <c r="AR382" i="11"/>
  <c r="AR366" i="11"/>
  <c r="AR349" i="11"/>
  <c r="AR328" i="11"/>
  <c r="AR344" i="11"/>
  <c r="AR360" i="11"/>
  <c r="AR323" i="11"/>
  <c r="AR339" i="11"/>
  <c r="AR355" i="11"/>
  <c r="AR318" i="11"/>
  <c r="AR334" i="11"/>
  <c r="AR350" i="11"/>
  <c r="AR364" i="11"/>
  <c r="AR329" i="11"/>
  <c r="AR345" i="11"/>
  <c r="AR370" i="11"/>
  <c r="AR369" i="11"/>
  <c r="AR372" i="11"/>
  <c r="AR379" i="11"/>
  <c r="AS321" i="11"/>
  <c r="AS336" i="11"/>
  <c r="AS351" i="11"/>
  <c r="AS364" i="11"/>
  <c r="AS381" i="11"/>
  <c r="AS337" i="11"/>
  <c r="AS352" i="11"/>
  <c r="AS318" i="11"/>
  <c r="AS375" i="11"/>
  <c r="AS380" i="11"/>
  <c r="AT384" i="11"/>
  <c r="AT383" i="11"/>
  <c r="AT382" i="11"/>
  <c r="AT381" i="11"/>
  <c r="AT380" i="11"/>
  <c r="AT379" i="11"/>
  <c r="AT378" i="11"/>
  <c r="AT377" i="11"/>
  <c r="AT376" i="11"/>
  <c r="AT375" i="11"/>
  <c r="AT374" i="11"/>
  <c r="AT373" i="11"/>
  <c r="AT372" i="11"/>
  <c r="AT371" i="11"/>
  <c r="AT370" i="11"/>
  <c r="AT369" i="11"/>
  <c r="AT368" i="11"/>
  <c r="AT367" i="11"/>
  <c r="AT366" i="11"/>
  <c r="AT365" i="11"/>
  <c r="AT364" i="11"/>
  <c r="AT363" i="11"/>
  <c r="AT362" i="11"/>
  <c r="AT361" i="11"/>
  <c r="AT360" i="11"/>
  <c r="AT359" i="11"/>
  <c r="AT358" i="11"/>
  <c r="AT357" i="11"/>
  <c r="AT356" i="11"/>
  <c r="AT355" i="11"/>
  <c r="AT354" i="11"/>
  <c r="AT353" i="11"/>
  <c r="AT352" i="11"/>
  <c r="AT351" i="11"/>
  <c r="AT350" i="11"/>
  <c r="AT349" i="11"/>
  <c r="AT348" i="11"/>
  <c r="AT347" i="11"/>
  <c r="AT346" i="11"/>
  <c r="AT345" i="11"/>
  <c r="AT344" i="11"/>
  <c r="AT343" i="11"/>
  <c r="AT342" i="11"/>
  <c r="AT341" i="11"/>
  <c r="AT340" i="11"/>
  <c r="AT339" i="11"/>
  <c r="AT338" i="11"/>
  <c r="AT337" i="11"/>
  <c r="AT336" i="11"/>
  <c r="AT335" i="11"/>
  <c r="AT334" i="11"/>
  <c r="AT333" i="11"/>
  <c r="AT332" i="11"/>
  <c r="AT331" i="11"/>
  <c r="AT330" i="11"/>
  <c r="AT329" i="11"/>
  <c r="AT328" i="11"/>
  <c r="AT327" i="11"/>
  <c r="AT326" i="11"/>
  <c r="AT325" i="11"/>
  <c r="AT324" i="11"/>
  <c r="AT323" i="11"/>
  <c r="AT322" i="11"/>
  <c r="AT321" i="11"/>
  <c r="AT320" i="11"/>
  <c r="AT319" i="11"/>
  <c r="AT318" i="11"/>
  <c r="AT317" i="11"/>
  <c r="AT316" i="11"/>
  <c r="AT315" i="11"/>
  <c r="AT314" i="11"/>
  <c r="AQ327" i="11"/>
  <c r="AQ343" i="11"/>
  <c r="AQ359" i="11"/>
  <c r="AQ318" i="11"/>
  <c r="AQ334" i="11"/>
  <c r="AQ350" i="11"/>
  <c r="AQ317" i="11"/>
  <c r="AQ333" i="11"/>
  <c r="AQ349" i="11"/>
  <c r="AQ316" i="11"/>
  <c r="AQ332" i="11"/>
  <c r="AQ348" i="11"/>
  <c r="AQ365" i="11"/>
  <c r="AQ381" i="11"/>
  <c r="AQ376" i="11"/>
  <c r="AQ371" i="11"/>
  <c r="AQ370" i="11"/>
  <c r="AQ315" i="11"/>
  <c r="AQ331" i="11"/>
  <c r="AQ347" i="11"/>
  <c r="AQ363" i="11"/>
  <c r="AQ322" i="11"/>
  <c r="AQ338" i="11"/>
  <c r="AQ354" i="11"/>
  <c r="AQ321" i="11"/>
  <c r="AQ337" i="11"/>
  <c r="AQ353" i="11"/>
  <c r="AQ320" i="11"/>
  <c r="AQ336" i="11"/>
  <c r="AQ352" i="11"/>
  <c r="AQ369" i="11"/>
  <c r="AQ364" i="11"/>
  <c r="AQ380" i="11"/>
  <c r="AQ375" i="11"/>
  <c r="AQ374" i="11"/>
  <c r="AT384" i="37"/>
  <c r="AT383" i="37"/>
  <c r="AT382" i="37"/>
  <c r="AT381" i="37"/>
  <c r="AT380" i="37"/>
  <c r="AT379" i="37"/>
  <c r="AT378" i="37"/>
  <c r="AT377" i="37"/>
  <c r="AT376" i="37"/>
  <c r="AT375" i="37"/>
  <c r="AT374" i="37"/>
  <c r="AT373" i="37"/>
  <c r="AT372" i="37"/>
  <c r="AT371" i="37"/>
  <c r="AT370" i="37"/>
  <c r="AT369" i="37"/>
  <c r="AT368" i="37"/>
  <c r="AT367" i="37"/>
  <c r="AT366" i="37"/>
  <c r="AT365" i="37"/>
  <c r="AT364" i="37"/>
  <c r="AT363" i="37"/>
  <c r="AT362" i="37"/>
  <c r="AT361" i="37"/>
  <c r="AT360" i="37"/>
  <c r="AT359" i="37"/>
  <c r="AT358" i="37"/>
  <c r="AT357" i="37"/>
  <c r="AT356" i="37"/>
  <c r="AT355" i="37"/>
  <c r="AT354" i="37"/>
  <c r="AT353" i="37"/>
  <c r="AT352" i="37"/>
  <c r="AT351" i="37"/>
  <c r="AT350" i="37"/>
  <c r="AT349" i="37"/>
  <c r="AT348" i="37"/>
  <c r="AT347" i="37"/>
  <c r="AT346" i="37"/>
  <c r="AT345" i="37"/>
  <c r="AT344" i="37"/>
  <c r="AT343" i="37"/>
  <c r="AT342" i="37"/>
  <c r="AT341" i="37"/>
  <c r="AT340" i="37"/>
  <c r="AT339" i="37"/>
  <c r="AT338" i="37"/>
  <c r="AT337" i="37"/>
  <c r="AT336" i="37"/>
  <c r="AT335" i="37"/>
  <c r="AT334" i="37"/>
  <c r="AT333" i="37"/>
  <c r="AT332" i="37"/>
  <c r="AT331" i="37"/>
  <c r="AT330" i="37"/>
  <c r="AT329" i="37"/>
  <c r="AT328" i="37"/>
  <c r="AT327" i="37"/>
  <c r="AT326" i="37"/>
  <c r="AT325" i="37"/>
  <c r="AT324" i="37"/>
  <c r="AT323" i="37"/>
  <c r="AT322" i="37"/>
  <c r="AT321" i="37"/>
  <c r="AT320" i="37"/>
  <c r="AT319" i="37"/>
  <c r="AT318" i="37"/>
  <c r="AT317" i="37"/>
  <c r="AT316" i="37"/>
  <c r="AT315" i="37"/>
  <c r="AT314" i="37"/>
  <c r="AQ319" i="11"/>
  <c r="AQ335" i="11"/>
  <c r="AQ351" i="11"/>
  <c r="AQ366" i="11"/>
  <c r="AQ326" i="11"/>
  <c r="AQ342" i="11"/>
  <c r="AQ358" i="11"/>
  <c r="AQ325" i="11"/>
  <c r="AQ341" i="11"/>
  <c r="AQ357" i="11"/>
  <c r="AQ324" i="11"/>
  <c r="AQ340" i="11"/>
  <c r="AQ356" i="11"/>
  <c r="AQ373" i="11"/>
  <c r="AQ368" i="11"/>
  <c r="AQ384" i="11"/>
  <c r="AQ379" i="11"/>
  <c r="AU384" i="11"/>
  <c r="AU383" i="11"/>
  <c r="AU382" i="11"/>
  <c r="AU381" i="11"/>
  <c r="AU380" i="11"/>
  <c r="AU379" i="11"/>
  <c r="AU378" i="11"/>
  <c r="AU377" i="11"/>
  <c r="AU376" i="11"/>
  <c r="AU375" i="11"/>
  <c r="AU374" i="11"/>
  <c r="AU373" i="11"/>
  <c r="AU372" i="11"/>
  <c r="AU371" i="11"/>
  <c r="AU370" i="11"/>
  <c r="AU369" i="11"/>
  <c r="AU368" i="11"/>
  <c r="AU367" i="11"/>
  <c r="AU366" i="11"/>
  <c r="AU365" i="11"/>
  <c r="AU364" i="11"/>
  <c r="AU363" i="11"/>
  <c r="AU362" i="11"/>
  <c r="AU361" i="11"/>
  <c r="AU360" i="11"/>
  <c r="AU359" i="11"/>
  <c r="AU358" i="11"/>
  <c r="AU357" i="11"/>
  <c r="AU356" i="11"/>
  <c r="AU355" i="11"/>
  <c r="AU354" i="11"/>
  <c r="AU353" i="11"/>
  <c r="AU352" i="11"/>
  <c r="AU351" i="11"/>
  <c r="AU350" i="11"/>
  <c r="AU349" i="11"/>
  <c r="AU348" i="11"/>
  <c r="AU347" i="11"/>
  <c r="AU346" i="11"/>
  <c r="AU345" i="11"/>
  <c r="AU344" i="11"/>
  <c r="AU343" i="11"/>
  <c r="AU342" i="11"/>
  <c r="AU341" i="11"/>
  <c r="AU337" i="11"/>
  <c r="AU333" i="11"/>
  <c r="AU329" i="11"/>
  <c r="AU325" i="11"/>
  <c r="AU338" i="11"/>
  <c r="AU334" i="11"/>
  <c r="AU330" i="11"/>
  <c r="AU326" i="11"/>
  <c r="AU339" i="11"/>
  <c r="AU335" i="11"/>
  <c r="AU331" i="11"/>
  <c r="AU327" i="11"/>
  <c r="AU340" i="11"/>
  <c r="AU336" i="11"/>
  <c r="AU332" i="11"/>
  <c r="AU328" i="11"/>
  <c r="AU324" i="11"/>
  <c r="AU323" i="11"/>
  <c r="AU322" i="11"/>
  <c r="AU321" i="11"/>
  <c r="AU320" i="11"/>
  <c r="AU319" i="11"/>
  <c r="AU318" i="11"/>
  <c r="AU317" i="11"/>
  <c r="AU316" i="11"/>
  <c r="AU315" i="11"/>
  <c r="AU314" i="11"/>
  <c r="AU384" i="37"/>
  <c r="AU383" i="37"/>
  <c r="AU382" i="37"/>
  <c r="AU381" i="37"/>
  <c r="AU380" i="37"/>
  <c r="AU379" i="37"/>
  <c r="AU378" i="37"/>
  <c r="AU377" i="37"/>
  <c r="AU376" i="37"/>
  <c r="AU375" i="37"/>
  <c r="AU374" i="37"/>
  <c r="AU373" i="37"/>
  <c r="AU372" i="37"/>
  <c r="AU371" i="37"/>
  <c r="AU370" i="37"/>
  <c r="AU369" i="37"/>
  <c r="AU368" i="37"/>
  <c r="AU367" i="37"/>
  <c r="AU366" i="37"/>
  <c r="AU365" i="37"/>
  <c r="AU364" i="37"/>
  <c r="AU363" i="37"/>
  <c r="AU362" i="37"/>
  <c r="AU361" i="37"/>
  <c r="AU360" i="37"/>
  <c r="AU359" i="37"/>
  <c r="AU358" i="37"/>
  <c r="AU357" i="37"/>
  <c r="AU356" i="37"/>
  <c r="AU355" i="37"/>
  <c r="AU354" i="37"/>
  <c r="AU353" i="37"/>
  <c r="AU352" i="37"/>
  <c r="AU351" i="37"/>
  <c r="AU350" i="37"/>
  <c r="AU349" i="37"/>
  <c r="AU348" i="37"/>
  <c r="AU347" i="37"/>
  <c r="AU346" i="37"/>
  <c r="AU345" i="37"/>
  <c r="AU344" i="37"/>
  <c r="AU343" i="37"/>
  <c r="AU342" i="37"/>
  <c r="AU341" i="37"/>
  <c r="AU340" i="37"/>
  <c r="AU339" i="37"/>
  <c r="AU338" i="37"/>
  <c r="AU337" i="37"/>
  <c r="AU336" i="37"/>
  <c r="AU335" i="37"/>
  <c r="AU334" i="37"/>
  <c r="AU333" i="37"/>
  <c r="AU332" i="37"/>
  <c r="AU331" i="37"/>
  <c r="AU330" i="37"/>
  <c r="AU329" i="37"/>
  <c r="AU328" i="37"/>
  <c r="AU327" i="37"/>
  <c r="AU326" i="37"/>
  <c r="AU325" i="37"/>
  <c r="AU324" i="37"/>
  <c r="AU323" i="37"/>
  <c r="AU322" i="37"/>
  <c r="AU321" i="37"/>
  <c r="AU320" i="37"/>
  <c r="AU319" i="37"/>
  <c r="AU318" i="37"/>
  <c r="AU317" i="37"/>
  <c r="AU316" i="37"/>
  <c r="AU315" i="37"/>
  <c r="AU314" i="37"/>
  <c r="AS383" i="37"/>
  <c r="AS380" i="37"/>
  <c r="AS376" i="37"/>
  <c r="AS372" i="37"/>
  <c r="AS368" i="37"/>
  <c r="AS364" i="37"/>
  <c r="AS360" i="37"/>
  <c r="AS356" i="37"/>
  <c r="AS352" i="37"/>
  <c r="AS348" i="37"/>
  <c r="AS344" i="37"/>
  <c r="AS340" i="37"/>
  <c r="AS336" i="37"/>
  <c r="AS332" i="37"/>
  <c r="AS328" i="37"/>
  <c r="AS324" i="37"/>
  <c r="AS320" i="37"/>
  <c r="AS316" i="37"/>
  <c r="AS381" i="37"/>
  <c r="AS377" i="37"/>
  <c r="AS373" i="37"/>
  <c r="AS369" i="37"/>
  <c r="AS365" i="37"/>
  <c r="AS361" i="37"/>
  <c r="AS357" i="37"/>
  <c r="AS353" i="37"/>
  <c r="AS349" i="37"/>
  <c r="AS345" i="37"/>
  <c r="AS341" i="37"/>
  <c r="AS337" i="37"/>
  <c r="AS333" i="37"/>
  <c r="AS329" i="37"/>
  <c r="AS325" i="37"/>
  <c r="AS321" i="37"/>
  <c r="AS317" i="37"/>
  <c r="AS384" i="37"/>
  <c r="AS382" i="37"/>
  <c r="AS378" i="37"/>
  <c r="AS374" i="37"/>
  <c r="AS370" i="37"/>
  <c r="AS366" i="37"/>
  <c r="AS362" i="37"/>
  <c r="AS358" i="37"/>
  <c r="AS354" i="37"/>
  <c r="AS350" i="37"/>
  <c r="AS346" i="37"/>
  <c r="AS342" i="37"/>
  <c r="AS338" i="37"/>
  <c r="AS334" i="37"/>
  <c r="AS330" i="37"/>
  <c r="AS326" i="37"/>
  <c r="AS322" i="37"/>
  <c r="AS379" i="37"/>
  <c r="AS375" i="37"/>
  <c r="AS371" i="37"/>
  <c r="AS367" i="37"/>
  <c r="AS363" i="37"/>
  <c r="AS359" i="37"/>
  <c r="AS355" i="37"/>
  <c r="AS351" i="37"/>
  <c r="AS347" i="37"/>
  <c r="AS343" i="37"/>
  <c r="AS339" i="37"/>
  <c r="AS335" i="37"/>
  <c r="AS331" i="37"/>
  <c r="AS327" i="37"/>
  <c r="AS323" i="37"/>
  <c r="AS319" i="37"/>
  <c r="AS315" i="37"/>
  <c r="AS318" i="37"/>
  <c r="AS314" i="37"/>
  <c r="AR383" i="37"/>
  <c r="AR379" i="37"/>
  <c r="AR375" i="37"/>
  <c r="AR371" i="37"/>
  <c r="AR367" i="37"/>
  <c r="AR363" i="37"/>
  <c r="AR359" i="37"/>
  <c r="AR355" i="37"/>
  <c r="AR351" i="37"/>
  <c r="AR347" i="37"/>
  <c r="AR343" i="37"/>
  <c r="AR339" i="37"/>
  <c r="AR335" i="37"/>
  <c r="AR331" i="37"/>
  <c r="AR327" i="37"/>
  <c r="AR323" i="37"/>
  <c r="AR319" i="37"/>
  <c r="AR315" i="37"/>
  <c r="AR380" i="37"/>
  <c r="AR376" i="37"/>
  <c r="AR372" i="37"/>
  <c r="AR368" i="37"/>
  <c r="AR364" i="37"/>
  <c r="AR360" i="37"/>
  <c r="AR356" i="37"/>
  <c r="AR352" i="37"/>
  <c r="AR348" i="37"/>
  <c r="AR344" i="37"/>
  <c r="AR340" i="37"/>
  <c r="AR336" i="37"/>
  <c r="AR332" i="37"/>
  <c r="AR328" i="37"/>
  <c r="AR324" i="37"/>
  <c r="AR320" i="37"/>
  <c r="AR316" i="37"/>
  <c r="AR381" i="37"/>
  <c r="AR377" i="37"/>
  <c r="AR373" i="37"/>
  <c r="AR369" i="37"/>
  <c r="AR365" i="37"/>
  <c r="AR361" i="37"/>
  <c r="AR357" i="37"/>
  <c r="AR353" i="37"/>
  <c r="AR349" i="37"/>
  <c r="AR345" i="37"/>
  <c r="AR341" i="37"/>
  <c r="AR337" i="37"/>
  <c r="AR333" i="37"/>
  <c r="AR329" i="37"/>
  <c r="AR325" i="37"/>
  <c r="AR321" i="37"/>
  <c r="AR384" i="37"/>
  <c r="AR382" i="37"/>
  <c r="AR378" i="37"/>
  <c r="AR374" i="37"/>
  <c r="AR370" i="37"/>
  <c r="AR366" i="37"/>
  <c r="AR362" i="37"/>
  <c r="AR358" i="37"/>
  <c r="AR354" i="37"/>
  <c r="AR350" i="37"/>
  <c r="AR346" i="37"/>
  <c r="AR342" i="37"/>
  <c r="AR338" i="37"/>
  <c r="AR334" i="37"/>
  <c r="AR330" i="37"/>
  <c r="AR326" i="37"/>
  <c r="AR322" i="37"/>
  <c r="AR318" i="37"/>
  <c r="AR314" i="37"/>
  <c r="AR317" i="37"/>
  <c r="AG323" i="11"/>
  <c r="AG395" i="11"/>
  <c r="AG251" i="11"/>
  <c r="AG95" i="11"/>
  <c r="AG179" i="11"/>
  <c r="AG23" i="11"/>
  <c r="AG397" i="11"/>
  <c r="AG325" i="11"/>
  <c r="AG181" i="11"/>
  <c r="AG25" i="11"/>
  <c r="AG253" i="11"/>
  <c r="AG97" i="11"/>
  <c r="AG401" i="11"/>
  <c r="AG329" i="11"/>
  <c r="AG185" i="11"/>
  <c r="AG29" i="11"/>
  <c r="AG257" i="11"/>
  <c r="AG101" i="11"/>
  <c r="AG405" i="11"/>
  <c r="AG333" i="11"/>
  <c r="AG189" i="11"/>
  <c r="AG33" i="11"/>
  <c r="AG261" i="11"/>
  <c r="AG105" i="11"/>
  <c r="AG409" i="11"/>
  <c r="AG337" i="11"/>
  <c r="AG193" i="11"/>
  <c r="AG37" i="11"/>
  <c r="AG265" i="11"/>
  <c r="AG109" i="11"/>
  <c r="AG413" i="11"/>
  <c r="AG341" i="11"/>
  <c r="AG197" i="11"/>
  <c r="AG41" i="11"/>
  <c r="AG269" i="11"/>
  <c r="AG113" i="11"/>
  <c r="AG417" i="11"/>
  <c r="AG345" i="11"/>
  <c r="AG201" i="11"/>
  <c r="AG45" i="11"/>
  <c r="AG273" i="11"/>
  <c r="AG117" i="11"/>
  <c r="AG421" i="11"/>
  <c r="AG349" i="11"/>
  <c r="AG205" i="11"/>
  <c r="AG49" i="11"/>
  <c r="AG277" i="11"/>
  <c r="AG121" i="11"/>
  <c r="AG425" i="11"/>
  <c r="AG353" i="11"/>
  <c r="AG209" i="11"/>
  <c r="AG53" i="11"/>
  <c r="AG281" i="11"/>
  <c r="AG125" i="11"/>
  <c r="AG429" i="11"/>
  <c r="AG357" i="11"/>
  <c r="AG213" i="11"/>
  <c r="AG57" i="11"/>
  <c r="AG285" i="11"/>
  <c r="AG129" i="11"/>
  <c r="AG433" i="11"/>
  <c r="AG361" i="11"/>
  <c r="AG217" i="11"/>
  <c r="AG61" i="11"/>
  <c r="AG289" i="11"/>
  <c r="AG133" i="11"/>
  <c r="AG437" i="11"/>
  <c r="AG365" i="11"/>
  <c r="AG221" i="11"/>
  <c r="AG65" i="11"/>
  <c r="AG293" i="11"/>
  <c r="AG137" i="11"/>
  <c r="AG441" i="11"/>
  <c r="AG369" i="11"/>
  <c r="AG225" i="11"/>
  <c r="AG297" i="11"/>
  <c r="AG69" i="11"/>
  <c r="AG141" i="11"/>
  <c r="AG445" i="11"/>
  <c r="AG301" i="11"/>
  <c r="AG373" i="11"/>
  <c r="AG229" i="11"/>
  <c r="AG73" i="11"/>
  <c r="AG145" i="11"/>
  <c r="AG449" i="11"/>
  <c r="AG305" i="11"/>
  <c r="AG377" i="11"/>
  <c r="AG233" i="11"/>
  <c r="AG77" i="11"/>
  <c r="AG149" i="11"/>
  <c r="AG453" i="11"/>
  <c r="AG309" i="11"/>
  <c r="AG381" i="11"/>
  <c r="AG237" i="11"/>
  <c r="AG81" i="11"/>
  <c r="AG153" i="11"/>
  <c r="AG389" i="11"/>
  <c r="AG317" i="11"/>
  <c r="AG173" i="11"/>
  <c r="AG17" i="11"/>
  <c r="AG245" i="11"/>
  <c r="AG89" i="11"/>
  <c r="AG322" i="11"/>
  <c r="AG394" i="11"/>
  <c r="AG250" i="11"/>
  <c r="AG178" i="11"/>
  <c r="AG94" i="11"/>
  <c r="AG22" i="11"/>
  <c r="AE84" i="37"/>
  <c r="AE83" i="37"/>
  <c r="AE82" i="37"/>
  <c r="AE81" i="37"/>
  <c r="AE80" i="37"/>
  <c r="AE79" i="37"/>
  <c r="AE78" i="37"/>
  <c r="AE77" i="37"/>
  <c r="AE76" i="37"/>
  <c r="AE75" i="37"/>
  <c r="AE74" i="37"/>
  <c r="AE73" i="37"/>
  <c r="AE72" i="37"/>
  <c r="AE71" i="37"/>
  <c r="AE70" i="37"/>
  <c r="AE69" i="37"/>
  <c r="AE68" i="37"/>
  <c r="AE67" i="37"/>
  <c r="AE66" i="37"/>
  <c r="AE65" i="37"/>
  <c r="AE64" i="37"/>
  <c r="AE63" i="37"/>
  <c r="AE62" i="37"/>
  <c r="AE61" i="37"/>
  <c r="AE60" i="37"/>
  <c r="AE59" i="37"/>
  <c r="AE58" i="37"/>
  <c r="AE57" i="37"/>
  <c r="AE56" i="37"/>
  <c r="AE55" i="37"/>
  <c r="AE54" i="37"/>
  <c r="AE53" i="37"/>
  <c r="AE52" i="37"/>
  <c r="AE51" i="37"/>
  <c r="AE50" i="37"/>
  <c r="AE49" i="37"/>
  <c r="AE48" i="37"/>
  <c r="AE47" i="37"/>
  <c r="AE45" i="37"/>
  <c r="AE41" i="37"/>
  <c r="AE37" i="37"/>
  <c r="AE22" i="37"/>
  <c r="AE18" i="37"/>
  <c r="AE14" i="37"/>
  <c r="AE46" i="37"/>
  <c r="AE42" i="37"/>
  <c r="AE38" i="37"/>
  <c r="AE21" i="37"/>
  <c r="AE17" i="37"/>
  <c r="AE43" i="37"/>
  <c r="AE39" i="37"/>
  <c r="AE35" i="37"/>
  <c r="AE34" i="37"/>
  <c r="AE33" i="37"/>
  <c r="AE32" i="37"/>
  <c r="AE31" i="37"/>
  <c r="AE30" i="37"/>
  <c r="AE29" i="37"/>
  <c r="AE28" i="37"/>
  <c r="AE27" i="37"/>
  <c r="AE26" i="37"/>
  <c r="AE25" i="37"/>
  <c r="AE24" i="37"/>
  <c r="AE20" i="37"/>
  <c r="AE16" i="37"/>
  <c r="AE44" i="37"/>
  <c r="AE40" i="37"/>
  <c r="AE36" i="37"/>
  <c r="AE23" i="37"/>
  <c r="AE19" i="37"/>
  <c r="AE15" i="37"/>
  <c r="AG316" i="11"/>
  <c r="AG388" i="11"/>
  <c r="AG16" i="11"/>
  <c r="AG244" i="11"/>
  <c r="AG172" i="11"/>
  <c r="AG88" i="11"/>
  <c r="AG326" i="11"/>
  <c r="AG398" i="11"/>
  <c r="AG254" i="11"/>
  <c r="AG182" i="11"/>
  <c r="AG98" i="11"/>
  <c r="AG26" i="11"/>
  <c r="AG330" i="11"/>
  <c r="AG402" i="11"/>
  <c r="AG258" i="11"/>
  <c r="AG186" i="11"/>
  <c r="AG102" i="11"/>
  <c r="AG30" i="11"/>
  <c r="AG334" i="11"/>
  <c r="AG406" i="11"/>
  <c r="AG262" i="11"/>
  <c r="AG190" i="11"/>
  <c r="AG106" i="11"/>
  <c r="AG34" i="11"/>
  <c r="AG338" i="11"/>
  <c r="AG410" i="11"/>
  <c r="AG266" i="11"/>
  <c r="AG194" i="11"/>
  <c r="AG110" i="11"/>
  <c r="AG38" i="11"/>
  <c r="AG342" i="11"/>
  <c r="AG414" i="11"/>
  <c r="AG270" i="11"/>
  <c r="AG198" i="11"/>
  <c r="AG114" i="11"/>
  <c r="AG42" i="11"/>
  <c r="AG346" i="11"/>
  <c r="AG418" i="11"/>
  <c r="AG274" i="11"/>
  <c r="AG202" i="11"/>
  <c r="AG118" i="11"/>
  <c r="AG46" i="11"/>
  <c r="AG350" i="11"/>
  <c r="AG422" i="11"/>
  <c r="AG278" i="11"/>
  <c r="AG206" i="11"/>
  <c r="AG122" i="11"/>
  <c r="AG50" i="11"/>
  <c r="AG354" i="11"/>
  <c r="AG426" i="11"/>
  <c r="AG282" i="11"/>
  <c r="AG210" i="11"/>
  <c r="AG126" i="11"/>
  <c r="AG54" i="11"/>
  <c r="AG358" i="11"/>
  <c r="AG430" i="11"/>
  <c r="AG286" i="11"/>
  <c r="AG214" i="11"/>
  <c r="AG130" i="11"/>
  <c r="AG58" i="11"/>
  <c r="AG362" i="11"/>
  <c r="AG434" i="11"/>
  <c r="AG290" i="11"/>
  <c r="AG218" i="11"/>
  <c r="AG134" i="11"/>
  <c r="AG62" i="11"/>
  <c r="AG366" i="11"/>
  <c r="AG438" i="11"/>
  <c r="AG294" i="11"/>
  <c r="AG222" i="11"/>
  <c r="AG138" i="11"/>
  <c r="AG66" i="11"/>
  <c r="AG370" i="11"/>
  <c r="AG442" i="11"/>
  <c r="AG298" i="11"/>
  <c r="AG226" i="11"/>
  <c r="AG142" i="11"/>
  <c r="AG70" i="11"/>
  <c r="AG374" i="11"/>
  <c r="AG446" i="11"/>
  <c r="AG230" i="11"/>
  <c r="AG146" i="11"/>
  <c r="AG74" i="11"/>
  <c r="AG302" i="11"/>
  <c r="AG306" i="11"/>
  <c r="AG378" i="11"/>
  <c r="AG450" i="11"/>
  <c r="AG234" i="11"/>
  <c r="AG150" i="11"/>
  <c r="AG78" i="11"/>
  <c r="AG310" i="11"/>
  <c r="AG382" i="11"/>
  <c r="AG454" i="11"/>
  <c r="AG238" i="11"/>
  <c r="AG154" i="11"/>
  <c r="AG82" i="11"/>
  <c r="AG393" i="11"/>
  <c r="AG321" i="11"/>
  <c r="AG177" i="11"/>
  <c r="AG21" i="11"/>
  <c r="AG249" i="11"/>
  <c r="AG93" i="11"/>
  <c r="AH165" i="37"/>
  <c r="AG315" i="11"/>
  <c r="AG387" i="11"/>
  <c r="AG243" i="11"/>
  <c r="AG87" i="11"/>
  <c r="AG171" i="11"/>
  <c r="AG15" i="11"/>
  <c r="AG320" i="11"/>
  <c r="AG392" i="11"/>
  <c r="AG20" i="11"/>
  <c r="AG248" i="11"/>
  <c r="AG176" i="11"/>
  <c r="AG92" i="11"/>
  <c r="AG327" i="11"/>
  <c r="AG399" i="11"/>
  <c r="AG255" i="11"/>
  <c r="AG99" i="11"/>
  <c r="AG27" i="11"/>
  <c r="AG183" i="11"/>
  <c r="AG331" i="11"/>
  <c r="AG403" i="11"/>
  <c r="AG259" i="11"/>
  <c r="AG103" i="11"/>
  <c r="AG31" i="11"/>
  <c r="AG187" i="11"/>
  <c r="AG335" i="11"/>
  <c r="AG407" i="11"/>
  <c r="AG263" i="11"/>
  <c r="AG107" i="11"/>
  <c r="AG35" i="11"/>
  <c r="AG191" i="11"/>
  <c r="AG339" i="11"/>
  <c r="AG411" i="11"/>
  <c r="AG267" i="11"/>
  <c r="AG111" i="11"/>
  <c r="AG39" i="11"/>
  <c r="AG195" i="11"/>
  <c r="AG343" i="11"/>
  <c r="AG415" i="11"/>
  <c r="AG271" i="11"/>
  <c r="AG115" i="11"/>
  <c r="AG43" i="11"/>
  <c r="AG199" i="11"/>
  <c r="AG347" i="11"/>
  <c r="AG419" i="11"/>
  <c r="AG275" i="11"/>
  <c r="AG119" i="11"/>
  <c r="AG47" i="11"/>
  <c r="AG203" i="11"/>
  <c r="AG351" i="11"/>
  <c r="AG423" i="11"/>
  <c r="AG279" i="11"/>
  <c r="AG123" i="11"/>
  <c r="AG51" i="11"/>
  <c r="AG207" i="11"/>
  <c r="AG355" i="11"/>
  <c r="AG427" i="11"/>
  <c r="AG283" i="11"/>
  <c r="AG127" i="11"/>
  <c r="AG55" i="11"/>
  <c r="AG211" i="11"/>
  <c r="AG359" i="11"/>
  <c r="AG431" i="11"/>
  <c r="AG287" i="11"/>
  <c r="AG131" i="11"/>
  <c r="AG59" i="11"/>
  <c r="AG215" i="11"/>
  <c r="AG363" i="11"/>
  <c r="AG435" i="11"/>
  <c r="AG291" i="11"/>
  <c r="AG135" i="11"/>
  <c r="AG63" i="11"/>
  <c r="AG219" i="11"/>
  <c r="AG367" i="11"/>
  <c r="AG439" i="11"/>
  <c r="AG295" i="11"/>
  <c r="AG139" i="11"/>
  <c r="AG67" i="11"/>
  <c r="AG223" i="11"/>
  <c r="AG371" i="11"/>
  <c r="AG443" i="11"/>
  <c r="AG143" i="11"/>
  <c r="AG299" i="11"/>
  <c r="AG71" i="11"/>
  <c r="AG227" i="11"/>
  <c r="AG375" i="11"/>
  <c r="AG447" i="11"/>
  <c r="AG147" i="11"/>
  <c r="AG303" i="11"/>
  <c r="AG75" i="11"/>
  <c r="AG231" i="11"/>
  <c r="AG307" i="11"/>
  <c r="AG379" i="11"/>
  <c r="AG451" i="11"/>
  <c r="AG151" i="11"/>
  <c r="AG79" i="11"/>
  <c r="AG235" i="11"/>
  <c r="AG311" i="11"/>
  <c r="AG383" i="11"/>
  <c r="AG455" i="11"/>
  <c r="AG155" i="11"/>
  <c r="AG83" i="11"/>
  <c r="AG239" i="11"/>
  <c r="AG314" i="11"/>
  <c r="AG386" i="11"/>
  <c r="AG242" i="11"/>
  <c r="AG170" i="11"/>
  <c r="AG86" i="11"/>
  <c r="AG14" i="11"/>
  <c r="AN165" i="37"/>
  <c r="AG319" i="11"/>
  <c r="AG391" i="11"/>
  <c r="AG247" i="11"/>
  <c r="AG91" i="11"/>
  <c r="AG175" i="11"/>
  <c r="AG19" i="11"/>
  <c r="AG324" i="11"/>
  <c r="AG396" i="11"/>
  <c r="AG24" i="11"/>
  <c r="AG252" i="11"/>
  <c r="AG180" i="11"/>
  <c r="AG96" i="11"/>
  <c r="AG328" i="11"/>
  <c r="AG400" i="11"/>
  <c r="AG28" i="11"/>
  <c r="AG256" i="11"/>
  <c r="AG184" i="11"/>
  <c r="AG100" i="11"/>
  <c r="AG332" i="11"/>
  <c r="AG404" i="11"/>
  <c r="AG32" i="11"/>
  <c r="AG260" i="11"/>
  <c r="AG188" i="11"/>
  <c r="AG104" i="11"/>
  <c r="AG336" i="11"/>
  <c r="AG408" i="11"/>
  <c r="AG36" i="11"/>
  <c r="AG264" i="11"/>
  <c r="AG192" i="11"/>
  <c r="AG108" i="11"/>
  <c r="AG340" i="11"/>
  <c r="AG412" i="11"/>
  <c r="AG40" i="11"/>
  <c r="AG268" i="11"/>
  <c r="AG196" i="11"/>
  <c r="AG112" i="11"/>
  <c r="AG344" i="11"/>
  <c r="AG416" i="11"/>
  <c r="AG44" i="11"/>
  <c r="AG272" i="11"/>
  <c r="AG200" i="11"/>
  <c r="AG116" i="11"/>
  <c r="AG348" i="11"/>
  <c r="AG420" i="11"/>
  <c r="AG48" i="11"/>
  <c r="AG276" i="11"/>
  <c r="AG204" i="11"/>
  <c r="AG120" i="11"/>
  <c r="AG352" i="11"/>
  <c r="AG424" i="11"/>
  <c r="AG52" i="11"/>
  <c r="AG280" i="11"/>
  <c r="AG208" i="11"/>
  <c r="AG124" i="11"/>
  <c r="AG356" i="11"/>
  <c r="AG428" i="11"/>
  <c r="AG56" i="11"/>
  <c r="AG284" i="11"/>
  <c r="AG212" i="11"/>
  <c r="AG128" i="11"/>
  <c r="AG360" i="11"/>
  <c r="AG432" i="11"/>
  <c r="AG60" i="11"/>
  <c r="AG288" i="11"/>
  <c r="AG216" i="11"/>
  <c r="AG132" i="11"/>
  <c r="AG364" i="11"/>
  <c r="AG436" i="11"/>
  <c r="AG64" i="11"/>
  <c r="AG292" i="11"/>
  <c r="AG220" i="11"/>
  <c r="AG136" i="11"/>
  <c r="AG368" i="11"/>
  <c r="AG440" i="11"/>
  <c r="AG296" i="11"/>
  <c r="AG68" i="11"/>
  <c r="AG224" i="11"/>
  <c r="AG140" i="11"/>
  <c r="AG372" i="11"/>
  <c r="AG444" i="11"/>
  <c r="AG300" i="11"/>
  <c r="AG72" i="11"/>
  <c r="AG228" i="11"/>
  <c r="AG144" i="11"/>
  <c r="AG376" i="11"/>
  <c r="AG448" i="11"/>
  <c r="AG304" i="11"/>
  <c r="AG76" i="11"/>
  <c r="AG232" i="11"/>
  <c r="AG148" i="11"/>
  <c r="AG380" i="11"/>
  <c r="AG452" i="11"/>
  <c r="AG308" i="11"/>
  <c r="AG80" i="11"/>
  <c r="AG236" i="11"/>
  <c r="AG152" i="11"/>
  <c r="AG384" i="11"/>
  <c r="AG456" i="11"/>
  <c r="AG312" i="11"/>
  <c r="AG84" i="11"/>
  <c r="AG240" i="11"/>
  <c r="AG156" i="11"/>
  <c r="AG318" i="11"/>
  <c r="AG390" i="11"/>
  <c r="AG246" i="11"/>
  <c r="AG174" i="11"/>
  <c r="AG90" i="11"/>
  <c r="AG18" i="11"/>
  <c r="BH64" i="11" l="1"/>
  <c r="BG64" i="11"/>
  <c r="BG75" i="11"/>
  <c r="BH75" i="11"/>
  <c r="BG66" i="11"/>
  <c r="BH66" i="11"/>
  <c r="BH52" i="11"/>
  <c r="BG52" i="11"/>
  <c r="BG36" i="11"/>
  <c r="BH36" i="11"/>
  <c r="BG79" i="11"/>
  <c r="BH79" i="11"/>
  <c r="BG63" i="11"/>
  <c r="BH63" i="11"/>
  <c r="BG47" i="11"/>
  <c r="BH47" i="11"/>
  <c r="BG31" i="11"/>
  <c r="BH31" i="11"/>
  <c r="BG70" i="11"/>
  <c r="BH70" i="11"/>
  <c r="BG54" i="11"/>
  <c r="BH54" i="11"/>
  <c r="BG38" i="11"/>
  <c r="BH38" i="11"/>
  <c r="BG61" i="11"/>
  <c r="BH61" i="11"/>
  <c r="BG45" i="11"/>
  <c r="BH45" i="11"/>
  <c r="BG29" i="11"/>
  <c r="BH29" i="11"/>
  <c r="BH43" i="11"/>
  <c r="BG43" i="11"/>
  <c r="BG82" i="11"/>
  <c r="BH82" i="11"/>
  <c r="BG57" i="11"/>
  <c r="BH57" i="11"/>
  <c r="BH25" i="11"/>
  <c r="BG25" i="11"/>
  <c r="BG72" i="11"/>
  <c r="BH72" i="11"/>
  <c r="BG15" i="11"/>
  <c r="BH15" i="11"/>
  <c r="BG81" i="11"/>
  <c r="BH81" i="11"/>
  <c r="BG48" i="11"/>
  <c r="BH48" i="11"/>
  <c r="BH32" i="11"/>
  <c r="BG32" i="11"/>
  <c r="BG59" i="11"/>
  <c r="BH59" i="11"/>
  <c r="BH56" i="11"/>
  <c r="BG56" i="11"/>
  <c r="BH40" i="11"/>
  <c r="BG40" i="11"/>
  <c r="BG24" i="11"/>
  <c r="BH24" i="11"/>
  <c r="BG83" i="11"/>
  <c r="BH83" i="11"/>
  <c r="BG67" i="11"/>
  <c r="BH67" i="11"/>
  <c r="BG51" i="11"/>
  <c r="BH51" i="11"/>
  <c r="BH35" i="11"/>
  <c r="BG35" i="11"/>
  <c r="BG21" i="11"/>
  <c r="BH21" i="11"/>
  <c r="BG58" i="11"/>
  <c r="BH58" i="11"/>
  <c r="BH42" i="11"/>
  <c r="BG42" i="11"/>
  <c r="BH26" i="11"/>
  <c r="BG26" i="11"/>
  <c r="BH65" i="11"/>
  <c r="BG65" i="11"/>
  <c r="BG49" i="11"/>
  <c r="BH49" i="11"/>
  <c r="BH33" i="11"/>
  <c r="BG33" i="11"/>
  <c r="BG23" i="11"/>
  <c r="BH23" i="11"/>
  <c r="BH20" i="11"/>
  <c r="BG20" i="11"/>
  <c r="BG50" i="11"/>
  <c r="BH50" i="11"/>
  <c r="BG76" i="11"/>
  <c r="BH76" i="11"/>
  <c r="BH14" i="11"/>
  <c r="BG14" i="11"/>
  <c r="BG74" i="11"/>
  <c r="BH74" i="11"/>
  <c r="BG16" i="11"/>
  <c r="BH16" i="11"/>
  <c r="BG69" i="11"/>
  <c r="BH69" i="11"/>
  <c r="BG60" i="11"/>
  <c r="BH60" i="11"/>
  <c r="BG44" i="11"/>
  <c r="BH44" i="11"/>
  <c r="BG28" i="11"/>
  <c r="BH28" i="11"/>
  <c r="BG71" i="11"/>
  <c r="BH71" i="11"/>
  <c r="BG55" i="11"/>
  <c r="BH55" i="11"/>
  <c r="BG39" i="11"/>
  <c r="BH39" i="11"/>
  <c r="BG78" i="11"/>
  <c r="BH78" i="11"/>
  <c r="BG62" i="11"/>
  <c r="BH62" i="11"/>
  <c r="BG46" i="11"/>
  <c r="BH46" i="11"/>
  <c r="BG30" i="11"/>
  <c r="BH30" i="11"/>
  <c r="BG22" i="11"/>
  <c r="BH22" i="11"/>
  <c r="BH17" i="11"/>
  <c r="BG17" i="11"/>
  <c r="BG53" i="11"/>
  <c r="BH53" i="11"/>
  <c r="BG37" i="11"/>
  <c r="BH37" i="11"/>
  <c r="BH27" i="11"/>
  <c r="BG27" i="11"/>
  <c r="BH34" i="11"/>
  <c r="BG34" i="11"/>
  <c r="BH80" i="11"/>
  <c r="BG80" i="11"/>
  <c r="BH19" i="11"/>
  <c r="BG19" i="11"/>
  <c r="BG73" i="11"/>
  <c r="BH73" i="11"/>
  <c r="BH41" i="11"/>
  <c r="BG41" i="11"/>
  <c r="BH18" i="11"/>
  <c r="BG18" i="11"/>
  <c r="BH84" i="11"/>
  <c r="BG84" i="11"/>
  <c r="BG68" i="11"/>
  <c r="BH68" i="11"/>
  <c r="BG77" i="11"/>
  <c r="BH77" i="11"/>
  <c r="AK7" i="40"/>
  <c r="AL4" i="40" s="1"/>
  <c r="CZ7" i="40"/>
  <c r="DA4" i="40" s="1"/>
  <c r="AU80" i="11"/>
  <c r="AU152" i="11" s="1"/>
  <c r="AU452" i="11" s="1"/>
  <c r="AQ80" i="11"/>
  <c r="AQ152" i="11" s="1"/>
  <c r="AQ452" i="11" s="1"/>
  <c r="AL80" i="11"/>
  <c r="AL152" i="11" s="1"/>
  <c r="AL236" i="11" s="1"/>
  <c r="AL308" i="11" s="1"/>
  <c r="AL380" i="11" s="1"/>
  <c r="AL452" i="11" s="1"/>
  <c r="AH80" i="11"/>
  <c r="AH152" i="11" s="1"/>
  <c r="AH236" i="11" s="1"/>
  <c r="AH308" i="11" s="1"/>
  <c r="AH380" i="11" s="1"/>
  <c r="AH452" i="11" s="1"/>
  <c r="AT80" i="11"/>
  <c r="AT152" i="11" s="1"/>
  <c r="AK80" i="11"/>
  <c r="AK152" i="11" s="1"/>
  <c r="AK236" i="11" s="1"/>
  <c r="AK308" i="11" s="1"/>
  <c r="AK380" i="11" s="1"/>
  <c r="AK452" i="11" s="1"/>
  <c r="BB80" i="11"/>
  <c r="BB152" i="11" s="1"/>
  <c r="AS80" i="11"/>
  <c r="AS152" i="11" s="1"/>
  <c r="AS452" i="11" s="1"/>
  <c r="AO80" i="11"/>
  <c r="AX80" i="11" s="1"/>
  <c r="AX152" i="11" s="1"/>
  <c r="AX236" i="11" s="1"/>
  <c r="AX308" i="11" s="1"/>
  <c r="AX380" i="11" s="1"/>
  <c r="AX452" i="11" s="1"/>
  <c r="AJ80" i="11"/>
  <c r="AJ152" i="11" s="1"/>
  <c r="AJ236" i="11" s="1"/>
  <c r="AJ308" i="11" s="1"/>
  <c r="AJ380" i="11" s="1"/>
  <c r="AJ452" i="11" s="1"/>
  <c r="BA80" i="11"/>
  <c r="BA152" i="11" s="1"/>
  <c r="EH70" i="40" s="1"/>
  <c r="AR80" i="11"/>
  <c r="AR152" i="11" s="1"/>
  <c r="AR452" i="11" s="1"/>
  <c r="AN80" i="11"/>
  <c r="AN152" i="11" s="1"/>
  <c r="AN236" i="11" s="1"/>
  <c r="AN308" i="11" s="1"/>
  <c r="AN380" i="11" s="1"/>
  <c r="AN452" i="11" s="1"/>
  <c r="AI80" i="11"/>
  <c r="AU72" i="11"/>
  <c r="AU144" i="11" s="1"/>
  <c r="AU444" i="11" s="1"/>
  <c r="AQ72" i="11"/>
  <c r="AQ144" i="11" s="1"/>
  <c r="AQ444" i="11" s="1"/>
  <c r="AL72" i="11"/>
  <c r="AL144" i="11" s="1"/>
  <c r="AL228" i="11" s="1"/>
  <c r="AL300" i="11" s="1"/>
  <c r="AL372" i="11" s="1"/>
  <c r="AL444" i="11" s="1"/>
  <c r="AH72" i="11"/>
  <c r="AH144" i="11" s="1"/>
  <c r="AH228" i="11" s="1"/>
  <c r="AH300" i="11" s="1"/>
  <c r="AH372" i="11" s="1"/>
  <c r="AH444" i="11" s="1"/>
  <c r="AT72" i="11"/>
  <c r="AT144" i="11" s="1"/>
  <c r="AK72" i="11"/>
  <c r="AK144" i="11" s="1"/>
  <c r="AK228" i="11" s="1"/>
  <c r="AK300" i="11" s="1"/>
  <c r="AK372" i="11" s="1"/>
  <c r="AK444" i="11" s="1"/>
  <c r="BB72" i="11"/>
  <c r="BB144" i="11" s="1"/>
  <c r="AS72" i="11"/>
  <c r="AS144" i="11" s="1"/>
  <c r="AS444" i="11" s="1"/>
  <c r="AO72" i="11"/>
  <c r="AX72" i="11" s="1"/>
  <c r="AX144" i="11" s="1"/>
  <c r="AX228" i="11" s="1"/>
  <c r="AX300" i="11" s="1"/>
  <c r="AX372" i="11" s="1"/>
  <c r="AX444" i="11" s="1"/>
  <c r="AJ72" i="11"/>
  <c r="AJ144" i="11" s="1"/>
  <c r="AJ228" i="11" s="1"/>
  <c r="AJ300" i="11" s="1"/>
  <c r="AJ372" i="11" s="1"/>
  <c r="AJ444" i="11" s="1"/>
  <c r="BA72" i="11"/>
  <c r="BA144" i="11" s="1"/>
  <c r="EH62" i="40" s="1"/>
  <c r="AR72" i="11"/>
  <c r="AR144" i="11" s="1"/>
  <c r="AR444" i="11" s="1"/>
  <c r="AN72" i="11"/>
  <c r="AN144" i="11" s="1"/>
  <c r="AN228" i="11" s="1"/>
  <c r="AN300" i="11" s="1"/>
  <c r="AN372" i="11" s="1"/>
  <c r="AN444" i="11" s="1"/>
  <c r="AI72" i="11"/>
  <c r="AU64" i="11"/>
  <c r="AU136" i="11" s="1"/>
  <c r="AU436" i="11" s="1"/>
  <c r="AQ64" i="11"/>
  <c r="AQ136" i="11" s="1"/>
  <c r="AQ436" i="11" s="1"/>
  <c r="AL64" i="11"/>
  <c r="AL136" i="11" s="1"/>
  <c r="AL220" i="11" s="1"/>
  <c r="AL292" i="11" s="1"/>
  <c r="AL364" i="11" s="1"/>
  <c r="AL436" i="11" s="1"/>
  <c r="AH64" i="11"/>
  <c r="AH136" i="11" s="1"/>
  <c r="AH220" i="11" s="1"/>
  <c r="AH292" i="11" s="1"/>
  <c r="AH364" i="11" s="1"/>
  <c r="AH436" i="11" s="1"/>
  <c r="AT64" i="11"/>
  <c r="AT136" i="11" s="1"/>
  <c r="AK64" i="11"/>
  <c r="AK136" i="11" s="1"/>
  <c r="AK220" i="11" s="1"/>
  <c r="AK292" i="11" s="1"/>
  <c r="AK364" i="11" s="1"/>
  <c r="AK436" i="11" s="1"/>
  <c r="BB64" i="11"/>
  <c r="BB136" i="11" s="1"/>
  <c r="AS64" i="11"/>
  <c r="AS136" i="11" s="1"/>
  <c r="AS436" i="11" s="1"/>
  <c r="AO64" i="11"/>
  <c r="AX64" i="11" s="1"/>
  <c r="AX136" i="11" s="1"/>
  <c r="AX220" i="11" s="1"/>
  <c r="AX292" i="11" s="1"/>
  <c r="AX364" i="11" s="1"/>
  <c r="AX436" i="11" s="1"/>
  <c r="AJ64" i="11"/>
  <c r="AJ136" i="11" s="1"/>
  <c r="AJ220" i="11" s="1"/>
  <c r="AJ292" i="11" s="1"/>
  <c r="AJ364" i="11" s="1"/>
  <c r="AJ436" i="11" s="1"/>
  <c r="BA64" i="11"/>
  <c r="BA136" i="11" s="1"/>
  <c r="EH54" i="40" s="1"/>
  <c r="AR64" i="11"/>
  <c r="AR136" i="11" s="1"/>
  <c r="AR436" i="11" s="1"/>
  <c r="AN64" i="11"/>
  <c r="AN136" i="11" s="1"/>
  <c r="AN220" i="11" s="1"/>
  <c r="AN292" i="11" s="1"/>
  <c r="AN364" i="11" s="1"/>
  <c r="AN436" i="11" s="1"/>
  <c r="AI64" i="11"/>
  <c r="AU56" i="11"/>
  <c r="AU128" i="11" s="1"/>
  <c r="AU428" i="11" s="1"/>
  <c r="AQ56" i="11"/>
  <c r="AQ128" i="11" s="1"/>
  <c r="AQ428" i="11" s="1"/>
  <c r="AL56" i="11"/>
  <c r="AL128" i="11" s="1"/>
  <c r="AL212" i="11" s="1"/>
  <c r="AL284" i="11" s="1"/>
  <c r="AL356" i="11" s="1"/>
  <c r="AL428" i="11" s="1"/>
  <c r="AH56" i="11"/>
  <c r="AH128" i="11" s="1"/>
  <c r="AH212" i="11" s="1"/>
  <c r="AH284" i="11" s="1"/>
  <c r="AH356" i="11" s="1"/>
  <c r="AH428" i="11" s="1"/>
  <c r="AT56" i="11"/>
  <c r="AT128" i="11" s="1"/>
  <c r="AK56" i="11"/>
  <c r="AK128" i="11" s="1"/>
  <c r="AK212" i="11" s="1"/>
  <c r="AK284" i="11" s="1"/>
  <c r="AK356" i="11" s="1"/>
  <c r="AK428" i="11" s="1"/>
  <c r="BB56" i="11"/>
  <c r="BB128" i="11" s="1"/>
  <c r="AS56" i="11"/>
  <c r="AS128" i="11" s="1"/>
  <c r="AS428" i="11" s="1"/>
  <c r="AO56" i="11"/>
  <c r="AX56" i="11" s="1"/>
  <c r="AX128" i="11" s="1"/>
  <c r="AX212" i="11" s="1"/>
  <c r="AX284" i="11" s="1"/>
  <c r="AX356" i="11" s="1"/>
  <c r="AX428" i="11" s="1"/>
  <c r="AJ56" i="11"/>
  <c r="AJ128" i="11" s="1"/>
  <c r="AJ212" i="11" s="1"/>
  <c r="AJ284" i="11" s="1"/>
  <c r="AJ356" i="11" s="1"/>
  <c r="AJ428" i="11" s="1"/>
  <c r="BA56" i="11"/>
  <c r="BA128" i="11" s="1"/>
  <c r="EH46" i="40" s="1"/>
  <c r="AR56" i="11"/>
  <c r="AR128" i="11" s="1"/>
  <c r="AR428" i="11" s="1"/>
  <c r="AN56" i="11"/>
  <c r="AN128" i="11" s="1"/>
  <c r="AN212" i="11" s="1"/>
  <c r="AN284" i="11" s="1"/>
  <c r="AN356" i="11" s="1"/>
  <c r="AN428" i="11" s="1"/>
  <c r="AI56" i="11"/>
  <c r="AU48" i="11"/>
  <c r="AU120" i="11" s="1"/>
  <c r="AU420" i="11" s="1"/>
  <c r="AQ48" i="11"/>
  <c r="AQ120" i="11" s="1"/>
  <c r="AQ420" i="11" s="1"/>
  <c r="AL48" i="11"/>
  <c r="AL120" i="11" s="1"/>
  <c r="AL204" i="11" s="1"/>
  <c r="AL276" i="11" s="1"/>
  <c r="AL348" i="11" s="1"/>
  <c r="AL420" i="11" s="1"/>
  <c r="AH48" i="11"/>
  <c r="AH120" i="11" s="1"/>
  <c r="AH204" i="11" s="1"/>
  <c r="AH276" i="11" s="1"/>
  <c r="AH348" i="11" s="1"/>
  <c r="AH420" i="11" s="1"/>
  <c r="AT48" i="11"/>
  <c r="AT120" i="11" s="1"/>
  <c r="AK48" i="11"/>
  <c r="AK120" i="11" s="1"/>
  <c r="AK204" i="11" s="1"/>
  <c r="AK276" i="11" s="1"/>
  <c r="AK348" i="11" s="1"/>
  <c r="AK420" i="11" s="1"/>
  <c r="BB48" i="11"/>
  <c r="BB120" i="11" s="1"/>
  <c r="AS48" i="11"/>
  <c r="AS120" i="11" s="1"/>
  <c r="AS420" i="11" s="1"/>
  <c r="AO48" i="11"/>
  <c r="AX48" i="11" s="1"/>
  <c r="AX120" i="11" s="1"/>
  <c r="AX204" i="11" s="1"/>
  <c r="AX276" i="11" s="1"/>
  <c r="AX348" i="11" s="1"/>
  <c r="AX420" i="11" s="1"/>
  <c r="AJ48" i="11"/>
  <c r="AJ120" i="11" s="1"/>
  <c r="AJ204" i="11" s="1"/>
  <c r="AJ276" i="11" s="1"/>
  <c r="AJ348" i="11" s="1"/>
  <c r="AJ420" i="11" s="1"/>
  <c r="BA48" i="11"/>
  <c r="BA120" i="11" s="1"/>
  <c r="EH38" i="40" s="1"/>
  <c r="AR48" i="11"/>
  <c r="AR120" i="11" s="1"/>
  <c r="AR420" i="11" s="1"/>
  <c r="AN48" i="11"/>
  <c r="AN120" i="11" s="1"/>
  <c r="AN204" i="11" s="1"/>
  <c r="AN276" i="11" s="1"/>
  <c r="AN348" i="11" s="1"/>
  <c r="AN420" i="11" s="1"/>
  <c r="AI48" i="11"/>
  <c r="AU32" i="11"/>
  <c r="AU104" i="11" s="1"/>
  <c r="AU404" i="11" s="1"/>
  <c r="AQ32" i="11"/>
  <c r="AQ104" i="11" s="1"/>
  <c r="AQ404" i="11" s="1"/>
  <c r="AL32" i="11"/>
  <c r="AL104" i="11" s="1"/>
  <c r="AL188" i="11" s="1"/>
  <c r="AL260" i="11" s="1"/>
  <c r="AL332" i="11" s="1"/>
  <c r="AL404" i="11" s="1"/>
  <c r="AH32" i="11"/>
  <c r="AH104" i="11" s="1"/>
  <c r="AH188" i="11" s="1"/>
  <c r="AH260" i="11" s="1"/>
  <c r="AH332" i="11" s="1"/>
  <c r="AH404" i="11" s="1"/>
  <c r="AT32" i="11"/>
  <c r="AT104" i="11" s="1"/>
  <c r="AK32" i="11"/>
  <c r="AK104" i="11" s="1"/>
  <c r="AK188" i="11" s="1"/>
  <c r="AK260" i="11" s="1"/>
  <c r="AK332" i="11" s="1"/>
  <c r="AK404" i="11" s="1"/>
  <c r="BB32" i="11"/>
  <c r="BB104" i="11" s="1"/>
  <c r="AS32" i="11"/>
  <c r="AS104" i="11" s="1"/>
  <c r="AS404" i="11" s="1"/>
  <c r="AO32" i="11"/>
  <c r="AX32" i="11" s="1"/>
  <c r="AX104" i="11" s="1"/>
  <c r="AX188" i="11" s="1"/>
  <c r="AX260" i="11" s="1"/>
  <c r="AX332" i="11" s="1"/>
  <c r="AX404" i="11" s="1"/>
  <c r="AJ32" i="11"/>
  <c r="AJ104" i="11" s="1"/>
  <c r="AJ188" i="11" s="1"/>
  <c r="AJ260" i="11" s="1"/>
  <c r="AJ332" i="11" s="1"/>
  <c r="AJ404" i="11" s="1"/>
  <c r="BA32" i="11"/>
  <c r="BA104" i="11" s="1"/>
  <c r="EH22" i="40" s="1"/>
  <c r="AR32" i="11"/>
  <c r="AR104" i="11" s="1"/>
  <c r="AR404" i="11" s="1"/>
  <c r="AN32" i="11"/>
  <c r="AN104" i="11" s="1"/>
  <c r="AN188" i="11" s="1"/>
  <c r="AN260" i="11" s="1"/>
  <c r="AN332" i="11" s="1"/>
  <c r="AN404" i="11" s="1"/>
  <c r="AI32" i="11"/>
  <c r="AU24" i="11"/>
  <c r="AU96" i="11" s="1"/>
  <c r="AU396" i="11" s="1"/>
  <c r="AQ24" i="11"/>
  <c r="AQ96" i="11" s="1"/>
  <c r="AQ396" i="11" s="1"/>
  <c r="AL24" i="11"/>
  <c r="AL96" i="11" s="1"/>
  <c r="AL180" i="11" s="1"/>
  <c r="AL252" i="11" s="1"/>
  <c r="AL324" i="11" s="1"/>
  <c r="AL396" i="11" s="1"/>
  <c r="AH24" i="11"/>
  <c r="AH96" i="11" s="1"/>
  <c r="AT24" i="11"/>
  <c r="AT96" i="11" s="1"/>
  <c r="AK24" i="11"/>
  <c r="AK96" i="11" s="1"/>
  <c r="AK180" i="11" s="1"/>
  <c r="AK252" i="11" s="1"/>
  <c r="AK324" i="11" s="1"/>
  <c r="AK396" i="11" s="1"/>
  <c r="BB24" i="11"/>
  <c r="BB96" i="11" s="1"/>
  <c r="AS24" i="11"/>
  <c r="AS96" i="11" s="1"/>
  <c r="AS396" i="11" s="1"/>
  <c r="AO24" i="11"/>
  <c r="AX24" i="11" s="1"/>
  <c r="AX96" i="11" s="1"/>
  <c r="AX180" i="11" s="1"/>
  <c r="AX252" i="11" s="1"/>
  <c r="AX324" i="11" s="1"/>
  <c r="AX396" i="11" s="1"/>
  <c r="AJ24" i="11"/>
  <c r="AJ96" i="11" s="1"/>
  <c r="AJ180" i="11" s="1"/>
  <c r="AJ252" i="11" s="1"/>
  <c r="AJ324" i="11" s="1"/>
  <c r="AJ396" i="11" s="1"/>
  <c r="BA24" i="11"/>
  <c r="BA96" i="11" s="1"/>
  <c r="EH14" i="40" s="1"/>
  <c r="AR24" i="11"/>
  <c r="AR96" i="11" s="1"/>
  <c r="AR396" i="11" s="1"/>
  <c r="AN24" i="11"/>
  <c r="AN96" i="11" s="1"/>
  <c r="AN180" i="11" s="1"/>
  <c r="AN252" i="11" s="1"/>
  <c r="AN324" i="11" s="1"/>
  <c r="AN396" i="11" s="1"/>
  <c r="AI24" i="11"/>
  <c r="BB18" i="11"/>
  <c r="BB90" i="11" s="1"/>
  <c r="AS18" i="11"/>
  <c r="AS90" i="11" s="1"/>
  <c r="AS390" i="11" s="1"/>
  <c r="AO18" i="11"/>
  <c r="AX18" i="11" s="1"/>
  <c r="AX90" i="11" s="1"/>
  <c r="AX174" i="11" s="1"/>
  <c r="AX246" i="11" s="1"/>
  <c r="AX318" i="11" s="1"/>
  <c r="AX390" i="11" s="1"/>
  <c r="AJ18" i="11"/>
  <c r="AJ90" i="11" s="1"/>
  <c r="AJ174" i="11" s="1"/>
  <c r="AJ246" i="11" s="1"/>
  <c r="AJ318" i="11" s="1"/>
  <c r="AJ390" i="11" s="1"/>
  <c r="BA18" i="11"/>
  <c r="BA90" i="11" s="1"/>
  <c r="EH8" i="40" s="1"/>
  <c r="AR18" i="11"/>
  <c r="AR90" i="11" s="1"/>
  <c r="AR390" i="11" s="1"/>
  <c r="AN18" i="11"/>
  <c r="AN90" i="11" s="1"/>
  <c r="AN174" i="11" s="1"/>
  <c r="AN246" i="11" s="1"/>
  <c r="AN318" i="11" s="1"/>
  <c r="AN390" i="11" s="1"/>
  <c r="AI18" i="11"/>
  <c r="AU18" i="11"/>
  <c r="AU90" i="11" s="1"/>
  <c r="AU390" i="11" s="1"/>
  <c r="AQ18" i="11"/>
  <c r="AQ90" i="11" s="1"/>
  <c r="AQ390" i="11" s="1"/>
  <c r="AL18" i="11"/>
  <c r="AL90" i="11" s="1"/>
  <c r="AL174" i="11" s="1"/>
  <c r="AL246" i="11" s="1"/>
  <c r="AL318" i="11" s="1"/>
  <c r="AL390" i="11" s="1"/>
  <c r="AH18" i="11"/>
  <c r="AH90" i="11" s="1"/>
  <c r="AT18" i="11"/>
  <c r="AT90" i="11" s="1"/>
  <c r="AK18" i="11"/>
  <c r="AK90" i="11" s="1"/>
  <c r="AK174" i="11" s="1"/>
  <c r="AK246" i="11" s="1"/>
  <c r="AK318" i="11" s="1"/>
  <c r="AK390" i="11" s="1"/>
  <c r="AU84" i="11"/>
  <c r="AU156" i="11" s="1"/>
  <c r="AU456" i="11" s="1"/>
  <c r="AQ84" i="11"/>
  <c r="AQ156" i="11" s="1"/>
  <c r="AQ456" i="11" s="1"/>
  <c r="AL84" i="11"/>
  <c r="AL156" i="11" s="1"/>
  <c r="AL240" i="11" s="1"/>
  <c r="AL312" i="11" s="1"/>
  <c r="AL384" i="11" s="1"/>
  <c r="AL456" i="11" s="1"/>
  <c r="AH84" i="11"/>
  <c r="AH156" i="11" s="1"/>
  <c r="AH240" i="11" s="1"/>
  <c r="AH312" i="11" s="1"/>
  <c r="AH384" i="11" s="1"/>
  <c r="AH456" i="11" s="1"/>
  <c r="AT84" i="11"/>
  <c r="AT156" i="11" s="1"/>
  <c r="AK84" i="11"/>
  <c r="AK156" i="11" s="1"/>
  <c r="AK240" i="11" s="1"/>
  <c r="AK312" i="11" s="1"/>
  <c r="AK384" i="11" s="1"/>
  <c r="AK456" i="11" s="1"/>
  <c r="BB84" i="11"/>
  <c r="BB156" i="11" s="1"/>
  <c r="AS84" i="11"/>
  <c r="AS156" i="11" s="1"/>
  <c r="AS456" i="11" s="1"/>
  <c r="AO84" i="11"/>
  <c r="AX84" i="11" s="1"/>
  <c r="AX156" i="11" s="1"/>
  <c r="AX240" i="11" s="1"/>
  <c r="AX312" i="11" s="1"/>
  <c r="AX384" i="11" s="1"/>
  <c r="AX456" i="11" s="1"/>
  <c r="AJ84" i="11"/>
  <c r="AJ156" i="11" s="1"/>
  <c r="AJ240" i="11" s="1"/>
  <c r="AJ312" i="11" s="1"/>
  <c r="AJ384" i="11" s="1"/>
  <c r="AJ456" i="11" s="1"/>
  <c r="BA84" i="11"/>
  <c r="BA156" i="11" s="1"/>
  <c r="EH74" i="40" s="1"/>
  <c r="AR84" i="11"/>
  <c r="AR156" i="11" s="1"/>
  <c r="AR456" i="11" s="1"/>
  <c r="AN84" i="11"/>
  <c r="AN156" i="11" s="1"/>
  <c r="AN240" i="11" s="1"/>
  <c r="AN312" i="11" s="1"/>
  <c r="AN384" i="11" s="1"/>
  <c r="AN456" i="11" s="1"/>
  <c r="AI84" i="11"/>
  <c r="AU76" i="11"/>
  <c r="AU148" i="11" s="1"/>
  <c r="AU448" i="11" s="1"/>
  <c r="AQ76" i="11"/>
  <c r="AQ148" i="11" s="1"/>
  <c r="AQ448" i="11" s="1"/>
  <c r="AL76" i="11"/>
  <c r="AL148" i="11" s="1"/>
  <c r="AL232" i="11" s="1"/>
  <c r="AL304" i="11" s="1"/>
  <c r="AL376" i="11" s="1"/>
  <c r="AL448" i="11" s="1"/>
  <c r="AH76" i="11"/>
  <c r="AH148" i="11" s="1"/>
  <c r="AH232" i="11" s="1"/>
  <c r="AH304" i="11" s="1"/>
  <c r="AH376" i="11" s="1"/>
  <c r="AH448" i="11" s="1"/>
  <c r="AT76" i="11"/>
  <c r="AT148" i="11" s="1"/>
  <c r="AK76" i="11"/>
  <c r="AK148" i="11" s="1"/>
  <c r="AK232" i="11" s="1"/>
  <c r="AK304" i="11" s="1"/>
  <c r="AK376" i="11" s="1"/>
  <c r="AK448" i="11" s="1"/>
  <c r="BB76" i="11"/>
  <c r="BB148" i="11" s="1"/>
  <c r="AS76" i="11"/>
  <c r="AS148" i="11" s="1"/>
  <c r="AS448" i="11" s="1"/>
  <c r="AO76" i="11"/>
  <c r="AX76" i="11" s="1"/>
  <c r="AX148" i="11" s="1"/>
  <c r="AX232" i="11" s="1"/>
  <c r="AX304" i="11" s="1"/>
  <c r="AX376" i="11" s="1"/>
  <c r="AX448" i="11" s="1"/>
  <c r="AJ76" i="11"/>
  <c r="AJ148" i="11" s="1"/>
  <c r="AJ232" i="11" s="1"/>
  <c r="AJ304" i="11" s="1"/>
  <c r="AJ376" i="11" s="1"/>
  <c r="AJ448" i="11" s="1"/>
  <c r="BA76" i="11"/>
  <c r="BA148" i="11" s="1"/>
  <c r="EH66" i="40" s="1"/>
  <c r="AR76" i="11"/>
  <c r="AR148" i="11" s="1"/>
  <c r="AR448" i="11" s="1"/>
  <c r="AN76" i="11"/>
  <c r="AN148" i="11" s="1"/>
  <c r="AN232" i="11" s="1"/>
  <c r="AN304" i="11" s="1"/>
  <c r="AN376" i="11" s="1"/>
  <c r="AN448" i="11" s="1"/>
  <c r="AI76" i="11"/>
  <c r="AU68" i="11"/>
  <c r="AU140" i="11" s="1"/>
  <c r="AU440" i="11" s="1"/>
  <c r="AQ68" i="11"/>
  <c r="AQ140" i="11" s="1"/>
  <c r="AQ440" i="11" s="1"/>
  <c r="AL68" i="11"/>
  <c r="AL140" i="11" s="1"/>
  <c r="AL224" i="11" s="1"/>
  <c r="AL296" i="11" s="1"/>
  <c r="AL368" i="11" s="1"/>
  <c r="AL440" i="11" s="1"/>
  <c r="AH68" i="11"/>
  <c r="AH140" i="11" s="1"/>
  <c r="AH224" i="11" s="1"/>
  <c r="AH296" i="11" s="1"/>
  <c r="AH368" i="11" s="1"/>
  <c r="AH440" i="11" s="1"/>
  <c r="AT68" i="11"/>
  <c r="AT140" i="11" s="1"/>
  <c r="AK68" i="11"/>
  <c r="AK140" i="11" s="1"/>
  <c r="AK224" i="11" s="1"/>
  <c r="AK296" i="11" s="1"/>
  <c r="AK368" i="11" s="1"/>
  <c r="AK440" i="11" s="1"/>
  <c r="BB68" i="11"/>
  <c r="BB140" i="11" s="1"/>
  <c r="AS68" i="11"/>
  <c r="AS140" i="11" s="1"/>
  <c r="AS440" i="11" s="1"/>
  <c r="AO68" i="11"/>
  <c r="AX68" i="11" s="1"/>
  <c r="AX140" i="11" s="1"/>
  <c r="AX224" i="11" s="1"/>
  <c r="AX296" i="11" s="1"/>
  <c r="AX368" i="11" s="1"/>
  <c r="AX440" i="11" s="1"/>
  <c r="AJ68" i="11"/>
  <c r="AJ140" i="11" s="1"/>
  <c r="AJ224" i="11" s="1"/>
  <c r="AJ296" i="11" s="1"/>
  <c r="AJ368" i="11" s="1"/>
  <c r="AJ440" i="11" s="1"/>
  <c r="BA68" i="11"/>
  <c r="BA140" i="11" s="1"/>
  <c r="EH58" i="40" s="1"/>
  <c r="AR68" i="11"/>
  <c r="AR140" i="11" s="1"/>
  <c r="AR440" i="11" s="1"/>
  <c r="AN68" i="11"/>
  <c r="AN140" i="11" s="1"/>
  <c r="AN224" i="11" s="1"/>
  <c r="AN296" i="11" s="1"/>
  <c r="AN368" i="11" s="1"/>
  <c r="AN440" i="11" s="1"/>
  <c r="AI68" i="11"/>
  <c r="BB14" i="11"/>
  <c r="BB86" i="11" s="1"/>
  <c r="AS14" i="11"/>
  <c r="AS86" i="11" s="1"/>
  <c r="AS386" i="11" s="1"/>
  <c r="AO14" i="11"/>
  <c r="AX14" i="11" s="1"/>
  <c r="AX86" i="11" s="1"/>
  <c r="AX170" i="11" s="1"/>
  <c r="AX242" i="11" s="1"/>
  <c r="AX314" i="11" s="1"/>
  <c r="AX386" i="11" s="1"/>
  <c r="AJ14" i="11"/>
  <c r="AJ86" i="11" s="1"/>
  <c r="AJ170" i="11" s="1"/>
  <c r="AJ242" i="11" s="1"/>
  <c r="AJ314" i="11" s="1"/>
  <c r="AJ386" i="11" s="1"/>
  <c r="BA14" i="11"/>
  <c r="BA86" i="11" s="1"/>
  <c r="EH4" i="40" s="1"/>
  <c r="AR14" i="11"/>
  <c r="AR86" i="11" s="1"/>
  <c r="AR386" i="11" s="1"/>
  <c r="AN14" i="11"/>
  <c r="AN86" i="11" s="1"/>
  <c r="AN170" i="11" s="1"/>
  <c r="AN242" i="11" s="1"/>
  <c r="AN314" i="11" s="1"/>
  <c r="AN386" i="11" s="1"/>
  <c r="AI14" i="11"/>
  <c r="AU14" i="11"/>
  <c r="AU86" i="11" s="1"/>
  <c r="AU386" i="11" s="1"/>
  <c r="AQ14" i="11"/>
  <c r="AQ86" i="11" s="1"/>
  <c r="AQ386" i="11" s="1"/>
  <c r="AL14" i="11"/>
  <c r="AL86" i="11" s="1"/>
  <c r="AL170" i="11" s="1"/>
  <c r="AL242" i="11" s="1"/>
  <c r="AL314" i="11" s="1"/>
  <c r="AL386" i="11" s="1"/>
  <c r="AH14" i="11"/>
  <c r="AH86" i="11" s="1"/>
  <c r="AT14" i="11"/>
  <c r="AT86" i="11" s="1"/>
  <c r="AK14" i="11"/>
  <c r="AK86" i="11" s="1"/>
  <c r="AK170" i="11" s="1"/>
  <c r="AK242" i="11" s="1"/>
  <c r="AK314" i="11" s="1"/>
  <c r="AK386" i="11" s="1"/>
  <c r="AU78" i="11"/>
  <c r="AU150" i="11" s="1"/>
  <c r="AU450" i="11" s="1"/>
  <c r="AQ78" i="11"/>
  <c r="AQ150" i="11" s="1"/>
  <c r="AQ450" i="11" s="1"/>
  <c r="AL78" i="11"/>
  <c r="AL150" i="11" s="1"/>
  <c r="AL234" i="11" s="1"/>
  <c r="AL306" i="11" s="1"/>
  <c r="AL378" i="11" s="1"/>
  <c r="AL450" i="11" s="1"/>
  <c r="AH78" i="11"/>
  <c r="AH150" i="11" s="1"/>
  <c r="AH234" i="11" s="1"/>
  <c r="AH306" i="11" s="1"/>
  <c r="AH378" i="11" s="1"/>
  <c r="AH450" i="11" s="1"/>
  <c r="AT78" i="11"/>
  <c r="AT150" i="11" s="1"/>
  <c r="AK78" i="11"/>
  <c r="AK150" i="11" s="1"/>
  <c r="AK234" i="11" s="1"/>
  <c r="AK306" i="11" s="1"/>
  <c r="AK378" i="11" s="1"/>
  <c r="AK450" i="11" s="1"/>
  <c r="BB78" i="11"/>
  <c r="BB150" i="11" s="1"/>
  <c r="AS78" i="11"/>
  <c r="AS150" i="11" s="1"/>
  <c r="AS450" i="11" s="1"/>
  <c r="AO78" i="11"/>
  <c r="AX78" i="11" s="1"/>
  <c r="AX150" i="11" s="1"/>
  <c r="AX234" i="11" s="1"/>
  <c r="AX306" i="11" s="1"/>
  <c r="AX378" i="11" s="1"/>
  <c r="AX450" i="11" s="1"/>
  <c r="AJ78" i="11"/>
  <c r="AJ150" i="11" s="1"/>
  <c r="AJ234" i="11" s="1"/>
  <c r="AJ306" i="11" s="1"/>
  <c r="AJ378" i="11" s="1"/>
  <c r="AJ450" i="11" s="1"/>
  <c r="BA78" i="11"/>
  <c r="BA150" i="11" s="1"/>
  <c r="EH68" i="40" s="1"/>
  <c r="AR78" i="11"/>
  <c r="AR150" i="11" s="1"/>
  <c r="AR450" i="11" s="1"/>
  <c r="AN78" i="11"/>
  <c r="AN150" i="11" s="1"/>
  <c r="AN234" i="11" s="1"/>
  <c r="AN306" i="11" s="1"/>
  <c r="AN378" i="11" s="1"/>
  <c r="AN450" i="11" s="1"/>
  <c r="AI78" i="11"/>
  <c r="AU70" i="11"/>
  <c r="AU142" i="11" s="1"/>
  <c r="AU442" i="11" s="1"/>
  <c r="AQ70" i="11"/>
  <c r="AQ142" i="11" s="1"/>
  <c r="AQ442" i="11" s="1"/>
  <c r="AL70" i="11"/>
  <c r="AL142" i="11" s="1"/>
  <c r="AL226" i="11" s="1"/>
  <c r="AL298" i="11" s="1"/>
  <c r="AL370" i="11" s="1"/>
  <c r="AL442" i="11" s="1"/>
  <c r="AH70" i="11"/>
  <c r="AH142" i="11" s="1"/>
  <c r="AH226" i="11" s="1"/>
  <c r="AH298" i="11" s="1"/>
  <c r="AH370" i="11" s="1"/>
  <c r="AH442" i="11" s="1"/>
  <c r="AT70" i="11"/>
  <c r="AT142" i="11" s="1"/>
  <c r="AK70" i="11"/>
  <c r="AK142" i="11" s="1"/>
  <c r="AK226" i="11" s="1"/>
  <c r="AK298" i="11" s="1"/>
  <c r="AK370" i="11" s="1"/>
  <c r="AK442" i="11" s="1"/>
  <c r="BB70" i="11"/>
  <c r="BB142" i="11" s="1"/>
  <c r="AS70" i="11"/>
  <c r="AS142" i="11" s="1"/>
  <c r="AS442" i="11" s="1"/>
  <c r="AO70" i="11"/>
  <c r="AX70" i="11" s="1"/>
  <c r="AX142" i="11" s="1"/>
  <c r="AX226" i="11" s="1"/>
  <c r="AX298" i="11" s="1"/>
  <c r="AX370" i="11" s="1"/>
  <c r="AX442" i="11" s="1"/>
  <c r="AJ70" i="11"/>
  <c r="AJ142" i="11" s="1"/>
  <c r="AJ226" i="11" s="1"/>
  <c r="AJ298" i="11" s="1"/>
  <c r="AJ370" i="11" s="1"/>
  <c r="AJ442" i="11" s="1"/>
  <c r="BA70" i="11"/>
  <c r="BA142" i="11" s="1"/>
  <c r="EH60" i="40" s="1"/>
  <c r="AR70" i="11"/>
  <c r="AR142" i="11" s="1"/>
  <c r="AR442" i="11" s="1"/>
  <c r="AN70" i="11"/>
  <c r="AN142" i="11" s="1"/>
  <c r="AN226" i="11" s="1"/>
  <c r="AN298" i="11" s="1"/>
  <c r="AN370" i="11" s="1"/>
  <c r="AN442" i="11" s="1"/>
  <c r="AI70" i="11"/>
  <c r="AU62" i="11"/>
  <c r="AU134" i="11" s="1"/>
  <c r="AU434" i="11" s="1"/>
  <c r="AQ62" i="11"/>
  <c r="AQ134" i="11" s="1"/>
  <c r="AQ434" i="11" s="1"/>
  <c r="AL62" i="11"/>
  <c r="AL134" i="11" s="1"/>
  <c r="AL218" i="11" s="1"/>
  <c r="AL290" i="11" s="1"/>
  <c r="AL362" i="11" s="1"/>
  <c r="AL434" i="11" s="1"/>
  <c r="AH62" i="11"/>
  <c r="AH134" i="11" s="1"/>
  <c r="AH218" i="11" s="1"/>
  <c r="AH290" i="11" s="1"/>
  <c r="AH362" i="11" s="1"/>
  <c r="AH434" i="11" s="1"/>
  <c r="AT62" i="11"/>
  <c r="AT134" i="11" s="1"/>
  <c r="AK62" i="11"/>
  <c r="AK134" i="11" s="1"/>
  <c r="AK218" i="11" s="1"/>
  <c r="AK290" i="11" s="1"/>
  <c r="AK362" i="11" s="1"/>
  <c r="AK434" i="11" s="1"/>
  <c r="BB62" i="11"/>
  <c r="BB134" i="11" s="1"/>
  <c r="AS62" i="11"/>
  <c r="AS134" i="11" s="1"/>
  <c r="AS434" i="11" s="1"/>
  <c r="AO62" i="11"/>
  <c r="AX62" i="11" s="1"/>
  <c r="AX134" i="11" s="1"/>
  <c r="AX218" i="11" s="1"/>
  <c r="AX290" i="11" s="1"/>
  <c r="AX362" i="11" s="1"/>
  <c r="AX434" i="11" s="1"/>
  <c r="AJ62" i="11"/>
  <c r="AJ134" i="11" s="1"/>
  <c r="AJ218" i="11" s="1"/>
  <c r="AJ290" i="11" s="1"/>
  <c r="AJ362" i="11" s="1"/>
  <c r="AJ434" i="11" s="1"/>
  <c r="BA62" i="11"/>
  <c r="BA134" i="11" s="1"/>
  <c r="EH52" i="40" s="1"/>
  <c r="AR62" i="11"/>
  <c r="AR134" i="11" s="1"/>
  <c r="AR434" i="11" s="1"/>
  <c r="AN62" i="11"/>
  <c r="AN134" i="11" s="1"/>
  <c r="AN218" i="11" s="1"/>
  <c r="AN290" i="11" s="1"/>
  <c r="AN362" i="11" s="1"/>
  <c r="AN434" i="11" s="1"/>
  <c r="AI62" i="11"/>
  <c r="AU54" i="11"/>
  <c r="AU126" i="11" s="1"/>
  <c r="AU426" i="11" s="1"/>
  <c r="AQ54" i="11"/>
  <c r="AQ126" i="11" s="1"/>
  <c r="AQ426" i="11" s="1"/>
  <c r="AL54" i="11"/>
  <c r="AL126" i="11" s="1"/>
  <c r="AL210" i="11" s="1"/>
  <c r="AL282" i="11" s="1"/>
  <c r="AL354" i="11" s="1"/>
  <c r="AL426" i="11" s="1"/>
  <c r="AH54" i="11"/>
  <c r="AH126" i="11" s="1"/>
  <c r="AH210" i="11" s="1"/>
  <c r="AH282" i="11" s="1"/>
  <c r="AH354" i="11" s="1"/>
  <c r="AH426" i="11" s="1"/>
  <c r="AT54" i="11"/>
  <c r="AT126" i="11" s="1"/>
  <c r="AK54" i="11"/>
  <c r="AK126" i="11" s="1"/>
  <c r="AK210" i="11" s="1"/>
  <c r="AK282" i="11" s="1"/>
  <c r="AK354" i="11" s="1"/>
  <c r="AK426" i="11" s="1"/>
  <c r="BB54" i="11"/>
  <c r="BB126" i="11" s="1"/>
  <c r="AS54" i="11"/>
  <c r="AS126" i="11" s="1"/>
  <c r="AS426" i="11" s="1"/>
  <c r="AO54" i="11"/>
  <c r="AX54" i="11" s="1"/>
  <c r="AX126" i="11" s="1"/>
  <c r="AX210" i="11" s="1"/>
  <c r="AX282" i="11" s="1"/>
  <c r="AX354" i="11" s="1"/>
  <c r="AX426" i="11" s="1"/>
  <c r="AJ54" i="11"/>
  <c r="AJ126" i="11" s="1"/>
  <c r="AJ210" i="11" s="1"/>
  <c r="AJ282" i="11" s="1"/>
  <c r="AJ354" i="11" s="1"/>
  <c r="AJ426" i="11" s="1"/>
  <c r="BA54" i="11"/>
  <c r="BA126" i="11" s="1"/>
  <c r="EH44" i="40" s="1"/>
  <c r="AR54" i="11"/>
  <c r="AR126" i="11" s="1"/>
  <c r="AR426" i="11" s="1"/>
  <c r="AN54" i="11"/>
  <c r="AN126" i="11" s="1"/>
  <c r="AN210" i="11" s="1"/>
  <c r="AN282" i="11" s="1"/>
  <c r="AN354" i="11" s="1"/>
  <c r="AN426" i="11" s="1"/>
  <c r="AI54" i="11"/>
  <c r="AU46" i="11"/>
  <c r="AU118" i="11" s="1"/>
  <c r="AU418" i="11" s="1"/>
  <c r="AQ46" i="11"/>
  <c r="AQ118" i="11" s="1"/>
  <c r="AQ418" i="11" s="1"/>
  <c r="AL46" i="11"/>
  <c r="AL118" i="11" s="1"/>
  <c r="AL202" i="11" s="1"/>
  <c r="AL274" i="11" s="1"/>
  <c r="AL346" i="11" s="1"/>
  <c r="AL418" i="11" s="1"/>
  <c r="AH46" i="11"/>
  <c r="AH118" i="11" s="1"/>
  <c r="AH202" i="11" s="1"/>
  <c r="AH274" i="11" s="1"/>
  <c r="AH346" i="11" s="1"/>
  <c r="AH418" i="11" s="1"/>
  <c r="AT46" i="11"/>
  <c r="AT118" i="11" s="1"/>
  <c r="AK46" i="11"/>
  <c r="AK118" i="11" s="1"/>
  <c r="AK202" i="11" s="1"/>
  <c r="AK274" i="11" s="1"/>
  <c r="AK346" i="11" s="1"/>
  <c r="AK418" i="11" s="1"/>
  <c r="BB46" i="11"/>
  <c r="BB118" i="11" s="1"/>
  <c r="AS46" i="11"/>
  <c r="AS118" i="11" s="1"/>
  <c r="AS418" i="11" s="1"/>
  <c r="AO46" i="11"/>
  <c r="AX46" i="11" s="1"/>
  <c r="AX118" i="11" s="1"/>
  <c r="AX202" i="11" s="1"/>
  <c r="AX274" i="11" s="1"/>
  <c r="AX346" i="11" s="1"/>
  <c r="AX418" i="11" s="1"/>
  <c r="AJ46" i="11"/>
  <c r="AJ118" i="11" s="1"/>
  <c r="AJ202" i="11" s="1"/>
  <c r="AJ274" i="11" s="1"/>
  <c r="AJ346" i="11" s="1"/>
  <c r="AJ418" i="11" s="1"/>
  <c r="BA46" i="11"/>
  <c r="BA118" i="11" s="1"/>
  <c r="EH36" i="40" s="1"/>
  <c r="AR46" i="11"/>
  <c r="AR118" i="11" s="1"/>
  <c r="AR418" i="11" s="1"/>
  <c r="AN46" i="11"/>
  <c r="AN118" i="11" s="1"/>
  <c r="AN202" i="11" s="1"/>
  <c r="AN274" i="11" s="1"/>
  <c r="AN346" i="11" s="1"/>
  <c r="AN418" i="11" s="1"/>
  <c r="AI46" i="11"/>
  <c r="AU38" i="11"/>
  <c r="AU110" i="11" s="1"/>
  <c r="AU410" i="11" s="1"/>
  <c r="AQ38" i="11"/>
  <c r="AQ110" i="11" s="1"/>
  <c r="AQ410" i="11" s="1"/>
  <c r="AL38" i="11"/>
  <c r="AL110" i="11" s="1"/>
  <c r="AL194" i="11" s="1"/>
  <c r="AL266" i="11" s="1"/>
  <c r="AL338" i="11" s="1"/>
  <c r="AL410" i="11" s="1"/>
  <c r="AH38" i="11"/>
  <c r="AH110" i="11" s="1"/>
  <c r="AH194" i="11" s="1"/>
  <c r="AH266" i="11" s="1"/>
  <c r="AH338" i="11" s="1"/>
  <c r="AH410" i="11" s="1"/>
  <c r="AT38" i="11"/>
  <c r="AT110" i="11" s="1"/>
  <c r="AK38" i="11"/>
  <c r="AK110" i="11" s="1"/>
  <c r="AK194" i="11" s="1"/>
  <c r="AK266" i="11" s="1"/>
  <c r="AK338" i="11" s="1"/>
  <c r="AK410" i="11" s="1"/>
  <c r="BB38" i="11"/>
  <c r="BB110" i="11" s="1"/>
  <c r="AS38" i="11"/>
  <c r="AS110" i="11" s="1"/>
  <c r="AS410" i="11" s="1"/>
  <c r="AO38" i="11"/>
  <c r="AX38" i="11" s="1"/>
  <c r="AX110" i="11" s="1"/>
  <c r="AX194" i="11" s="1"/>
  <c r="AX266" i="11" s="1"/>
  <c r="AX338" i="11" s="1"/>
  <c r="AX410" i="11" s="1"/>
  <c r="AJ38" i="11"/>
  <c r="AJ110" i="11" s="1"/>
  <c r="AJ194" i="11" s="1"/>
  <c r="AJ266" i="11" s="1"/>
  <c r="AJ338" i="11" s="1"/>
  <c r="AJ410" i="11" s="1"/>
  <c r="BA38" i="11"/>
  <c r="BA110" i="11" s="1"/>
  <c r="EH28" i="40" s="1"/>
  <c r="AR38" i="11"/>
  <c r="AR110" i="11" s="1"/>
  <c r="AR410" i="11" s="1"/>
  <c r="AN38" i="11"/>
  <c r="AN110" i="11" s="1"/>
  <c r="AN194" i="11" s="1"/>
  <c r="AN266" i="11" s="1"/>
  <c r="AN338" i="11" s="1"/>
  <c r="AN410" i="11" s="1"/>
  <c r="AI38" i="11"/>
  <c r="AU30" i="11"/>
  <c r="AU102" i="11" s="1"/>
  <c r="AU402" i="11" s="1"/>
  <c r="AQ30" i="11"/>
  <c r="AQ102" i="11" s="1"/>
  <c r="AQ402" i="11" s="1"/>
  <c r="AL30" i="11"/>
  <c r="AL102" i="11" s="1"/>
  <c r="AL186" i="11" s="1"/>
  <c r="AL258" i="11" s="1"/>
  <c r="AL330" i="11" s="1"/>
  <c r="AL402" i="11" s="1"/>
  <c r="AH30" i="11"/>
  <c r="AH102" i="11" s="1"/>
  <c r="AH186" i="11" s="1"/>
  <c r="AH258" i="11" s="1"/>
  <c r="AH330" i="11" s="1"/>
  <c r="AH402" i="11" s="1"/>
  <c r="AT30" i="11"/>
  <c r="AT102" i="11" s="1"/>
  <c r="AK30" i="11"/>
  <c r="AK102" i="11" s="1"/>
  <c r="AK186" i="11" s="1"/>
  <c r="AK258" i="11" s="1"/>
  <c r="AK330" i="11" s="1"/>
  <c r="AK402" i="11" s="1"/>
  <c r="BB30" i="11"/>
  <c r="BB102" i="11" s="1"/>
  <c r="AS30" i="11"/>
  <c r="AS102" i="11" s="1"/>
  <c r="AS402" i="11" s="1"/>
  <c r="AO30" i="11"/>
  <c r="AX30" i="11" s="1"/>
  <c r="AX102" i="11" s="1"/>
  <c r="AX186" i="11" s="1"/>
  <c r="AX258" i="11" s="1"/>
  <c r="AX330" i="11" s="1"/>
  <c r="AX402" i="11" s="1"/>
  <c r="AJ30" i="11"/>
  <c r="AJ102" i="11" s="1"/>
  <c r="AJ186" i="11" s="1"/>
  <c r="AJ258" i="11" s="1"/>
  <c r="AJ330" i="11" s="1"/>
  <c r="AJ402" i="11" s="1"/>
  <c r="BA30" i="11"/>
  <c r="BA102" i="11" s="1"/>
  <c r="EH20" i="40" s="1"/>
  <c r="AR30" i="11"/>
  <c r="AR102" i="11" s="1"/>
  <c r="AR402" i="11" s="1"/>
  <c r="AN30" i="11"/>
  <c r="AN102" i="11" s="1"/>
  <c r="AN186" i="11" s="1"/>
  <c r="AN258" i="11" s="1"/>
  <c r="AN330" i="11" s="1"/>
  <c r="AN402" i="11" s="1"/>
  <c r="AI30" i="11"/>
  <c r="AG408" i="37"/>
  <c r="AG336" i="37"/>
  <c r="AG264" i="37"/>
  <c r="AG192" i="37"/>
  <c r="AG108" i="37"/>
  <c r="AG36" i="37"/>
  <c r="AG392" i="37"/>
  <c r="AG320" i="37"/>
  <c r="AG248" i="37"/>
  <c r="AG176" i="37"/>
  <c r="AG92" i="37"/>
  <c r="AG20" i="37"/>
  <c r="AG399" i="37"/>
  <c r="AG255" i="37"/>
  <c r="AG327" i="37"/>
  <c r="AG99" i="37"/>
  <c r="AG183" i="37"/>
  <c r="AG27" i="37"/>
  <c r="AG403" i="37"/>
  <c r="AG259" i="37"/>
  <c r="AG331" i="37"/>
  <c r="AG187" i="37"/>
  <c r="AG103" i="37"/>
  <c r="AG31" i="37"/>
  <c r="AG407" i="37"/>
  <c r="AG263" i="37"/>
  <c r="AG335" i="37"/>
  <c r="AG107" i="37"/>
  <c r="AG191" i="37"/>
  <c r="AG35" i="37"/>
  <c r="AG393" i="37"/>
  <c r="AG249" i="37"/>
  <c r="AG321" i="37"/>
  <c r="AG177" i="37"/>
  <c r="AG93" i="37"/>
  <c r="AG21" i="37"/>
  <c r="AG386" i="37"/>
  <c r="AG242" i="37"/>
  <c r="AG314" i="37"/>
  <c r="AG170" i="37"/>
  <c r="AG86" i="37"/>
  <c r="AG14" i="37"/>
  <c r="AG413" i="37"/>
  <c r="AG269" i="37"/>
  <c r="AG341" i="37"/>
  <c r="AG197" i="37"/>
  <c r="AG113" i="37"/>
  <c r="AG41" i="37"/>
  <c r="AG421" i="37"/>
  <c r="AG205" i="37"/>
  <c r="AG277" i="37"/>
  <c r="AG349" i="37"/>
  <c r="AG121" i="37"/>
  <c r="AG49" i="37"/>
  <c r="AG425" i="37"/>
  <c r="AG209" i="37"/>
  <c r="AG281" i="37"/>
  <c r="AG353" i="37"/>
  <c r="AG53" i="37"/>
  <c r="AG125" i="37"/>
  <c r="AG429" i="37"/>
  <c r="AG213" i="37"/>
  <c r="AG285" i="37"/>
  <c r="AG357" i="37"/>
  <c r="AG57" i="37"/>
  <c r="AG129" i="37"/>
  <c r="AG433" i="37"/>
  <c r="AG217" i="37"/>
  <c r="AG289" i="37"/>
  <c r="AG361" i="37"/>
  <c r="AG61" i="37"/>
  <c r="AG133" i="37"/>
  <c r="AG437" i="37"/>
  <c r="AG221" i="37"/>
  <c r="AG293" i="37"/>
  <c r="AG365" i="37"/>
  <c r="AG65" i="37"/>
  <c r="AG137" i="37"/>
  <c r="AG441" i="37"/>
  <c r="AG225" i="37"/>
  <c r="AG297" i="37"/>
  <c r="AG369" i="37"/>
  <c r="AG69" i="37"/>
  <c r="AG141" i="37"/>
  <c r="AG445" i="37"/>
  <c r="AG229" i="37"/>
  <c r="AG301" i="37"/>
  <c r="AG373" i="37"/>
  <c r="AG73" i="37"/>
  <c r="AG145" i="37"/>
  <c r="AG449" i="37"/>
  <c r="AG233" i="37"/>
  <c r="AG305" i="37"/>
  <c r="AG377" i="37"/>
  <c r="AG77" i="37"/>
  <c r="AG149" i="37"/>
  <c r="AG453" i="37"/>
  <c r="AG381" i="37"/>
  <c r="AG237" i="37"/>
  <c r="AG309" i="37"/>
  <c r="AG81" i="37"/>
  <c r="AG153" i="37"/>
  <c r="AU81" i="11"/>
  <c r="AU153" i="11" s="1"/>
  <c r="AU453" i="11" s="1"/>
  <c r="AQ81" i="11"/>
  <c r="AQ153" i="11" s="1"/>
  <c r="AQ453" i="11" s="1"/>
  <c r="AL81" i="11"/>
  <c r="AL153" i="11" s="1"/>
  <c r="AL237" i="11" s="1"/>
  <c r="AL309" i="11" s="1"/>
  <c r="AL381" i="11" s="1"/>
  <c r="AL453" i="11" s="1"/>
  <c r="AH81" i="11"/>
  <c r="AH153" i="11" s="1"/>
  <c r="AH237" i="11" s="1"/>
  <c r="AH309" i="11" s="1"/>
  <c r="AH381" i="11" s="1"/>
  <c r="AH453" i="11" s="1"/>
  <c r="AT81" i="11"/>
  <c r="AT153" i="11" s="1"/>
  <c r="AK81" i="11"/>
  <c r="AK153" i="11" s="1"/>
  <c r="AK237" i="11" s="1"/>
  <c r="AK309" i="11" s="1"/>
  <c r="AK381" i="11" s="1"/>
  <c r="AK453" i="11" s="1"/>
  <c r="BB81" i="11"/>
  <c r="BB153" i="11" s="1"/>
  <c r="AS81" i="11"/>
  <c r="AS153" i="11" s="1"/>
  <c r="AS453" i="11" s="1"/>
  <c r="AO81" i="11"/>
  <c r="AX81" i="11" s="1"/>
  <c r="AX153" i="11" s="1"/>
  <c r="AX237" i="11" s="1"/>
  <c r="AX309" i="11" s="1"/>
  <c r="AX381" i="11" s="1"/>
  <c r="AX453" i="11" s="1"/>
  <c r="AJ81" i="11"/>
  <c r="AJ153" i="11" s="1"/>
  <c r="AJ237" i="11" s="1"/>
  <c r="AJ309" i="11" s="1"/>
  <c r="AJ381" i="11" s="1"/>
  <c r="AJ453" i="11" s="1"/>
  <c r="BA81" i="11"/>
  <c r="BA153" i="11" s="1"/>
  <c r="EH71" i="40" s="1"/>
  <c r="AR81" i="11"/>
  <c r="AR153" i="11" s="1"/>
  <c r="AR453" i="11" s="1"/>
  <c r="AN81" i="11"/>
  <c r="AN153" i="11" s="1"/>
  <c r="AN237" i="11" s="1"/>
  <c r="AN309" i="11" s="1"/>
  <c r="AN381" i="11" s="1"/>
  <c r="AN453" i="11" s="1"/>
  <c r="AI81" i="11"/>
  <c r="AU73" i="11"/>
  <c r="AU145" i="11" s="1"/>
  <c r="AU445" i="11" s="1"/>
  <c r="AQ73" i="11"/>
  <c r="AQ145" i="11" s="1"/>
  <c r="AQ445" i="11" s="1"/>
  <c r="AL73" i="11"/>
  <c r="AL145" i="11" s="1"/>
  <c r="AL229" i="11" s="1"/>
  <c r="AL301" i="11" s="1"/>
  <c r="AL373" i="11" s="1"/>
  <c r="AL445" i="11" s="1"/>
  <c r="AH73" i="11"/>
  <c r="AH145" i="11" s="1"/>
  <c r="AH229" i="11" s="1"/>
  <c r="AH301" i="11" s="1"/>
  <c r="AH373" i="11" s="1"/>
  <c r="AH445" i="11" s="1"/>
  <c r="AT73" i="11"/>
  <c r="AT145" i="11" s="1"/>
  <c r="AK73" i="11"/>
  <c r="AK145" i="11" s="1"/>
  <c r="AK229" i="11" s="1"/>
  <c r="AK301" i="11" s="1"/>
  <c r="AK373" i="11" s="1"/>
  <c r="AK445" i="11" s="1"/>
  <c r="BB73" i="11"/>
  <c r="BB145" i="11" s="1"/>
  <c r="AS73" i="11"/>
  <c r="AS145" i="11" s="1"/>
  <c r="AS445" i="11" s="1"/>
  <c r="AO73" i="11"/>
  <c r="AX73" i="11" s="1"/>
  <c r="AX145" i="11" s="1"/>
  <c r="AX229" i="11" s="1"/>
  <c r="AX301" i="11" s="1"/>
  <c r="AX373" i="11" s="1"/>
  <c r="AX445" i="11" s="1"/>
  <c r="AJ73" i="11"/>
  <c r="AJ145" i="11" s="1"/>
  <c r="AJ229" i="11" s="1"/>
  <c r="AJ301" i="11" s="1"/>
  <c r="AJ373" i="11" s="1"/>
  <c r="AJ445" i="11" s="1"/>
  <c r="BA73" i="11"/>
  <c r="BA145" i="11" s="1"/>
  <c r="EH63" i="40" s="1"/>
  <c r="AR73" i="11"/>
  <c r="AR145" i="11" s="1"/>
  <c r="AR445" i="11" s="1"/>
  <c r="AN73" i="11"/>
  <c r="AN145" i="11" s="1"/>
  <c r="AN229" i="11" s="1"/>
  <c r="AN301" i="11" s="1"/>
  <c r="AN373" i="11" s="1"/>
  <c r="AN445" i="11" s="1"/>
  <c r="AI73" i="11"/>
  <c r="AU79" i="11"/>
  <c r="AU151" i="11" s="1"/>
  <c r="AU451" i="11" s="1"/>
  <c r="AQ79" i="11"/>
  <c r="AQ151" i="11" s="1"/>
  <c r="AQ451" i="11" s="1"/>
  <c r="AL79" i="11"/>
  <c r="AL151" i="11" s="1"/>
  <c r="AL235" i="11" s="1"/>
  <c r="AL307" i="11" s="1"/>
  <c r="AL379" i="11" s="1"/>
  <c r="AL451" i="11" s="1"/>
  <c r="AH79" i="11"/>
  <c r="AH151" i="11" s="1"/>
  <c r="AH235" i="11" s="1"/>
  <c r="AH307" i="11" s="1"/>
  <c r="AH379" i="11" s="1"/>
  <c r="AH451" i="11" s="1"/>
  <c r="AT79" i="11"/>
  <c r="AT151" i="11" s="1"/>
  <c r="AK79" i="11"/>
  <c r="AK151" i="11" s="1"/>
  <c r="AK235" i="11" s="1"/>
  <c r="AK307" i="11" s="1"/>
  <c r="AK379" i="11" s="1"/>
  <c r="AK451" i="11" s="1"/>
  <c r="BB79" i="11"/>
  <c r="BB151" i="11" s="1"/>
  <c r="AS79" i="11"/>
  <c r="AS151" i="11" s="1"/>
  <c r="AS451" i="11" s="1"/>
  <c r="AO79" i="11"/>
  <c r="AX79" i="11" s="1"/>
  <c r="AX151" i="11" s="1"/>
  <c r="AX235" i="11" s="1"/>
  <c r="AX307" i="11" s="1"/>
  <c r="AX379" i="11" s="1"/>
  <c r="AX451" i="11" s="1"/>
  <c r="AJ79" i="11"/>
  <c r="AJ151" i="11" s="1"/>
  <c r="AJ235" i="11" s="1"/>
  <c r="AJ307" i="11" s="1"/>
  <c r="AJ379" i="11" s="1"/>
  <c r="AJ451" i="11" s="1"/>
  <c r="BA79" i="11"/>
  <c r="BA151" i="11" s="1"/>
  <c r="EH69" i="40" s="1"/>
  <c r="AR79" i="11"/>
  <c r="AR151" i="11" s="1"/>
  <c r="AR451" i="11" s="1"/>
  <c r="AN79" i="11"/>
  <c r="AN151" i="11" s="1"/>
  <c r="AN235" i="11" s="1"/>
  <c r="AN307" i="11" s="1"/>
  <c r="AN379" i="11" s="1"/>
  <c r="AN451" i="11" s="1"/>
  <c r="AI79" i="11"/>
  <c r="AU71" i="11"/>
  <c r="AU143" i="11" s="1"/>
  <c r="AU443" i="11" s="1"/>
  <c r="AQ71" i="11"/>
  <c r="AQ143" i="11" s="1"/>
  <c r="AQ443" i="11" s="1"/>
  <c r="AL71" i="11"/>
  <c r="AL143" i="11" s="1"/>
  <c r="AL227" i="11" s="1"/>
  <c r="AL299" i="11" s="1"/>
  <c r="AL371" i="11" s="1"/>
  <c r="AL443" i="11" s="1"/>
  <c r="AH71" i="11"/>
  <c r="AH143" i="11" s="1"/>
  <c r="AH227" i="11" s="1"/>
  <c r="AH299" i="11" s="1"/>
  <c r="AH371" i="11" s="1"/>
  <c r="AH443" i="11" s="1"/>
  <c r="AT71" i="11"/>
  <c r="AT143" i="11" s="1"/>
  <c r="AK71" i="11"/>
  <c r="AK143" i="11" s="1"/>
  <c r="AK227" i="11" s="1"/>
  <c r="AK299" i="11" s="1"/>
  <c r="AK371" i="11" s="1"/>
  <c r="AK443" i="11" s="1"/>
  <c r="BB71" i="11"/>
  <c r="BB143" i="11" s="1"/>
  <c r="AS71" i="11"/>
  <c r="AS143" i="11" s="1"/>
  <c r="AS443" i="11" s="1"/>
  <c r="AO71" i="11"/>
  <c r="AX71" i="11" s="1"/>
  <c r="AX143" i="11" s="1"/>
  <c r="AX227" i="11" s="1"/>
  <c r="AX299" i="11" s="1"/>
  <c r="AX371" i="11" s="1"/>
  <c r="AX443" i="11" s="1"/>
  <c r="AJ71" i="11"/>
  <c r="AJ143" i="11" s="1"/>
  <c r="AJ227" i="11" s="1"/>
  <c r="AJ299" i="11" s="1"/>
  <c r="AJ371" i="11" s="1"/>
  <c r="AJ443" i="11" s="1"/>
  <c r="BA71" i="11"/>
  <c r="BA143" i="11" s="1"/>
  <c r="EH61" i="40" s="1"/>
  <c r="AR71" i="11"/>
  <c r="AR143" i="11" s="1"/>
  <c r="AR443" i="11" s="1"/>
  <c r="AN71" i="11"/>
  <c r="AN143" i="11" s="1"/>
  <c r="AN227" i="11" s="1"/>
  <c r="AN299" i="11" s="1"/>
  <c r="AN371" i="11" s="1"/>
  <c r="AN443" i="11" s="1"/>
  <c r="AI71" i="11"/>
  <c r="AU63" i="11"/>
  <c r="AU135" i="11" s="1"/>
  <c r="AU435" i="11" s="1"/>
  <c r="AQ63" i="11"/>
  <c r="AQ135" i="11" s="1"/>
  <c r="AQ435" i="11" s="1"/>
  <c r="AL63" i="11"/>
  <c r="AL135" i="11" s="1"/>
  <c r="AL219" i="11" s="1"/>
  <c r="AL291" i="11" s="1"/>
  <c r="AL363" i="11" s="1"/>
  <c r="AL435" i="11" s="1"/>
  <c r="AH63" i="11"/>
  <c r="AH135" i="11" s="1"/>
  <c r="AH219" i="11" s="1"/>
  <c r="AH291" i="11" s="1"/>
  <c r="AH363" i="11" s="1"/>
  <c r="AH435" i="11" s="1"/>
  <c r="AT63" i="11"/>
  <c r="AT135" i="11" s="1"/>
  <c r="AK63" i="11"/>
  <c r="AK135" i="11" s="1"/>
  <c r="AK219" i="11" s="1"/>
  <c r="AK291" i="11" s="1"/>
  <c r="AK363" i="11" s="1"/>
  <c r="AK435" i="11" s="1"/>
  <c r="BB63" i="11"/>
  <c r="BB135" i="11" s="1"/>
  <c r="AS63" i="11"/>
  <c r="AS135" i="11" s="1"/>
  <c r="AS435" i="11" s="1"/>
  <c r="AO63" i="11"/>
  <c r="AX63" i="11" s="1"/>
  <c r="AX135" i="11" s="1"/>
  <c r="AX219" i="11" s="1"/>
  <c r="AX291" i="11" s="1"/>
  <c r="AX363" i="11" s="1"/>
  <c r="AX435" i="11" s="1"/>
  <c r="AJ63" i="11"/>
  <c r="AJ135" i="11" s="1"/>
  <c r="AJ219" i="11" s="1"/>
  <c r="AJ291" i="11" s="1"/>
  <c r="AJ363" i="11" s="1"/>
  <c r="AJ435" i="11" s="1"/>
  <c r="BA63" i="11"/>
  <c r="BA135" i="11" s="1"/>
  <c r="EH53" i="40" s="1"/>
  <c r="AR63" i="11"/>
  <c r="AR135" i="11" s="1"/>
  <c r="AR435" i="11" s="1"/>
  <c r="AN63" i="11"/>
  <c r="AN135" i="11" s="1"/>
  <c r="AN219" i="11" s="1"/>
  <c r="AN291" i="11" s="1"/>
  <c r="AN363" i="11" s="1"/>
  <c r="AN435" i="11" s="1"/>
  <c r="AI63" i="11"/>
  <c r="AU55" i="11"/>
  <c r="AU127" i="11" s="1"/>
  <c r="AU427" i="11" s="1"/>
  <c r="AQ55" i="11"/>
  <c r="AQ127" i="11" s="1"/>
  <c r="AQ427" i="11" s="1"/>
  <c r="AL55" i="11"/>
  <c r="AL127" i="11" s="1"/>
  <c r="AL211" i="11" s="1"/>
  <c r="AL283" i="11" s="1"/>
  <c r="AL355" i="11" s="1"/>
  <c r="AL427" i="11" s="1"/>
  <c r="AH55" i="11"/>
  <c r="AH127" i="11" s="1"/>
  <c r="AH211" i="11" s="1"/>
  <c r="AH283" i="11" s="1"/>
  <c r="AH355" i="11" s="1"/>
  <c r="AH427" i="11" s="1"/>
  <c r="AT55" i="11"/>
  <c r="AT127" i="11" s="1"/>
  <c r="AK55" i="11"/>
  <c r="AK127" i="11" s="1"/>
  <c r="AK211" i="11" s="1"/>
  <c r="AK283" i="11" s="1"/>
  <c r="AK355" i="11" s="1"/>
  <c r="AK427" i="11" s="1"/>
  <c r="BB55" i="11"/>
  <c r="BB127" i="11" s="1"/>
  <c r="AS55" i="11"/>
  <c r="AS127" i="11" s="1"/>
  <c r="AS427" i="11" s="1"/>
  <c r="AO55" i="11"/>
  <c r="AX55" i="11" s="1"/>
  <c r="AX127" i="11" s="1"/>
  <c r="AX211" i="11" s="1"/>
  <c r="AX283" i="11" s="1"/>
  <c r="AX355" i="11" s="1"/>
  <c r="AX427" i="11" s="1"/>
  <c r="AJ55" i="11"/>
  <c r="AJ127" i="11" s="1"/>
  <c r="AJ211" i="11" s="1"/>
  <c r="AJ283" i="11" s="1"/>
  <c r="AJ355" i="11" s="1"/>
  <c r="AJ427" i="11" s="1"/>
  <c r="BA55" i="11"/>
  <c r="BA127" i="11" s="1"/>
  <c r="EH45" i="40" s="1"/>
  <c r="AR55" i="11"/>
  <c r="AR127" i="11" s="1"/>
  <c r="AR427" i="11" s="1"/>
  <c r="AN55" i="11"/>
  <c r="AN127" i="11" s="1"/>
  <c r="AN211" i="11" s="1"/>
  <c r="AN283" i="11" s="1"/>
  <c r="AN355" i="11" s="1"/>
  <c r="AN427" i="11" s="1"/>
  <c r="AI55" i="11"/>
  <c r="AU47" i="11"/>
  <c r="AU119" i="11" s="1"/>
  <c r="AU419" i="11" s="1"/>
  <c r="AQ47" i="11"/>
  <c r="AQ119" i="11" s="1"/>
  <c r="AQ419" i="11" s="1"/>
  <c r="AL47" i="11"/>
  <c r="AL119" i="11" s="1"/>
  <c r="AL203" i="11" s="1"/>
  <c r="AL275" i="11" s="1"/>
  <c r="AL347" i="11" s="1"/>
  <c r="AL419" i="11" s="1"/>
  <c r="AH47" i="11"/>
  <c r="AH119" i="11" s="1"/>
  <c r="AH203" i="11" s="1"/>
  <c r="AH275" i="11" s="1"/>
  <c r="AH347" i="11" s="1"/>
  <c r="AH419" i="11" s="1"/>
  <c r="AT47" i="11"/>
  <c r="AT119" i="11" s="1"/>
  <c r="AK47" i="11"/>
  <c r="AK119" i="11" s="1"/>
  <c r="AK203" i="11" s="1"/>
  <c r="AK275" i="11" s="1"/>
  <c r="AK347" i="11" s="1"/>
  <c r="AK419" i="11" s="1"/>
  <c r="BB47" i="11"/>
  <c r="BB119" i="11" s="1"/>
  <c r="AS47" i="11"/>
  <c r="AS119" i="11" s="1"/>
  <c r="AS419" i="11" s="1"/>
  <c r="AO47" i="11"/>
  <c r="AX47" i="11" s="1"/>
  <c r="AX119" i="11" s="1"/>
  <c r="AX203" i="11" s="1"/>
  <c r="AX275" i="11" s="1"/>
  <c r="AX347" i="11" s="1"/>
  <c r="AX419" i="11" s="1"/>
  <c r="AJ47" i="11"/>
  <c r="AJ119" i="11" s="1"/>
  <c r="AJ203" i="11" s="1"/>
  <c r="AJ275" i="11" s="1"/>
  <c r="AJ347" i="11" s="1"/>
  <c r="AJ419" i="11" s="1"/>
  <c r="BA47" i="11"/>
  <c r="BA119" i="11" s="1"/>
  <c r="EH37" i="40" s="1"/>
  <c r="AR47" i="11"/>
  <c r="AR119" i="11" s="1"/>
  <c r="AR419" i="11" s="1"/>
  <c r="AN47" i="11"/>
  <c r="AN119" i="11" s="1"/>
  <c r="AN203" i="11" s="1"/>
  <c r="AN275" i="11" s="1"/>
  <c r="AN347" i="11" s="1"/>
  <c r="AN419" i="11" s="1"/>
  <c r="AI47" i="11"/>
  <c r="AU39" i="11"/>
  <c r="AU111" i="11" s="1"/>
  <c r="AU411" i="11" s="1"/>
  <c r="AQ39" i="11"/>
  <c r="AQ111" i="11" s="1"/>
  <c r="AQ411" i="11" s="1"/>
  <c r="AL39" i="11"/>
  <c r="AL111" i="11" s="1"/>
  <c r="AL195" i="11" s="1"/>
  <c r="AL267" i="11" s="1"/>
  <c r="AL339" i="11" s="1"/>
  <c r="AL411" i="11" s="1"/>
  <c r="AH39" i="11"/>
  <c r="AH111" i="11" s="1"/>
  <c r="AH195" i="11" s="1"/>
  <c r="AH267" i="11" s="1"/>
  <c r="AH339" i="11" s="1"/>
  <c r="AH411" i="11" s="1"/>
  <c r="AT39" i="11"/>
  <c r="AT111" i="11" s="1"/>
  <c r="AK39" i="11"/>
  <c r="AK111" i="11" s="1"/>
  <c r="AK195" i="11" s="1"/>
  <c r="AK267" i="11" s="1"/>
  <c r="AK339" i="11" s="1"/>
  <c r="AK411" i="11" s="1"/>
  <c r="BB39" i="11"/>
  <c r="BB111" i="11" s="1"/>
  <c r="AS39" i="11"/>
  <c r="AS111" i="11" s="1"/>
  <c r="AS411" i="11" s="1"/>
  <c r="AO39" i="11"/>
  <c r="AX39" i="11" s="1"/>
  <c r="AX111" i="11" s="1"/>
  <c r="AX195" i="11" s="1"/>
  <c r="AX267" i="11" s="1"/>
  <c r="AX339" i="11" s="1"/>
  <c r="AX411" i="11" s="1"/>
  <c r="AJ39" i="11"/>
  <c r="AJ111" i="11" s="1"/>
  <c r="AJ195" i="11" s="1"/>
  <c r="AJ267" i="11" s="1"/>
  <c r="AJ339" i="11" s="1"/>
  <c r="AJ411" i="11" s="1"/>
  <c r="BA39" i="11"/>
  <c r="BA111" i="11" s="1"/>
  <c r="EH29" i="40" s="1"/>
  <c r="AR39" i="11"/>
  <c r="AR111" i="11" s="1"/>
  <c r="AR411" i="11" s="1"/>
  <c r="AN39" i="11"/>
  <c r="AN111" i="11" s="1"/>
  <c r="AN195" i="11" s="1"/>
  <c r="AN267" i="11" s="1"/>
  <c r="AN339" i="11" s="1"/>
  <c r="AN411" i="11" s="1"/>
  <c r="AI39" i="11"/>
  <c r="AU31" i="11"/>
  <c r="AU103" i="11" s="1"/>
  <c r="AU403" i="11" s="1"/>
  <c r="AQ31" i="11"/>
  <c r="AQ103" i="11" s="1"/>
  <c r="AQ403" i="11" s="1"/>
  <c r="AL31" i="11"/>
  <c r="AL103" i="11" s="1"/>
  <c r="AL187" i="11" s="1"/>
  <c r="AL259" i="11" s="1"/>
  <c r="AL331" i="11" s="1"/>
  <c r="AL403" i="11" s="1"/>
  <c r="AH31" i="11"/>
  <c r="AH103" i="11" s="1"/>
  <c r="AH187" i="11" s="1"/>
  <c r="AH259" i="11" s="1"/>
  <c r="AH331" i="11" s="1"/>
  <c r="AH403" i="11" s="1"/>
  <c r="AT31" i="11"/>
  <c r="AT103" i="11" s="1"/>
  <c r="AK31" i="11"/>
  <c r="AK103" i="11" s="1"/>
  <c r="AK187" i="11" s="1"/>
  <c r="AK259" i="11" s="1"/>
  <c r="AK331" i="11" s="1"/>
  <c r="AK403" i="11" s="1"/>
  <c r="BB31" i="11"/>
  <c r="BB103" i="11" s="1"/>
  <c r="AS31" i="11"/>
  <c r="AS103" i="11" s="1"/>
  <c r="AS403" i="11" s="1"/>
  <c r="AO31" i="11"/>
  <c r="AX31" i="11" s="1"/>
  <c r="AX103" i="11" s="1"/>
  <c r="AX187" i="11" s="1"/>
  <c r="AX259" i="11" s="1"/>
  <c r="AX331" i="11" s="1"/>
  <c r="AX403" i="11" s="1"/>
  <c r="AJ31" i="11"/>
  <c r="AJ103" i="11" s="1"/>
  <c r="AJ187" i="11" s="1"/>
  <c r="AJ259" i="11" s="1"/>
  <c r="AJ331" i="11" s="1"/>
  <c r="AJ403" i="11" s="1"/>
  <c r="BA31" i="11"/>
  <c r="BA103" i="11" s="1"/>
  <c r="EH21" i="40" s="1"/>
  <c r="AR31" i="11"/>
  <c r="AR103" i="11" s="1"/>
  <c r="AR403" i="11" s="1"/>
  <c r="AN31" i="11"/>
  <c r="AN103" i="11" s="1"/>
  <c r="AN187" i="11" s="1"/>
  <c r="AN259" i="11" s="1"/>
  <c r="AN331" i="11" s="1"/>
  <c r="AN403" i="11" s="1"/>
  <c r="AI31" i="11"/>
  <c r="AG387" i="37"/>
  <c r="AG243" i="37"/>
  <c r="AG315" i="37"/>
  <c r="AG87" i="37"/>
  <c r="AG171" i="37"/>
  <c r="AG15" i="37"/>
  <c r="AG412" i="37"/>
  <c r="AG340" i="37"/>
  <c r="AG268" i="37"/>
  <c r="AG196" i="37"/>
  <c r="AG112" i="37"/>
  <c r="AG40" i="37"/>
  <c r="AG396" i="37"/>
  <c r="AG324" i="37"/>
  <c r="AG252" i="37"/>
  <c r="AG180" i="37"/>
  <c r="AG96" i="37"/>
  <c r="AG24" i="37"/>
  <c r="AG400" i="37"/>
  <c r="AG328" i="37"/>
  <c r="AG256" i="37"/>
  <c r="AG184" i="37"/>
  <c r="AG100" i="37"/>
  <c r="AG28" i="37"/>
  <c r="AG404" i="37"/>
  <c r="AG332" i="37"/>
  <c r="AG260" i="37"/>
  <c r="AG188" i="37"/>
  <c r="AG104" i="37"/>
  <c r="AG32" i="37"/>
  <c r="AG411" i="37"/>
  <c r="AG267" i="37"/>
  <c r="AG339" i="37"/>
  <c r="AG195" i="37"/>
  <c r="AG111" i="37"/>
  <c r="AG39" i="37"/>
  <c r="AG410" i="37"/>
  <c r="AG266" i="37"/>
  <c r="AG194" i="37"/>
  <c r="AG338" i="37"/>
  <c r="AG110" i="37"/>
  <c r="AG38" i="37"/>
  <c r="AG390" i="37"/>
  <c r="AG246" i="37"/>
  <c r="AG318" i="37"/>
  <c r="AG174" i="37"/>
  <c r="AG90" i="37"/>
  <c r="AG18" i="37"/>
  <c r="AG417" i="37"/>
  <c r="AG201" i="37"/>
  <c r="AG273" i="37"/>
  <c r="AG345" i="37"/>
  <c r="AG117" i="37"/>
  <c r="AG45" i="37"/>
  <c r="AG422" i="37"/>
  <c r="AG278" i="37"/>
  <c r="AG206" i="37"/>
  <c r="AG350" i="37"/>
  <c r="AG122" i="37"/>
  <c r="AG50" i="37"/>
  <c r="AG426" i="37"/>
  <c r="AG282" i="37"/>
  <c r="AG210" i="37"/>
  <c r="AG354" i="37"/>
  <c r="AG126" i="37"/>
  <c r="AG54" i="37"/>
  <c r="AG430" i="37"/>
  <c r="AG286" i="37"/>
  <c r="AG214" i="37"/>
  <c r="AG358" i="37"/>
  <c r="AG130" i="37"/>
  <c r="AG58" i="37"/>
  <c r="AG434" i="37"/>
  <c r="AG290" i="37"/>
  <c r="AG218" i="37"/>
  <c r="AG362" i="37"/>
  <c r="AG134" i="37"/>
  <c r="AG62" i="37"/>
  <c r="AG438" i="37"/>
  <c r="AG294" i="37"/>
  <c r="AG222" i="37"/>
  <c r="AG366" i="37"/>
  <c r="AG138" i="37"/>
  <c r="AG66" i="37"/>
  <c r="AG442" i="37"/>
  <c r="AG298" i="37"/>
  <c r="AG226" i="37"/>
  <c r="AG370" i="37"/>
  <c r="AG142" i="37"/>
  <c r="AG70" i="37"/>
  <c r="AG446" i="37"/>
  <c r="AG302" i="37"/>
  <c r="AG230" i="37"/>
  <c r="AG374" i="37"/>
  <c r="AG146" i="37"/>
  <c r="AG74" i="37"/>
  <c r="AG450" i="37"/>
  <c r="AG378" i="37"/>
  <c r="AG306" i="37"/>
  <c r="AG234" i="37"/>
  <c r="AG150" i="37"/>
  <c r="AG78" i="37"/>
  <c r="AG454" i="37"/>
  <c r="AG310" i="37"/>
  <c r="AG238" i="37"/>
  <c r="AG382" i="37"/>
  <c r="AG154" i="37"/>
  <c r="AG82" i="37"/>
  <c r="AU65" i="11"/>
  <c r="AU137" i="11" s="1"/>
  <c r="AU437" i="11" s="1"/>
  <c r="AQ65" i="11"/>
  <c r="AQ137" i="11" s="1"/>
  <c r="AQ437" i="11" s="1"/>
  <c r="AL65" i="11"/>
  <c r="AL137" i="11" s="1"/>
  <c r="AL221" i="11" s="1"/>
  <c r="AL293" i="11" s="1"/>
  <c r="AL365" i="11" s="1"/>
  <c r="AL437" i="11" s="1"/>
  <c r="AH65" i="11"/>
  <c r="AH137" i="11" s="1"/>
  <c r="AH221" i="11" s="1"/>
  <c r="AH293" i="11" s="1"/>
  <c r="AH365" i="11" s="1"/>
  <c r="AH437" i="11" s="1"/>
  <c r="AT65" i="11"/>
  <c r="AT137" i="11" s="1"/>
  <c r="AK65" i="11"/>
  <c r="AK137" i="11" s="1"/>
  <c r="AK221" i="11" s="1"/>
  <c r="AK293" i="11" s="1"/>
  <c r="AK365" i="11" s="1"/>
  <c r="AK437" i="11" s="1"/>
  <c r="BB65" i="11"/>
  <c r="BB137" i="11" s="1"/>
  <c r="AS65" i="11"/>
  <c r="AS137" i="11" s="1"/>
  <c r="AS437" i="11" s="1"/>
  <c r="AO65" i="11"/>
  <c r="AJ65" i="11"/>
  <c r="AJ137" i="11" s="1"/>
  <c r="AJ221" i="11" s="1"/>
  <c r="AJ293" i="11" s="1"/>
  <c r="AJ365" i="11" s="1"/>
  <c r="AJ437" i="11" s="1"/>
  <c r="BA65" i="11"/>
  <c r="BA137" i="11" s="1"/>
  <c r="EH55" i="40" s="1"/>
  <c r="AR65" i="11"/>
  <c r="AR137" i="11" s="1"/>
  <c r="AR437" i="11" s="1"/>
  <c r="AN65" i="11"/>
  <c r="AN137" i="11" s="1"/>
  <c r="AN221" i="11" s="1"/>
  <c r="AN293" i="11" s="1"/>
  <c r="AN365" i="11" s="1"/>
  <c r="AN437" i="11" s="1"/>
  <c r="AI65" i="11"/>
  <c r="AU57" i="11"/>
  <c r="AU129" i="11" s="1"/>
  <c r="AU429" i="11" s="1"/>
  <c r="AQ57" i="11"/>
  <c r="AQ129" i="11" s="1"/>
  <c r="AQ429" i="11" s="1"/>
  <c r="AL57" i="11"/>
  <c r="AL129" i="11" s="1"/>
  <c r="AL213" i="11" s="1"/>
  <c r="AL285" i="11" s="1"/>
  <c r="AL357" i="11" s="1"/>
  <c r="AL429" i="11" s="1"/>
  <c r="AH57" i="11"/>
  <c r="AH129" i="11" s="1"/>
  <c r="AH213" i="11" s="1"/>
  <c r="AH285" i="11" s="1"/>
  <c r="AH357" i="11" s="1"/>
  <c r="AH429" i="11" s="1"/>
  <c r="AT57" i="11"/>
  <c r="AT129" i="11" s="1"/>
  <c r="AK57" i="11"/>
  <c r="AK129" i="11" s="1"/>
  <c r="AK213" i="11" s="1"/>
  <c r="AK285" i="11" s="1"/>
  <c r="AK357" i="11" s="1"/>
  <c r="AK429" i="11" s="1"/>
  <c r="BB57" i="11"/>
  <c r="BB129" i="11" s="1"/>
  <c r="AS57" i="11"/>
  <c r="AS129" i="11" s="1"/>
  <c r="AS429" i="11" s="1"/>
  <c r="AO57" i="11"/>
  <c r="AJ57" i="11"/>
  <c r="AJ129" i="11" s="1"/>
  <c r="AJ213" i="11" s="1"/>
  <c r="AJ285" i="11" s="1"/>
  <c r="AJ357" i="11" s="1"/>
  <c r="AJ429" i="11" s="1"/>
  <c r="BA57" i="11"/>
  <c r="BA129" i="11" s="1"/>
  <c r="EH47" i="40" s="1"/>
  <c r="AR57" i="11"/>
  <c r="AR129" i="11" s="1"/>
  <c r="AR429" i="11" s="1"/>
  <c r="AN57" i="11"/>
  <c r="AN129" i="11" s="1"/>
  <c r="AN213" i="11" s="1"/>
  <c r="AN285" i="11" s="1"/>
  <c r="AN357" i="11" s="1"/>
  <c r="AN429" i="11" s="1"/>
  <c r="AI57" i="11"/>
  <c r="AU49" i="11"/>
  <c r="AU121" i="11" s="1"/>
  <c r="AU421" i="11" s="1"/>
  <c r="AQ49" i="11"/>
  <c r="AQ121" i="11" s="1"/>
  <c r="AQ421" i="11" s="1"/>
  <c r="AL49" i="11"/>
  <c r="AL121" i="11" s="1"/>
  <c r="AL205" i="11" s="1"/>
  <c r="AL277" i="11" s="1"/>
  <c r="AL349" i="11" s="1"/>
  <c r="AL421" i="11" s="1"/>
  <c r="AH49" i="11"/>
  <c r="AH121" i="11" s="1"/>
  <c r="AH205" i="11" s="1"/>
  <c r="AH277" i="11" s="1"/>
  <c r="AH349" i="11" s="1"/>
  <c r="AH421" i="11" s="1"/>
  <c r="AT49" i="11"/>
  <c r="AT121" i="11" s="1"/>
  <c r="AK49" i="11"/>
  <c r="AK121" i="11" s="1"/>
  <c r="AK205" i="11" s="1"/>
  <c r="AK277" i="11" s="1"/>
  <c r="AK349" i="11" s="1"/>
  <c r="AK421" i="11" s="1"/>
  <c r="BB49" i="11"/>
  <c r="BB121" i="11" s="1"/>
  <c r="AS49" i="11"/>
  <c r="AS121" i="11" s="1"/>
  <c r="AS421" i="11" s="1"/>
  <c r="AO49" i="11"/>
  <c r="AJ49" i="11"/>
  <c r="AJ121" i="11" s="1"/>
  <c r="AJ205" i="11" s="1"/>
  <c r="AJ277" i="11" s="1"/>
  <c r="AJ349" i="11" s="1"/>
  <c r="AJ421" i="11" s="1"/>
  <c r="BA49" i="11"/>
  <c r="BA121" i="11" s="1"/>
  <c r="EH39" i="40" s="1"/>
  <c r="AR49" i="11"/>
  <c r="AR121" i="11" s="1"/>
  <c r="AR421" i="11" s="1"/>
  <c r="AN49" i="11"/>
  <c r="AN121" i="11" s="1"/>
  <c r="AN205" i="11" s="1"/>
  <c r="AN277" i="11" s="1"/>
  <c r="AN349" i="11" s="1"/>
  <c r="AN421" i="11" s="1"/>
  <c r="AI49" i="11"/>
  <c r="AU41" i="11"/>
  <c r="AU113" i="11" s="1"/>
  <c r="AU413" i="11" s="1"/>
  <c r="AQ41" i="11"/>
  <c r="AQ113" i="11" s="1"/>
  <c r="AQ413" i="11" s="1"/>
  <c r="AL41" i="11"/>
  <c r="AL113" i="11" s="1"/>
  <c r="AL197" i="11" s="1"/>
  <c r="AL269" i="11" s="1"/>
  <c r="AL341" i="11" s="1"/>
  <c r="AL413" i="11" s="1"/>
  <c r="AH41" i="11"/>
  <c r="AH113" i="11" s="1"/>
  <c r="AH197" i="11" s="1"/>
  <c r="AH269" i="11" s="1"/>
  <c r="AH341" i="11" s="1"/>
  <c r="AH413" i="11" s="1"/>
  <c r="AT41" i="11"/>
  <c r="AT113" i="11" s="1"/>
  <c r="AK41" i="11"/>
  <c r="AK113" i="11" s="1"/>
  <c r="AK197" i="11" s="1"/>
  <c r="AK269" i="11" s="1"/>
  <c r="AK341" i="11" s="1"/>
  <c r="AK413" i="11" s="1"/>
  <c r="BB41" i="11"/>
  <c r="BB113" i="11" s="1"/>
  <c r="AS41" i="11"/>
  <c r="AS113" i="11" s="1"/>
  <c r="AS413" i="11" s="1"/>
  <c r="AO41" i="11"/>
  <c r="AJ41" i="11"/>
  <c r="AJ113" i="11" s="1"/>
  <c r="AJ197" i="11" s="1"/>
  <c r="AJ269" i="11" s="1"/>
  <c r="AJ341" i="11" s="1"/>
  <c r="AJ413" i="11" s="1"/>
  <c r="BA41" i="11"/>
  <c r="BA113" i="11" s="1"/>
  <c r="EH31" i="40" s="1"/>
  <c r="AR41" i="11"/>
  <c r="AR113" i="11" s="1"/>
  <c r="AR413" i="11" s="1"/>
  <c r="AN41" i="11"/>
  <c r="AN113" i="11" s="1"/>
  <c r="AN197" i="11" s="1"/>
  <c r="AN269" i="11" s="1"/>
  <c r="AN341" i="11" s="1"/>
  <c r="AN413" i="11" s="1"/>
  <c r="AI41" i="11"/>
  <c r="AU33" i="11"/>
  <c r="AU105" i="11" s="1"/>
  <c r="AU405" i="11" s="1"/>
  <c r="AQ33" i="11"/>
  <c r="AQ105" i="11" s="1"/>
  <c r="AQ405" i="11" s="1"/>
  <c r="AL33" i="11"/>
  <c r="AL105" i="11" s="1"/>
  <c r="AL189" i="11" s="1"/>
  <c r="AL261" i="11" s="1"/>
  <c r="AL333" i="11" s="1"/>
  <c r="AL405" i="11" s="1"/>
  <c r="AH33" i="11"/>
  <c r="AH105" i="11" s="1"/>
  <c r="AH189" i="11" s="1"/>
  <c r="AH261" i="11" s="1"/>
  <c r="AH333" i="11" s="1"/>
  <c r="AH405" i="11" s="1"/>
  <c r="AT33" i="11"/>
  <c r="AT105" i="11" s="1"/>
  <c r="AK33" i="11"/>
  <c r="AK105" i="11" s="1"/>
  <c r="AK189" i="11" s="1"/>
  <c r="AK261" i="11" s="1"/>
  <c r="AK333" i="11" s="1"/>
  <c r="AK405" i="11" s="1"/>
  <c r="BB33" i="11"/>
  <c r="BB105" i="11" s="1"/>
  <c r="AS33" i="11"/>
  <c r="AS105" i="11" s="1"/>
  <c r="AS405" i="11" s="1"/>
  <c r="AO33" i="11"/>
  <c r="AJ33" i="11"/>
  <c r="AJ105" i="11" s="1"/>
  <c r="AJ189" i="11" s="1"/>
  <c r="AJ261" i="11" s="1"/>
  <c r="AJ333" i="11" s="1"/>
  <c r="AJ405" i="11" s="1"/>
  <c r="BA33" i="11"/>
  <c r="BA105" i="11" s="1"/>
  <c r="EH23" i="40" s="1"/>
  <c r="AR33" i="11"/>
  <c r="AR105" i="11" s="1"/>
  <c r="AR405" i="11" s="1"/>
  <c r="AN33" i="11"/>
  <c r="AN105" i="11" s="1"/>
  <c r="AN189" i="11" s="1"/>
  <c r="AN261" i="11" s="1"/>
  <c r="AN333" i="11" s="1"/>
  <c r="AN405" i="11" s="1"/>
  <c r="AI33" i="11"/>
  <c r="AU25" i="11"/>
  <c r="AU97" i="11" s="1"/>
  <c r="AU397" i="11" s="1"/>
  <c r="AQ25" i="11"/>
  <c r="AQ97" i="11" s="1"/>
  <c r="AQ397" i="11" s="1"/>
  <c r="AL25" i="11"/>
  <c r="AL97" i="11" s="1"/>
  <c r="AL181" i="11" s="1"/>
  <c r="AL253" i="11" s="1"/>
  <c r="AL325" i="11" s="1"/>
  <c r="AL397" i="11" s="1"/>
  <c r="AH25" i="11"/>
  <c r="AH97" i="11" s="1"/>
  <c r="AT25" i="11"/>
  <c r="AT97" i="11" s="1"/>
  <c r="AK25" i="11"/>
  <c r="AK97" i="11" s="1"/>
  <c r="AK181" i="11" s="1"/>
  <c r="AK253" i="11" s="1"/>
  <c r="AK325" i="11" s="1"/>
  <c r="AK397" i="11" s="1"/>
  <c r="BB25" i="11"/>
  <c r="BB97" i="11" s="1"/>
  <c r="AS25" i="11"/>
  <c r="AS97" i="11" s="1"/>
  <c r="AS397" i="11" s="1"/>
  <c r="AO25" i="11"/>
  <c r="AJ25" i="11"/>
  <c r="AJ97" i="11" s="1"/>
  <c r="AJ181" i="11" s="1"/>
  <c r="AJ253" i="11" s="1"/>
  <c r="AJ325" i="11" s="1"/>
  <c r="AJ397" i="11" s="1"/>
  <c r="BA25" i="11"/>
  <c r="BA97" i="11" s="1"/>
  <c r="EH15" i="40" s="1"/>
  <c r="AR25" i="11"/>
  <c r="AR97" i="11" s="1"/>
  <c r="AR397" i="11" s="1"/>
  <c r="AN25" i="11"/>
  <c r="AN97" i="11" s="1"/>
  <c r="AN181" i="11" s="1"/>
  <c r="AN253" i="11" s="1"/>
  <c r="AN325" i="11" s="1"/>
  <c r="AN397" i="11" s="1"/>
  <c r="AI25" i="11"/>
  <c r="BA23" i="11"/>
  <c r="BA95" i="11" s="1"/>
  <c r="EH13" i="40" s="1"/>
  <c r="AR23" i="11"/>
  <c r="AR95" i="11" s="1"/>
  <c r="AR395" i="11" s="1"/>
  <c r="AN23" i="11"/>
  <c r="AN95" i="11" s="1"/>
  <c r="AN179" i="11" s="1"/>
  <c r="AN251" i="11" s="1"/>
  <c r="AN323" i="11" s="1"/>
  <c r="AN395" i="11" s="1"/>
  <c r="AI23" i="11"/>
  <c r="AU23" i="11"/>
  <c r="AU95" i="11" s="1"/>
  <c r="AU395" i="11" s="1"/>
  <c r="AQ23" i="11"/>
  <c r="AQ95" i="11" s="1"/>
  <c r="AQ395" i="11" s="1"/>
  <c r="AL23" i="11"/>
  <c r="AL95" i="11" s="1"/>
  <c r="AL179" i="11" s="1"/>
  <c r="AL251" i="11" s="1"/>
  <c r="AL323" i="11" s="1"/>
  <c r="AL395" i="11" s="1"/>
  <c r="AH23" i="11"/>
  <c r="AH95" i="11" s="1"/>
  <c r="AT23" i="11"/>
  <c r="AT95" i="11" s="1"/>
  <c r="AK23" i="11"/>
  <c r="AK95" i="11" s="1"/>
  <c r="AK179" i="11" s="1"/>
  <c r="AK251" i="11" s="1"/>
  <c r="AK323" i="11" s="1"/>
  <c r="AK395" i="11" s="1"/>
  <c r="BB23" i="11"/>
  <c r="BB95" i="11" s="1"/>
  <c r="AS23" i="11"/>
  <c r="AS95" i="11" s="1"/>
  <c r="AS395" i="11" s="1"/>
  <c r="AO23" i="11"/>
  <c r="AJ23" i="11"/>
  <c r="AJ95" i="11" s="1"/>
  <c r="AJ179" i="11" s="1"/>
  <c r="AJ251" i="11" s="1"/>
  <c r="AJ323" i="11" s="1"/>
  <c r="AJ395" i="11" s="1"/>
  <c r="AU44" i="11"/>
  <c r="AU116" i="11" s="1"/>
  <c r="AU416" i="11" s="1"/>
  <c r="AQ44" i="11"/>
  <c r="AQ116" i="11" s="1"/>
  <c r="AQ416" i="11" s="1"/>
  <c r="AL44" i="11"/>
  <c r="AL116" i="11" s="1"/>
  <c r="AL200" i="11" s="1"/>
  <c r="AL272" i="11" s="1"/>
  <c r="AL344" i="11" s="1"/>
  <c r="AL416" i="11" s="1"/>
  <c r="AH44" i="11"/>
  <c r="AH116" i="11" s="1"/>
  <c r="AH200" i="11" s="1"/>
  <c r="AH272" i="11" s="1"/>
  <c r="AH344" i="11" s="1"/>
  <c r="AH416" i="11" s="1"/>
  <c r="AT44" i="11"/>
  <c r="AT116" i="11" s="1"/>
  <c r="AK44" i="11"/>
  <c r="AK116" i="11" s="1"/>
  <c r="AK200" i="11" s="1"/>
  <c r="AK272" i="11" s="1"/>
  <c r="AK344" i="11" s="1"/>
  <c r="AK416" i="11" s="1"/>
  <c r="BB44" i="11"/>
  <c r="BB116" i="11" s="1"/>
  <c r="AS44" i="11"/>
  <c r="AS116" i="11" s="1"/>
  <c r="AS416" i="11" s="1"/>
  <c r="AO44" i="11"/>
  <c r="AJ44" i="11"/>
  <c r="AJ116" i="11" s="1"/>
  <c r="AJ200" i="11" s="1"/>
  <c r="AJ272" i="11" s="1"/>
  <c r="AJ344" i="11" s="1"/>
  <c r="AJ416" i="11" s="1"/>
  <c r="BA44" i="11"/>
  <c r="BA116" i="11" s="1"/>
  <c r="EH34" i="40" s="1"/>
  <c r="AR44" i="11"/>
  <c r="AR116" i="11" s="1"/>
  <c r="AR416" i="11" s="1"/>
  <c r="AN44" i="11"/>
  <c r="AN116" i="11" s="1"/>
  <c r="AN200" i="11" s="1"/>
  <c r="AN272" i="11" s="1"/>
  <c r="AN344" i="11" s="1"/>
  <c r="AN416" i="11" s="1"/>
  <c r="AI44" i="11"/>
  <c r="AU28" i="11"/>
  <c r="AU100" i="11" s="1"/>
  <c r="AU400" i="11" s="1"/>
  <c r="AQ28" i="11"/>
  <c r="AQ100" i="11" s="1"/>
  <c r="AQ400" i="11" s="1"/>
  <c r="AL28" i="11"/>
  <c r="AL100" i="11" s="1"/>
  <c r="AL184" i="11" s="1"/>
  <c r="AL256" i="11" s="1"/>
  <c r="AL328" i="11" s="1"/>
  <c r="AL400" i="11" s="1"/>
  <c r="AH28" i="11"/>
  <c r="AH100" i="11" s="1"/>
  <c r="AT28" i="11"/>
  <c r="AT100" i="11" s="1"/>
  <c r="AK28" i="11"/>
  <c r="AK100" i="11" s="1"/>
  <c r="AK184" i="11" s="1"/>
  <c r="AK256" i="11" s="1"/>
  <c r="AK328" i="11" s="1"/>
  <c r="AK400" i="11" s="1"/>
  <c r="BB28" i="11"/>
  <c r="BB100" i="11" s="1"/>
  <c r="AS28" i="11"/>
  <c r="AS100" i="11" s="1"/>
  <c r="AS400" i="11" s="1"/>
  <c r="AO28" i="11"/>
  <c r="AJ28" i="11"/>
  <c r="AJ100" i="11" s="1"/>
  <c r="AJ184" i="11" s="1"/>
  <c r="AJ256" i="11" s="1"/>
  <c r="AJ328" i="11" s="1"/>
  <c r="AJ400" i="11" s="1"/>
  <c r="BA28" i="11"/>
  <c r="BA100" i="11" s="1"/>
  <c r="EH18" i="40" s="1"/>
  <c r="AR28" i="11"/>
  <c r="AR100" i="11" s="1"/>
  <c r="AR400" i="11" s="1"/>
  <c r="AN28" i="11"/>
  <c r="AN100" i="11" s="1"/>
  <c r="AN184" i="11" s="1"/>
  <c r="AN256" i="11" s="1"/>
  <c r="AN328" i="11" s="1"/>
  <c r="AN400" i="11" s="1"/>
  <c r="AI28" i="11"/>
  <c r="BA19" i="11"/>
  <c r="BA91" i="11" s="1"/>
  <c r="EH9" i="40" s="1"/>
  <c r="AR19" i="11"/>
  <c r="AR91" i="11" s="1"/>
  <c r="AR391" i="11" s="1"/>
  <c r="AN19" i="11"/>
  <c r="AN91" i="11" s="1"/>
  <c r="AN175" i="11" s="1"/>
  <c r="AN247" i="11" s="1"/>
  <c r="AN319" i="11" s="1"/>
  <c r="AN391" i="11" s="1"/>
  <c r="AI19" i="11"/>
  <c r="AU19" i="11"/>
  <c r="AU91" i="11" s="1"/>
  <c r="AU391" i="11" s="1"/>
  <c r="AQ19" i="11"/>
  <c r="AQ91" i="11" s="1"/>
  <c r="AQ391" i="11" s="1"/>
  <c r="AL19" i="11"/>
  <c r="AL91" i="11" s="1"/>
  <c r="AL175" i="11" s="1"/>
  <c r="AL247" i="11" s="1"/>
  <c r="AL319" i="11" s="1"/>
  <c r="AL391" i="11" s="1"/>
  <c r="AH19" i="11"/>
  <c r="AH91" i="11" s="1"/>
  <c r="AT19" i="11"/>
  <c r="AT91" i="11" s="1"/>
  <c r="AK19" i="11"/>
  <c r="AK91" i="11" s="1"/>
  <c r="AK175" i="11" s="1"/>
  <c r="AK247" i="11" s="1"/>
  <c r="AK319" i="11" s="1"/>
  <c r="AK391" i="11" s="1"/>
  <c r="BB19" i="11"/>
  <c r="BB91" i="11" s="1"/>
  <c r="AS19" i="11"/>
  <c r="AS91" i="11" s="1"/>
  <c r="AS391" i="11" s="1"/>
  <c r="AO19" i="11"/>
  <c r="AJ19" i="11"/>
  <c r="AJ91" i="11" s="1"/>
  <c r="AJ175" i="11" s="1"/>
  <c r="AJ247" i="11" s="1"/>
  <c r="AJ319" i="11" s="1"/>
  <c r="AJ391" i="11" s="1"/>
  <c r="BA15" i="11"/>
  <c r="BA87" i="11" s="1"/>
  <c r="EH5" i="40" s="1"/>
  <c r="AR15" i="11"/>
  <c r="AR87" i="11" s="1"/>
  <c r="AR387" i="11" s="1"/>
  <c r="AN15" i="11"/>
  <c r="AN87" i="11" s="1"/>
  <c r="AN171" i="11" s="1"/>
  <c r="AN243" i="11" s="1"/>
  <c r="AN315" i="11" s="1"/>
  <c r="AN387" i="11" s="1"/>
  <c r="AI15" i="11"/>
  <c r="AU15" i="11"/>
  <c r="AU87" i="11" s="1"/>
  <c r="AU387" i="11" s="1"/>
  <c r="AQ15" i="11"/>
  <c r="AQ87" i="11" s="1"/>
  <c r="AQ387" i="11" s="1"/>
  <c r="AL15" i="11"/>
  <c r="AL87" i="11" s="1"/>
  <c r="AL171" i="11" s="1"/>
  <c r="AL243" i="11" s="1"/>
  <c r="AL315" i="11" s="1"/>
  <c r="AL387" i="11" s="1"/>
  <c r="AH15" i="11"/>
  <c r="AH87" i="11" s="1"/>
  <c r="AT15" i="11"/>
  <c r="AT87" i="11" s="1"/>
  <c r="AK15" i="11"/>
  <c r="AK87" i="11" s="1"/>
  <c r="AK171" i="11" s="1"/>
  <c r="AK243" i="11" s="1"/>
  <c r="AK315" i="11" s="1"/>
  <c r="AK387" i="11" s="1"/>
  <c r="BB15" i="11"/>
  <c r="BB87" i="11" s="1"/>
  <c r="AS15" i="11"/>
  <c r="AS87" i="11" s="1"/>
  <c r="AS387" i="11" s="1"/>
  <c r="AO15" i="11"/>
  <c r="AJ15" i="11"/>
  <c r="AJ87" i="11" s="1"/>
  <c r="AJ171" i="11" s="1"/>
  <c r="AJ243" i="11" s="1"/>
  <c r="AJ315" i="11" s="1"/>
  <c r="AJ387" i="11" s="1"/>
  <c r="AT21" i="11"/>
  <c r="AT93" i="11" s="1"/>
  <c r="AK21" i="11"/>
  <c r="AK93" i="11" s="1"/>
  <c r="AK177" i="11" s="1"/>
  <c r="AK249" i="11" s="1"/>
  <c r="AK321" i="11" s="1"/>
  <c r="AK393" i="11" s="1"/>
  <c r="BB21" i="11"/>
  <c r="BB93" i="11" s="1"/>
  <c r="AS21" i="11"/>
  <c r="AS93" i="11" s="1"/>
  <c r="AS393" i="11" s="1"/>
  <c r="AO21" i="11"/>
  <c r="AX21" i="11" s="1"/>
  <c r="AX93" i="11" s="1"/>
  <c r="AX177" i="11" s="1"/>
  <c r="AX249" i="11" s="1"/>
  <c r="AX321" i="11" s="1"/>
  <c r="AX393" i="11" s="1"/>
  <c r="AJ21" i="11"/>
  <c r="AJ93" i="11" s="1"/>
  <c r="AJ177" i="11" s="1"/>
  <c r="AJ249" i="11" s="1"/>
  <c r="AJ321" i="11" s="1"/>
  <c r="AJ393" i="11" s="1"/>
  <c r="BA21" i="11"/>
  <c r="BA93" i="11" s="1"/>
  <c r="EH11" i="40" s="1"/>
  <c r="AR21" i="11"/>
  <c r="AR93" i="11" s="1"/>
  <c r="AR393" i="11" s="1"/>
  <c r="AN21" i="11"/>
  <c r="AN93" i="11" s="1"/>
  <c r="AN177" i="11" s="1"/>
  <c r="AN249" i="11" s="1"/>
  <c r="AN321" i="11" s="1"/>
  <c r="AN393" i="11" s="1"/>
  <c r="AI21" i="11"/>
  <c r="AU21" i="11"/>
  <c r="AU93" i="11" s="1"/>
  <c r="AU393" i="11" s="1"/>
  <c r="AQ21" i="11"/>
  <c r="AQ93" i="11" s="1"/>
  <c r="AQ393" i="11" s="1"/>
  <c r="AL21" i="11"/>
  <c r="AL93" i="11" s="1"/>
  <c r="AL177" i="11" s="1"/>
  <c r="AL249" i="11" s="1"/>
  <c r="AL321" i="11" s="1"/>
  <c r="AL393" i="11" s="1"/>
  <c r="AH21" i="11"/>
  <c r="AH93" i="11" s="1"/>
  <c r="AU82" i="11"/>
  <c r="AU154" i="11" s="1"/>
  <c r="AU454" i="11" s="1"/>
  <c r="AQ82" i="11"/>
  <c r="AQ154" i="11" s="1"/>
  <c r="AQ454" i="11" s="1"/>
  <c r="AL82" i="11"/>
  <c r="AL154" i="11" s="1"/>
  <c r="AL238" i="11" s="1"/>
  <c r="AL310" i="11" s="1"/>
  <c r="AL382" i="11" s="1"/>
  <c r="AL454" i="11" s="1"/>
  <c r="AH82" i="11"/>
  <c r="AH154" i="11" s="1"/>
  <c r="AH238" i="11" s="1"/>
  <c r="AH310" i="11" s="1"/>
  <c r="AH382" i="11" s="1"/>
  <c r="AH454" i="11" s="1"/>
  <c r="AT82" i="11"/>
  <c r="AT154" i="11" s="1"/>
  <c r="AK82" i="11"/>
  <c r="AK154" i="11" s="1"/>
  <c r="AK238" i="11" s="1"/>
  <c r="AK310" i="11" s="1"/>
  <c r="AK382" i="11" s="1"/>
  <c r="AK454" i="11" s="1"/>
  <c r="BB82" i="11"/>
  <c r="BB154" i="11" s="1"/>
  <c r="AS82" i="11"/>
  <c r="AS154" i="11" s="1"/>
  <c r="AS454" i="11" s="1"/>
  <c r="AO82" i="11"/>
  <c r="AJ82" i="11"/>
  <c r="AJ154" i="11" s="1"/>
  <c r="AJ238" i="11" s="1"/>
  <c r="AJ310" i="11" s="1"/>
  <c r="AJ382" i="11" s="1"/>
  <c r="AJ454" i="11" s="1"/>
  <c r="BA82" i="11"/>
  <c r="BA154" i="11" s="1"/>
  <c r="EH72" i="40" s="1"/>
  <c r="AR82" i="11"/>
  <c r="AR154" i="11" s="1"/>
  <c r="AR454" i="11" s="1"/>
  <c r="AN82" i="11"/>
  <c r="AN154" i="11" s="1"/>
  <c r="AN238" i="11" s="1"/>
  <c r="AN310" i="11" s="1"/>
  <c r="AN382" i="11" s="1"/>
  <c r="AN454" i="11" s="1"/>
  <c r="AI82" i="11"/>
  <c r="AU66" i="11"/>
  <c r="AU138" i="11" s="1"/>
  <c r="AU438" i="11" s="1"/>
  <c r="AQ66" i="11"/>
  <c r="AQ138" i="11" s="1"/>
  <c r="AQ438" i="11" s="1"/>
  <c r="AL66" i="11"/>
  <c r="AL138" i="11" s="1"/>
  <c r="AL222" i="11" s="1"/>
  <c r="AL294" i="11" s="1"/>
  <c r="AL366" i="11" s="1"/>
  <c r="AL438" i="11" s="1"/>
  <c r="AH66" i="11"/>
  <c r="AH138" i="11" s="1"/>
  <c r="AH222" i="11" s="1"/>
  <c r="AH294" i="11" s="1"/>
  <c r="AH366" i="11" s="1"/>
  <c r="AH438" i="11" s="1"/>
  <c r="AT66" i="11"/>
  <c r="AT138" i="11" s="1"/>
  <c r="AK66" i="11"/>
  <c r="AK138" i="11" s="1"/>
  <c r="AK222" i="11" s="1"/>
  <c r="AK294" i="11" s="1"/>
  <c r="AK366" i="11" s="1"/>
  <c r="AK438" i="11" s="1"/>
  <c r="BB66" i="11"/>
  <c r="BB138" i="11" s="1"/>
  <c r="AS66" i="11"/>
  <c r="AS138" i="11" s="1"/>
  <c r="AS438" i="11" s="1"/>
  <c r="AO66" i="11"/>
  <c r="AJ66" i="11"/>
  <c r="AJ138" i="11" s="1"/>
  <c r="AJ222" i="11" s="1"/>
  <c r="AJ294" i="11" s="1"/>
  <c r="AJ366" i="11" s="1"/>
  <c r="AJ438" i="11" s="1"/>
  <c r="BA66" i="11"/>
  <c r="BA138" i="11" s="1"/>
  <c r="EH56" i="40" s="1"/>
  <c r="AR66" i="11"/>
  <c r="AR138" i="11" s="1"/>
  <c r="AR438" i="11" s="1"/>
  <c r="AN66" i="11"/>
  <c r="AN138" i="11" s="1"/>
  <c r="AN222" i="11" s="1"/>
  <c r="AN294" i="11" s="1"/>
  <c r="AN366" i="11" s="1"/>
  <c r="AN438" i="11" s="1"/>
  <c r="AI66" i="11"/>
  <c r="AU58" i="11"/>
  <c r="AU130" i="11" s="1"/>
  <c r="AU430" i="11" s="1"/>
  <c r="AQ58" i="11"/>
  <c r="AQ130" i="11" s="1"/>
  <c r="AQ430" i="11" s="1"/>
  <c r="AL58" i="11"/>
  <c r="AL130" i="11" s="1"/>
  <c r="AL214" i="11" s="1"/>
  <c r="AL286" i="11" s="1"/>
  <c r="AL358" i="11" s="1"/>
  <c r="AL430" i="11" s="1"/>
  <c r="AH58" i="11"/>
  <c r="AH130" i="11" s="1"/>
  <c r="AH214" i="11" s="1"/>
  <c r="AH286" i="11" s="1"/>
  <c r="AH358" i="11" s="1"/>
  <c r="AH430" i="11" s="1"/>
  <c r="AT58" i="11"/>
  <c r="AT130" i="11" s="1"/>
  <c r="AK58" i="11"/>
  <c r="AK130" i="11" s="1"/>
  <c r="AK214" i="11" s="1"/>
  <c r="AK286" i="11" s="1"/>
  <c r="AK358" i="11" s="1"/>
  <c r="AK430" i="11" s="1"/>
  <c r="BB58" i="11"/>
  <c r="BB130" i="11" s="1"/>
  <c r="AS58" i="11"/>
  <c r="AS130" i="11" s="1"/>
  <c r="AS430" i="11" s="1"/>
  <c r="AO58" i="11"/>
  <c r="AJ58" i="11"/>
  <c r="AJ130" i="11" s="1"/>
  <c r="AJ214" i="11" s="1"/>
  <c r="AJ286" i="11" s="1"/>
  <c r="AJ358" i="11" s="1"/>
  <c r="AJ430" i="11" s="1"/>
  <c r="BA58" i="11"/>
  <c r="BA130" i="11" s="1"/>
  <c r="EH48" i="40" s="1"/>
  <c r="AR58" i="11"/>
  <c r="AR130" i="11" s="1"/>
  <c r="AR430" i="11" s="1"/>
  <c r="AN58" i="11"/>
  <c r="AN130" i="11" s="1"/>
  <c r="AN214" i="11" s="1"/>
  <c r="AN286" i="11" s="1"/>
  <c r="AN358" i="11" s="1"/>
  <c r="AN430" i="11" s="1"/>
  <c r="AI58" i="11"/>
  <c r="AU50" i="11"/>
  <c r="AU122" i="11" s="1"/>
  <c r="AU422" i="11" s="1"/>
  <c r="AQ50" i="11"/>
  <c r="AQ122" i="11" s="1"/>
  <c r="AQ422" i="11" s="1"/>
  <c r="AL50" i="11"/>
  <c r="AL122" i="11" s="1"/>
  <c r="AL206" i="11" s="1"/>
  <c r="AL278" i="11" s="1"/>
  <c r="AL350" i="11" s="1"/>
  <c r="AL422" i="11" s="1"/>
  <c r="AH50" i="11"/>
  <c r="AH122" i="11" s="1"/>
  <c r="AH206" i="11" s="1"/>
  <c r="AH278" i="11" s="1"/>
  <c r="AH350" i="11" s="1"/>
  <c r="AH422" i="11" s="1"/>
  <c r="AT50" i="11"/>
  <c r="AT122" i="11" s="1"/>
  <c r="AK50" i="11"/>
  <c r="AK122" i="11" s="1"/>
  <c r="AK206" i="11" s="1"/>
  <c r="AK278" i="11" s="1"/>
  <c r="AK350" i="11" s="1"/>
  <c r="AK422" i="11" s="1"/>
  <c r="BB50" i="11"/>
  <c r="BB122" i="11" s="1"/>
  <c r="AS50" i="11"/>
  <c r="AS122" i="11" s="1"/>
  <c r="AS422" i="11" s="1"/>
  <c r="AO50" i="11"/>
  <c r="AJ50" i="11"/>
  <c r="AJ122" i="11" s="1"/>
  <c r="AJ206" i="11" s="1"/>
  <c r="AJ278" i="11" s="1"/>
  <c r="AJ350" i="11" s="1"/>
  <c r="AJ422" i="11" s="1"/>
  <c r="BA50" i="11"/>
  <c r="BA122" i="11" s="1"/>
  <c r="EH40" i="40" s="1"/>
  <c r="AR50" i="11"/>
  <c r="AR122" i="11" s="1"/>
  <c r="AR422" i="11" s="1"/>
  <c r="AN50" i="11"/>
  <c r="AN122" i="11" s="1"/>
  <c r="AN206" i="11" s="1"/>
  <c r="AN278" i="11" s="1"/>
  <c r="AN350" i="11" s="1"/>
  <c r="AN422" i="11" s="1"/>
  <c r="AI50" i="11"/>
  <c r="AU42" i="11"/>
  <c r="AU114" i="11" s="1"/>
  <c r="AU414" i="11" s="1"/>
  <c r="AQ42" i="11"/>
  <c r="AQ114" i="11" s="1"/>
  <c r="AQ414" i="11" s="1"/>
  <c r="AL42" i="11"/>
  <c r="AL114" i="11" s="1"/>
  <c r="AL198" i="11" s="1"/>
  <c r="AL270" i="11" s="1"/>
  <c r="AL342" i="11" s="1"/>
  <c r="AL414" i="11" s="1"/>
  <c r="AH42" i="11"/>
  <c r="AH114" i="11" s="1"/>
  <c r="AH198" i="11" s="1"/>
  <c r="AH270" i="11" s="1"/>
  <c r="AH342" i="11" s="1"/>
  <c r="AH414" i="11" s="1"/>
  <c r="AT42" i="11"/>
  <c r="AT114" i="11" s="1"/>
  <c r="AK42" i="11"/>
  <c r="AK114" i="11" s="1"/>
  <c r="AK198" i="11" s="1"/>
  <c r="AK270" i="11" s="1"/>
  <c r="AK342" i="11" s="1"/>
  <c r="AK414" i="11" s="1"/>
  <c r="BB42" i="11"/>
  <c r="BB114" i="11" s="1"/>
  <c r="AS42" i="11"/>
  <c r="AS114" i="11" s="1"/>
  <c r="AS414" i="11" s="1"/>
  <c r="AO42" i="11"/>
  <c r="AJ42" i="11"/>
  <c r="AJ114" i="11" s="1"/>
  <c r="AJ198" i="11" s="1"/>
  <c r="AJ270" i="11" s="1"/>
  <c r="AJ342" i="11" s="1"/>
  <c r="AJ414" i="11" s="1"/>
  <c r="BA42" i="11"/>
  <c r="BA114" i="11" s="1"/>
  <c r="EH32" i="40" s="1"/>
  <c r="AR42" i="11"/>
  <c r="AR114" i="11" s="1"/>
  <c r="AR414" i="11" s="1"/>
  <c r="AN42" i="11"/>
  <c r="AN114" i="11" s="1"/>
  <c r="AN198" i="11" s="1"/>
  <c r="AN270" i="11" s="1"/>
  <c r="AN342" i="11" s="1"/>
  <c r="AN414" i="11" s="1"/>
  <c r="AI42" i="11"/>
  <c r="AU34" i="11"/>
  <c r="AU106" i="11" s="1"/>
  <c r="AU406" i="11" s="1"/>
  <c r="AQ34" i="11"/>
  <c r="AQ106" i="11" s="1"/>
  <c r="AQ406" i="11" s="1"/>
  <c r="AL34" i="11"/>
  <c r="AL106" i="11" s="1"/>
  <c r="AL190" i="11" s="1"/>
  <c r="AL262" i="11" s="1"/>
  <c r="AL334" i="11" s="1"/>
  <c r="AL406" i="11" s="1"/>
  <c r="AH34" i="11"/>
  <c r="AH106" i="11" s="1"/>
  <c r="AH190" i="11" s="1"/>
  <c r="AH262" i="11" s="1"/>
  <c r="AH334" i="11" s="1"/>
  <c r="AH406" i="11" s="1"/>
  <c r="AT34" i="11"/>
  <c r="AT106" i="11" s="1"/>
  <c r="AK34" i="11"/>
  <c r="AK106" i="11" s="1"/>
  <c r="AK190" i="11" s="1"/>
  <c r="AK262" i="11" s="1"/>
  <c r="AK334" i="11" s="1"/>
  <c r="AK406" i="11" s="1"/>
  <c r="BB34" i="11"/>
  <c r="BB106" i="11" s="1"/>
  <c r="AS34" i="11"/>
  <c r="AS106" i="11" s="1"/>
  <c r="AS406" i="11" s="1"/>
  <c r="AO34" i="11"/>
  <c r="AJ34" i="11"/>
  <c r="AJ106" i="11" s="1"/>
  <c r="AJ190" i="11" s="1"/>
  <c r="AJ262" i="11" s="1"/>
  <c r="AJ334" i="11" s="1"/>
  <c r="AJ406" i="11" s="1"/>
  <c r="BA34" i="11"/>
  <c r="BA106" i="11" s="1"/>
  <c r="EH24" i="40" s="1"/>
  <c r="AR34" i="11"/>
  <c r="AR106" i="11" s="1"/>
  <c r="AR406" i="11" s="1"/>
  <c r="AN34" i="11"/>
  <c r="AN106" i="11" s="1"/>
  <c r="AN190" i="11" s="1"/>
  <c r="AN262" i="11" s="1"/>
  <c r="AN334" i="11" s="1"/>
  <c r="AN406" i="11" s="1"/>
  <c r="AI34" i="11"/>
  <c r="AU26" i="11"/>
  <c r="AU98" i="11" s="1"/>
  <c r="AU398" i="11" s="1"/>
  <c r="AQ26" i="11"/>
  <c r="AQ98" i="11" s="1"/>
  <c r="AQ398" i="11" s="1"/>
  <c r="AL26" i="11"/>
  <c r="AL98" i="11" s="1"/>
  <c r="AL182" i="11" s="1"/>
  <c r="AL254" i="11" s="1"/>
  <c r="AL326" i="11" s="1"/>
  <c r="AL398" i="11" s="1"/>
  <c r="AH26" i="11"/>
  <c r="AH98" i="11" s="1"/>
  <c r="AT26" i="11"/>
  <c r="AT98" i="11" s="1"/>
  <c r="AK26" i="11"/>
  <c r="AK98" i="11" s="1"/>
  <c r="AK182" i="11" s="1"/>
  <c r="AK254" i="11" s="1"/>
  <c r="AK326" i="11" s="1"/>
  <c r="AK398" i="11" s="1"/>
  <c r="BB26" i="11"/>
  <c r="BB98" i="11" s="1"/>
  <c r="AS26" i="11"/>
  <c r="AS98" i="11" s="1"/>
  <c r="AS398" i="11" s="1"/>
  <c r="AO26" i="11"/>
  <c r="AJ26" i="11"/>
  <c r="AJ98" i="11" s="1"/>
  <c r="AJ182" i="11" s="1"/>
  <c r="AJ254" i="11" s="1"/>
  <c r="AJ326" i="11" s="1"/>
  <c r="AJ398" i="11" s="1"/>
  <c r="BA26" i="11"/>
  <c r="BA98" i="11" s="1"/>
  <c r="EH16" i="40" s="1"/>
  <c r="AR26" i="11"/>
  <c r="AR98" i="11" s="1"/>
  <c r="AR398" i="11" s="1"/>
  <c r="AN26" i="11"/>
  <c r="AN98" i="11" s="1"/>
  <c r="AN182" i="11" s="1"/>
  <c r="AN254" i="11" s="1"/>
  <c r="AN326" i="11" s="1"/>
  <c r="AN398" i="11" s="1"/>
  <c r="AI26" i="11"/>
  <c r="AG391" i="37"/>
  <c r="AG247" i="37"/>
  <c r="AG319" i="37"/>
  <c r="AG91" i="37"/>
  <c r="AG175" i="37"/>
  <c r="AG19" i="37"/>
  <c r="AG416" i="37"/>
  <c r="AG344" i="37"/>
  <c r="AG272" i="37"/>
  <c r="AG200" i="37"/>
  <c r="AG116" i="37"/>
  <c r="AG44" i="37"/>
  <c r="AG397" i="37"/>
  <c r="AG253" i="37"/>
  <c r="AG325" i="37"/>
  <c r="AG181" i="37"/>
  <c r="AG97" i="37"/>
  <c r="AG25" i="37"/>
  <c r="AG401" i="37"/>
  <c r="AG257" i="37"/>
  <c r="AG329" i="37"/>
  <c r="AG185" i="37"/>
  <c r="AG101" i="37"/>
  <c r="AG29" i="37"/>
  <c r="AG405" i="37"/>
  <c r="AG261" i="37"/>
  <c r="AG333" i="37"/>
  <c r="AG189" i="37"/>
  <c r="AG105" i="37"/>
  <c r="AG33" i="37"/>
  <c r="AG415" i="37"/>
  <c r="AG271" i="37"/>
  <c r="AG343" i="37"/>
  <c r="AG199" i="37"/>
  <c r="AG115" i="37"/>
  <c r="AG43" i="37"/>
  <c r="AG414" i="37"/>
  <c r="AG270" i="37"/>
  <c r="AG198" i="37"/>
  <c r="AG342" i="37"/>
  <c r="AG114" i="37"/>
  <c r="AG42" i="37"/>
  <c r="AG394" i="37"/>
  <c r="AG250" i="37"/>
  <c r="AG322" i="37"/>
  <c r="AG178" i="37"/>
  <c r="AG94" i="37"/>
  <c r="AG22" i="37"/>
  <c r="AG419" i="37"/>
  <c r="AG275" i="37"/>
  <c r="AG347" i="37"/>
  <c r="AG203" i="37"/>
  <c r="AG119" i="37"/>
  <c r="AG47" i="37"/>
  <c r="AG423" i="37"/>
  <c r="AG279" i="37"/>
  <c r="AG351" i="37"/>
  <c r="AG207" i="37"/>
  <c r="AG123" i="37"/>
  <c r="AG51" i="37"/>
  <c r="AG427" i="37"/>
  <c r="AG283" i="37"/>
  <c r="AG355" i="37"/>
  <c r="AG211" i="37"/>
  <c r="AG127" i="37"/>
  <c r="AG55" i="37"/>
  <c r="AG431" i="37"/>
  <c r="AG287" i="37"/>
  <c r="AG359" i="37"/>
  <c r="AG215" i="37"/>
  <c r="AG131" i="37"/>
  <c r="AG59" i="37"/>
  <c r="AG435" i="37"/>
  <c r="AG291" i="37"/>
  <c r="AG363" i="37"/>
  <c r="AG219" i="37"/>
  <c r="AG135" i="37"/>
  <c r="AG63" i="37"/>
  <c r="AG439" i="37"/>
  <c r="AG295" i="37"/>
  <c r="AG367" i="37"/>
  <c r="AG223" i="37"/>
  <c r="AG139" i="37"/>
  <c r="AG67" i="37"/>
  <c r="AG443" i="37"/>
  <c r="AG299" i="37"/>
  <c r="AG371" i="37"/>
  <c r="AG227" i="37"/>
  <c r="AG143" i="37"/>
  <c r="AG71" i="37"/>
  <c r="AG447" i="37"/>
  <c r="AG303" i="37"/>
  <c r="AG375" i="37"/>
  <c r="AG231" i="37"/>
  <c r="AG147" i="37"/>
  <c r="AG75" i="37"/>
  <c r="AG451" i="37"/>
  <c r="AG379" i="37"/>
  <c r="AG307" i="37"/>
  <c r="AG235" i="37"/>
  <c r="AG151" i="37"/>
  <c r="AG79" i="37"/>
  <c r="AG455" i="37"/>
  <c r="AG383" i="37"/>
  <c r="AG311" i="37"/>
  <c r="AG239" i="37"/>
  <c r="AG155" i="37"/>
  <c r="AG83" i="37"/>
  <c r="AU77" i="11"/>
  <c r="AU149" i="11" s="1"/>
  <c r="AU449" i="11" s="1"/>
  <c r="AQ77" i="11"/>
  <c r="AQ149" i="11" s="1"/>
  <c r="AQ449" i="11" s="1"/>
  <c r="AL77" i="11"/>
  <c r="AL149" i="11" s="1"/>
  <c r="AL233" i="11" s="1"/>
  <c r="AL305" i="11" s="1"/>
  <c r="AL377" i="11" s="1"/>
  <c r="AL449" i="11" s="1"/>
  <c r="AH77" i="11"/>
  <c r="AH149" i="11" s="1"/>
  <c r="AH233" i="11" s="1"/>
  <c r="AH305" i="11" s="1"/>
  <c r="AH377" i="11" s="1"/>
  <c r="AH449" i="11" s="1"/>
  <c r="AT77" i="11"/>
  <c r="AT149" i="11" s="1"/>
  <c r="AK77" i="11"/>
  <c r="AK149" i="11" s="1"/>
  <c r="AK233" i="11" s="1"/>
  <c r="AK305" i="11" s="1"/>
  <c r="AK377" i="11" s="1"/>
  <c r="AK449" i="11" s="1"/>
  <c r="BB77" i="11"/>
  <c r="BB149" i="11" s="1"/>
  <c r="AS77" i="11"/>
  <c r="AS149" i="11" s="1"/>
  <c r="AS449" i="11" s="1"/>
  <c r="AO77" i="11"/>
  <c r="AJ77" i="11"/>
  <c r="AJ149" i="11" s="1"/>
  <c r="AJ233" i="11" s="1"/>
  <c r="AJ305" i="11" s="1"/>
  <c r="AJ377" i="11" s="1"/>
  <c r="AJ449" i="11" s="1"/>
  <c r="BA77" i="11"/>
  <c r="BA149" i="11" s="1"/>
  <c r="EH67" i="40" s="1"/>
  <c r="AR77" i="11"/>
  <c r="AR149" i="11" s="1"/>
  <c r="AR449" i="11" s="1"/>
  <c r="AN77" i="11"/>
  <c r="AN149" i="11" s="1"/>
  <c r="AN233" i="11" s="1"/>
  <c r="AN305" i="11" s="1"/>
  <c r="AN377" i="11" s="1"/>
  <c r="AN449" i="11" s="1"/>
  <c r="AI77" i="11"/>
  <c r="AU69" i="11"/>
  <c r="AU141" i="11" s="1"/>
  <c r="AU441" i="11" s="1"/>
  <c r="AQ69" i="11"/>
  <c r="AQ141" i="11" s="1"/>
  <c r="AQ441" i="11" s="1"/>
  <c r="AL69" i="11"/>
  <c r="AL141" i="11" s="1"/>
  <c r="AL225" i="11" s="1"/>
  <c r="AL297" i="11" s="1"/>
  <c r="AL369" i="11" s="1"/>
  <c r="AL441" i="11" s="1"/>
  <c r="AH69" i="11"/>
  <c r="AH141" i="11" s="1"/>
  <c r="AH225" i="11" s="1"/>
  <c r="AH297" i="11" s="1"/>
  <c r="AH369" i="11" s="1"/>
  <c r="AH441" i="11" s="1"/>
  <c r="AT69" i="11"/>
  <c r="AT141" i="11" s="1"/>
  <c r="AK69" i="11"/>
  <c r="AK141" i="11" s="1"/>
  <c r="AK225" i="11" s="1"/>
  <c r="AK297" i="11" s="1"/>
  <c r="AK369" i="11" s="1"/>
  <c r="AK441" i="11" s="1"/>
  <c r="BB69" i="11"/>
  <c r="BB141" i="11" s="1"/>
  <c r="AS69" i="11"/>
  <c r="AS141" i="11" s="1"/>
  <c r="AS441" i="11" s="1"/>
  <c r="AO69" i="11"/>
  <c r="AJ69" i="11"/>
  <c r="AJ141" i="11" s="1"/>
  <c r="AJ225" i="11" s="1"/>
  <c r="AJ297" i="11" s="1"/>
  <c r="AJ369" i="11" s="1"/>
  <c r="AJ441" i="11" s="1"/>
  <c r="BA69" i="11"/>
  <c r="BA141" i="11" s="1"/>
  <c r="EH59" i="40" s="1"/>
  <c r="AR69" i="11"/>
  <c r="AR141" i="11" s="1"/>
  <c r="AR441" i="11" s="1"/>
  <c r="AN69" i="11"/>
  <c r="AN141" i="11" s="1"/>
  <c r="AN225" i="11" s="1"/>
  <c r="AN297" i="11" s="1"/>
  <c r="AN369" i="11" s="1"/>
  <c r="AN441" i="11" s="1"/>
  <c r="AI69" i="11"/>
  <c r="AU60" i="11"/>
  <c r="AU132" i="11" s="1"/>
  <c r="AU432" i="11" s="1"/>
  <c r="AQ60" i="11"/>
  <c r="AQ132" i="11" s="1"/>
  <c r="AQ432" i="11" s="1"/>
  <c r="AL60" i="11"/>
  <c r="AL132" i="11" s="1"/>
  <c r="AL216" i="11" s="1"/>
  <c r="AL288" i="11" s="1"/>
  <c r="AL360" i="11" s="1"/>
  <c r="AL432" i="11" s="1"/>
  <c r="AH60" i="11"/>
  <c r="AH132" i="11" s="1"/>
  <c r="AH216" i="11" s="1"/>
  <c r="AH288" i="11" s="1"/>
  <c r="AH360" i="11" s="1"/>
  <c r="AH432" i="11" s="1"/>
  <c r="AT60" i="11"/>
  <c r="AT132" i="11" s="1"/>
  <c r="AK60" i="11"/>
  <c r="AK132" i="11" s="1"/>
  <c r="AK216" i="11" s="1"/>
  <c r="AK288" i="11" s="1"/>
  <c r="AK360" i="11" s="1"/>
  <c r="AK432" i="11" s="1"/>
  <c r="BB60" i="11"/>
  <c r="BB132" i="11" s="1"/>
  <c r="AS60" i="11"/>
  <c r="AS132" i="11" s="1"/>
  <c r="AS432" i="11" s="1"/>
  <c r="AO60" i="11"/>
  <c r="AX60" i="11" s="1"/>
  <c r="AX132" i="11" s="1"/>
  <c r="AX216" i="11" s="1"/>
  <c r="AX288" i="11" s="1"/>
  <c r="AX360" i="11" s="1"/>
  <c r="AX432" i="11" s="1"/>
  <c r="AJ60" i="11"/>
  <c r="AJ132" i="11" s="1"/>
  <c r="AJ216" i="11" s="1"/>
  <c r="AJ288" i="11" s="1"/>
  <c r="AJ360" i="11" s="1"/>
  <c r="AJ432" i="11" s="1"/>
  <c r="BA60" i="11"/>
  <c r="BA132" i="11" s="1"/>
  <c r="EH50" i="40" s="1"/>
  <c r="AR60" i="11"/>
  <c r="AR132" i="11" s="1"/>
  <c r="AR432" i="11" s="1"/>
  <c r="AN60" i="11"/>
  <c r="AN132" i="11" s="1"/>
  <c r="AN216" i="11" s="1"/>
  <c r="AN288" i="11" s="1"/>
  <c r="AN360" i="11" s="1"/>
  <c r="AN432" i="11" s="1"/>
  <c r="AI60" i="11"/>
  <c r="AU52" i="11"/>
  <c r="AU124" i="11" s="1"/>
  <c r="AU424" i="11" s="1"/>
  <c r="AQ52" i="11"/>
  <c r="AQ124" i="11" s="1"/>
  <c r="AQ424" i="11" s="1"/>
  <c r="AL52" i="11"/>
  <c r="AL124" i="11" s="1"/>
  <c r="AL208" i="11" s="1"/>
  <c r="AL280" i="11" s="1"/>
  <c r="AL352" i="11" s="1"/>
  <c r="AL424" i="11" s="1"/>
  <c r="AH52" i="11"/>
  <c r="AH124" i="11" s="1"/>
  <c r="AH208" i="11" s="1"/>
  <c r="AH280" i="11" s="1"/>
  <c r="AH352" i="11" s="1"/>
  <c r="AH424" i="11" s="1"/>
  <c r="AT52" i="11"/>
  <c r="AT124" i="11" s="1"/>
  <c r="AK52" i="11"/>
  <c r="AK124" i="11" s="1"/>
  <c r="AK208" i="11" s="1"/>
  <c r="AK280" i="11" s="1"/>
  <c r="AK352" i="11" s="1"/>
  <c r="AK424" i="11" s="1"/>
  <c r="BB52" i="11"/>
  <c r="BB124" i="11" s="1"/>
  <c r="AS52" i="11"/>
  <c r="AS124" i="11" s="1"/>
  <c r="AS424" i="11" s="1"/>
  <c r="AO52" i="11"/>
  <c r="AX52" i="11" s="1"/>
  <c r="AX124" i="11" s="1"/>
  <c r="AX208" i="11" s="1"/>
  <c r="AX280" i="11" s="1"/>
  <c r="AX352" i="11" s="1"/>
  <c r="AX424" i="11" s="1"/>
  <c r="AJ52" i="11"/>
  <c r="AJ124" i="11" s="1"/>
  <c r="AJ208" i="11" s="1"/>
  <c r="AJ280" i="11" s="1"/>
  <c r="AJ352" i="11" s="1"/>
  <c r="AJ424" i="11" s="1"/>
  <c r="BA52" i="11"/>
  <c r="BA124" i="11" s="1"/>
  <c r="EH42" i="40" s="1"/>
  <c r="AR52" i="11"/>
  <c r="AR124" i="11" s="1"/>
  <c r="AR424" i="11" s="1"/>
  <c r="AN52" i="11"/>
  <c r="AN124" i="11" s="1"/>
  <c r="AN208" i="11" s="1"/>
  <c r="AN280" i="11" s="1"/>
  <c r="AN352" i="11" s="1"/>
  <c r="AN424" i="11" s="1"/>
  <c r="AI52" i="11"/>
  <c r="AU36" i="11"/>
  <c r="AU108" i="11" s="1"/>
  <c r="AU408" i="11" s="1"/>
  <c r="AQ36" i="11"/>
  <c r="AQ108" i="11" s="1"/>
  <c r="AQ408" i="11" s="1"/>
  <c r="AL36" i="11"/>
  <c r="AL108" i="11" s="1"/>
  <c r="AL192" i="11" s="1"/>
  <c r="AL264" i="11" s="1"/>
  <c r="AL336" i="11" s="1"/>
  <c r="AL408" i="11" s="1"/>
  <c r="AH36" i="11"/>
  <c r="AH108" i="11" s="1"/>
  <c r="AH192" i="11" s="1"/>
  <c r="AH264" i="11" s="1"/>
  <c r="AH336" i="11" s="1"/>
  <c r="AH408" i="11" s="1"/>
  <c r="AT36" i="11"/>
  <c r="AT108" i="11" s="1"/>
  <c r="AK36" i="11"/>
  <c r="AK108" i="11" s="1"/>
  <c r="AK192" i="11" s="1"/>
  <c r="AK264" i="11" s="1"/>
  <c r="AK336" i="11" s="1"/>
  <c r="AK408" i="11" s="1"/>
  <c r="BB36" i="11"/>
  <c r="BB108" i="11" s="1"/>
  <c r="AS36" i="11"/>
  <c r="AS108" i="11" s="1"/>
  <c r="AS408" i="11" s="1"/>
  <c r="AO36" i="11"/>
  <c r="AX36" i="11" s="1"/>
  <c r="AX108" i="11" s="1"/>
  <c r="AX192" i="11" s="1"/>
  <c r="AX264" i="11" s="1"/>
  <c r="AX336" i="11" s="1"/>
  <c r="AX408" i="11" s="1"/>
  <c r="AJ36" i="11"/>
  <c r="AJ108" i="11" s="1"/>
  <c r="AJ192" i="11" s="1"/>
  <c r="AJ264" i="11" s="1"/>
  <c r="AJ336" i="11" s="1"/>
  <c r="AJ408" i="11" s="1"/>
  <c r="BA36" i="11"/>
  <c r="BA108" i="11" s="1"/>
  <c r="EH26" i="40" s="1"/>
  <c r="AR36" i="11"/>
  <c r="AR108" i="11" s="1"/>
  <c r="AR408" i="11" s="1"/>
  <c r="AN36" i="11"/>
  <c r="AN108" i="11" s="1"/>
  <c r="AN192" i="11" s="1"/>
  <c r="AN264" i="11" s="1"/>
  <c r="AN336" i="11" s="1"/>
  <c r="AN408" i="11" s="1"/>
  <c r="AI36" i="11"/>
  <c r="AU40" i="11"/>
  <c r="AU112" i="11" s="1"/>
  <c r="AU412" i="11" s="1"/>
  <c r="AQ40" i="11"/>
  <c r="AQ112" i="11" s="1"/>
  <c r="AQ412" i="11" s="1"/>
  <c r="AL40" i="11"/>
  <c r="AL112" i="11" s="1"/>
  <c r="AL196" i="11" s="1"/>
  <c r="AL268" i="11" s="1"/>
  <c r="AL340" i="11" s="1"/>
  <c r="AL412" i="11" s="1"/>
  <c r="AH40" i="11"/>
  <c r="AH112" i="11" s="1"/>
  <c r="AH196" i="11" s="1"/>
  <c r="AH268" i="11" s="1"/>
  <c r="AH340" i="11" s="1"/>
  <c r="AH412" i="11" s="1"/>
  <c r="AT40" i="11"/>
  <c r="AT112" i="11" s="1"/>
  <c r="AK40" i="11"/>
  <c r="AK112" i="11" s="1"/>
  <c r="AK196" i="11" s="1"/>
  <c r="AK268" i="11" s="1"/>
  <c r="AK340" i="11" s="1"/>
  <c r="AK412" i="11" s="1"/>
  <c r="BB40" i="11"/>
  <c r="BB112" i="11" s="1"/>
  <c r="AS40" i="11"/>
  <c r="AS112" i="11" s="1"/>
  <c r="AS412" i="11" s="1"/>
  <c r="AO40" i="11"/>
  <c r="AX40" i="11" s="1"/>
  <c r="AX112" i="11" s="1"/>
  <c r="AX196" i="11" s="1"/>
  <c r="AX268" i="11" s="1"/>
  <c r="AX340" i="11" s="1"/>
  <c r="AX412" i="11" s="1"/>
  <c r="AJ40" i="11"/>
  <c r="AJ112" i="11" s="1"/>
  <c r="AJ196" i="11" s="1"/>
  <c r="AJ268" i="11" s="1"/>
  <c r="AJ340" i="11" s="1"/>
  <c r="AJ412" i="11" s="1"/>
  <c r="BA40" i="11"/>
  <c r="BA112" i="11" s="1"/>
  <c r="EH30" i="40" s="1"/>
  <c r="AR40" i="11"/>
  <c r="AR112" i="11" s="1"/>
  <c r="AR412" i="11" s="1"/>
  <c r="AN40" i="11"/>
  <c r="AN112" i="11" s="1"/>
  <c r="AN196" i="11" s="1"/>
  <c r="AN268" i="11" s="1"/>
  <c r="AN340" i="11" s="1"/>
  <c r="AN412" i="11" s="1"/>
  <c r="AI40" i="11"/>
  <c r="AU83" i="11"/>
  <c r="AU155" i="11" s="1"/>
  <c r="AU455" i="11" s="1"/>
  <c r="AQ83" i="11"/>
  <c r="AQ155" i="11" s="1"/>
  <c r="AQ455" i="11" s="1"/>
  <c r="AL83" i="11"/>
  <c r="AL155" i="11" s="1"/>
  <c r="AL239" i="11" s="1"/>
  <c r="AL311" i="11" s="1"/>
  <c r="AL383" i="11" s="1"/>
  <c r="AL455" i="11" s="1"/>
  <c r="AH83" i="11"/>
  <c r="AH155" i="11" s="1"/>
  <c r="AH239" i="11" s="1"/>
  <c r="AH311" i="11" s="1"/>
  <c r="AH383" i="11" s="1"/>
  <c r="AH455" i="11" s="1"/>
  <c r="AT83" i="11"/>
  <c r="AT155" i="11" s="1"/>
  <c r="AK83" i="11"/>
  <c r="AK155" i="11" s="1"/>
  <c r="AK239" i="11" s="1"/>
  <c r="AK311" i="11" s="1"/>
  <c r="AK383" i="11" s="1"/>
  <c r="AK455" i="11" s="1"/>
  <c r="BB83" i="11"/>
  <c r="BB155" i="11" s="1"/>
  <c r="AS83" i="11"/>
  <c r="AS155" i="11" s="1"/>
  <c r="AS455" i="11" s="1"/>
  <c r="AO83" i="11"/>
  <c r="AX83" i="11" s="1"/>
  <c r="AX155" i="11" s="1"/>
  <c r="AX239" i="11" s="1"/>
  <c r="AX311" i="11" s="1"/>
  <c r="AX383" i="11" s="1"/>
  <c r="AX455" i="11" s="1"/>
  <c r="AJ83" i="11"/>
  <c r="AJ155" i="11" s="1"/>
  <c r="AJ239" i="11" s="1"/>
  <c r="AJ311" i="11" s="1"/>
  <c r="AJ383" i="11" s="1"/>
  <c r="AJ455" i="11" s="1"/>
  <c r="BA83" i="11"/>
  <c r="BA155" i="11" s="1"/>
  <c r="EH73" i="40" s="1"/>
  <c r="AR83" i="11"/>
  <c r="AR155" i="11" s="1"/>
  <c r="AR455" i="11" s="1"/>
  <c r="AN83" i="11"/>
  <c r="AN155" i="11" s="1"/>
  <c r="AN239" i="11" s="1"/>
  <c r="AN311" i="11" s="1"/>
  <c r="AN383" i="11" s="1"/>
  <c r="AN455" i="11" s="1"/>
  <c r="AI83" i="11"/>
  <c r="AU75" i="11"/>
  <c r="AU147" i="11" s="1"/>
  <c r="AU447" i="11" s="1"/>
  <c r="AQ75" i="11"/>
  <c r="AQ147" i="11" s="1"/>
  <c r="AQ447" i="11" s="1"/>
  <c r="AL75" i="11"/>
  <c r="AL147" i="11" s="1"/>
  <c r="AL231" i="11" s="1"/>
  <c r="AL303" i="11" s="1"/>
  <c r="AL375" i="11" s="1"/>
  <c r="AL447" i="11" s="1"/>
  <c r="AH75" i="11"/>
  <c r="AH147" i="11" s="1"/>
  <c r="AH231" i="11" s="1"/>
  <c r="AH303" i="11" s="1"/>
  <c r="AH375" i="11" s="1"/>
  <c r="AH447" i="11" s="1"/>
  <c r="AT75" i="11"/>
  <c r="AT147" i="11" s="1"/>
  <c r="AK75" i="11"/>
  <c r="AK147" i="11" s="1"/>
  <c r="AK231" i="11" s="1"/>
  <c r="AK303" i="11" s="1"/>
  <c r="AK375" i="11" s="1"/>
  <c r="AK447" i="11" s="1"/>
  <c r="BB75" i="11"/>
  <c r="BB147" i="11" s="1"/>
  <c r="AS75" i="11"/>
  <c r="AS147" i="11" s="1"/>
  <c r="AS447" i="11" s="1"/>
  <c r="AO75" i="11"/>
  <c r="AX75" i="11" s="1"/>
  <c r="AX147" i="11" s="1"/>
  <c r="AX231" i="11" s="1"/>
  <c r="AX303" i="11" s="1"/>
  <c r="AX375" i="11" s="1"/>
  <c r="AX447" i="11" s="1"/>
  <c r="AJ75" i="11"/>
  <c r="AJ147" i="11" s="1"/>
  <c r="AJ231" i="11" s="1"/>
  <c r="AJ303" i="11" s="1"/>
  <c r="AJ375" i="11" s="1"/>
  <c r="AJ447" i="11" s="1"/>
  <c r="BA75" i="11"/>
  <c r="BA147" i="11" s="1"/>
  <c r="EH65" i="40" s="1"/>
  <c r="AR75" i="11"/>
  <c r="AR147" i="11" s="1"/>
  <c r="AR447" i="11" s="1"/>
  <c r="AN75" i="11"/>
  <c r="AN147" i="11" s="1"/>
  <c r="AN231" i="11" s="1"/>
  <c r="AN303" i="11" s="1"/>
  <c r="AN375" i="11" s="1"/>
  <c r="AN447" i="11" s="1"/>
  <c r="AI75" i="11"/>
  <c r="AU67" i="11"/>
  <c r="AU139" i="11" s="1"/>
  <c r="AU439" i="11" s="1"/>
  <c r="AQ67" i="11"/>
  <c r="AQ139" i="11" s="1"/>
  <c r="AQ439" i="11" s="1"/>
  <c r="AL67" i="11"/>
  <c r="AL139" i="11" s="1"/>
  <c r="AL223" i="11" s="1"/>
  <c r="AL295" i="11" s="1"/>
  <c r="AL367" i="11" s="1"/>
  <c r="AL439" i="11" s="1"/>
  <c r="AH67" i="11"/>
  <c r="AH139" i="11" s="1"/>
  <c r="AH223" i="11" s="1"/>
  <c r="AH295" i="11" s="1"/>
  <c r="AH367" i="11" s="1"/>
  <c r="AH439" i="11" s="1"/>
  <c r="AT67" i="11"/>
  <c r="AT139" i="11" s="1"/>
  <c r="AK67" i="11"/>
  <c r="AK139" i="11" s="1"/>
  <c r="AK223" i="11" s="1"/>
  <c r="AK295" i="11" s="1"/>
  <c r="AK367" i="11" s="1"/>
  <c r="AK439" i="11" s="1"/>
  <c r="BB67" i="11"/>
  <c r="BB139" i="11" s="1"/>
  <c r="AS67" i="11"/>
  <c r="AS139" i="11" s="1"/>
  <c r="AS439" i="11" s="1"/>
  <c r="AO67" i="11"/>
  <c r="AX67" i="11" s="1"/>
  <c r="AX139" i="11" s="1"/>
  <c r="AX223" i="11" s="1"/>
  <c r="AX295" i="11" s="1"/>
  <c r="AX367" i="11" s="1"/>
  <c r="AX439" i="11" s="1"/>
  <c r="AJ67" i="11"/>
  <c r="AJ139" i="11" s="1"/>
  <c r="AJ223" i="11" s="1"/>
  <c r="AJ295" i="11" s="1"/>
  <c r="AJ367" i="11" s="1"/>
  <c r="AJ439" i="11" s="1"/>
  <c r="BA67" i="11"/>
  <c r="BA139" i="11" s="1"/>
  <c r="EH57" i="40" s="1"/>
  <c r="AR67" i="11"/>
  <c r="AR139" i="11" s="1"/>
  <c r="AR439" i="11" s="1"/>
  <c r="AN67" i="11"/>
  <c r="AN139" i="11" s="1"/>
  <c r="AN223" i="11" s="1"/>
  <c r="AN295" i="11" s="1"/>
  <c r="AN367" i="11" s="1"/>
  <c r="AN439" i="11" s="1"/>
  <c r="AI67" i="11"/>
  <c r="AU59" i="11"/>
  <c r="AU131" i="11" s="1"/>
  <c r="AU431" i="11" s="1"/>
  <c r="AQ59" i="11"/>
  <c r="AQ131" i="11" s="1"/>
  <c r="AQ431" i="11" s="1"/>
  <c r="AL59" i="11"/>
  <c r="AL131" i="11" s="1"/>
  <c r="AL215" i="11" s="1"/>
  <c r="AL287" i="11" s="1"/>
  <c r="AL359" i="11" s="1"/>
  <c r="AL431" i="11" s="1"/>
  <c r="AH59" i="11"/>
  <c r="AH131" i="11" s="1"/>
  <c r="AH215" i="11" s="1"/>
  <c r="AH287" i="11" s="1"/>
  <c r="AH359" i="11" s="1"/>
  <c r="AH431" i="11" s="1"/>
  <c r="AT59" i="11"/>
  <c r="AT131" i="11" s="1"/>
  <c r="AK59" i="11"/>
  <c r="AK131" i="11" s="1"/>
  <c r="AK215" i="11" s="1"/>
  <c r="AK287" i="11" s="1"/>
  <c r="AK359" i="11" s="1"/>
  <c r="AK431" i="11" s="1"/>
  <c r="BB59" i="11"/>
  <c r="BB131" i="11" s="1"/>
  <c r="AS59" i="11"/>
  <c r="AS131" i="11" s="1"/>
  <c r="AS431" i="11" s="1"/>
  <c r="AO59" i="11"/>
  <c r="AX59" i="11" s="1"/>
  <c r="AX131" i="11" s="1"/>
  <c r="AX215" i="11" s="1"/>
  <c r="AX287" i="11" s="1"/>
  <c r="AX359" i="11" s="1"/>
  <c r="AX431" i="11" s="1"/>
  <c r="AJ59" i="11"/>
  <c r="AJ131" i="11" s="1"/>
  <c r="AJ215" i="11" s="1"/>
  <c r="AJ287" i="11" s="1"/>
  <c r="AJ359" i="11" s="1"/>
  <c r="AJ431" i="11" s="1"/>
  <c r="BA59" i="11"/>
  <c r="BA131" i="11" s="1"/>
  <c r="EH49" i="40" s="1"/>
  <c r="AR59" i="11"/>
  <c r="AR131" i="11" s="1"/>
  <c r="AR431" i="11" s="1"/>
  <c r="AN59" i="11"/>
  <c r="AN131" i="11" s="1"/>
  <c r="AN215" i="11" s="1"/>
  <c r="AN287" i="11" s="1"/>
  <c r="AN359" i="11" s="1"/>
  <c r="AN431" i="11" s="1"/>
  <c r="AI59" i="11"/>
  <c r="AU51" i="11"/>
  <c r="AU123" i="11" s="1"/>
  <c r="AU423" i="11" s="1"/>
  <c r="AQ51" i="11"/>
  <c r="AQ123" i="11" s="1"/>
  <c r="AQ423" i="11" s="1"/>
  <c r="AL51" i="11"/>
  <c r="AL123" i="11" s="1"/>
  <c r="AL207" i="11" s="1"/>
  <c r="AL279" i="11" s="1"/>
  <c r="AL351" i="11" s="1"/>
  <c r="AL423" i="11" s="1"/>
  <c r="AH51" i="11"/>
  <c r="AH123" i="11" s="1"/>
  <c r="AH207" i="11" s="1"/>
  <c r="AH279" i="11" s="1"/>
  <c r="AH351" i="11" s="1"/>
  <c r="AH423" i="11" s="1"/>
  <c r="AT51" i="11"/>
  <c r="AT123" i="11" s="1"/>
  <c r="AK51" i="11"/>
  <c r="AK123" i="11" s="1"/>
  <c r="AK207" i="11" s="1"/>
  <c r="AK279" i="11" s="1"/>
  <c r="AK351" i="11" s="1"/>
  <c r="AK423" i="11" s="1"/>
  <c r="BB51" i="11"/>
  <c r="BB123" i="11" s="1"/>
  <c r="AS51" i="11"/>
  <c r="AS123" i="11" s="1"/>
  <c r="AS423" i="11" s="1"/>
  <c r="AO51" i="11"/>
  <c r="AX51" i="11" s="1"/>
  <c r="AX123" i="11" s="1"/>
  <c r="AX207" i="11" s="1"/>
  <c r="AX279" i="11" s="1"/>
  <c r="AX351" i="11" s="1"/>
  <c r="AX423" i="11" s="1"/>
  <c r="AJ51" i="11"/>
  <c r="AJ123" i="11" s="1"/>
  <c r="AJ207" i="11" s="1"/>
  <c r="AJ279" i="11" s="1"/>
  <c r="AJ351" i="11" s="1"/>
  <c r="AJ423" i="11" s="1"/>
  <c r="BA51" i="11"/>
  <c r="BA123" i="11" s="1"/>
  <c r="EH41" i="40" s="1"/>
  <c r="AR51" i="11"/>
  <c r="AR123" i="11" s="1"/>
  <c r="AR423" i="11" s="1"/>
  <c r="AN51" i="11"/>
  <c r="AN123" i="11" s="1"/>
  <c r="AN207" i="11" s="1"/>
  <c r="AN279" i="11" s="1"/>
  <c r="AN351" i="11" s="1"/>
  <c r="AN423" i="11" s="1"/>
  <c r="AI51" i="11"/>
  <c r="AU43" i="11"/>
  <c r="AU115" i="11" s="1"/>
  <c r="AU415" i="11" s="1"/>
  <c r="AQ43" i="11"/>
  <c r="AQ115" i="11" s="1"/>
  <c r="AQ415" i="11" s="1"/>
  <c r="AL43" i="11"/>
  <c r="AL115" i="11" s="1"/>
  <c r="AL199" i="11" s="1"/>
  <c r="AL271" i="11" s="1"/>
  <c r="AL343" i="11" s="1"/>
  <c r="AL415" i="11" s="1"/>
  <c r="AH43" i="11"/>
  <c r="AH115" i="11" s="1"/>
  <c r="AH199" i="11" s="1"/>
  <c r="AH271" i="11" s="1"/>
  <c r="AH343" i="11" s="1"/>
  <c r="AH415" i="11" s="1"/>
  <c r="AT43" i="11"/>
  <c r="AT115" i="11" s="1"/>
  <c r="AK43" i="11"/>
  <c r="AK115" i="11" s="1"/>
  <c r="AK199" i="11" s="1"/>
  <c r="AK271" i="11" s="1"/>
  <c r="AK343" i="11" s="1"/>
  <c r="AK415" i="11" s="1"/>
  <c r="BB43" i="11"/>
  <c r="BB115" i="11" s="1"/>
  <c r="AS43" i="11"/>
  <c r="AS115" i="11" s="1"/>
  <c r="AS415" i="11" s="1"/>
  <c r="AO43" i="11"/>
  <c r="AX43" i="11" s="1"/>
  <c r="AX115" i="11" s="1"/>
  <c r="AX199" i="11" s="1"/>
  <c r="AX271" i="11" s="1"/>
  <c r="AX343" i="11" s="1"/>
  <c r="AX415" i="11" s="1"/>
  <c r="AJ43" i="11"/>
  <c r="AJ115" i="11" s="1"/>
  <c r="AJ199" i="11" s="1"/>
  <c r="AJ271" i="11" s="1"/>
  <c r="AJ343" i="11" s="1"/>
  <c r="AJ415" i="11" s="1"/>
  <c r="BA43" i="11"/>
  <c r="BA115" i="11" s="1"/>
  <c r="EH33" i="40" s="1"/>
  <c r="AR43" i="11"/>
  <c r="AR115" i="11" s="1"/>
  <c r="AR415" i="11" s="1"/>
  <c r="AN43" i="11"/>
  <c r="AN115" i="11" s="1"/>
  <c r="AN199" i="11" s="1"/>
  <c r="AN271" i="11" s="1"/>
  <c r="AN343" i="11" s="1"/>
  <c r="AN415" i="11" s="1"/>
  <c r="AI43" i="11"/>
  <c r="AU35" i="11"/>
  <c r="AU107" i="11" s="1"/>
  <c r="AU407" i="11" s="1"/>
  <c r="AQ35" i="11"/>
  <c r="AQ107" i="11" s="1"/>
  <c r="AQ407" i="11" s="1"/>
  <c r="AL35" i="11"/>
  <c r="AL107" i="11" s="1"/>
  <c r="AL191" i="11" s="1"/>
  <c r="AL263" i="11" s="1"/>
  <c r="AL335" i="11" s="1"/>
  <c r="AL407" i="11" s="1"/>
  <c r="AH35" i="11"/>
  <c r="AH107" i="11" s="1"/>
  <c r="AH191" i="11" s="1"/>
  <c r="AH263" i="11" s="1"/>
  <c r="AH335" i="11" s="1"/>
  <c r="AH407" i="11" s="1"/>
  <c r="AT35" i="11"/>
  <c r="AT107" i="11" s="1"/>
  <c r="AK35" i="11"/>
  <c r="AK107" i="11" s="1"/>
  <c r="AK191" i="11" s="1"/>
  <c r="AK263" i="11" s="1"/>
  <c r="AK335" i="11" s="1"/>
  <c r="AK407" i="11" s="1"/>
  <c r="BB35" i="11"/>
  <c r="BB107" i="11" s="1"/>
  <c r="AS35" i="11"/>
  <c r="AS107" i="11" s="1"/>
  <c r="AS407" i="11" s="1"/>
  <c r="AO35" i="11"/>
  <c r="AX35" i="11" s="1"/>
  <c r="AX107" i="11" s="1"/>
  <c r="AX191" i="11" s="1"/>
  <c r="AX263" i="11" s="1"/>
  <c r="AX335" i="11" s="1"/>
  <c r="AX407" i="11" s="1"/>
  <c r="AJ35" i="11"/>
  <c r="AJ107" i="11" s="1"/>
  <c r="AJ191" i="11" s="1"/>
  <c r="AJ263" i="11" s="1"/>
  <c r="AJ335" i="11" s="1"/>
  <c r="AJ407" i="11" s="1"/>
  <c r="BA35" i="11"/>
  <c r="BA107" i="11" s="1"/>
  <c r="EH25" i="40" s="1"/>
  <c r="AR35" i="11"/>
  <c r="AR107" i="11" s="1"/>
  <c r="AR407" i="11" s="1"/>
  <c r="AN35" i="11"/>
  <c r="AN107" i="11" s="1"/>
  <c r="AN191" i="11" s="1"/>
  <c r="AN263" i="11" s="1"/>
  <c r="AN335" i="11" s="1"/>
  <c r="AN407" i="11" s="1"/>
  <c r="AI35" i="11"/>
  <c r="AU27" i="11"/>
  <c r="AU99" i="11" s="1"/>
  <c r="AU399" i="11" s="1"/>
  <c r="AQ27" i="11"/>
  <c r="AQ99" i="11" s="1"/>
  <c r="AQ399" i="11" s="1"/>
  <c r="AL27" i="11"/>
  <c r="AL99" i="11" s="1"/>
  <c r="AL183" i="11" s="1"/>
  <c r="AL255" i="11" s="1"/>
  <c r="AL327" i="11" s="1"/>
  <c r="AL399" i="11" s="1"/>
  <c r="AH27" i="11"/>
  <c r="AH99" i="11" s="1"/>
  <c r="AT27" i="11"/>
  <c r="AT99" i="11" s="1"/>
  <c r="AK27" i="11"/>
  <c r="AK99" i="11" s="1"/>
  <c r="AK183" i="11" s="1"/>
  <c r="AK255" i="11" s="1"/>
  <c r="AK327" i="11" s="1"/>
  <c r="AK399" i="11" s="1"/>
  <c r="BB27" i="11"/>
  <c r="BB99" i="11" s="1"/>
  <c r="AS27" i="11"/>
  <c r="AS99" i="11" s="1"/>
  <c r="AS399" i="11" s="1"/>
  <c r="AO27" i="11"/>
  <c r="AX27" i="11" s="1"/>
  <c r="AX99" i="11" s="1"/>
  <c r="AX183" i="11" s="1"/>
  <c r="AX255" i="11" s="1"/>
  <c r="AX327" i="11" s="1"/>
  <c r="AX399" i="11" s="1"/>
  <c r="AJ27" i="11"/>
  <c r="AJ99" i="11" s="1"/>
  <c r="AJ183" i="11" s="1"/>
  <c r="AJ255" i="11" s="1"/>
  <c r="AJ327" i="11" s="1"/>
  <c r="AJ399" i="11" s="1"/>
  <c r="BA27" i="11"/>
  <c r="BA99" i="11" s="1"/>
  <c r="EH17" i="40" s="1"/>
  <c r="AR27" i="11"/>
  <c r="AR99" i="11" s="1"/>
  <c r="AR399" i="11" s="1"/>
  <c r="AN27" i="11"/>
  <c r="AN99" i="11" s="1"/>
  <c r="AN183" i="11" s="1"/>
  <c r="AN255" i="11" s="1"/>
  <c r="AN327" i="11" s="1"/>
  <c r="AN399" i="11" s="1"/>
  <c r="AI27" i="11"/>
  <c r="AU20" i="11"/>
  <c r="AU92" i="11" s="1"/>
  <c r="AU392" i="11" s="1"/>
  <c r="AQ20" i="11"/>
  <c r="AQ92" i="11" s="1"/>
  <c r="AQ392" i="11" s="1"/>
  <c r="AL20" i="11"/>
  <c r="AL92" i="11" s="1"/>
  <c r="AL176" i="11" s="1"/>
  <c r="AL248" i="11" s="1"/>
  <c r="AL320" i="11" s="1"/>
  <c r="AL392" i="11" s="1"/>
  <c r="AH20" i="11"/>
  <c r="AH92" i="11" s="1"/>
  <c r="AT20" i="11"/>
  <c r="AT92" i="11" s="1"/>
  <c r="AK20" i="11"/>
  <c r="AK92" i="11" s="1"/>
  <c r="AK176" i="11" s="1"/>
  <c r="AK248" i="11" s="1"/>
  <c r="AK320" i="11" s="1"/>
  <c r="AK392" i="11" s="1"/>
  <c r="BB20" i="11"/>
  <c r="BB92" i="11" s="1"/>
  <c r="AS20" i="11"/>
  <c r="AS92" i="11" s="1"/>
  <c r="AS392" i="11" s="1"/>
  <c r="AO20" i="11"/>
  <c r="AX20" i="11" s="1"/>
  <c r="AX92" i="11" s="1"/>
  <c r="AX176" i="11" s="1"/>
  <c r="AX248" i="11" s="1"/>
  <c r="AX320" i="11" s="1"/>
  <c r="AX392" i="11" s="1"/>
  <c r="AJ20" i="11"/>
  <c r="AJ92" i="11" s="1"/>
  <c r="AJ176" i="11" s="1"/>
  <c r="AJ248" i="11" s="1"/>
  <c r="AJ320" i="11" s="1"/>
  <c r="AJ392" i="11" s="1"/>
  <c r="BA20" i="11"/>
  <c r="BA92" i="11" s="1"/>
  <c r="EH10" i="40" s="1"/>
  <c r="AR20" i="11"/>
  <c r="AR92" i="11" s="1"/>
  <c r="AR392" i="11" s="1"/>
  <c r="AN20" i="11"/>
  <c r="AN92" i="11" s="1"/>
  <c r="AN176" i="11" s="1"/>
  <c r="AN248" i="11" s="1"/>
  <c r="AN320" i="11" s="1"/>
  <c r="AN392" i="11" s="1"/>
  <c r="AI20" i="11"/>
  <c r="AU74" i="11"/>
  <c r="AU146" i="11" s="1"/>
  <c r="AU446" i="11" s="1"/>
  <c r="AQ74" i="11"/>
  <c r="AQ146" i="11" s="1"/>
  <c r="AQ446" i="11" s="1"/>
  <c r="AL74" i="11"/>
  <c r="AL146" i="11" s="1"/>
  <c r="AL230" i="11" s="1"/>
  <c r="AL302" i="11" s="1"/>
  <c r="AL374" i="11" s="1"/>
  <c r="AL446" i="11" s="1"/>
  <c r="AH74" i="11"/>
  <c r="AH146" i="11" s="1"/>
  <c r="AH230" i="11" s="1"/>
  <c r="AH302" i="11" s="1"/>
  <c r="AH374" i="11" s="1"/>
  <c r="AH446" i="11" s="1"/>
  <c r="AT74" i="11"/>
  <c r="AT146" i="11" s="1"/>
  <c r="AK74" i="11"/>
  <c r="AK146" i="11" s="1"/>
  <c r="AK230" i="11" s="1"/>
  <c r="AK302" i="11" s="1"/>
  <c r="AK374" i="11" s="1"/>
  <c r="AK446" i="11" s="1"/>
  <c r="BB74" i="11"/>
  <c r="BB146" i="11" s="1"/>
  <c r="AS74" i="11"/>
  <c r="AS146" i="11" s="1"/>
  <c r="AS446" i="11" s="1"/>
  <c r="AO74" i="11"/>
  <c r="AX74" i="11" s="1"/>
  <c r="AX146" i="11" s="1"/>
  <c r="AX230" i="11" s="1"/>
  <c r="AX302" i="11" s="1"/>
  <c r="AX374" i="11" s="1"/>
  <c r="AX446" i="11" s="1"/>
  <c r="AJ74" i="11"/>
  <c r="AJ146" i="11" s="1"/>
  <c r="AJ230" i="11" s="1"/>
  <c r="AJ302" i="11" s="1"/>
  <c r="AJ374" i="11" s="1"/>
  <c r="AJ446" i="11" s="1"/>
  <c r="BA74" i="11"/>
  <c r="BA146" i="11" s="1"/>
  <c r="EH64" i="40" s="1"/>
  <c r="AR74" i="11"/>
  <c r="AR146" i="11" s="1"/>
  <c r="AR446" i="11" s="1"/>
  <c r="AN74" i="11"/>
  <c r="AN146" i="11" s="1"/>
  <c r="AN230" i="11" s="1"/>
  <c r="AN302" i="11" s="1"/>
  <c r="AN374" i="11" s="1"/>
  <c r="AN446" i="11" s="1"/>
  <c r="AI74" i="11"/>
  <c r="AU16" i="11"/>
  <c r="AU88" i="11" s="1"/>
  <c r="AU388" i="11" s="1"/>
  <c r="AQ16" i="11"/>
  <c r="AQ88" i="11" s="1"/>
  <c r="AQ388" i="11" s="1"/>
  <c r="AL16" i="11"/>
  <c r="AL88" i="11" s="1"/>
  <c r="AL172" i="11" s="1"/>
  <c r="AL244" i="11" s="1"/>
  <c r="AL316" i="11" s="1"/>
  <c r="AL388" i="11" s="1"/>
  <c r="AH16" i="11"/>
  <c r="AH88" i="11" s="1"/>
  <c r="AT16" i="11"/>
  <c r="AT88" i="11" s="1"/>
  <c r="AK16" i="11"/>
  <c r="AK88" i="11" s="1"/>
  <c r="AK172" i="11" s="1"/>
  <c r="AK244" i="11" s="1"/>
  <c r="AK316" i="11" s="1"/>
  <c r="AK388" i="11" s="1"/>
  <c r="BB16" i="11"/>
  <c r="BB88" i="11" s="1"/>
  <c r="AS16" i="11"/>
  <c r="AS88" i="11" s="1"/>
  <c r="AS388" i="11" s="1"/>
  <c r="AO16" i="11"/>
  <c r="AX16" i="11" s="1"/>
  <c r="AX88" i="11" s="1"/>
  <c r="AX172" i="11" s="1"/>
  <c r="AX244" i="11" s="1"/>
  <c r="AX316" i="11" s="1"/>
  <c r="AX388" i="11" s="1"/>
  <c r="AJ16" i="11"/>
  <c r="AJ88" i="11" s="1"/>
  <c r="AJ172" i="11" s="1"/>
  <c r="AJ244" i="11" s="1"/>
  <c r="AJ316" i="11" s="1"/>
  <c r="AJ388" i="11" s="1"/>
  <c r="BA16" i="11"/>
  <c r="BA88" i="11" s="1"/>
  <c r="EH6" i="40" s="1"/>
  <c r="AR16" i="11"/>
  <c r="AR88" i="11" s="1"/>
  <c r="AR388" i="11" s="1"/>
  <c r="AN16" i="11"/>
  <c r="AN88" i="11" s="1"/>
  <c r="AN172" i="11" s="1"/>
  <c r="AN244" i="11" s="1"/>
  <c r="AN316" i="11" s="1"/>
  <c r="AN388" i="11" s="1"/>
  <c r="AI16" i="11"/>
  <c r="AG395" i="37"/>
  <c r="AG251" i="37"/>
  <c r="AG323" i="37"/>
  <c r="AG95" i="37"/>
  <c r="AG179" i="37"/>
  <c r="AG23" i="37"/>
  <c r="AG388" i="37"/>
  <c r="AG316" i="37"/>
  <c r="AG244" i="37"/>
  <c r="AG172" i="37"/>
  <c r="AG88" i="37"/>
  <c r="AG16" i="37"/>
  <c r="AG398" i="37"/>
  <c r="AG254" i="37"/>
  <c r="AG326" i="37"/>
  <c r="AG182" i="37"/>
  <c r="AG98" i="37"/>
  <c r="AG26" i="37"/>
  <c r="AG402" i="37"/>
  <c r="AG258" i="37"/>
  <c r="AG330" i="37"/>
  <c r="AG102" i="37"/>
  <c r="AG186" i="37"/>
  <c r="AG30" i="37"/>
  <c r="AG406" i="37"/>
  <c r="AG262" i="37"/>
  <c r="AG334" i="37"/>
  <c r="AG190" i="37"/>
  <c r="AG106" i="37"/>
  <c r="AG34" i="37"/>
  <c r="AG389" i="37"/>
  <c r="AG245" i="37"/>
  <c r="AG317" i="37"/>
  <c r="AG173" i="37"/>
  <c r="AG89" i="37"/>
  <c r="AG17" i="37"/>
  <c r="AG418" i="37"/>
  <c r="AG274" i="37"/>
  <c r="AG202" i="37"/>
  <c r="AG346" i="37"/>
  <c r="AG118" i="37"/>
  <c r="AG46" i="37"/>
  <c r="AG409" i="37"/>
  <c r="AG265" i="37"/>
  <c r="AG337" i="37"/>
  <c r="AG109" i="37"/>
  <c r="AG193" i="37"/>
  <c r="AG37" i="37"/>
  <c r="AG420" i="37"/>
  <c r="AG348" i="37"/>
  <c r="AG276" i="37"/>
  <c r="AG204" i="37"/>
  <c r="AG120" i="37"/>
  <c r="AG48" i="37"/>
  <c r="AG424" i="37"/>
  <c r="AG352" i="37"/>
  <c r="AG280" i="37"/>
  <c r="AG208" i="37"/>
  <c r="AG52" i="37"/>
  <c r="AG124" i="37"/>
  <c r="AG428" i="37"/>
  <c r="AG356" i="37"/>
  <c r="AG284" i="37"/>
  <c r="AG212" i="37"/>
  <c r="AG56" i="37"/>
  <c r="AG128" i="37"/>
  <c r="AG432" i="37"/>
  <c r="AG360" i="37"/>
  <c r="AG288" i="37"/>
  <c r="AG216" i="37"/>
  <c r="AG60" i="37"/>
  <c r="AG132" i="37"/>
  <c r="AG436" i="37"/>
  <c r="AG364" i="37"/>
  <c r="AG292" i="37"/>
  <c r="AG220" i="37"/>
  <c r="AG64" i="37"/>
  <c r="AG136" i="37"/>
  <c r="AG440" i="37"/>
  <c r="AG368" i="37"/>
  <c r="AG296" i="37"/>
  <c r="AG224" i="37"/>
  <c r="AG68" i="37"/>
  <c r="AG140" i="37"/>
  <c r="AG444" i="37"/>
  <c r="AG372" i="37"/>
  <c r="AG300" i="37"/>
  <c r="AG228" i="37"/>
  <c r="AG72" i="37"/>
  <c r="AG144" i="37"/>
  <c r="AG448" i="37"/>
  <c r="AG376" i="37"/>
  <c r="AG304" i="37"/>
  <c r="AG232" i="37"/>
  <c r="AG76" i="37"/>
  <c r="AG148" i="37"/>
  <c r="AG452" i="37"/>
  <c r="AG380" i="37"/>
  <c r="AG308" i="37"/>
  <c r="AG236" i="37"/>
  <c r="AG80" i="37"/>
  <c r="AG152" i="37"/>
  <c r="AG456" i="37"/>
  <c r="AG384" i="37"/>
  <c r="AG312" i="37"/>
  <c r="AG240" i="37"/>
  <c r="AG84" i="37"/>
  <c r="AG156" i="37"/>
  <c r="BB22" i="11"/>
  <c r="BB94" i="11" s="1"/>
  <c r="AS22" i="11"/>
  <c r="AS94" i="11" s="1"/>
  <c r="AS394" i="11" s="1"/>
  <c r="AO22" i="11"/>
  <c r="AJ22" i="11"/>
  <c r="AJ94" i="11" s="1"/>
  <c r="AJ178" i="11" s="1"/>
  <c r="AJ250" i="11" s="1"/>
  <c r="AJ322" i="11" s="1"/>
  <c r="AJ394" i="11" s="1"/>
  <c r="BA22" i="11"/>
  <c r="BA94" i="11" s="1"/>
  <c r="EH12" i="40" s="1"/>
  <c r="AR22" i="11"/>
  <c r="AR94" i="11" s="1"/>
  <c r="AR394" i="11" s="1"/>
  <c r="AN22" i="11"/>
  <c r="AN94" i="11" s="1"/>
  <c r="AN178" i="11" s="1"/>
  <c r="AN250" i="11" s="1"/>
  <c r="AN322" i="11" s="1"/>
  <c r="AN394" i="11" s="1"/>
  <c r="AI22" i="11"/>
  <c r="AU22" i="11"/>
  <c r="AU94" i="11" s="1"/>
  <c r="AU394" i="11" s="1"/>
  <c r="AQ22" i="11"/>
  <c r="AQ94" i="11" s="1"/>
  <c r="AQ394" i="11" s="1"/>
  <c r="AL22" i="11"/>
  <c r="AL94" i="11" s="1"/>
  <c r="AL178" i="11" s="1"/>
  <c r="AL250" i="11" s="1"/>
  <c r="AL322" i="11" s="1"/>
  <c r="AL394" i="11" s="1"/>
  <c r="AH22" i="11"/>
  <c r="AH94" i="11" s="1"/>
  <c r="AT22" i="11"/>
  <c r="AT94" i="11" s="1"/>
  <c r="AK22" i="11"/>
  <c r="AK94" i="11" s="1"/>
  <c r="AK178" i="11" s="1"/>
  <c r="AK250" i="11" s="1"/>
  <c r="AK322" i="11" s="1"/>
  <c r="AK394" i="11" s="1"/>
  <c r="AT17" i="11"/>
  <c r="AT89" i="11" s="1"/>
  <c r="AK17" i="11"/>
  <c r="AK89" i="11" s="1"/>
  <c r="AK173" i="11" s="1"/>
  <c r="AK245" i="11" s="1"/>
  <c r="AK317" i="11" s="1"/>
  <c r="AK389" i="11" s="1"/>
  <c r="BB17" i="11"/>
  <c r="BB89" i="11" s="1"/>
  <c r="AS17" i="11"/>
  <c r="AS89" i="11" s="1"/>
  <c r="AS389" i="11" s="1"/>
  <c r="AO17" i="11"/>
  <c r="AX17" i="11" s="1"/>
  <c r="AX89" i="11" s="1"/>
  <c r="AX173" i="11" s="1"/>
  <c r="AX245" i="11" s="1"/>
  <c r="AX317" i="11" s="1"/>
  <c r="AX389" i="11" s="1"/>
  <c r="AJ17" i="11"/>
  <c r="AJ89" i="11" s="1"/>
  <c r="AJ173" i="11" s="1"/>
  <c r="AJ245" i="11" s="1"/>
  <c r="AJ317" i="11" s="1"/>
  <c r="AJ389" i="11" s="1"/>
  <c r="BA17" i="11"/>
  <c r="BA89" i="11" s="1"/>
  <c r="EH7" i="40" s="1"/>
  <c r="AR17" i="11"/>
  <c r="AR89" i="11" s="1"/>
  <c r="AR389" i="11" s="1"/>
  <c r="AN17" i="11"/>
  <c r="AN89" i="11" s="1"/>
  <c r="AN173" i="11" s="1"/>
  <c r="AN245" i="11" s="1"/>
  <c r="AN317" i="11" s="1"/>
  <c r="AN389" i="11" s="1"/>
  <c r="AI17" i="11"/>
  <c r="AU17" i="11"/>
  <c r="AU89" i="11" s="1"/>
  <c r="AU389" i="11" s="1"/>
  <c r="AQ17" i="11"/>
  <c r="AQ89" i="11" s="1"/>
  <c r="AQ389" i="11" s="1"/>
  <c r="AL17" i="11"/>
  <c r="AL89" i="11" s="1"/>
  <c r="AL173" i="11" s="1"/>
  <c r="AL245" i="11" s="1"/>
  <c r="AL317" i="11" s="1"/>
  <c r="AL389" i="11" s="1"/>
  <c r="AH17" i="11"/>
  <c r="AH89" i="11" s="1"/>
  <c r="AU61" i="11"/>
  <c r="AU133" i="11" s="1"/>
  <c r="AU433" i="11" s="1"/>
  <c r="AQ61" i="11"/>
  <c r="AQ133" i="11" s="1"/>
  <c r="AQ433" i="11" s="1"/>
  <c r="AL61" i="11"/>
  <c r="AL133" i="11" s="1"/>
  <c r="AL217" i="11" s="1"/>
  <c r="AL289" i="11" s="1"/>
  <c r="AL361" i="11" s="1"/>
  <c r="AL433" i="11" s="1"/>
  <c r="AH61" i="11"/>
  <c r="AH133" i="11" s="1"/>
  <c r="AH217" i="11" s="1"/>
  <c r="AH289" i="11" s="1"/>
  <c r="AH361" i="11" s="1"/>
  <c r="AH433" i="11" s="1"/>
  <c r="AT61" i="11"/>
  <c r="AT133" i="11" s="1"/>
  <c r="AK61" i="11"/>
  <c r="AK133" i="11" s="1"/>
  <c r="AK217" i="11" s="1"/>
  <c r="AK289" i="11" s="1"/>
  <c r="AK361" i="11" s="1"/>
  <c r="AK433" i="11" s="1"/>
  <c r="BB61" i="11"/>
  <c r="BB133" i="11" s="1"/>
  <c r="AS61" i="11"/>
  <c r="AS133" i="11" s="1"/>
  <c r="AS433" i="11" s="1"/>
  <c r="AO61" i="11"/>
  <c r="AJ61" i="11"/>
  <c r="AJ133" i="11" s="1"/>
  <c r="AJ217" i="11" s="1"/>
  <c r="AJ289" i="11" s="1"/>
  <c r="AJ361" i="11" s="1"/>
  <c r="AJ433" i="11" s="1"/>
  <c r="BA61" i="11"/>
  <c r="BA133" i="11" s="1"/>
  <c r="EH51" i="40" s="1"/>
  <c r="AR61" i="11"/>
  <c r="AR133" i="11" s="1"/>
  <c r="AR433" i="11" s="1"/>
  <c r="AN61" i="11"/>
  <c r="AN133" i="11" s="1"/>
  <c r="AN217" i="11" s="1"/>
  <c r="AN289" i="11" s="1"/>
  <c r="AN361" i="11" s="1"/>
  <c r="AN433" i="11" s="1"/>
  <c r="AI61" i="11"/>
  <c r="AU53" i="11"/>
  <c r="AU125" i="11" s="1"/>
  <c r="AU425" i="11" s="1"/>
  <c r="AQ53" i="11"/>
  <c r="AQ125" i="11" s="1"/>
  <c r="AQ425" i="11" s="1"/>
  <c r="AL53" i="11"/>
  <c r="AL125" i="11" s="1"/>
  <c r="AL209" i="11" s="1"/>
  <c r="AL281" i="11" s="1"/>
  <c r="AL353" i="11" s="1"/>
  <c r="AL425" i="11" s="1"/>
  <c r="AH53" i="11"/>
  <c r="AH125" i="11" s="1"/>
  <c r="AH209" i="11" s="1"/>
  <c r="AH281" i="11" s="1"/>
  <c r="AH353" i="11" s="1"/>
  <c r="AH425" i="11" s="1"/>
  <c r="AT53" i="11"/>
  <c r="AT125" i="11" s="1"/>
  <c r="AK53" i="11"/>
  <c r="AK125" i="11" s="1"/>
  <c r="AK209" i="11" s="1"/>
  <c r="AK281" i="11" s="1"/>
  <c r="AK353" i="11" s="1"/>
  <c r="AK425" i="11" s="1"/>
  <c r="BB53" i="11"/>
  <c r="BB125" i="11" s="1"/>
  <c r="AS53" i="11"/>
  <c r="AS125" i="11" s="1"/>
  <c r="AS425" i="11" s="1"/>
  <c r="AO53" i="11"/>
  <c r="AJ53" i="11"/>
  <c r="AJ125" i="11" s="1"/>
  <c r="AJ209" i="11" s="1"/>
  <c r="AJ281" i="11" s="1"/>
  <c r="AJ353" i="11" s="1"/>
  <c r="AJ425" i="11" s="1"/>
  <c r="BA53" i="11"/>
  <c r="BA125" i="11" s="1"/>
  <c r="EH43" i="40" s="1"/>
  <c r="AR53" i="11"/>
  <c r="AR125" i="11" s="1"/>
  <c r="AR425" i="11" s="1"/>
  <c r="AN53" i="11"/>
  <c r="AN125" i="11" s="1"/>
  <c r="AN209" i="11" s="1"/>
  <c r="AN281" i="11" s="1"/>
  <c r="AN353" i="11" s="1"/>
  <c r="AN425" i="11" s="1"/>
  <c r="AI53" i="11"/>
  <c r="AU45" i="11"/>
  <c r="AU117" i="11" s="1"/>
  <c r="AU417" i="11" s="1"/>
  <c r="AQ45" i="11"/>
  <c r="AQ117" i="11" s="1"/>
  <c r="AQ417" i="11" s="1"/>
  <c r="AL45" i="11"/>
  <c r="AL117" i="11" s="1"/>
  <c r="AL201" i="11" s="1"/>
  <c r="AL273" i="11" s="1"/>
  <c r="AL345" i="11" s="1"/>
  <c r="AL417" i="11" s="1"/>
  <c r="AH45" i="11"/>
  <c r="AH117" i="11" s="1"/>
  <c r="AH201" i="11" s="1"/>
  <c r="AH273" i="11" s="1"/>
  <c r="AH345" i="11" s="1"/>
  <c r="AH417" i="11" s="1"/>
  <c r="AT45" i="11"/>
  <c r="AT117" i="11" s="1"/>
  <c r="AK45" i="11"/>
  <c r="AK117" i="11" s="1"/>
  <c r="AK201" i="11" s="1"/>
  <c r="AK273" i="11" s="1"/>
  <c r="AK345" i="11" s="1"/>
  <c r="AK417" i="11" s="1"/>
  <c r="BB45" i="11"/>
  <c r="BB117" i="11" s="1"/>
  <c r="AS45" i="11"/>
  <c r="AS117" i="11" s="1"/>
  <c r="AS417" i="11" s="1"/>
  <c r="AO45" i="11"/>
  <c r="AJ45" i="11"/>
  <c r="AJ117" i="11" s="1"/>
  <c r="AJ201" i="11" s="1"/>
  <c r="AJ273" i="11" s="1"/>
  <c r="AJ345" i="11" s="1"/>
  <c r="AJ417" i="11" s="1"/>
  <c r="BA45" i="11"/>
  <c r="BA117" i="11" s="1"/>
  <c r="EH35" i="40" s="1"/>
  <c r="AR45" i="11"/>
  <c r="AR117" i="11" s="1"/>
  <c r="AR417" i="11" s="1"/>
  <c r="AN45" i="11"/>
  <c r="AN117" i="11" s="1"/>
  <c r="AN201" i="11" s="1"/>
  <c r="AN273" i="11" s="1"/>
  <c r="AN345" i="11" s="1"/>
  <c r="AN417" i="11" s="1"/>
  <c r="AI45" i="11"/>
  <c r="AU37" i="11"/>
  <c r="AU109" i="11" s="1"/>
  <c r="AU409" i="11" s="1"/>
  <c r="AQ37" i="11"/>
  <c r="AQ109" i="11" s="1"/>
  <c r="AQ409" i="11" s="1"/>
  <c r="AL37" i="11"/>
  <c r="AL109" i="11" s="1"/>
  <c r="AL193" i="11" s="1"/>
  <c r="AL265" i="11" s="1"/>
  <c r="AL337" i="11" s="1"/>
  <c r="AL409" i="11" s="1"/>
  <c r="AH37" i="11"/>
  <c r="AH109" i="11" s="1"/>
  <c r="AH193" i="11" s="1"/>
  <c r="AH265" i="11" s="1"/>
  <c r="AH337" i="11" s="1"/>
  <c r="AH409" i="11" s="1"/>
  <c r="AT37" i="11"/>
  <c r="AT109" i="11" s="1"/>
  <c r="AK37" i="11"/>
  <c r="AK109" i="11" s="1"/>
  <c r="AK193" i="11" s="1"/>
  <c r="AK265" i="11" s="1"/>
  <c r="AK337" i="11" s="1"/>
  <c r="AK409" i="11" s="1"/>
  <c r="BB37" i="11"/>
  <c r="BB109" i="11" s="1"/>
  <c r="AS37" i="11"/>
  <c r="AS109" i="11" s="1"/>
  <c r="AS409" i="11" s="1"/>
  <c r="AO37" i="11"/>
  <c r="AJ37" i="11"/>
  <c r="AJ109" i="11" s="1"/>
  <c r="AJ193" i="11" s="1"/>
  <c r="AJ265" i="11" s="1"/>
  <c r="AJ337" i="11" s="1"/>
  <c r="AJ409" i="11" s="1"/>
  <c r="BA37" i="11"/>
  <c r="BA109" i="11" s="1"/>
  <c r="EH27" i="40" s="1"/>
  <c r="AR37" i="11"/>
  <c r="AR109" i="11" s="1"/>
  <c r="AR409" i="11" s="1"/>
  <c r="AN37" i="11"/>
  <c r="AN109" i="11" s="1"/>
  <c r="AN193" i="11" s="1"/>
  <c r="AN265" i="11" s="1"/>
  <c r="AN337" i="11" s="1"/>
  <c r="AN409" i="11" s="1"/>
  <c r="AI37" i="11"/>
  <c r="AU29" i="11"/>
  <c r="AU101" i="11" s="1"/>
  <c r="AU401" i="11" s="1"/>
  <c r="AQ29" i="11"/>
  <c r="AQ101" i="11" s="1"/>
  <c r="AQ401" i="11" s="1"/>
  <c r="AL29" i="11"/>
  <c r="AL101" i="11" s="1"/>
  <c r="AL185" i="11" s="1"/>
  <c r="AL257" i="11" s="1"/>
  <c r="AL329" i="11" s="1"/>
  <c r="AL401" i="11" s="1"/>
  <c r="AH29" i="11"/>
  <c r="AH101" i="11" s="1"/>
  <c r="AT29" i="11"/>
  <c r="AT101" i="11" s="1"/>
  <c r="AK29" i="11"/>
  <c r="AK101" i="11" s="1"/>
  <c r="AK185" i="11" s="1"/>
  <c r="AK257" i="11" s="1"/>
  <c r="AK329" i="11" s="1"/>
  <c r="AK401" i="11" s="1"/>
  <c r="BB29" i="11"/>
  <c r="BB101" i="11" s="1"/>
  <c r="AS29" i="11"/>
  <c r="AS101" i="11" s="1"/>
  <c r="AS401" i="11" s="1"/>
  <c r="AO29" i="11"/>
  <c r="AJ29" i="11"/>
  <c r="AJ101" i="11" s="1"/>
  <c r="AJ185" i="11" s="1"/>
  <c r="AJ257" i="11" s="1"/>
  <c r="AJ329" i="11" s="1"/>
  <c r="AJ401" i="11" s="1"/>
  <c r="BA29" i="11"/>
  <c r="BA101" i="11" s="1"/>
  <c r="EH19" i="40" s="1"/>
  <c r="AR29" i="11"/>
  <c r="AR101" i="11" s="1"/>
  <c r="AR401" i="11" s="1"/>
  <c r="AN29" i="11"/>
  <c r="AN101" i="11" s="1"/>
  <c r="AN185" i="11" s="1"/>
  <c r="AN257" i="11" s="1"/>
  <c r="AN329" i="11" s="1"/>
  <c r="AN401" i="11" s="1"/>
  <c r="AI29" i="11"/>
  <c r="AT409" i="11" l="1"/>
  <c r="AP45" i="11"/>
  <c r="AW45" i="11" s="1"/>
  <c r="AW117" i="11" s="1"/>
  <c r="AW201" i="11" s="1"/>
  <c r="AO117" i="11"/>
  <c r="EG35" i="40" s="1"/>
  <c r="V35" i="40" s="1"/>
  <c r="AM201" i="11"/>
  <c r="AM273" i="11" s="1"/>
  <c r="AM345" i="11" s="1"/>
  <c r="AM209" i="11"/>
  <c r="AM281" i="11" s="1"/>
  <c r="AM353" i="11" s="1"/>
  <c r="AM217" i="11"/>
  <c r="AM289" i="11" s="1"/>
  <c r="AM361" i="11" s="1"/>
  <c r="AH178" i="11"/>
  <c r="AH250" i="11" s="1"/>
  <c r="AH322" i="11" s="1"/>
  <c r="AH394" i="11" s="1"/>
  <c r="AM178" i="11"/>
  <c r="AM250" i="11" s="1"/>
  <c r="AM322" i="11" s="1"/>
  <c r="AU48" i="37"/>
  <c r="AU120" i="37" s="1"/>
  <c r="AU420" i="37" s="1"/>
  <c r="AQ48" i="37"/>
  <c r="AQ120" i="37" s="1"/>
  <c r="AQ420" i="37" s="1"/>
  <c r="AL48" i="37"/>
  <c r="AL120" i="37" s="1"/>
  <c r="AL204" i="37" s="1"/>
  <c r="AL276" i="37" s="1"/>
  <c r="AL348" i="37" s="1"/>
  <c r="AL420" i="37" s="1"/>
  <c r="AH48" i="37"/>
  <c r="AH120" i="37" s="1"/>
  <c r="AH204" i="37" s="1"/>
  <c r="AH276" i="37" s="1"/>
  <c r="AH348" i="37" s="1"/>
  <c r="AH420" i="37" s="1"/>
  <c r="BB48" i="37"/>
  <c r="BB120" i="37" s="1"/>
  <c r="AS48" i="37"/>
  <c r="AS120" i="37" s="1"/>
  <c r="AS420" i="37" s="1"/>
  <c r="AO48" i="37"/>
  <c r="AX48" i="37" s="1"/>
  <c r="AJ48" i="37"/>
  <c r="AJ120" i="37" s="1"/>
  <c r="AJ204" i="37" s="1"/>
  <c r="AJ276" i="37" s="1"/>
  <c r="AJ348" i="37" s="1"/>
  <c r="AJ420" i="37" s="1"/>
  <c r="BA48" i="37"/>
  <c r="BA120" i="37" s="1"/>
  <c r="AR48" i="37"/>
  <c r="AR120" i="37" s="1"/>
  <c r="AR420" i="37" s="1"/>
  <c r="AN48" i="37"/>
  <c r="AN120" i="37" s="1"/>
  <c r="AN204" i="37" s="1"/>
  <c r="AN276" i="37" s="1"/>
  <c r="AN348" i="37" s="1"/>
  <c r="AN420" i="37" s="1"/>
  <c r="AI48" i="37"/>
  <c r="AK48" i="37"/>
  <c r="AK120" i="37" s="1"/>
  <c r="AT48" i="37"/>
  <c r="AT120" i="37" s="1"/>
  <c r="BB46" i="37"/>
  <c r="BB118" i="37" s="1"/>
  <c r="BA46" i="37"/>
  <c r="BA118" i="37" s="1"/>
  <c r="AR46" i="37"/>
  <c r="AR118" i="37" s="1"/>
  <c r="AR418" i="37" s="1"/>
  <c r="AN46" i="37"/>
  <c r="AN118" i="37" s="1"/>
  <c r="AN202" i="37" s="1"/>
  <c r="AN274" i="37" s="1"/>
  <c r="AN346" i="37" s="1"/>
  <c r="AN418" i="37" s="1"/>
  <c r="AI46" i="37"/>
  <c r="AS46" i="37"/>
  <c r="AS118" i="37" s="1"/>
  <c r="AS418" i="37" s="1"/>
  <c r="AL46" i="37"/>
  <c r="AL118" i="37" s="1"/>
  <c r="AL202" i="37" s="1"/>
  <c r="AL274" i="37" s="1"/>
  <c r="AL346" i="37" s="1"/>
  <c r="AL418" i="37" s="1"/>
  <c r="AQ46" i="37"/>
  <c r="AQ118" i="37" s="1"/>
  <c r="AQ418" i="37" s="1"/>
  <c r="AK46" i="37"/>
  <c r="AK118" i="37" s="1"/>
  <c r="AU46" i="37"/>
  <c r="AU118" i="37" s="1"/>
  <c r="AU418" i="37" s="1"/>
  <c r="AJ46" i="37"/>
  <c r="AJ118" i="37" s="1"/>
  <c r="AJ202" i="37" s="1"/>
  <c r="AJ274" i="37" s="1"/>
  <c r="AJ346" i="37" s="1"/>
  <c r="AJ418" i="37" s="1"/>
  <c r="AT46" i="37"/>
  <c r="AT118" i="37" s="1"/>
  <c r="AO46" i="37"/>
  <c r="AH46" i="37"/>
  <c r="AH118" i="37" s="1"/>
  <c r="AH202" i="37" s="1"/>
  <c r="AH274" i="37" s="1"/>
  <c r="AH346" i="37" s="1"/>
  <c r="AH418" i="37" s="1"/>
  <c r="AU34" i="37"/>
  <c r="AU106" i="37" s="1"/>
  <c r="AU406" i="37" s="1"/>
  <c r="AQ34" i="37"/>
  <c r="AQ106" i="37" s="1"/>
  <c r="AQ406" i="37" s="1"/>
  <c r="AL34" i="37"/>
  <c r="AL106" i="37" s="1"/>
  <c r="AL190" i="37" s="1"/>
  <c r="AL262" i="37" s="1"/>
  <c r="AL334" i="37" s="1"/>
  <c r="AL406" i="37" s="1"/>
  <c r="AH34" i="37"/>
  <c r="AH106" i="37" s="1"/>
  <c r="AH190" i="37" s="1"/>
  <c r="AH262" i="37" s="1"/>
  <c r="AH334" i="37" s="1"/>
  <c r="AH406" i="37" s="1"/>
  <c r="AT34" i="37"/>
  <c r="AT106" i="37" s="1"/>
  <c r="AK34" i="37"/>
  <c r="AK106" i="37" s="1"/>
  <c r="BB34" i="37"/>
  <c r="BB106" i="37" s="1"/>
  <c r="AS34" i="37"/>
  <c r="AS106" i="37" s="1"/>
  <c r="AS406" i="37" s="1"/>
  <c r="AO34" i="37"/>
  <c r="AX34" i="37" s="1"/>
  <c r="AJ34" i="37"/>
  <c r="AJ106" i="37" s="1"/>
  <c r="AJ190" i="37" s="1"/>
  <c r="AJ262" i="37" s="1"/>
  <c r="AJ334" i="37" s="1"/>
  <c r="AJ406" i="37" s="1"/>
  <c r="BA34" i="37"/>
  <c r="BA106" i="37" s="1"/>
  <c r="AR34" i="37"/>
  <c r="AR106" i="37" s="1"/>
  <c r="AR406" i="37" s="1"/>
  <c r="AN34" i="37"/>
  <c r="AN106" i="37" s="1"/>
  <c r="AN190" i="37" s="1"/>
  <c r="AN262" i="37" s="1"/>
  <c r="AN334" i="37" s="1"/>
  <c r="AN406" i="37" s="1"/>
  <c r="AI34" i="37"/>
  <c r="AU26" i="37"/>
  <c r="AU98" i="37" s="1"/>
  <c r="AU398" i="37" s="1"/>
  <c r="AQ26" i="37"/>
  <c r="AQ98" i="37" s="1"/>
  <c r="AQ398" i="37" s="1"/>
  <c r="AL26" i="37"/>
  <c r="AL98" i="37" s="1"/>
  <c r="AL182" i="37" s="1"/>
  <c r="AL254" i="37" s="1"/>
  <c r="AL326" i="37" s="1"/>
  <c r="AL398" i="37" s="1"/>
  <c r="AH26" i="37"/>
  <c r="AH98" i="37" s="1"/>
  <c r="AH182" i="37" s="1"/>
  <c r="AH254" i="37" s="1"/>
  <c r="AH326" i="37" s="1"/>
  <c r="AH398" i="37" s="1"/>
  <c r="AT26" i="37"/>
  <c r="AT98" i="37" s="1"/>
  <c r="AK26" i="37"/>
  <c r="AK98" i="37" s="1"/>
  <c r="BB26" i="37"/>
  <c r="BB98" i="37" s="1"/>
  <c r="AS26" i="37"/>
  <c r="AS98" i="37" s="1"/>
  <c r="AS398" i="37" s="1"/>
  <c r="AO26" i="37"/>
  <c r="AX26" i="37" s="1"/>
  <c r="AJ26" i="37"/>
  <c r="AJ98" i="37" s="1"/>
  <c r="AJ182" i="37" s="1"/>
  <c r="AJ254" i="37" s="1"/>
  <c r="AJ326" i="37" s="1"/>
  <c r="AJ398" i="37" s="1"/>
  <c r="BA26" i="37"/>
  <c r="BA98" i="37" s="1"/>
  <c r="AR26" i="37"/>
  <c r="AR98" i="37" s="1"/>
  <c r="AR398" i="37" s="1"/>
  <c r="AN26" i="37"/>
  <c r="AN98" i="37" s="1"/>
  <c r="AN182" i="37" s="1"/>
  <c r="AN254" i="37" s="1"/>
  <c r="AN326" i="37" s="1"/>
  <c r="AN398" i="37" s="1"/>
  <c r="AI26" i="37"/>
  <c r="BA23" i="37"/>
  <c r="BA95" i="37" s="1"/>
  <c r="AR23" i="37"/>
  <c r="AR95" i="37" s="1"/>
  <c r="AR395" i="37" s="1"/>
  <c r="AN23" i="37"/>
  <c r="AN95" i="37" s="1"/>
  <c r="AN179" i="37" s="1"/>
  <c r="AN251" i="37" s="1"/>
  <c r="AN323" i="37" s="1"/>
  <c r="AN395" i="37" s="1"/>
  <c r="AI23" i="37"/>
  <c r="AU23" i="37"/>
  <c r="AU95" i="37" s="1"/>
  <c r="AU395" i="37" s="1"/>
  <c r="AQ23" i="37"/>
  <c r="AQ95" i="37" s="1"/>
  <c r="AQ395" i="37" s="1"/>
  <c r="AL23" i="37"/>
  <c r="AL95" i="37" s="1"/>
  <c r="AL179" i="37" s="1"/>
  <c r="AL251" i="37" s="1"/>
  <c r="AL323" i="37" s="1"/>
  <c r="AL395" i="37" s="1"/>
  <c r="AH23" i="37"/>
  <c r="AH95" i="37" s="1"/>
  <c r="AH179" i="37" s="1"/>
  <c r="AH251" i="37" s="1"/>
  <c r="AH323" i="37" s="1"/>
  <c r="AH395" i="37" s="1"/>
  <c r="AT23" i="37"/>
  <c r="AT95" i="37" s="1"/>
  <c r="AK23" i="37"/>
  <c r="AK95" i="37" s="1"/>
  <c r="BB23" i="37"/>
  <c r="BB95" i="37" s="1"/>
  <c r="AS23" i="37"/>
  <c r="AS95" i="37" s="1"/>
  <c r="AS395" i="37" s="1"/>
  <c r="AO23" i="37"/>
  <c r="AJ23" i="37"/>
  <c r="AJ95" i="37" s="1"/>
  <c r="AJ179" i="37" s="1"/>
  <c r="AJ251" i="37" s="1"/>
  <c r="AJ323" i="37" s="1"/>
  <c r="AJ395" i="37" s="1"/>
  <c r="AP69" i="11"/>
  <c r="AW69" i="11" s="1"/>
  <c r="AW141" i="11" s="1"/>
  <c r="AW225" i="11" s="1"/>
  <c r="AO141" i="11"/>
  <c r="EG59" i="40" s="1"/>
  <c r="CI59" i="40" s="1"/>
  <c r="AT441" i="11"/>
  <c r="AP77" i="11"/>
  <c r="AW77" i="11" s="1"/>
  <c r="AW149" i="11" s="1"/>
  <c r="AW233" i="11" s="1"/>
  <c r="AO149" i="11"/>
  <c r="EG67" i="40" s="1"/>
  <c r="V67" i="40" s="1"/>
  <c r="AT449" i="11"/>
  <c r="AM182" i="11"/>
  <c r="AM254" i="11" s="1"/>
  <c r="AM326" i="11" s="1"/>
  <c r="AH182" i="11"/>
  <c r="AH254" i="11" s="1"/>
  <c r="AH326" i="11" s="1"/>
  <c r="AH398" i="11" s="1"/>
  <c r="AM190" i="11"/>
  <c r="AM262" i="11" s="1"/>
  <c r="AM334" i="11" s="1"/>
  <c r="AM198" i="11"/>
  <c r="AM270" i="11" s="1"/>
  <c r="AM342" i="11" s="1"/>
  <c r="AM206" i="11"/>
  <c r="AM278" i="11" s="1"/>
  <c r="AM350" i="11" s="1"/>
  <c r="AM214" i="11"/>
  <c r="AM286" i="11" s="1"/>
  <c r="AM358" i="11" s="1"/>
  <c r="AM222" i="11"/>
  <c r="AM294" i="11" s="1"/>
  <c r="AM366" i="11" s="1"/>
  <c r="AM238" i="11"/>
  <c r="AM310" i="11" s="1"/>
  <c r="AM382" i="11" s="1"/>
  <c r="AH171" i="11"/>
  <c r="AH243" i="11" s="1"/>
  <c r="AH315" i="11" s="1"/>
  <c r="AH387" i="11" s="1"/>
  <c r="AM171" i="11"/>
  <c r="AM243" i="11" s="1"/>
  <c r="AM315" i="11" s="1"/>
  <c r="AH175" i="11"/>
  <c r="AH247" i="11" s="1"/>
  <c r="AH319" i="11" s="1"/>
  <c r="AH391" i="11" s="1"/>
  <c r="AM175" i="11"/>
  <c r="AM247" i="11" s="1"/>
  <c r="AM319" i="11" s="1"/>
  <c r="AM184" i="11"/>
  <c r="AM256" i="11" s="1"/>
  <c r="AM328" i="11" s="1"/>
  <c r="AH184" i="11"/>
  <c r="AH256" i="11" s="1"/>
  <c r="AH328" i="11" s="1"/>
  <c r="AH400" i="11" s="1"/>
  <c r="AM200" i="11"/>
  <c r="AM272" i="11" s="1"/>
  <c r="AM344" i="11" s="1"/>
  <c r="AH179" i="11"/>
  <c r="AH251" i="11" s="1"/>
  <c r="AH323" i="11" s="1"/>
  <c r="AH395" i="11" s="1"/>
  <c r="AM179" i="11"/>
  <c r="AM251" i="11" s="1"/>
  <c r="AM323" i="11" s="1"/>
  <c r="AM181" i="11"/>
  <c r="AM253" i="11" s="1"/>
  <c r="AM325" i="11" s="1"/>
  <c r="AH181" i="11"/>
  <c r="AH253" i="11" s="1"/>
  <c r="AH325" i="11" s="1"/>
  <c r="AH397" i="11" s="1"/>
  <c r="AM189" i="11"/>
  <c r="AM261" i="11" s="1"/>
  <c r="AM333" i="11" s="1"/>
  <c r="AM197" i="11"/>
  <c r="AM269" i="11" s="1"/>
  <c r="AM341" i="11" s="1"/>
  <c r="AM205" i="11"/>
  <c r="AM277" i="11" s="1"/>
  <c r="AM349" i="11" s="1"/>
  <c r="AM213" i="11"/>
  <c r="AM285" i="11" s="1"/>
  <c r="AM357" i="11" s="1"/>
  <c r="AM221" i="11"/>
  <c r="AM293" i="11" s="1"/>
  <c r="AM365" i="11" s="1"/>
  <c r="BA41" i="37"/>
  <c r="BA113" i="37" s="1"/>
  <c r="AR41" i="37"/>
  <c r="AR113" i="37" s="1"/>
  <c r="AR413" i="37" s="1"/>
  <c r="AN41" i="37"/>
  <c r="AN113" i="37" s="1"/>
  <c r="AN197" i="37" s="1"/>
  <c r="AN269" i="37" s="1"/>
  <c r="AN341" i="37" s="1"/>
  <c r="AN413" i="37" s="1"/>
  <c r="AI41" i="37"/>
  <c r="AQ41" i="37"/>
  <c r="AQ113" i="37" s="1"/>
  <c r="AQ413" i="37" s="1"/>
  <c r="AK41" i="37"/>
  <c r="AK113" i="37" s="1"/>
  <c r="BB41" i="37"/>
  <c r="BB113" i="37" s="1"/>
  <c r="AU41" i="37"/>
  <c r="AU113" i="37" s="1"/>
  <c r="AU413" i="37" s="1"/>
  <c r="AJ41" i="37"/>
  <c r="AJ113" i="37" s="1"/>
  <c r="AJ197" i="37" s="1"/>
  <c r="AJ269" i="37" s="1"/>
  <c r="AJ341" i="37" s="1"/>
  <c r="AJ413" i="37" s="1"/>
  <c r="AT41" i="37"/>
  <c r="AT113" i="37" s="1"/>
  <c r="AO41" i="37"/>
  <c r="AH41" i="37"/>
  <c r="AH113" i="37" s="1"/>
  <c r="AH197" i="37" s="1"/>
  <c r="AH269" i="37" s="1"/>
  <c r="AH341" i="37" s="1"/>
  <c r="AH413" i="37" s="1"/>
  <c r="AS41" i="37"/>
  <c r="AS113" i="37" s="1"/>
  <c r="AS413" i="37" s="1"/>
  <c r="AL41" i="37"/>
  <c r="AL113" i="37" s="1"/>
  <c r="AL197" i="37" s="1"/>
  <c r="AL269" i="37" s="1"/>
  <c r="AL341" i="37" s="1"/>
  <c r="AL413" i="37" s="1"/>
  <c r="AT21" i="37"/>
  <c r="AT93" i="37" s="1"/>
  <c r="AK21" i="37"/>
  <c r="AK93" i="37" s="1"/>
  <c r="BB21" i="37"/>
  <c r="BB93" i="37" s="1"/>
  <c r="AS21" i="37"/>
  <c r="AS93" i="37" s="1"/>
  <c r="AS393" i="37" s="1"/>
  <c r="AO21" i="37"/>
  <c r="AX21" i="37" s="1"/>
  <c r="AJ21" i="37"/>
  <c r="AJ93" i="37" s="1"/>
  <c r="AJ177" i="37" s="1"/>
  <c r="AJ249" i="37" s="1"/>
  <c r="AJ321" i="37" s="1"/>
  <c r="AJ393" i="37" s="1"/>
  <c r="BA21" i="37"/>
  <c r="BA93" i="37" s="1"/>
  <c r="AR21" i="37"/>
  <c r="AR93" i="37" s="1"/>
  <c r="AR393" i="37" s="1"/>
  <c r="AN21" i="37"/>
  <c r="AN93" i="37" s="1"/>
  <c r="AN177" i="37" s="1"/>
  <c r="AN249" i="37" s="1"/>
  <c r="AN321" i="37" s="1"/>
  <c r="AN393" i="37" s="1"/>
  <c r="AI21" i="37"/>
  <c r="AU21" i="37"/>
  <c r="AU93" i="37" s="1"/>
  <c r="AU393" i="37" s="1"/>
  <c r="AQ21" i="37"/>
  <c r="AQ93" i="37" s="1"/>
  <c r="AQ393" i="37" s="1"/>
  <c r="AL21" i="37"/>
  <c r="AL93" i="37" s="1"/>
  <c r="AL177" i="37" s="1"/>
  <c r="AL249" i="37" s="1"/>
  <c r="AL321" i="37" s="1"/>
  <c r="AL393" i="37" s="1"/>
  <c r="AH21" i="37"/>
  <c r="AH93" i="37" s="1"/>
  <c r="AH177" i="37" s="1"/>
  <c r="AH249" i="37" s="1"/>
  <c r="AH321" i="37" s="1"/>
  <c r="AH393" i="37" s="1"/>
  <c r="AU31" i="37"/>
  <c r="AU103" i="37" s="1"/>
  <c r="AU403" i="37" s="1"/>
  <c r="AQ31" i="37"/>
  <c r="AQ103" i="37" s="1"/>
  <c r="AQ403" i="37" s="1"/>
  <c r="AL31" i="37"/>
  <c r="AL103" i="37" s="1"/>
  <c r="AL187" i="37" s="1"/>
  <c r="AL259" i="37" s="1"/>
  <c r="AL331" i="37" s="1"/>
  <c r="AL403" i="37" s="1"/>
  <c r="AH31" i="37"/>
  <c r="AH103" i="37" s="1"/>
  <c r="AH187" i="37" s="1"/>
  <c r="AH259" i="37" s="1"/>
  <c r="AH331" i="37" s="1"/>
  <c r="AH403" i="37" s="1"/>
  <c r="AT31" i="37"/>
  <c r="AT103" i="37" s="1"/>
  <c r="AK31" i="37"/>
  <c r="AK103" i="37" s="1"/>
  <c r="BB31" i="37"/>
  <c r="BB103" i="37" s="1"/>
  <c r="AS31" i="37"/>
  <c r="AS103" i="37" s="1"/>
  <c r="AS403" i="37" s="1"/>
  <c r="AO31" i="37"/>
  <c r="AX31" i="37" s="1"/>
  <c r="AJ31" i="37"/>
  <c r="AJ103" i="37" s="1"/>
  <c r="AJ187" i="37" s="1"/>
  <c r="AJ259" i="37" s="1"/>
  <c r="AJ331" i="37" s="1"/>
  <c r="AJ403" i="37" s="1"/>
  <c r="BA31" i="37"/>
  <c r="BA103" i="37" s="1"/>
  <c r="AR31" i="37"/>
  <c r="AR103" i="37" s="1"/>
  <c r="AR403" i="37" s="1"/>
  <c r="AN31" i="37"/>
  <c r="AN103" i="37" s="1"/>
  <c r="AN187" i="37" s="1"/>
  <c r="AN259" i="37" s="1"/>
  <c r="AN331" i="37" s="1"/>
  <c r="AN403" i="37" s="1"/>
  <c r="AI31" i="37"/>
  <c r="AU20" i="37"/>
  <c r="AU92" i="37" s="1"/>
  <c r="AU392" i="37" s="1"/>
  <c r="AQ20" i="37"/>
  <c r="AQ92" i="37" s="1"/>
  <c r="AQ392" i="37" s="1"/>
  <c r="AL20" i="37"/>
  <c r="AL92" i="37" s="1"/>
  <c r="AL176" i="37" s="1"/>
  <c r="AL248" i="37" s="1"/>
  <c r="AL320" i="37" s="1"/>
  <c r="AL392" i="37" s="1"/>
  <c r="AH20" i="37"/>
  <c r="AH92" i="37" s="1"/>
  <c r="AH176" i="37" s="1"/>
  <c r="AH248" i="37" s="1"/>
  <c r="AH320" i="37" s="1"/>
  <c r="AH392" i="37" s="1"/>
  <c r="AT20" i="37"/>
  <c r="AT92" i="37" s="1"/>
  <c r="AK20" i="37"/>
  <c r="AK92" i="37" s="1"/>
  <c r="BB20" i="37"/>
  <c r="BB92" i="37" s="1"/>
  <c r="AS20" i="37"/>
  <c r="AS92" i="37" s="1"/>
  <c r="AS392" i="37" s="1"/>
  <c r="AO20" i="37"/>
  <c r="AX20" i="37" s="1"/>
  <c r="AJ20" i="37"/>
  <c r="AJ92" i="37" s="1"/>
  <c r="AJ176" i="37" s="1"/>
  <c r="AJ248" i="37" s="1"/>
  <c r="AJ320" i="37" s="1"/>
  <c r="AJ392" i="37" s="1"/>
  <c r="BA20" i="37"/>
  <c r="BA92" i="37" s="1"/>
  <c r="AR20" i="37"/>
  <c r="AR92" i="37" s="1"/>
  <c r="AR392" i="37" s="1"/>
  <c r="AN20" i="37"/>
  <c r="AN92" i="37" s="1"/>
  <c r="AN176" i="37" s="1"/>
  <c r="AN248" i="37" s="1"/>
  <c r="AN320" i="37" s="1"/>
  <c r="AN392" i="37" s="1"/>
  <c r="AI20" i="37"/>
  <c r="AI102" i="11"/>
  <c r="AI186" i="11" s="1"/>
  <c r="AI258" i="11" s="1"/>
  <c r="AI330" i="11" s="1"/>
  <c r="AI402" i="11" s="1"/>
  <c r="AV30" i="11"/>
  <c r="AV102" i="11" s="1"/>
  <c r="AV186" i="11" s="1"/>
  <c r="AV258" i="11" s="1"/>
  <c r="AV330" i="11" s="1"/>
  <c r="AV402" i="11" s="1"/>
  <c r="AI110" i="11"/>
  <c r="AI194" i="11" s="1"/>
  <c r="AI266" i="11" s="1"/>
  <c r="AI338" i="11" s="1"/>
  <c r="AI410" i="11" s="1"/>
  <c r="AV38" i="11"/>
  <c r="AV110" i="11" s="1"/>
  <c r="AV194" i="11" s="1"/>
  <c r="AV266" i="11" s="1"/>
  <c r="AV338" i="11" s="1"/>
  <c r="AV410" i="11" s="1"/>
  <c r="AI118" i="11"/>
  <c r="AI202" i="11" s="1"/>
  <c r="AI274" i="11" s="1"/>
  <c r="AI346" i="11" s="1"/>
  <c r="AI418" i="11" s="1"/>
  <c r="AV46" i="11"/>
  <c r="AV118" i="11" s="1"/>
  <c r="AV202" i="11" s="1"/>
  <c r="AV274" i="11" s="1"/>
  <c r="AV346" i="11" s="1"/>
  <c r="AV418" i="11" s="1"/>
  <c r="AI126" i="11"/>
  <c r="AI210" i="11" s="1"/>
  <c r="AI282" i="11" s="1"/>
  <c r="AI354" i="11" s="1"/>
  <c r="AI426" i="11" s="1"/>
  <c r="AV54" i="11"/>
  <c r="AV126" i="11" s="1"/>
  <c r="AV210" i="11" s="1"/>
  <c r="AV282" i="11" s="1"/>
  <c r="AV354" i="11" s="1"/>
  <c r="AV426" i="11" s="1"/>
  <c r="AI134" i="11"/>
  <c r="AI218" i="11" s="1"/>
  <c r="AI290" i="11" s="1"/>
  <c r="AI362" i="11" s="1"/>
  <c r="AI434" i="11" s="1"/>
  <c r="AV62" i="11"/>
  <c r="AV134" i="11" s="1"/>
  <c r="AV218" i="11" s="1"/>
  <c r="AV290" i="11" s="1"/>
  <c r="AV362" i="11" s="1"/>
  <c r="AV434" i="11" s="1"/>
  <c r="AI142" i="11"/>
  <c r="AI226" i="11" s="1"/>
  <c r="AI298" i="11" s="1"/>
  <c r="AI370" i="11" s="1"/>
  <c r="AI442" i="11" s="1"/>
  <c r="AV70" i="11"/>
  <c r="AV142" i="11" s="1"/>
  <c r="AV226" i="11" s="1"/>
  <c r="AV298" i="11" s="1"/>
  <c r="AV370" i="11" s="1"/>
  <c r="AV442" i="11" s="1"/>
  <c r="AI150" i="11"/>
  <c r="AI234" i="11" s="1"/>
  <c r="AI306" i="11" s="1"/>
  <c r="AI378" i="11" s="1"/>
  <c r="AI450" i="11" s="1"/>
  <c r="AV78" i="11"/>
  <c r="AV150" i="11" s="1"/>
  <c r="AV234" i="11" s="1"/>
  <c r="AV306" i="11" s="1"/>
  <c r="AV378" i="11" s="1"/>
  <c r="AV450" i="11" s="1"/>
  <c r="AV14" i="11"/>
  <c r="AV86" i="11" s="1"/>
  <c r="AV170" i="11" s="1"/>
  <c r="AV242" i="11" s="1"/>
  <c r="AV314" i="11" s="1"/>
  <c r="AV386" i="11" s="1"/>
  <c r="AI86" i="11"/>
  <c r="AI170" i="11" s="1"/>
  <c r="AI242" i="11" s="1"/>
  <c r="AI314" i="11" s="1"/>
  <c r="AI386" i="11" s="1"/>
  <c r="AI140" i="11"/>
  <c r="AI224" i="11" s="1"/>
  <c r="AI296" i="11" s="1"/>
  <c r="AI368" i="11" s="1"/>
  <c r="AI440" i="11" s="1"/>
  <c r="AV68" i="11"/>
  <c r="AV140" i="11" s="1"/>
  <c r="AV224" i="11" s="1"/>
  <c r="AV296" i="11" s="1"/>
  <c r="AV368" i="11" s="1"/>
  <c r="AV440" i="11" s="1"/>
  <c r="AI148" i="11"/>
  <c r="AI232" i="11" s="1"/>
  <c r="AI304" i="11" s="1"/>
  <c r="AI376" i="11" s="1"/>
  <c r="AI448" i="11" s="1"/>
  <c r="AV76" i="11"/>
  <c r="AV148" i="11" s="1"/>
  <c r="AV232" i="11" s="1"/>
  <c r="AV304" i="11" s="1"/>
  <c r="AV376" i="11" s="1"/>
  <c r="AV448" i="11" s="1"/>
  <c r="AI156" i="11"/>
  <c r="AI240" i="11" s="1"/>
  <c r="AI312" i="11" s="1"/>
  <c r="AI384" i="11" s="1"/>
  <c r="AI456" i="11" s="1"/>
  <c r="AV84" i="11"/>
  <c r="AV156" i="11" s="1"/>
  <c r="AV240" i="11" s="1"/>
  <c r="AV312" i="11" s="1"/>
  <c r="AV384" i="11" s="1"/>
  <c r="AV456" i="11" s="1"/>
  <c r="AV18" i="11"/>
  <c r="AV90" i="11" s="1"/>
  <c r="AV174" i="11" s="1"/>
  <c r="AV246" i="11" s="1"/>
  <c r="AV318" i="11" s="1"/>
  <c r="AV390" i="11" s="1"/>
  <c r="AI90" i="11"/>
  <c r="AI174" i="11" s="1"/>
  <c r="AI246" i="11" s="1"/>
  <c r="AI318" i="11" s="1"/>
  <c r="AI390" i="11" s="1"/>
  <c r="AI96" i="11"/>
  <c r="AI180" i="11" s="1"/>
  <c r="AI252" i="11" s="1"/>
  <c r="AI324" i="11" s="1"/>
  <c r="AI396" i="11" s="1"/>
  <c r="AV24" i="11"/>
  <c r="AV96" i="11" s="1"/>
  <c r="AV180" i="11" s="1"/>
  <c r="AV252" i="11" s="1"/>
  <c r="AV324" i="11" s="1"/>
  <c r="AV396" i="11" s="1"/>
  <c r="AI104" i="11"/>
  <c r="AI188" i="11" s="1"/>
  <c r="AI260" i="11" s="1"/>
  <c r="AI332" i="11" s="1"/>
  <c r="AI404" i="11" s="1"/>
  <c r="AV32" i="11"/>
  <c r="AV104" i="11" s="1"/>
  <c r="AV188" i="11" s="1"/>
  <c r="AV260" i="11" s="1"/>
  <c r="AV332" i="11" s="1"/>
  <c r="AV404" i="11" s="1"/>
  <c r="AI120" i="11"/>
  <c r="AI204" i="11" s="1"/>
  <c r="AI276" i="11" s="1"/>
  <c r="AI348" i="11" s="1"/>
  <c r="AI420" i="11" s="1"/>
  <c r="AV48" i="11"/>
  <c r="AV120" i="11" s="1"/>
  <c r="AV204" i="11" s="1"/>
  <c r="AV276" i="11" s="1"/>
  <c r="AV348" i="11" s="1"/>
  <c r="AV420" i="11" s="1"/>
  <c r="AI128" i="11"/>
  <c r="AI212" i="11" s="1"/>
  <c r="AI284" i="11" s="1"/>
  <c r="AI356" i="11" s="1"/>
  <c r="AI428" i="11" s="1"/>
  <c r="AV56" i="11"/>
  <c r="AV128" i="11" s="1"/>
  <c r="AV212" i="11" s="1"/>
  <c r="AV284" i="11" s="1"/>
  <c r="AV356" i="11" s="1"/>
  <c r="AV428" i="11" s="1"/>
  <c r="AI136" i="11"/>
  <c r="AI220" i="11" s="1"/>
  <c r="AI292" i="11" s="1"/>
  <c r="AI364" i="11" s="1"/>
  <c r="AI436" i="11" s="1"/>
  <c r="AV64" i="11"/>
  <c r="AV136" i="11" s="1"/>
  <c r="AV220" i="11" s="1"/>
  <c r="AV292" i="11" s="1"/>
  <c r="AV364" i="11" s="1"/>
  <c r="AV436" i="11" s="1"/>
  <c r="AI144" i="11"/>
  <c r="AI228" i="11" s="1"/>
  <c r="AI300" i="11" s="1"/>
  <c r="AI372" i="11" s="1"/>
  <c r="AI444" i="11" s="1"/>
  <c r="AV72" i="11"/>
  <c r="AV144" i="11" s="1"/>
  <c r="AV228" i="11" s="1"/>
  <c r="AV300" i="11" s="1"/>
  <c r="AV372" i="11" s="1"/>
  <c r="AV444" i="11" s="1"/>
  <c r="AI152" i="11"/>
  <c r="AI236" i="11" s="1"/>
  <c r="AI308" i="11" s="1"/>
  <c r="AI380" i="11" s="1"/>
  <c r="AI452" i="11" s="1"/>
  <c r="AV80" i="11"/>
  <c r="AV152" i="11" s="1"/>
  <c r="AV236" i="11" s="1"/>
  <c r="AV308" i="11" s="1"/>
  <c r="AV380" i="11" s="1"/>
  <c r="AV452" i="11" s="1"/>
  <c r="AM185" i="11"/>
  <c r="AM257" i="11" s="1"/>
  <c r="AM329" i="11" s="1"/>
  <c r="AH185" i="11"/>
  <c r="AH257" i="11" s="1"/>
  <c r="AH329" i="11" s="1"/>
  <c r="AH401" i="11" s="1"/>
  <c r="AM193" i="11"/>
  <c r="AM265" i="11" s="1"/>
  <c r="AM337" i="11" s="1"/>
  <c r="AI101" i="11"/>
  <c r="AI185" i="11" s="1"/>
  <c r="AI257" i="11" s="1"/>
  <c r="AI329" i="11" s="1"/>
  <c r="AI401" i="11" s="1"/>
  <c r="AV29" i="11"/>
  <c r="AV101" i="11" s="1"/>
  <c r="AV185" i="11" s="1"/>
  <c r="AV257" i="11" s="1"/>
  <c r="AV329" i="11" s="1"/>
  <c r="AV401" i="11" s="1"/>
  <c r="AI109" i="11"/>
  <c r="AI193" i="11" s="1"/>
  <c r="AI265" i="11" s="1"/>
  <c r="AI337" i="11" s="1"/>
  <c r="AI409" i="11" s="1"/>
  <c r="AV37" i="11"/>
  <c r="AV109" i="11" s="1"/>
  <c r="AV193" i="11" s="1"/>
  <c r="AV265" i="11" s="1"/>
  <c r="AV337" i="11" s="1"/>
  <c r="AV409" i="11" s="1"/>
  <c r="AI117" i="11"/>
  <c r="AI201" i="11" s="1"/>
  <c r="AI273" i="11" s="1"/>
  <c r="AI345" i="11" s="1"/>
  <c r="AI417" i="11" s="1"/>
  <c r="AV45" i="11"/>
  <c r="AV117" i="11" s="1"/>
  <c r="AV201" i="11" s="1"/>
  <c r="AV273" i="11" s="1"/>
  <c r="AV345" i="11" s="1"/>
  <c r="AV417" i="11" s="1"/>
  <c r="AI125" i="11"/>
  <c r="AI209" i="11" s="1"/>
  <c r="AI281" i="11" s="1"/>
  <c r="AI353" i="11" s="1"/>
  <c r="AI425" i="11" s="1"/>
  <c r="AV53" i="11"/>
  <c r="AV125" i="11" s="1"/>
  <c r="AV209" i="11" s="1"/>
  <c r="AV281" i="11" s="1"/>
  <c r="AV353" i="11" s="1"/>
  <c r="AV425" i="11" s="1"/>
  <c r="AI133" i="11"/>
  <c r="AI217" i="11" s="1"/>
  <c r="AI289" i="11" s="1"/>
  <c r="AI361" i="11" s="1"/>
  <c r="AI433" i="11" s="1"/>
  <c r="AV61" i="11"/>
  <c r="AV133" i="11" s="1"/>
  <c r="AV217" i="11" s="1"/>
  <c r="AV289" i="11" s="1"/>
  <c r="AV361" i="11" s="1"/>
  <c r="AV433" i="11" s="1"/>
  <c r="AH173" i="11"/>
  <c r="AH245" i="11" s="1"/>
  <c r="AH317" i="11" s="1"/>
  <c r="AH389" i="11" s="1"/>
  <c r="AM173" i="11"/>
  <c r="AM245" i="11" s="1"/>
  <c r="AM317" i="11" s="1"/>
  <c r="AV22" i="11"/>
  <c r="AV94" i="11" s="1"/>
  <c r="AV178" i="11" s="1"/>
  <c r="AV250" i="11" s="1"/>
  <c r="AV322" i="11" s="1"/>
  <c r="AV394" i="11" s="1"/>
  <c r="AI94" i="11"/>
  <c r="AI178" i="11" s="1"/>
  <c r="AI250" i="11" s="1"/>
  <c r="AI322" i="11" s="1"/>
  <c r="AI394" i="11" s="1"/>
  <c r="AU80" i="37"/>
  <c r="AU152" i="37" s="1"/>
  <c r="AU452" i="37" s="1"/>
  <c r="AQ80" i="37"/>
  <c r="AQ152" i="37" s="1"/>
  <c r="AQ452" i="37" s="1"/>
  <c r="AL80" i="37"/>
  <c r="AL152" i="37" s="1"/>
  <c r="AL236" i="37" s="1"/>
  <c r="AL308" i="37" s="1"/>
  <c r="AL380" i="37" s="1"/>
  <c r="AL452" i="37" s="1"/>
  <c r="AH80" i="37"/>
  <c r="AH152" i="37" s="1"/>
  <c r="AH236" i="37" s="1"/>
  <c r="AH308" i="37" s="1"/>
  <c r="AH380" i="37" s="1"/>
  <c r="AH452" i="37" s="1"/>
  <c r="AT80" i="37"/>
  <c r="AT152" i="37" s="1"/>
  <c r="AK80" i="37"/>
  <c r="AK152" i="37" s="1"/>
  <c r="BB80" i="37"/>
  <c r="BB152" i="37" s="1"/>
  <c r="AS80" i="37"/>
  <c r="AS152" i="37" s="1"/>
  <c r="AS452" i="37" s="1"/>
  <c r="AO80" i="37"/>
  <c r="AX80" i="37" s="1"/>
  <c r="AJ80" i="37"/>
  <c r="AJ152" i="37" s="1"/>
  <c r="AJ236" i="37" s="1"/>
  <c r="AJ308" i="37" s="1"/>
  <c r="AJ380" i="37" s="1"/>
  <c r="AJ452" i="37" s="1"/>
  <c r="BA80" i="37"/>
  <c r="BA152" i="37" s="1"/>
  <c r="AR80" i="37"/>
  <c r="AR152" i="37" s="1"/>
  <c r="AR452" i="37" s="1"/>
  <c r="AN80" i="37"/>
  <c r="AN152" i="37" s="1"/>
  <c r="AN236" i="37" s="1"/>
  <c r="AN308" i="37" s="1"/>
  <c r="AN380" i="37" s="1"/>
  <c r="AN452" i="37" s="1"/>
  <c r="AI80" i="37"/>
  <c r="AU72" i="37"/>
  <c r="AU144" i="37" s="1"/>
  <c r="AU444" i="37" s="1"/>
  <c r="AQ72" i="37"/>
  <c r="AQ144" i="37" s="1"/>
  <c r="AQ444" i="37" s="1"/>
  <c r="AL72" i="37"/>
  <c r="AL144" i="37" s="1"/>
  <c r="AL228" i="37" s="1"/>
  <c r="AL300" i="37" s="1"/>
  <c r="AL372" i="37" s="1"/>
  <c r="AL444" i="37" s="1"/>
  <c r="AH72" i="37"/>
  <c r="AH144" i="37" s="1"/>
  <c r="AH228" i="37" s="1"/>
  <c r="AH300" i="37" s="1"/>
  <c r="AH372" i="37" s="1"/>
  <c r="AH444" i="37" s="1"/>
  <c r="AT72" i="37"/>
  <c r="AT144" i="37" s="1"/>
  <c r="AK72" i="37"/>
  <c r="AK144" i="37" s="1"/>
  <c r="BB72" i="37"/>
  <c r="BB144" i="37" s="1"/>
  <c r="AS72" i="37"/>
  <c r="AS144" i="37" s="1"/>
  <c r="AS444" i="37" s="1"/>
  <c r="AO72" i="37"/>
  <c r="AX72" i="37" s="1"/>
  <c r="AJ72" i="37"/>
  <c r="AJ144" i="37" s="1"/>
  <c r="AJ228" i="37" s="1"/>
  <c r="AJ300" i="37" s="1"/>
  <c r="AJ372" i="37" s="1"/>
  <c r="AJ444" i="37" s="1"/>
  <c r="BA72" i="37"/>
  <c r="BA144" i="37" s="1"/>
  <c r="AR72" i="37"/>
  <c r="AR144" i="37" s="1"/>
  <c r="AR444" i="37" s="1"/>
  <c r="AN72" i="37"/>
  <c r="AN144" i="37" s="1"/>
  <c r="AN228" i="37" s="1"/>
  <c r="AN300" i="37" s="1"/>
  <c r="AN372" i="37" s="1"/>
  <c r="AN444" i="37" s="1"/>
  <c r="AI72" i="37"/>
  <c r="AU64" i="37"/>
  <c r="AU136" i="37" s="1"/>
  <c r="AU436" i="37" s="1"/>
  <c r="AQ64" i="37"/>
  <c r="AQ136" i="37" s="1"/>
  <c r="AQ436" i="37" s="1"/>
  <c r="AL64" i="37"/>
  <c r="AL136" i="37" s="1"/>
  <c r="AL220" i="37" s="1"/>
  <c r="AL292" i="37" s="1"/>
  <c r="AL364" i="37" s="1"/>
  <c r="AL436" i="37" s="1"/>
  <c r="AH64" i="37"/>
  <c r="AH136" i="37" s="1"/>
  <c r="AH220" i="37" s="1"/>
  <c r="AH292" i="37" s="1"/>
  <c r="AH364" i="37" s="1"/>
  <c r="AH436" i="37" s="1"/>
  <c r="AT64" i="37"/>
  <c r="AT136" i="37" s="1"/>
  <c r="AK64" i="37"/>
  <c r="AK136" i="37" s="1"/>
  <c r="BB64" i="37"/>
  <c r="BB136" i="37" s="1"/>
  <c r="AS64" i="37"/>
  <c r="AS136" i="37" s="1"/>
  <c r="AS436" i="37" s="1"/>
  <c r="AO64" i="37"/>
  <c r="AX64" i="37" s="1"/>
  <c r="AJ64" i="37"/>
  <c r="AJ136" i="37" s="1"/>
  <c r="AJ220" i="37" s="1"/>
  <c r="AJ292" i="37" s="1"/>
  <c r="AJ364" i="37" s="1"/>
  <c r="AJ436" i="37" s="1"/>
  <c r="BA64" i="37"/>
  <c r="BA136" i="37" s="1"/>
  <c r="AR64" i="37"/>
  <c r="AR136" i="37" s="1"/>
  <c r="AR436" i="37" s="1"/>
  <c r="AN64" i="37"/>
  <c r="AN136" i="37" s="1"/>
  <c r="AN220" i="37" s="1"/>
  <c r="AN292" i="37" s="1"/>
  <c r="AN364" i="37" s="1"/>
  <c r="AN436" i="37" s="1"/>
  <c r="AI64" i="37"/>
  <c r="AU56" i="37"/>
  <c r="AU128" i="37" s="1"/>
  <c r="AU428" i="37" s="1"/>
  <c r="AQ56" i="37"/>
  <c r="AQ128" i="37" s="1"/>
  <c r="AQ428" i="37" s="1"/>
  <c r="AL56" i="37"/>
  <c r="AL128" i="37" s="1"/>
  <c r="AL212" i="37" s="1"/>
  <c r="AL284" i="37" s="1"/>
  <c r="AL356" i="37" s="1"/>
  <c r="AL428" i="37" s="1"/>
  <c r="AH56" i="37"/>
  <c r="AH128" i="37" s="1"/>
  <c r="AH212" i="37" s="1"/>
  <c r="AH284" i="37" s="1"/>
  <c r="AH356" i="37" s="1"/>
  <c r="AH428" i="37" s="1"/>
  <c r="AT56" i="37"/>
  <c r="AT128" i="37" s="1"/>
  <c r="AK56" i="37"/>
  <c r="AK128" i="37" s="1"/>
  <c r="BB56" i="37"/>
  <c r="BB128" i="37" s="1"/>
  <c r="AS56" i="37"/>
  <c r="AS128" i="37" s="1"/>
  <c r="AS428" i="37" s="1"/>
  <c r="AO56" i="37"/>
  <c r="AX56" i="37" s="1"/>
  <c r="AJ56" i="37"/>
  <c r="AJ128" i="37" s="1"/>
  <c r="AJ212" i="37" s="1"/>
  <c r="AJ284" i="37" s="1"/>
  <c r="AJ356" i="37" s="1"/>
  <c r="AJ428" i="37" s="1"/>
  <c r="BA56" i="37"/>
  <c r="BA128" i="37" s="1"/>
  <c r="AR56" i="37"/>
  <c r="AR128" i="37" s="1"/>
  <c r="AR428" i="37" s="1"/>
  <c r="AN56" i="37"/>
  <c r="AN128" i="37" s="1"/>
  <c r="AN212" i="37" s="1"/>
  <c r="AN284" i="37" s="1"/>
  <c r="AN356" i="37" s="1"/>
  <c r="AN428" i="37" s="1"/>
  <c r="AI56" i="37"/>
  <c r="AM172" i="11"/>
  <c r="AM244" i="11" s="1"/>
  <c r="AM316" i="11" s="1"/>
  <c r="AH172" i="11"/>
  <c r="AH244" i="11" s="1"/>
  <c r="AH316" i="11" s="1"/>
  <c r="AH388" i="11" s="1"/>
  <c r="AM230" i="11"/>
  <c r="AM302" i="11" s="1"/>
  <c r="AM374" i="11" s="1"/>
  <c r="AM176" i="11"/>
  <c r="AM248" i="11" s="1"/>
  <c r="AM320" i="11" s="1"/>
  <c r="AH176" i="11"/>
  <c r="AH248" i="11" s="1"/>
  <c r="AH320" i="11" s="1"/>
  <c r="AH392" i="11" s="1"/>
  <c r="AM183" i="11"/>
  <c r="AM255" i="11" s="1"/>
  <c r="AM327" i="11" s="1"/>
  <c r="AH183" i="11"/>
  <c r="AH255" i="11" s="1"/>
  <c r="AH327" i="11" s="1"/>
  <c r="AH399" i="11" s="1"/>
  <c r="AM191" i="11"/>
  <c r="AM263" i="11" s="1"/>
  <c r="AM335" i="11" s="1"/>
  <c r="AM199" i="11"/>
  <c r="AM271" i="11" s="1"/>
  <c r="AM343" i="11" s="1"/>
  <c r="AM207" i="11"/>
  <c r="AM279" i="11" s="1"/>
  <c r="AM351" i="11" s="1"/>
  <c r="AM215" i="11"/>
  <c r="AM287" i="11" s="1"/>
  <c r="AM359" i="11" s="1"/>
  <c r="AM223" i="11"/>
  <c r="AM295" i="11" s="1"/>
  <c r="AM367" i="11" s="1"/>
  <c r="AM231" i="11"/>
  <c r="AM303" i="11" s="1"/>
  <c r="AM375" i="11" s="1"/>
  <c r="AM239" i="11"/>
  <c r="AM311" i="11" s="1"/>
  <c r="AM383" i="11" s="1"/>
  <c r="AM196" i="11"/>
  <c r="AM268" i="11" s="1"/>
  <c r="AM340" i="11" s="1"/>
  <c r="AM192" i="11"/>
  <c r="AM264" i="11" s="1"/>
  <c r="AM336" i="11" s="1"/>
  <c r="AM208" i="11"/>
  <c r="AM280" i="11" s="1"/>
  <c r="AM352" i="11" s="1"/>
  <c r="AM216" i="11"/>
  <c r="AM288" i="11" s="1"/>
  <c r="AM360" i="11" s="1"/>
  <c r="AX69" i="11"/>
  <c r="AX141" i="11" s="1"/>
  <c r="AX225" i="11" s="1"/>
  <c r="AX297" i="11" s="1"/>
  <c r="AX369" i="11" s="1"/>
  <c r="AX441" i="11" s="1"/>
  <c r="AX77" i="11"/>
  <c r="AX149" i="11" s="1"/>
  <c r="AX233" i="11" s="1"/>
  <c r="AX305" i="11" s="1"/>
  <c r="AX377" i="11" s="1"/>
  <c r="AX449" i="11" s="1"/>
  <c r="AU83" i="37"/>
  <c r="AU155" i="37" s="1"/>
  <c r="AU455" i="37" s="1"/>
  <c r="AQ83" i="37"/>
  <c r="AQ155" i="37" s="1"/>
  <c r="AQ455" i="37" s="1"/>
  <c r="AL83" i="37"/>
  <c r="AL155" i="37" s="1"/>
  <c r="AL239" i="37" s="1"/>
  <c r="AL311" i="37" s="1"/>
  <c r="AL383" i="37" s="1"/>
  <c r="AL455" i="37" s="1"/>
  <c r="AH83" i="37"/>
  <c r="AH155" i="37" s="1"/>
  <c r="AH239" i="37" s="1"/>
  <c r="AH311" i="37" s="1"/>
  <c r="AH383" i="37" s="1"/>
  <c r="AH455" i="37" s="1"/>
  <c r="AT83" i="37"/>
  <c r="AT155" i="37" s="1"/>
  <c r="AK83" i="37"/>
  <c r="AK155" i="37" s="1"/>
  <c r="BB83" i="37"/>
  <c r="BB155" i="37" s="1"/>
  <c r="AS83" i="37"/>
  <c r="AS155" i="37" s="1"/>
  <c r="AS455" i="37" s="1"/>
  <c r="AO83" i="37"/>
  <c r="AJ83" i="37"/>
  <c r="AJ155" i="37" s="1"/>
  <c r="AJ239" i="37" s="1"/>
  <c r="AJ311" i="37" s="1"/>
  <c r="AJ383" i="37" s="1"/>
  <c r="AJ455" i="37" s="1"/>
  <c r="BA83" i="37"/>
  <c r="BA155" i="37" s="1"/>
  <c r="AR83" i="37"/>
  <c r="AR155" i="37" s="1"/>
  <c r="AR455" i="37" s="1"/>
  <c r="AN83" i="37"/>
  <c r="AN155" i="37" s="1"/>
  <c r="AN239" i="37" s="1"/>
  <c r="AN311" i="37" s="1"/>
  <c r="AN383" i="37" s="1"/>
  <c r="AN455" i="37" s="1"/>
  <c r="AI83" i="37"/>
  <c r="AU75" i="37"/>
  <c r="AU147" i="37" s="1"/>
  <c r="AU447" i="37" s="1"/>
  <c r="AQ75" i="37"/>
  <c r="AQ147" i="37" s="1"/>
  <c r="AQ447" i="37" s="1"/>
  <c r="AL75" i="37"/>
  <c r="AL147" i="37" s="1"/>
  <c r="AL231" i="37" s="1"/>
  <c r="AL303" i="37" s="1"/>
  <c r="AL375" i="37" s="1"/>
  <c r="AL447" i="37" s="1"/>
  <c r="AH75" i="37"/>
  <c r="AH147" i="37" s="1"/>
  <c r="AH231" i="37" s="1"/>
  <c r="AH303" i="37" s="1"/>
  <c r="AH375" i="37" s="1"/>
  <c r="AH447" i="37" s="1"/>
  <c r="AT75" i="37"/>
  <c r="AT147" i="37" s="1"/>
  <c r="AK75" i="37"/>
  <c r="AK147" i="37" s="1"/>
  <c r="BB75" i="37"/>
  <c r="BB147" i="37" s="1"/>
  <c r="AS75" i="37"/>
  <c r="AS147" i="37" s="1"/>
  <c r="AS447" i="37" s="1"/>
  <c r="AO75" i="37"/>
  <c r="AJ75" i="37"/>
  <c r="AJ147" i="37" s="1"/>
  <c r="AJ231" i="37" s="1"/>
  <c r="AJ303" i="37" s="1"/>
  <c r="AJ375" i="37" s="1"/>
  <c r="AJ447" i="37" s="1"/>
  <c r="BA75" i="37"/>
  <c r="BA147" i="37" s="1"/>
  <c r="AR75" i="37"/>
  <c r="AR147" i="37" s="1"/>
  <c r="AR447" i="37" s="1"/>
  <c r="AN75" i="37"/>
  <c r="AN147" i="37" s="1"/>
  <c r="AN231" i="37" s="1"/>
  <c r="AN303" i="37" s="1"/>
  <c r="AN375" i="37" s="1"/>
  <c r="AN447" i="37" s="1"/>
  <c r="AI75" i="37"/>
  <c r="AU67" i="37"/>
  <c r="AU139" i="37" s="1"/>
  <c r="AU439" i="37" s="1"/>
  <c r="AQ67" i="37"/>
  <c r="AQ139" i="37" s="1"/>
  <c r="AQ439" i="37" s="1"/>
  <c r="AL67" i="37"/>
  <c r="AL139" i="37" s="1"/>
  <c r="AL223" i="37" s="1"/>
  <c r="AL295" i="37" s="1"/>
  <c r="AL367" i="37" s="1"/>
  <c r="AL439" i="37" s="1"/>
  <c r="AH67" i="37"/>
  <c r="AH139" i="37" s="1"/>
  <c r="AH223" i="37" s="1"/>
  <c r="AH295" i="37" s="1"/>
  <c r="AH367" i="37" s="1"/>
  <c r="AH439" i="37" s="1"/>
  <c r="AT67" i="37"/>
  <c r="AT139" i="37" s="1"/>
  <c r="AK67" i="37"/>
  <c r="AK139" i="37" s="1"/>
  <c r="BB67" i="37"/>
  <c r="BB139" i="37" s="1"/>
  <c r="AS67" i="37"/>
  <c r="AS139" i="37" s="1"/>
  <c r="AS439" i="37" s="1"/>
  <c r="AO67" i="37"/>
  <c r="AX67" i="37" s="1"/>
  <c r="AJ67" i="37"/>
  <c r="AJ139" i="37" s="1"/>
  <c r="AJ223" i="37" s="1"/>
  <c r="AJ295" i="37" s="1"/>
  <c r="AJ367" i="37" s="1"/>
  <c r="AJ439" i="37" s="1"/>
  <c r="BA67" i="37"/>
  <c r="BA139" i="37" s="1"/>
  <c r="AR67" i="37"/>
  <c r="AR139" i="37" s="1"/>
  <c r="AR439" i="37" s="1"/>
  <c r="AN67" i="37"/>
  <c r="AN139" i="37" s="1"/>
  <c r="AN223" i="37" s="1"/>
  <c r="AN295" i="37" s="1"/>
  <c r="AN367" i="37" s="1"/>
  <c r="AN439" i="37" s="1"/>
  <c r="AI67" i="37"/>
  <c r="AU59" i="37"/>
  <c r="AU131" i="37" s="1"/>
  <c r="AU431" i="37" s="1"/>
  <c r="AQ59" i="37"/>
  <c r="AQ131" i="37" s="1"/>
  <c r="AQ431" i="37" s="1"/>
  <c r="AL59" i="37"/>
  <c r="AL131" i="37" s="1"/>
  <c r="AL215" i="37" s="1"/>
  <c r="AL287" i="37" s="1"/>
  <c r="AL359" i="37" s="1"/>
  <c r="AL431" i="37" s="1"/>
  <c r="AH59" i="37"/>
  <c r="AH131" i="37" s="1"/>
  <c r="AH215" i="37" s="1"/>
  <c r="AH287" i="37" s="1"/>
  <c r="AH359" i="37" s="1"/>
  <c r="AH431" i="37" s="1"/>
  <c r="AT59" i="37"/>
  <c r="AT131" i="37" s="1"/>
  <c r="AK59" i="37"/>
  <c r="AK131" i="37" s="1"/>
  <c r="BB59" i="37"/>
  <c r="BB131" i="37" s="1"/>
  <c r="AS59" i="37"/>
  <c r="AS131" i="37" s="1"/>
  <c r="AS431" i="37" s="1"/>
  <c r="AO59" i="37"/>
  <c r="AJ59" i="37"/>
  <c r="AJ131" i="37" s="1"/>
  <c r="AJ215" i="37" s="1"/>
  <c r="AJ287" i="37" s="1"/>
  <c r="AJ359" i="37" s="1"/>
  <c r="AJ431" i="37" s="1"/>
  <c r="BA59" i="37"/>
  <c r="BA131" i="37" s="1"/>
  <c r="AR59" i="37"/>
  <c r="AR131" i="37" s="1"/>
  <c r="AR431" i="37" s="1"/>
  <c r="AN59" i="37"/>
  <c r="AN131" i="37" s="1"/>
  <c r="AN215" i="37" s="1"/>
  <c r="AN287" i="37" s="1"/>
  <c r="AN359" i="37" s="1"/>
  <c r="AN431" i="37" s="1"/>
  <c r="AI59" i="37"/>
  <c r="AU51" i="37"/>
  <c r="AU123" i="37" s="1"/>
  <c r="AU423" i="37" s="1"/>
  <c r="AQ51" i="37"/>
  <c r="AQ123" i="37" s="1"/>
  <c r="AQ423" i="37" s="1"/>
  <c r="AL51" i="37"/>
  <c r="AL123" i="37" s="1"/>
  <c r="AL207" i="37" s="1"/>
  <c r="AL279" i="37" s="1"/>
  <c r="AL351" i="37" s="1"/>
  <c r="AL423" i="37" s="1"/>
  <c r="AH51" i="37"/>
  <c r="AH123" i="37" s="1"/>
  <c r="AH207" i="37" s="1"/>
  <c r="AH279" i="37" s="1"/>
  <c r="AH351" i="37" s="1"/>
  <c r="AH423" i="37" s="1"/>
  <c r="AT51" i="37"/>
  <c r="AT123" i="37" s="1"/>
  <c r="AK51" i="37"/>
  <c r="AK123" i="37" s="1"/>
  <c r="BB51" i="37"/>
  <c r="BB123" i="37" s="1"/>
  <c r="AS51" i="37"/>
  <c r="AS123" i="37" s="1"/>
  <c r="AS423" i="37" s="1"/>
  <c r="AO51" i="37"/>
  <c r="AJ51" i="37"/>
  <c r="AJ123" i="37" s="1"/>
  <c r="AJ207" i="37" s="1"/>
  <c r="AJ279" i="37" s="1"/>
  <c r="AJ351" i="37" s="1"/>
  <c r="AJ423" i="37" s="1"/>
  <c r="BA51" i="37"/>
  <c r="BA123" i="37" s="1"/>
  <c r="AR51" i="37"/>
  <c r="AR123" i="37" s="1"/>
  <c r="AR423" i="37" s="1"/>
  <c r="AN51" i="37"/>
  <c r="AN123" i="37" s="1"/>
  <c r="AN207" i="37" s="1"/>
  <c r="AN279" i="37" s="1"/>
  <c r="AN351" i="37" s="1"/>
  <c r="AN423" i="37" s="1"/>
  <c r="AI51" i="37"/>
  <c r="BB22" i="37"/>
  <c r="BB94" i="37" s="1"/>
  <c r="AS22" i="37"/>
  <c r="AS94" i="37" s="1"/>
  <c r="AS394" i="37" s="1"/>
  <c r="AO22" i="37"/>
  <c r="AX22" i="37" s="1"/>
  <c r="AJ22" i="37"/>
  <c r="AJ94" i="37" s="1"/>
  <c r="AJ178" i="37" s="1"/>
  <c r="AJ250" i="37" s="1"/>
  <c r="AJ322" i="37" s="1"/>
  <c r="AJ394" i="37" s="1"/>
  <c r="BA22" i="37"/>
  <c r="BA94" i="37" s="1"/>
  <c r="AR22" i="37"/>
  <c r="AR94" i="37" s="1"/>
  <c r="AR394" i="37" s="1"/>
  <c r="AN22" i="37"/>
  <c r="AN94" i="37" s="1"/>
  <c r="AN178" i="37" s="1"/>
  <c r="AN250" i="37" s="1"/>
  <c r="AN322" i="37" s="1"/>
  <c r="AN394" i="37" s="1"/>
  <c r="AI22" i="37"/>
  <c r="AU22" i="37"/>
  <c r="AU94" i="37" s="1"/>
  <c r="AU394" i="37" s="1"/>
  <c r="AQ22" i="37"/>
  <c r="AQ94" i="37" s="1"/>
  <c r="AQ394" i="37" s="1"/>
  <c r="AL22" i="37"/>
  <c r="AL94" i="37" s="1"/>
  <c r="AL178" i="37" s="1"/>
  <c r="AL250" i="37" s="1"/>
  <c r="AL322" i="37" s="1"/>
  <c r="AL394" i="37" s="1"/>
  <c r="AH22" i="37"/>
  <c r="AH94" i="37" s="1"/>
  <c r="AH178" i="37" s="1"/>
  <c r="AH250" i="37" s="1"/>
  <c r="AH322" i="37" s="1"/>
  <c r="AH394" i="37" s="1"/>
  <c r="AT22" i="37"/>
  <c r="AT94" i="37" s="1"/>
  <c r="AK22" i="37"/>
  <c r="AK94" i="37" s="1"/>
  <c r="BA43" i="37"/>
  <c r="BA115" i="37" s="1"/>
  <c r="AR43" i="37"/>
  <c r="AR115" i="37" s="1"/>
  <c r="AR415" i="37" s="1"/>
  <c r="AN43" i="37"/>
  <c r="AN115" i="37" s="1"/>
  <c r="AN199" i="37" s="1"/>
  <c r="AN271" i="37" s="1"/>
  <c r="AN343" i="37" s="1"/>
  <c r="AN415" i="37" s="1"/>
  <c r="AI43" i="37"/>
  <c r="AT43" i="37"/>
  <c r="AT115" i="37" s="1"/>
  <c r="AO43" i="37"/>
  <c r="AH43" i="37"/>
  <c r="AH115" i="37" s="1"/>
  <c r="AH199" i="37" s="1"/>
  <c r="AH271" i="37" s="1"/>
  <c r="AH343" i="37" s="1"/>
  <c r="AH415" i="37" s="1"/>
  <c r="AS43" i="37"/>
  <c r="AS115" i="37" s="1"/>
  <c r="AS415" i="37" s="1"/>
  <c r="AL43" i="37"/>
  <c r="AL115" i="37" s="1"/>
  <c r="AL199" i="37" s="1"/>
  <c r="AL271" i="37" s="1"/>
  <c r="AL343" i="37" s="1"/>
  <c r="AL415" i="37" s="1"/>
  <c r="AQ43" i="37"/>
  <c r="AQ115" i="37" s="1"/>
  <c r="AQ415" i="37" s="1"/>
  <c r="AK43" i="37"/>
  <c r="AK115" i="37" s="1"/>
  <c r="BB43" i="37"/>
  <c r="BB115" i="37" s="1"/>
  <c r="AU43" i="37"/>
  <c r="AU115" i="37" s="1"/>
  <c r="AU415" i="37" s="1"/>
  <c r="AJ43" i="37"/>
  <c r="AJ115" i="37" s="1"/>
  <c r="AJ199" i="37" s="1"/>
  <c r="AJ271" i="37" s="1"/>
  <c r="AJ343" i="37" s="1"/>
  <c r="AJ415" i="37" s="1"/>
  <c r="AU29" i="37"/>
  <c r="AU101" i="37" s="1"/>
  <c r="AU401" i="37" s="1"/>
  <c r="AQ29" i="37"/>
  <c r="AQ101" i="37" s="1"/>
  <c r="AQ401" i="37" s="1"/>
  <c r="AL29" i="37"/>
  <c r="AL101" i="37" s="1"/>
  <c r="AL185" i="37" s="1"/>
  <c r="AL257" i="37" s="1"/>
  <c r="AL329" i="37" s="1"/>
  <c r="AL401" i="37" s="1"/>
  <c r="AH29" i="37"/>
  <c r="AH101" i="37" s="1"/>
  <c r="AH185" i="37" s="1"/>
  <c r="AH257" i="37" s="1"/>
  <c r="AH329" i="37" s="1"/>
  <c r="AH401" i="37" s="1"/>
  <c r="AT29" i="37"/>
  <c r="AT101" i="37" s="1"/>
  <c r="AK29" i="37"/>
  <c r="AK101" i="37" s="1"/>
  <c r="BB29" i="37"/>
  <c r="BB101" i="37" s="1"/>
  <c r="AS29" i="37"/>
  <c r="AS101" i="37" s="1"/>
  <c r="AS401" i="37" s="1"/>
  <c r="AO29" i="37"/>
  <c r="AJ29" i="37"/>
  <c r="AJ101" i="37" s="1"/>
  <c r="AJ185" i="37" s="1"/>
  <c r="AJ257" i="37" s="1"/>
  <c r="AJ329" i="37" s="1"/>
  <c r="AJ401" i="37" s="1"/>
  <c r="BA29" i="37"/>
  <c r="BA101" i="37" s="1"/>
  <c r="AR29" i="37"/>
  <c r="AR101" i="37" s="1"/>
  <c r="AR401" i="37" s="1"/>
  <c r="AN29" i="37"/>
  <c r="AN101" i="37" s="1"/>
  <c r="AN185" i="37" s="1"/>
  <c r="AN257" i="37" s="1"/>
  <c r="AN329" i="37" s="1"/>
  <c r="AN401" i="37" s="1"/>
  <c r="AI29" i="37"/>
  <c r="BA44" i="37"/>
  <c r="BA116" i="37" s="1"/>
  <c r="AR44" i="37"/>
  <c r="AR116" i="37" s="1"/>
  <c r="AR416" i="37" s="1"/>
  <c r="AN44" i="37"/>
  <c r="AN116" i="37" s="1"/>
  <c r="AN200" i="37" s="1"/>
  <c r="AN272" i="37" s="1"/>
  <c r="AN344" i="37" s="1"/>
  <c r="AN416" i="37" s="1"/>
  <c r="AI44" i="37"/>
  <c r="BB44" i="37"/>
  <c r="BB116" i="37" s="1"/>
  <c r="AU44" i="37"/>
  <c r="AU116" i="37" s="1"/>
  <c r="AU416" i="37" s="1"/>
  <c r="AJ44" i="37"/>
  <c r="AJ116" i="37" s="1"/>
  <c r="AJ200" i="37" s="1"/>
  <c r="AJ272" i="37" s="1"/>
  <c r="AJ344" i="37" s="1"/>
  <c r="AJ416" i="37" s="1"/>
  <c r="AT44" i="37"/>
  <c r="AT116" i="37" s="1"/>
  <c r="AO44" i="37"/>
  <c r="AH44" i="37"/>
  <c r="AH116" i="37" s="1"/>
  <c r="AH200" i="37" s="1"/>
  <c r="AH272" i="37" s="1"/>
  <c r="AH344" i="37" s="1"/>
  <c r="AH416" i="37" s="1"/>
  <c r="AS44" i="37"/>
  <c r="AS116" i="37" s="1"/>
  <c r="AS416" i="37" s="1"/>
  <c r="AL44" i="37"/>
  <c r="AL116" i="37" s="1"/>
  <c r="AL200" i="37" s="1"/>
  <c r="AL272" i="37" s="1"/>
  <c r="AL344" i="37" s="1"/>
  <c r="AL416" i="37" s="1"/>
  <c r="AQ44" i="37"/>
  <c r="AQ116" i="37" s="1"/>
  <c r="AQ416" i="37" s="1"/>
  <c r="AK44" i="37"/>
  <c r="AK116" i="37" s="1"/>
  <c r="AI98" i="11"/>
  <c r="AI182" i="11" s="1"/>
  <c r="AI254" i="11" s="1"/>
  <c r="AI326" i="11" s="1"/>
  <c r="AI398" i="11" s="1"/>
  <c r="AV26" i="11"/>
  <c r="AV98" i="11" s="1"/>
  <c r="AV182" i="11" s="1"/>
  <c r="AV254" i="11" s="1"/>
  <c r="AV326" i="11" s="1"/>
  <c r="AV398" i="11" s="1"/>
  <c r="AI106" i="11"/>
  <c r="AI190" i="11" s="1"/>
  <c r="AI262" i="11" s="1"/>
  <c r="AI334" i="11" s="1"/>
  <c r="AI406" i="11" s="1"/>
  <c r="AV34" i="11"/>
  <c r="AV106" i="11" s="1"/>
  <c r="AV190" i="11" s="1"/>
  <c r="AV262" i="11" s="1"/>
  <c r="AV334" i="11" s="1"/>
  <c r="AV406" i="11" s="1"/>
  <c r="AI114" i="11"/>
  <c r="AI198" i="11" s="1"/>
  <c r="AI270" i="11" s="1"/>
  <c r="AI342" i="11" s="1"/>
  <c r="AI414" i="11" s="1"/>
  <c r="AV42" i="11"/>
  <c r="AV114" i="11" s="1"/>
  <c r="AV198" i="11" s="1"/>
  <c r="AV270" i="11" s="1"/>
  <c r="AV342" i="11" s="1"/>
  <c r="AV414" i="11" s="1"/>
  <c r="AI122" i="11"/>
  <c r="AI206" i="11" s="1"/>
  <c r="AI278" i="11" s="1"/>
  <c r="AI350" i="11" s="1"/>
  <c r="AI422" i="11" s="1"/>
  <c r="AV50" i="11"/>
  <c r="AV122" i="11" s="1"/>
  <c r="AV206" i="11" s="1"/>
  <c r="AV278" i="11" s="1"/>
  <c r="AV350" i="11" s="1"/>
  <c r="AV422" i="11" s="1"/>
  <c r="AI130" i="11"/>
  <c r="AI214" i="11" s="1"/>
  <c r="AI286" i="11" s="1"/>
  <c r="AI358" i="11" s="1"/>
  <c r="AI430" i="11" s="1"/>
  <c r="AV58" i="11"/>
  <c r="AV130" i="11" s="1"/>
  <c r="AV214" i="11" s="1"/>
  <c r="AV286" i="11" s="1"/>
  <c r="AV358" i="11" s="1"/>
  <c r="AV430" i="11" s="1"/>
  <c r="AI138" i="11"/>
  <c r="AI222" i="11" s="1"/>
  <c r="AI294" i="11" s="1"/>
  <c r="AI366" i="11" s="1"/>
  <c r="AI438" i="11" s="1"/>
  <c r="AV66" i="11"/>
  <c r="AV138" i="11" s="1"/>
  <c r="AV222" i="11" s="1"/>
  <c r="AV294" i="11" s="1"/>
  <c r="AV366" i="11" s="1"/>
  <c r="AV438" i="11" s="1"/>
  <c r="AI154" i="11"/>
  <c r="AI238" i="11" s="1"/>
  <c r="AI310" i="11" s="1"/>
  <c r="AI382" i="11" s="1"/>
  <c r="AI454" i="11" s="1"/>
  <c r="AV82" i="11"/>
  <c r="AV154" i="11" s="1"/>
  <c r="AV238" i="11" s="1"/>
  <c r="AV310" i="11" s="1"/>
  <c r="AV382" i="11" s="1"/>
  <c r="AV454" i="11" s="1"/>
  <c r="AH177" i="11"/>
  <c r="AH249" i="11" s="1"/>
  <c r="AH321" i="11" s="1"/>
  <c r="AH393" i="11" s="1"/>
  <c r="AM177" i="11"/>
  <c r="AM249" i="11" s="1"/>
  <c r="AM321" i="11" s="1"/>
  <c r="AV15" i="11"/>
  <c r="AV87" i="11" s="1"/>
  <c r="AV171" i="11" s="1"/>
  <c r="AV243" i="11" s="1"/>
  <c r="AV315" i="11" s="1"/>
  <c r="AV387" i="11" s="1"/>
  <c r="AI87" i="11"/>
  <c r="AI171" i="11" s="1"/>
  <c r="AI243" i="11" s="1"/>
  <c r="AI315" i="11" s="1"/>
  <c r="AI387" i="11" s="1"/>
  <c r="AV19" i="11"/>
  <c r="AV91" i="11" s="1"/>
  <c r="AV175" i="11" s="1"/>
  <c r="AV247" i="11" s="1"/>
  <c r="AV319" i="11" s="1"/>
  <c r="AV391" i="11" s="1"/>
  <c r="AI91" i="11"/>
  <c r="AI175" i="11" s="1"/>
  <c r="AI247" i="11" s="1"/>
  <c r="AI319" i="11" s="1"/>
  <c r="AI391" i="11" s="1"/>
  <c r="AI100" i="11"/>
  <c r="AI184" i="11" s="1"/>
  <c r="AI256" i="11" s="1"/>
  <c r="AI328" i="11" s="1"/>
  <c r="AI400" i="11" s="1"/>
  <c r="AV28" i="11"/>
  <c r="AV100" i="11" s="1"/>
  <c r="AV184" i="11" s="1"/>
  <c r="AV256" i="11" s="1"/>
  <c r="AV328" i="11" s="1"/>
  <c r="AV400" i="11" s="1"/>
  <c r="AI116" i="11"/>
  <c r="AI200" i="11" s="1"/>
  <c r="AI272" i="11" s="1"/>
  <c r="AI344" i="11" s="1"/>
  <c r="AI416" i="11" s="1"/>
  <c r="AV44" i="11"/>
  <c r="AV116" i="11" s="1"/>
  <c r="AV200" i="11" s="1"/>
  <c r="AV272" i="11" s="1"/>
  <c r="AV344" i="11" s="1"/>
  <c r="AV416" i="11" s="1"/>
  <c r="AV23" i="11"/>
  <c r="AV95" i="11" s="1"/>
  <c r="AV179" i="11" s="1"/>
  <c r="AV251" i="11" s="1"/>
  <c r="AV323" i="11" s="1"/>
  <c r="AV395" i="11" s="1"/>
  <c r="AI95" i="11"/>
  <c r="AI179" i="11" s="1"/>
  <c r="AI251" i="11" s="1"/>
  <c r="AI323" i="11" s="1"/>
  <c r="AI395" i="11" s="1"/>
  <c r="AI97" i="11"/>
  <c r="AI181" i="11" s="1"/>
  <c r="AI253" i="11" s="1"/>
  <c r="AI325" i="11" s="1"/>
  <c r="AI397" i="11" s="1"/>
  <c r="AV25" i="11"/>
  <c r="AV97" i="11" s="1"/>
  <c r="AV181" i="11" s="1"/>
  <c r="AV253" i="11" s="1"/>
  <c r="AV325" i="11" s="1"/>
  <c r="AV397" i="11" s="1"/>
  <c r="AI105" i="11"/>
  <c r="AI189" i="11" s="1"/>
  <c r="AI261" i="11" s="1"/>
  <c r="AI333" i="11" s="1"/>
  <c r="AI405" i="11" s="1"/>
  <c r="AV33" i="11"/>
  <c r="AV105" i="11" s="1"/>
  <c r="AV189" i="11" s="1"/>
  <c r="AV261" i="11" s="1"/>
  <c r="AV333" i="11" s="1"/>
  <c r="AV405" i="11" s="1"/>
  <c r="AI113" i="11"/>
  <c r="AI197" i="11" s="1"/>
  <c r="AI269" i="11" s="1"/>
  <c r="AI341" i="11" s="1"/>
  <c r="AI413" i="11" s="1"/>
  <c r="AV41" i="11"/>
  <c r="AV113" i="11" s="1"/>
  <c r="AV197" i="11" s="1"/>
  <c r="AV269" i="11" s="1"/>
  <c r="AV341" i="11" s="1"/>
  <c r="AV413" i="11" s="1"/>
  <c r="AI121" i="11"/>
  <c r="AI205" i="11" s="1"/>
  <c r="AI277" i="11" s="1"/>
  <c r="AI349" i="11" s="1"/>
  <c r="AI421" i="11" s="1"/>
  <c r="AV49" i="11"/>
  <c r="AV121" i="11" s="1"/>
  <c r="AV205" i="11" s="1"/>
  <c r="AV277" i="11" s="1"/>
  <c r="AV349" i="11" s="1"/>
  <c r="AV421" i="11" s="1"/>
  <c r="AI129" i="11"/>
  <c r="AI213" i="11" s="1"/>
  <c r="AI285" i="11" s="1"/>
  <c r="AI357" i="11" s="1"/>
  <c r="AI429" i="11" s="1"/>
  <c r="AV57" i="11"/>
  <c r="AV129" i="11" s="1"/>
  <c r="AV213" i="11" s="1"/>
  <c r="AV285" i="11" s="1"/>
  <c r="AV357" i="11" s="1"/>
  <c r="AV429" i="11" s="1"/>
  <c r="AI137" i="11"/>
  <c r="AI221" i="11" s="1"/>
  <c r="AI293" i="11" s="1"/>
  <c r="AI365" i="11" s="1"/>
  <c r="AI437" i="11" s="1"/>
  <c r="AV65" i="11"/>
  <c r="AV137" i="11" s="1"/>
  <c r="AV221" i="11" s="1"/>
  <c r="AV293" i="11" s="1"/>
  <c r="AV365" i="11" s="1"/>
  <c r="AV437" i="11" s="1"/>
  <c r="AU82" i="37"/>
  <c r="AU154" i="37" s="1"/>
  <c r="AU454" i="37" s="1"/>
  <c r="AQ82" i="37"/>
  <c r="AQ154" i="37" s="1"/>
  <c r="AQ454" i="37" s="1"/>
  <c r="AL82" i="37"/>
  <c r="AL154" i="37" s="1"/>
  <c r="AL238" i="37" s="1"/>
  <c r="AL310" i="37" s="1"/>
  <c r="AL382" i="37" s="1"/>
  <c r="AL454" i="37" s="1"/>
  <c r="AH82" i="37"/>
  <c r="AH154" i="37" s="1"/>
  <c r="AH238" i="37" s="1"/>
  <c r="AH310" i="37" s="1"/>
  <c r="AH382" i="37" s="1"/>
  <c r="AH454" i="37" s="1"/>
  <c r="AT82" i="37"/>
  <c r="AT154" i="37" s="1"/>
  <c r="AK82" i="37"/>
  <c r="AK154" i="37" s="1"/>
  <c r="BB82" i="37"/>
  <c r="BB154" i="37" s="1"/>
  <c r="AS82" i="37"/>
  <c r="AS154" i="37" s="1"/>
  <c r="AS454" i="37" s="1"/>
  <c r="AO82" i="37"/>
  <c r="AX82" i="37" s="1"/>
  <c r="AJ82" i="37"/>
  <c r="AJ154" i="37" s="1"/>
  <c r="AJ238" i="37" s="1"/>
  <c r="AJ310" i="37" s="1"/>
  <c r="AJ382" i="37" s="1"/>
  <c r="AJ454" i="37" s="1"/>
  <c r="BA82" i="37"/>
  <c r="BA154" i="37" s="1"/>
  <c r="AR82" i="37"/>
  <c r="AR154" i="37" s="1"/>
  <c r="AR454" i="37" s="1"/>
  <c r="AN82" i="37"/>
  <c r="AN154" i="37" s="1"/>
  <c r="AN238" i="37" s="1"/>
  <c r="AN310" i="37" s="1"/>
  <c r="AN382" i="37" s="1"/>
  <c r="AN454" i="37" s="1"/>
  <c r="AI82" i="37"/>
  <c r="AU74" i="37"/>
  <c r="AU146" i="37" s="1"/>
  <c r="AU446" i="37" s="1"/>
  <c r="AQ74" i="37"/>
  <c r="AQ146" i="37" s="1"/>
  <c r="AQ446" i="37" s="1"/>
  <c r="AL74" i="37"/>
  <c r="AL146" i="37" s="1"/>
  <c r="AL230" i="37" s="1"/>
  <c r="AL302" i="37" s="1"/>
  <c r="AL374" i="37" s="1"/>
  <c r="AL446" i="37" s="1"/>
  <c r="AH74" i="37"/>
  <c r="AH146" i="37" s="1"/>
  <c r="AH230" i="37" s="1"/>
  <c r="AH302" i="37" s="1"/>
  <c r="AH374" i="37" s="1"/>
  <c r="AH446" i="37" s="1"/>
  <c r="AT74" i="37"/>
  <c r="AT146" i="37" s="1"/>
  <c r="AK74" i="37"/>
  <c r="AK146" i="37" s="1"/>
  <c r="BB74" i="37"/>
  <c r="BB146" i="37" s="1"/>
  <c r="AS74" i="37"/>
  <c r="AS146" i="37" s="1"/>
  <c r="AS446" i="37" s="1"/>
  <c r="AO74" i="37"/>
  <c r="AX74" i="37" s="1"/>
  <c r="AJ74" i="37"/>
  <c r="AJ146" i="37" s="1"/>
  <c r="AJ230" i="37" s="1"/>
  <c r="AJ302" i="37" s="1"/>
  <c r="AJ374" i="37" s="1"/>
  <c r="AJ446" i="37" s="1"/>
  <c r="BA74" i="37"/>
  <c r="BA146" i="37" s="1"/>
  <c r="AR74" i="37"/>
  <c r="AR146" i="37" s="1"/>
  <c r="AR446" i="37" s="1"/>
  <c r="AN74" i="37"/>
  <c r="AN146" i="37" s="1"/>
  <c r="AN230" i="37" s="1"/>
  <c r="AN302" i="37" s="1"/>
  <c r="AN374" i="37" s="1"/>
  <c r="AN446" i="37" s="1"/>
  <c r="AI74" i="37"/>
  <c r="AU66" i="37"/>
  <c r="AU138" i="37" s="1"/>
  <c r="AU438" i="37" s="1"/>
  <c r="AQ66" i="37"/>
  <c r="AQ138" i="37" s="1"/>
  <c r="AQ438" i="37" s="1"/>
  <c r="AL66" i="37"/>
  <c r="AL138" i="37" s="1"/>
  <c r="AL222" i="37" s="1"/>
  <c r="AL294" i="37" s="1"/>
  <c r="AL366" i="37" s="1"/>
  <c r="AL438" i="37" s="1"/>
  <c r="AH66" i="37"/>
  <c r="AH138" i="37" s="1"/>
  <c r="AH222" i="37" s="1"/>
  <c r="AH294" i="37" s="1"/>
  <c r="AH366" i="37" s="1"/>
  <c r="AH438" i="37" s="1"/>
  <c r="AT66" i="37"/>
  <c r="AT138" i="37" s="1"/>
  <c r="AK66" i="37"/>
  <c r="AK138" i="37" s="1"/>
  <c r="BB66" i="37"/>
  <c r="BB138" i="37" s="1"/>
  <c r="AS66" i="37"/>
  <c r="AS138" i="37" s="1"/>
  <c r="AS438" i="37" s="1"/>
  <c r="AO66" i="37"/>
  <c r="AX66" i="37" s="1"/>
  <c r="AJ66" i="37"/>
  <c r="AJ138" i="37" s="1"/>
  <c r="AJ222" i="37" s="1"/>
  <c r="AJ294" i="37" s="1"/>
  <c r="AJ366" i="37" s="1"/>
  <c r="AJ438" i="37" s="1"/>
  <c r="BA66" i="37"/>
  <c r="BA138" i="37" s="1"/>
  <c r="AR66" i="37"/>
  <c r="AR138" i="37" s="1"/>
  <c r="AR438" i="37" s="1"/>
  <c r="AN66" i="37"/>
  <c r="AN138" i="37" s="1"/>
  <c r="AN222" i="37" s="1"/>
  <c r="AN294" i="37" s="1"/>
  <c r="AN366" i="37" s="1"/>
  <c r="AN438" i="37" s="1"/>
  <c r="AI66" i="37"/>
  <c r="AU58" i="37"/>
  <c r="AU130" i="37" s="1"/>
  <c r="AU430" i="37" s="1"/>
  <c r="AQ58" i="37"/>
  <c r="AQ130" i="37" s="1"/>
  <c r="AQ430" i="37" s="1"/>
  <c r="AL58" i="37"/>
  <c r="AL130" i="37" s="1"/>
  <c r="AL214" i="37" s="1"/>
  <c r="AL286" i="37" s="1"/>
  <c r="AL358" i="37" s="1"/>
  <c r="AL430" i="37" s="1"/>
  <c r="AH58" i="37"/>
  <c r="AH130" i="37" s="1"/>
  <c r="AH214" i="37" s="1"/>
  <c r="AH286" i="37" s="1"/>
  <c r="AH358" i="37" s="1"/>
  <c r="AH430" i="37" s="1"/>
  <c r="AT58" i="37"/>
  <c r="AT130" i="37" s="1"/>
  <c r="AK58" i="37"/>
  <c r="AK130" i="37" s="1"/>
  <c r="BB58" i="37"/>
  <c r="BB130" i="37" s="1"/>
  <c r="AS58" i="37"/>
  <c r="AS130" i="37" s="1"/>
  <c r="AS430" i="37" s="1"/>
  <c r="AO58" i="37"/>
  <c r="AX58" i="37" s="1"/>
  <c r="AJ58" i="37"/>
  <c r="AJ130" i="37" s="1"/>
  <c r="AJ214" i="37" s="1"/>
  <c r="AJ286" i="37" s="1"/>
  <c r="AJ358" i="37" s="1"/>
  <c r="AJ430" i="37" s="1"/>
  <c r="BA58" i="37"/>
  <c r="BA130" i="37" s="1"/>
  <c r="AR58" i="37"/>
  <c r="AR130" i="37" s="1"/>
  <c r="AR430" i="37" s="1"/>
  <c r="AN58" i="37"/>
  <c r="AN130" i="37" s="1"/>
  <c r="AN214" i="37" s="1"/>
  <c r="AN286" i="37" s="1"/>
  <c r="AN358" i="37" s="1"/>
  <c r="AN430" i="37" s="1"/>
  <c r="AI58" i="37"/>
  <c r="AU50" i="37"/>
  <c r="AU122" i="37" s="1"/>
  <c r="AU422" i="37" s="1"/>
  <c r="AQ50" i="37"/>
  <c r="AQ122" i="37" s="1"/>
  <c r="AQ422" i="37" s="1"/>
  <c r="AL50" i="37"/>
  <c r="AL122" i="37" s="1"/>
  <c r="AL206" i="37" s="1"/>
  <c r="AL278" i="37" s="1"/>
  <c r="AL350" i="37" s="1"/>
  <c r="AL422" i="37" s="1"/>
  <c r="AH50" i="37"/>
  <c r="AH122" i="37" s="1"/>
  <c r="AH206" i="37" s="1"/>
  <c r="AH278" i="37" s="1"/>
  <c r="AH350" i="37" s="1"/>
  <c r="AH422" i="37" s="1"/>
  <c r="AT50" i="37"/>
  <c r="AT122" i="37" s="1"/>
  <c r="BB50" i="37"/>
  <c r="BB122" i="37" s="1"/>
  <c r="AS50" i="37"/>
  <c r="AS122" i="37" s="1"/>
  <c r="AS422" i="37" s="1"/>
  <c r="AO50" i="37"/>
  <c r="AX50" i="37" s="1"/>
  <c r="AJ50" i="37"/>
  <c r="AJ122" i="37" s="1"/>
  <c r="AJ206" i="37" s="1"/>
  <c r="AJ278" i="37" s="1"/>
  <c r="AJ350" i="37" s="1"/>
  <c r="AJ422" i="37" s="1"/>
  <c r="BA50" i="37"/>
  <c r="BA122" i="37" s="1"/>
  <c r="AR50" i="37"/>
  <c r="AR122" i="37" s="1"/>
  <c r="AR422" i="37" s="1"/>
  <c r="AN50" i="37"/>
  <c r="AN122" i="37" s="1"/>
  <c r="AN206" i="37" s="1"/>
  <c r="AN278" i="37" s="1"/>
  <c r="AN350" i="37" s="1"/>
  <c r="AN422" i="37" s="1"/>
  <c r="AI50" i="37"/>
  <c r="AK50" i="37"/>
  <c r="AK122" i="37" s="1"/>
  <c r="BB18" i="37"/>
  <c r="BB90" i="37" s="1"/>
  <c r="AS18" i="37"/>
  <c r="AS90" i="37" s="1"/>
  <c r="AS390" i="37" s="1"/>
  <c r="AO18" i="37"/>
  <c r="AX18" i="37" s="1"/>
  <c r="AJ18" i="37"/>
  <c r="AJ90" i="37" s="1"/>
  <c r="AJ174" i="37" s="1"/>
  <c r="AJ246" i="37" s="1"/>
  <c r="AJ318" i="37" s="1"/>
  <c r="AJ390" i="37" s="1"/>
  <c r="BA18" i="37"/>
  <c r="BA90" i="37" s="1"/>
  <c r="AR18" i="37"/>
  <c r="AR90" i="37" s="1"/>
  <c r="AR390" i="37" s="1"/>
  <c r="AN18" i="37"/>
  <c r="AN90" i="37" s="1"/>
  <c r="AN174" i="37" s="1"/>
  <c r="AN246" i="37" s="1"/>
  <c r="AN318" i="37" s="1"/>
  <c r="AN390" i="37" s="1"/>
  <c r="AI18" i="37"/>
  <c r="AU18" i="37"/>
  <c r="AU90" i="37" s="1"/>
  <c r="AU390" i="37" s="1"/>
  <c r="AQ18" i="37"/>
  <c r="AQ90" i="37" s="1"/>
  <c r="AQ390" i="37" s="1"/>
  <c r="AL18" i="37"/>
  <c r="AL90" i="37" s="1"/>
  <c r="AL174" i="37" s="1"/>
  <c r="AL246" i="37" s="1"/>
  <c r="AL318" i="37" s="1"/>
  <c r="AL390" i="37" s="1"/>
  <c r="AH18" i="37"/>
  <c r="AH90" i="37" s="1"/>
  <c r="AH174" i="37" s="1"/>
  <c r="AH246" i="37" s="1"/>
  <c r="AH318" i="37" s="1"/>
  <c r="AH390" i="37" s="1"/>
  <c r="AT18" i="37"/>
  <c r="AT90" i="37" s="1"/>
  <c r="AK18" i="37"/>
  <c r="AK90" i="37" s="1"/>
  <c r="BA39" i="37"/>
  <c r="BA111" i="37" s="1"/>
  <c r="AR39" i="37"/>
  <c r="AR111" i="37" s="1"/>
  <c r="AR411" i="37" s="1"/>
  <c r="AN39" i="37"/>
  <c r="AN111" i="37" s="1"/>
  <c r="AN195" i="37" s="1"/>
  <c r="AN267" i="37" s="1"/>
  <c r="AN339" i="37" s="1"/>
  <c r="AN411" i="37" s="1"/>
  <c r="AI39" i="37"/>
  <c r="AT39" i="37"/>
  <c r="AT111" i="37" s="1"/>
  <c r="AO39" i="37"/>
  <c r="AX39" i="37" s="1"/>
  <c r="AH39" i="37"/>
  <c r="AH111" i="37" s="1"/>
  <c r="AH195" i="37" s="1"/>
  <c r="AH267" i="37" s="1"/>
  <c r="AH339" i="37" s="1"/>
  <c r="AH411" i="37" s="1"/>
  <c r="AS39" i="37"/>
  <c r="AS111" i="37" s="1"/>
  <c r="AS411" i="37" s="1"/>
  <c r="AL39" i="37"/>
  <c r="AL111" i="37" s="1"/>
  <c r="AL195" i="37" s="1"/>
  <c r="AL267" i="37" s="1"/>
  <c r="AL339" i="37" s="1"/>
  <c r="AL411" i="37" s="1"/>
  <c r="AQ39" i="37"/>
  <c r="AQ111" i="37" s="1"/>
  <c r="AQ411" i="37" s="1"/>
  <c r="AK39" i="37"/>
  <c r="AK111" i="37" s="1"/>
  <c r="BB39" i="37"/>
  <c r="BB111" i="37" s="1"/>
  <c r="AU39" i="37"/>
  <c r="AU111" i="37" s="1"/>
  <c r="AU411" i="37" s="1"/>
  <c r="AJ39" i="37"/>
  <c r="AJ111" i="37" s="1"/>
  <c r="AJ195" i="37" s="1"/>
  <c r="AJ267" i="37" s="1"/>
  <c r="AJ339" i="37" s="1"/>
  <c r="AJ411" i="37" s="1"/>
  <c r="AU28" i="37"/>
  <c r="AU100" i="37" s="1"/>
  <c r="AU400" i="37" s="1"/>
  <c r="AQ28" i="37"/>
  <c r="AQ100" i="37" s="1"/>
  <c r="AQ400" i="37" s="1"/>
  <c r="AL28" i="37"/>
  <c r="AL100" i="37" s="1"/>
  <c r="AL184" i="37" s="1"/>
  <c r="AL256" i="37" s="1"/>
  <c r="AL328" i="37" s="1"/>
  <c r="AL400" i="37" s="1"/>
  <c r="AH28" i="37"/>
  <c r="AH100" i="37" s="1"/>
  <c r="AH184" i="37" s="1"/>
  <c r="AH256" i="37" s="1"/>
  <c r="AH328" i="37" s="1"/>
  <c r="AH400" i="37" s="1"/>
  <c r="AT28" i="37"/>
  <c r="AT100" i="37" s="1"/>
  <c r="AK28" i="37"/>
  <c r="AK100" i="37" s="1"/>
  <c r="BB28" i="37"/>
  <c r="BB100" i="37" s="1"/>
  <c r="AS28" i="37"/>
  <c r="AS100" i="37" s="1"/>
  <c r="AS400" i="37" s="1"/>
  <c r="AO28" i="37"/>
  <c r="AX28" i="37" s="1"/>
  <c r="AJ28" i="37"/>
  <c r="AJ100" i="37" s="1"/>
  <c r="AJ184" i="37" s="1"/>
  <c r="AJ256" i="37" s="1"/>
  <c r="AJ328" i="37" s="1"/>
  <c r="AJ400" i="37" s="1"/>
  <c r="BA28" i="37"/>
  <c r="BA100" i="37" s="1"/>
  <c r="AR28" i="37"/>
  <c r="AR100" i="37" s="1"/>
  <c r="AR400" i="37" s="1"/>
  <c r="AN28" i="37"/>
  <c r="AN100" i="37" s="1"/>
  <c r="AN184" i="37" s="1"/>
  <c r="AN256" i="37" s="1"/>
  <c r="AN328" i="37" s="1"/>
  <c r="AN400" i="37" s="1"/>
  <c r="AI28" i="37"/>
  <c r="BA40" i="37"/>
  <c r="BA112" i="37" s="1"/>
  <c r="AR40" i="37"/>
  <c r="AR112" i="37" s="1"/>
  <c r="AR412" i="37" s="1"/>
  <c r="AN40" i="37"/>
  <c r="AN112" i="37" s="1"/>
  <c r="AN196" i="37" s="1"/>
  <c r="AN268" i="37" s="1"/>
  <c r="AN340" i="37" s="1"/>
  <c r="AN412" i="37" s="1"/>
  <c r="AI40" i="37"/>
  <c r="BB40" i="37"/>
  <c r="BB112" i="37" s="1"/>
  <c r="AU40" i="37"/>
  <c r="AU112" i="37" s="1"/>
  <c r="AU412" i="37" s="1"/>
  <c r="AJ40" i="37"/>
  <c r="AJ112" i="37" s="1"/>
  <c r="AJ196" i="37" s="1"/>
  <c r="AJ268" i="37" s="1"/>
  <c r="AJ340" i="37" s="1"/>
  <c r="AJ412" i="37" s="1"/>
  <c r="AT40" i="37"/>
  <c r="AT112" i="37" s="1"/>
  <c r="AO40" i="37"/>
  <c r="AX40" i="37" s="1"/>
  <c r="AH40" i="37"/>
  <c r="AH112" i="37" s="1"/>
  <c r="AH196" i="37" s="1"/>
  <c r="AH268" i="37" s="1"/>
  <c r="AH340" i="37" s="1"/>
  <c r="AH412" i="37" s="1"/>
  <c r="AS40" i="37"/>
  <c r="AS112" i="37" s="1"/>
  <c r="AS412" i="37" s="1"/>
  <c r="AL40" i="37"/>
  <c r="AL112" i="37" s="1"/>
  <c r="AL196" i="37" s="1"/>
  <c r="AL268" i="37" s="1"/>
  <c r="AL340" i="37" s="1"/>
  <c r="AL412" i="37" s="1"/>
  <c r="AQ40" i="37"/>
  <c r="AQ112" i="37" s="1"/>
  <c r="AQ412" i="37" s="1"/>
  <c r="AK40" i="37"/>
  <c r="AK112" i="37" s="1"/>
  <c r="AM187" i="11"/>
  <c r="AM259" i="11" s="1"/>
  <c r="AM331" i="11" s="1"/>
  <c r="AM195" i="11"/>
  <c r="AM267" i="11" s="1"/>
  <c r="AM339" i="11" s="1"/>
  <c r="AM203" i="11"/>
  <c r="AM275" i="11" s="1"/>
  <c r="AM347" i="11" s="1"/>
  <c r="AM211" i="11"/>
  <c r="AM283" i="11" s="1"/>
  <c r="AM355" i="11" s="1"/>
  <c r="AM219" i="11"/>
  <c r="AM291" i="11" s="1"/>
  <c r="AM363" i="11" s="1"/>
  <c r="AM227" i="11"/>
  <c r="AM299" i="11" s="1"/>
  <c r="AM371" i="11" s="1"/>
  <c r="AM235" i="11"/>
  <c r="AM307" i="11" s="1"/>
  <c r="AM379" i="11" s="1"/>
  <c r="AM229" i="11"/>
  <c r="AM301" i="11" s="1"/>
  <c r="AM373" i="11" s="1"/>
  <c r="AM237" i="11"/>
  <c r="AM309" i="11" s="1"/>
  <c r="AM381" i="11" s="1"/>
  <c r="AU77" i="37"/>
  <c r="AU149" i="37" s="1"/>
  <c r="AU449" i="37" s="1"/>
  <c r="AQ77" i="37"/>
  <c r="AQ149" i="37" s="1"/>
  <c r="AQ449" i="37" s="1"/>
  <c r="AL77" i="37"/>
  <c r="AL149" i="37" s="1"/>
  <c r="AL233" i="37" s="1"/>
  <c r="AL305" i="37" s="1"/>
  <c r="AL377" i="37" s="1"/>
  <c r="AL449" i="37" s="1"/>
  <c r="AH77" i="37"/>
  <c r="AH149" i="37" s="1"/>
  <c r="AH233" i="37" s="1"/>
  <c r="AH305" i="37" s="1"/>
  <c r="AH377" i="37" s="1"/>
  <c r="AH449" i="37" s="1"/>
  <c r="AT77" i="37"/>
  <c r="AT149" i="37" s="1"/>
  <c r="AK77" i="37"/>
  <c r="AK149" i="37" s="1"/>
  <c r="BB77" i="37"/>
  <c r="BB149" i="37" s="1"/>
  <c r="AS77" i="37"/>
  <c r="AS149" i="37" s="1"/>
  <c r="AS449" i="37" s="1"/>
  <c r="AO77" i="37"/>
  <c r="AX77" i="37" s="1"/>
  <c r="AJ77" i="37"/>
  <c r="AJ149" i="37" s="1"/>
  <c r="AJ233" i="37" s="1"/>
  <c r="AJ305" i="37" s="1"/>
  <c r="AJ377" i="37" s="1"/>
  <c r="AJ449" i="37" s="1"/>
  <c r="BA77" i="37"/>
  <c r="BA149" i="37" s="1"/>
  <c r="AR77" i="37"/>
  <c r="AR149" i="37" s="1"/>
  <c r="AR449" i="37" s="1"/>
  <c r="AN77" i="37"/>
  <c r="AN149" i="37" s="1"/>
  <c r="AN233" i="37" s="1"/>
  <c r="AN305" i="37" s="1"/>
  <c r="AN377" i="37" s="1"/>
  <c r="AN449" i="37" s="1"/>
  <c r="AI77" i="37"/>
  <c r="AU69" i="37"/>
  <c r="AU141" i="37" s="1"/>
  <c r="AU441" i="37" s="1"/>
  <c r="AQ69" i="37"/>
  <c r="AQ141" i="37" s="1"/>
  <c r="AQ441" i="37" s="1"/>
  <c r="AL69" i="37"/>
  <c r="AL141" i="37" s="1"/>
  <c r="AL225" i="37" s="1"/>
  <c r="AL297" i="37" s="1"/>
  <c r="AL369" i="37" s="1"/>
  <c r="AL441" i="37" s="1"/>
  <c r="AH69" i="37"/>
  <c r="AH141" i="37" s="1"/>
  <c r="AH225" i="37" s="1"/>
  <c r="AH297" i="37" s="1"/>
  <c r="AH369" i="37" s="1"/>
  <c r="AH441" i="37" s="1"/>
  <c r="AT69" i="37"/>
  <c r="AT141" i="37" s="1"/>
  <c r="AK69" i="37"/>
  <c r="AK141" i="37" s="1"/>
  <c r="BB69" i="37"/>
  <c r="BB141" i="37" s="1"/>
  <c r="AS69" i="37"/>
  <c r="AS141" i="37" s="1"/>
  <c r="AS441" i="37" s="1"/>
  <c r="AO69" i="37"/>
  <c r="AX69" i="37" s="1"/>
  <c r="AJ69" i="37"/>
  <c r="AJ141" i="37" s="1"/>
  <c r="AJ225" i="37" s="1"/>
  <c r="AJ297" i="37" s="1"/>
  <c r="AJ369" i="37" s="1"/>
  <c r="AJ441" i="37" s="1"/>
  <c r="BA69" i="37"/>
  <c r="BA141" i="37" s="1"/>
  <c r="AR69" i="37"/>
  <c r="AR141" i="37" s="1"/>
  <c r="AR441" i="37" s="1"/>
  <c r="AN69" i="37"/>
  <c r="AN141" i="37" s="1"/>
  <c r="AN225" i="37" s="1"/>
  <c r="AN297" i="37" s="1"/>
  <c r="AN369" i="37" s="1"/>
  <c r="AN441" i="37" s="1"/>
  <c r="AI69" i="37"/>
  <c r="AU61" i="37"/>
  <c r="AU133" i="37" s="1"/>
  <c r="AU433" i="37" s="1"/>
  <c r="AQ61" i="37"/>
  <c r="AQ133" i="37" s="1"/>
  <c r="AQ433" i="37" s="1"/>
  <c r="AL61" i="37"/>
  <c r="AL133" i="37" s="1"/>
  <c r="AL217" i="37" s="1"/>
  <c r="AL289" i="37" s="1"/>
  <c r="AL361" i="37" s="1"/>
  <c r="AL433" i="37" s="1"/>
  <c r="AH61" i="37"/>
  <c r="AH133" i="37" s="1"/>
  <c r="AH217" i="37" s="1"/>
  <c r="AH289" i="37" s="1"/>
  <c r="AH361" i="37" s="1"/>
  <c r="AH433" i="37" s="1"/>
  <c r="AT61" i="37"/>
  <c r="AT133" i="37" s="1"/>
  <c r="AK61" i="37"/>
  <c r="AK133" i="37" s="1"/>
  <c r="BB61" i="37"/>
  <c r="BB133" i="37" s="1"/>
  <c r="AS61" i="37"/>
  <c r="AS133" i="37" s="1"/>
  <c r="AS433" i="37" s="1"/>
  <c r="AO61" i="37"/>
  <c r="AJ61" i="37"/>
  <c r="AJ133" i="37" s="1"/>
  <c r="AJ217" i="37" s="1"/>
  <c r="AJ289" i="37" s="1"/>
  <c r="AJ361" i="37" s="1"/>
  <c r="AJ433" i="37" s="1"/>
  <c r="BA61" i="37"/>
  <c r="BA133" i="37" s="1"/>
  <c r="AR61" i="37"/>
  <c r="AR133" i="37" s="1"/>
  <c r="AR433" i="37" s="1"/>
  <c r="AN61" i="37"/>
  <c r="AN133" i="37" s="1"/>
  <c r="AN217" i="37" s="1"/>
  <c r="AN289" i="37" s="1"/>
  <c r="AN361" i="37" s="1"/>
  <c r="AN433" i="37" s="1"/>
  <c r="AI61" i="37"/>
  <c r="AU53" i="37"/>
  <c r="AU125" i="37" s="1"/>
  <c r="AU425" i="37" s="1"/>
  <c r="AQ53" i="37"/>
  <c r="AQ125" i="37" s="1"/>
  <c r="AQ425" i="37" s="1"/>
  <c r="AL53" i="37"/>
  <c r="AL125" i="37" s="1"/>
  <c r="AL209" i="37" s="1"/>
  <c r="AL281" i="37" s="1"/>
  <c r="AL353" i="37" s="1"/>
  <c r="AL425" i="37" s="1"/>
  <c r="AH53" i="37"/>
  <c r="AH125" i="37" s="1"/>
  <c r="AH209" i="37" s="1"/>
  <c r="AH281" i="37" s="1"/>
  <c r="AH353" i="37" s="1"/>
  <c r="AH425" i="37" s="1"/>
  <c r="AT53" i="37"/>
  <c r="AT125" i="37" s="1"/>
  <c r="AK53" i="37"/>
  <c r="AK125" i="37" s="1"/>
  <c r="BB53" i="37"/>
  <c r="BB125" i="37" s="1"/>
  <c r="AS53" i="37"/>
  <c r="AS125" i="37" s="1"/>
  <c r="AS425" i="37" s="1"/>
  <c r="AO53" i="37"/>
  <c r="AJ53" i="37"/>
  <c r="AJ125" i="37" s="1"/>
  <c r="AJ209" i="37" s="1"/>
  <c r="AJ281" i="37" s="1"/>
  <c r="AJ353" i="37" s="1"/>
  <c r="AJ425" i="37" s="1"/>
  <c r="BA53" i="37"/>
  <c r="BA125" i="37" s="1"/>
  <c r="AR53" i="37"/>
  <c r="AR125" i="37" s="1"/>
  <c r="AR425" i="37" s="1"/>
  <c r="AN53" i="37"/>
  <c r="AN125" i="37" s="1"/>
  <c r="AN209" i="37" s="1"/>
  <c r="AN281" i="37" s="1"/>
  <c r="AN353" i="37" s="1"/>
  <c r="AN425" i="37" s="1"/>
  <c r="AI53" i="37"/>
  <c r="AO102" i="11"/>
  <c r="EG20" i="40" s="1"/>
  <c r="CI20" i="40" s="1"/>
  <c r="AP30" i="11"/>
  <c r="AT402" i="11"/>
  <c r="AO110" i="11"/>
  <c r="EG28" i="40" s="1"/>
  <c r="CI28" i="40" s="1"/>
  <c r="AP38" i="11"/>
  <c r="AT410" i="11"/>
  <c r="AO118" i="11"/>
  <c r="EG36" i="40" s="1"/>
  <c r="V36" i="40" s="1"/>
  <c r="AP46" i="11"/>
  <c r="AT418" i="11"/>
  <c r="AO126" i="11"/>
  <c r="EG44" i="40" s="1"/>
  <c r="CI44" i="40" s="1"/>
  <c r="AP54" i="11"/>
  <c r="AW54" i="11" s="1"/>
  <c r="AW126" i="11" s="1"/>
  <c r="AW210" i="11" s="1"/>
  <c r="AT426" i="11"/>
  <c r="AO134" i="11"/>
  <c r="EG52" i="40" s="1"/>
  <c r="CI52" i="40" s="1"/>
  <c r="AP62" i="11"/>
  <c r="AT434" i="11"/>
  <c r="AO142" i="11"/>
  <c r="EG60" i="40" s="1"/>
  <c r="CI60" i="40" s="1"/>
  <c r="AP70" i="11"/>
  <c r="AT442" i="11"/>
  <c r="AO150" i="11"/>
  <c r="EG68" i="40" s="1"/>
  <c r="V68" i="40" s="1"/>
  <c r="AP78" i="11"/>
  <c r="AT450" i="11"/>
  <c r="AT386" i="11"/>
  <c r="AO86" i="11"/>
  <c r="EG4" i="40" s="1"/>
  <c r="CI4" i="40" s="1"/>
  <c r="AP14" i="11"/>
  <c r="AW14" i="11" s="1"/>
  <c r="AW86" i="11" s="1"/>
  <c r="AW170" i="11" s="1"/>
  <c r="AP68" i="11"/>
  <c r="AW68" i="11" s="1"/>
  <c r="AW140" i="11" s="1"/>
  <c r="AW224" i="11" s="1"/>
  <c r="AO140" i="11"/>
  <c r="EG58" i="40" s="1"/>
  <c r="CI58" i="40" s="1"/>
  <c r="AT440" i="11"/>
  <c r="AP76" i="11"/>
  <c r="AW76" i="11" s="1"/>
  <c r="AW148" i="11" s="1"/>
  <c r="AW232" i="11" s="1"/>
  <c r="AO148" i="11"/>
  <c r="EG66" i="40" s="1"/>
  <c r="V66" i="40" s="1"/>
  <c r="AT448" i="11"/>
  <c r="AP84" i="11"/>
  <c r="AO156" i="11"/>
  <c r="EG74" i="40" s="1"/>
  <c r="CI74" i="40" s="1"/>
  <c r="AT456" i="11"/>
  <c r="AT390" i="11"/>
  <c r="AO90" i="11"/>
  <c r="EG8" i="40" s="1"/>
  <c r="V8" i="40" s="1"/>
  <c r="AP18" i="11"/>
  <c r="AW18" i="11" s="1"/>
  <c r="AW90" i="11" s="1"/>
  <c r="AW174" i="11" s="1"/>
  <c r="AP24" i="11"/>
  <c r="AW24" i="11" s="1"/>
  <c r="AW96" i="11" s="1"/>
  <c r="AW180" i="11" s="1"/>
  <c r="AO96" i="11"/>
  <c r="EG14" i="40" s="1"/>
  <c r="V14" i="40" s="1"/>
  <c r="AT396" i="11"/>
  <c r="AP32" i="11"/>
  <c r="AW32" i="11" s="1"/>
  <c r="AW104" i="11" s="1"/>
  <c r="AW188" i="11" s="1"/>
  <c r="AO104" i="11"/>
  <c r="EG22" i="40" s="1"/>
  <c r="CI22" i="40" s="1"/>
  <c r="AT404" i="11"/>
  <c r="AP48" i="11"/>
  <c r="AO120" i="11"/>
  <c r="EG38" i="40" s="1"/>
  <c r="CI38" i="40" s="1"/>
  <c r="AT420" i="11"/>
  <c r="AP56" i="11"/>
  <c r="AO128" i="11"/>
  <c r="EG46" i="40" s="1"/>
  <c r="CI46" i="40" s="1"/>
  <c r="AT428" i="11"/>
  <c r="AP64" i="11"/>
  <c r="AW64" i="11" s="1"/>
  <c r="AW136" i="11" s="1"/>
  <c r="AW220" i="11" s="1"/>
  <c r="AO136" i="11"/>
  <c r="EG54" i="40" s="1"/>
  <c r="V54" i="40" s="1"/>
  <c r="AT436" i="11"/>
  <c r="AP72" i="11"/>
  <c r="AW72" i="11" s="1"/>
  <c r="AW144" i="11" s="1"/>
  <c r="AW228" i="11" s="1"/>
  <c r="AO144" i="11"/>
  <c r="EG62" i="40" s="1"/>
  <c r="V62" i="40" s="1"/>
  <c r="AT444" i="11"/>
  <c r="AP80" i="11"/>
  <c r="AO152" i="11"/>
  <c r="EG70" i="40" s="1"/>
  <c r="CI70" i="40" s="1"/>
  <c r="AT452" i="11"/>
  <c r="AT401" i="11"/>
  <c r="AP37" i="11"/>
  <c r="AO109" i="11"/>
  <c r="EG27" i="40" s="1"/>
  <c r="CI27" i="40" s="1"/>
  <c r="AT425" i="11"/>
  <c r="AP61" i="11"/>
  <c r="AO133" i="11"/>
  <c r="EG51" i="40" s="1"/>
  <c r="CI51" i="40" s="1"/>
  <c r="AU16" i="37"/>
  <c r="AU88" i="37" s="1"/>
  <c r="AU388" i="37" s="1"/>
  <c r="AQ16" i="37"/>
  <c r="AQ88" i="37" s="1"/>
  <c r="AQ388" i="37" s="1"/>
  <c r="AL16" i="37"/>
  <c r="AL88" i="37" s="1"/>
  <c r="AL172" i="37" s="1"/>
  <c r="AL244" i="37" s="1"/>
  <c r="AL316" i="37" s="1"/>
  <c r="AL388" i="37" s="1"/>
  <c r="AH16" i="37"/>
  <c r="AH88" i="37" s="1"/>
  <c r="AH172" i="37" s="1"/>
  <c r="AH244" i="37" s="1"/>
  <c r="AH316" i="37" s="1"/>
  <c r="AH388" i="37" s="1"/>
  <c r="AT16" i="37"/>
  <c r="AT88" i="37" s="1"/>
  <c r="AK16" i="37"/>
  <c r="AK88" i="37" s="1"/>
  <c r="BB16" i="37"/>
  <c r="BB88" i="37" s="1"/>
  <c r="AS16" i="37"/>
  <c r="AS88" i="37" s="1"/>
  <c r="AS388" i="37" s="1"/>
  <c r="AO16" i="37"/>
  <c r="AJ16" i="37"/>
  <c r="AJ88" i="37" s="1"/>
  <c r="AJ172" i="37" s="1"/>
  <c r="AJ244" i="37" s="1"/>
  <c r="AJ316" i="37" s="1"/>
  <c r="AJ388" i="37" s="1"/>
  <c r="BA16" i="37"/>
  <c r="BA88" i="37" s="1"/>
  <c r="AR16" i="37"/>
  <c r="AR88" i="37" s="1"/>
  <c r="AR388" i="37" s="1"/>
  <c r="AN16" i="37"/>
  <c r="AN88" i="37" s="1"/>
  <c r="AN172" i="37" s="1"/>
  <c r="AN244" i="37" s="1"/>
  <c r="AN316" i="37" s="1"/>
  <c r="AN388" i="37" s="1"/>
  <c r="AI16" i="37"/>
  <c r="AI146" i="11"/>
  <c r="AI230" i="11" s="1"/>
  <c r="AI302" i="11" s="1"/>
  <c r="AI374" i="11" s="1"/>
  <c r="AI446" i="11" s="1"/>
  <c r="AV74" i="11"/>
  <c r="AV146" i="11" s="1"/>
  <c r="AV230" i="11" s="1"/>
  <c r="AV302" i="11" s="1"/>
  <c r="AV374" i="11" s="1"/>
  <c r="AV446" i="11" s="1"/>
  <c r="AI99" i="11"/>
  <c r="AI183" i="11" s="1"/>
  <c r="AI255" i="11" s="1"/>
  <c r="AI327" i="11" s="1"/>
  <c r="AI399" i="11" s="1"/>
  <c r="AV27" i="11"/>
  <c r="AV99" i="11" s="1"/>
  <c r="AV183" i="11" s="1"/>
  <c r="AV255" i="11" s="1"/>
  <c r="AV327" i="11" s="1"/>
  <c r="AV399" i="11" s="1"/>
  <c r="AI107" i="11"/>
  <c r="AI191" i="11" s="1"/>
  <c r="AI263" i="11" s="1"/>
  <c r="AI335" i="11" s="1"/>
  <c r="AI407" i="11" s="1"/>
  <c r="AV35" i="11"/>
  <c r="AV107" i="11" s="1"/>
  <c r="AV191" i="11" s="1"/>
  <c r="AV263" i="11" s="1"/>
  <c r="AV335" i="11" s="1"/>
  <c r="AV407" i="11" s="1"/>
  <c r="AI115" i="11"/>
  <c r="AI199" i="11" s="1"/>
  <c r="AI271" i="11" s="1"/>
  <c r="AI343" i="11" s="1"/>
  <c r="AI415" i="11" s="1"/>
  <c r="AV43" i="11"/>
  <c r="AV115" i="11" s="1"/>
  <c r="AV199" i="11" s="1"/>
  <c r="AV271" i="11" s="1"/>
  <c r="AV343" i="11" s="1"/>
  <c r="AV415" i="11" s="1"/>
  <c r="AI123" i="11"/>
  <c r="AI207" i="11" s="1"/>
  <c r="AI279" i="11" s="1"/>
  <c r="AI351" i="11" s="1"/>
  <c r="AI423" i="11" s="1"/>
  <c r="AV51" i="11"/>
  <c r="AV123" i="11" s="1"/>
  <c r="AV207" i="11" s="1"/>
  <c r="AV279" i="11" s="1"/>
  <c r="AV351" i="11" s="1"/>
  <c r="AV423" i="11" s="1"/>
  <c r="AI131" i="11"/>
  <c r="AI215" i="11" s="1"/>
  <c r="AI287" i="11" s="1"/>
  <c r="AI359" i="11" s="1"/>
  <c r="AI431" i="11" s="1"/>
  <c r="AV59" i="11"/>
  <c r="AV131" i="11" s="1"/>
  <c r="AV215" i="11" s="1"/>
  <c r="AV287" i="11" s="1"/>
  <c r="AV359" i="11" s="1"/>
  <c r="AV431" i="11" s="1"/>
  <c r="AI139" i="11"/>
  <c r="AI223" i="11" s="1"/>
  <c r="AI295" i="11" s="1"/>
  <c r="AI367" i="11" s="1"/>
  <c r="AI439" i="11" s="1"/>
  <c r="AV67" i="11"/>
  <c r="AV139" i="11" s="1"/>
  <c r="AV223" i="11" s="1"/>
  <c r="AV295" i="11" s="1"/>
  <c r="AV367" i="11" s="1"/>
  <c r="AV439" i="11" s="1"/>
  <c r="AI147" i="11"/>
  <c r="AI231" i="11" s="1"/>
  <c r="AI303" i="11" s="1"/>
  <c r="AI375" i="11" s="1"/>
  <c r="AI447" i="11" s="1"/>
  <c r="AV75" i="11"/>
  <c r="AV147" i="11" s="1"/>
  <c r="AV231" i="11" s="1"/>
  <c r="AV303" i="11" s="1"/>
  <c r="AV375" i="11" s="1"/>
  <c r="AV447" i="11" s="1"/>
  <c r="AI155" i="11"/>
  <c r="AI239" i="11" s="1"/>
  <c r="AI311" i="11" s="1"/>
  <c r="AI383" i="11" s="1"/>
  <c r="AI455" i="11" s="1"/>
  <c r="AV83" i="11"/>
  <c r="AV155" i="11" s="1"/>
  <c r="AV239" i="11" s="1"/>
  <c r="AV311" i="11" s="1"/>
  <c r="AV383" i="11" s="1"/>
  <c r="AV455" i="11" s="1"/>
  <c r="AI112" i="11"/>
  <c r="AI196" i="11" s="1"/>
  <c r="AI268" i="11" s="1"/>
  <c r="AI340" i="11" s="1"/>
  <c r="AI412" i="11" s="1"/>
  <c r="AV40" i="11"/>
  <c r="AV112" i="11" s="1"/>
  <c r="AV196" i="11" s="1"/>
  <c r="AV268" i="11" s="1"/>
  <c r="AV340" i="11" s="1"/>
  <c r="AV412" i="11" s="1"/>
  <c r="AI108" i="11"/>
  <c r="AI192" i="11" s="1"/>
  <c r="AI264" i="11" s="1"/>
  <c r="AI336" i="11" s="1"/>
  <c r="AI408" i="11" s="1"/>
  <c r="AV36" i="11"/>
  <c r="AV108" i="11" s="1"/>
  <c r="AV192" i="11" s="1"/>
  <c r="AV264" i="11" s="1"/>
  <c r="AV336" i="11" s="1"/>
  <c r="AV408" i="11" s="1"/>
  <c r="AI124" i="11"/>
  <c r="AI208" i="11" s="1"/>
  <c r="AI280" i="11" s="1"/>
  <c r="AI352" i="11" s="1"/>
  <c r="AI424" i="11" s="1"/>
  <c r="AV52" i="11"/>
  <c r="AV124" i="11" s="1"/>
  <c r="AV208" i="11" s="1"/>
  <c r="AV280" i="11" s="1"/>
  <c r="AV352" i="11" s="1"/>
  <c r="AV424" i="11" s="1"/>
  <c r="AI132" i="11"/>
  <c r="AI216" i="11" s="1"/>
  <c r="AI288" i="11" s="1"/>
  <c r="AI360" i="11" s="1"/>
  <c r="AI432" i="11" s="1"/>
  <c r="AV60" i="11"/>
  <c r="AV132" i="11" s="1"/>
  <c r="AV216" i="11" s="1"/>
  <c r="AV288" i="11" s="1"/>
  <c r="AV360" i="11" s="1"/>
  <c r="AV432" i="11" s="1"/>
  <c r="AM225" i="11"/>
  <c r="AM297" i="11" s="1"/>
  <c r="AM369" i="11" s="1"/>
  <c r="AM233" i="11"/>
  <c r="AM305" i="11" s="1"/>
  <c r="AM377" i="11" s="1"/>
  <c r="AO98" i="11"/>
  <c r="EG16" i="40" s="1"/>
  <c r="V16" i="40" s="1"/>
  <c r="AP26" i="11"/>
  <c r="AT398" i="11"/>
  <c r="AO106" i="11"/>
  <c r="EG24" i="40" s="1"/>
  <c r="V24" i="40" s="1"/>
  <c r="AP34" i="11"/>
  <c r="AT406" i="11"/>
  <c r="AO114" i="11"/>
  <c r="EG32" i="40" s="1"/>
  <c r="V32" i="40" s="1"/>
  <c r="AP42" i="11"/>
  <c r="AW42" i="11" s="1"/>
  <c r="AW114" i="11" s="1"/>
  <c r="AW198" i="11" s="1"/>
  <c r="AT414" i="11"/>
  <c r="AO122" i="11"/>
  <c r="EG40" i="40" s="1"/>
  <c r="CI40" i="40" s="1"/>
  <c r="AP50" i="11"/>
  <c r="AW50" i="11" s="1"/>
  <c r="AW122" i="11" s="1"/>
  <c r="AW206" i="11" s="1"/>
  <c r="AT422" i="11"/>
  <c r="AO130" i="11"/>
  <c r="EG48" i="40" s="1"/>
  <c r="V48" i="40" s="1"/>
  <c r="AP58" i="11"/>
  <c r="AT430" i="11"/>
  <c r="AO138" i="11"/>
  <c r="EG56" i="40" s="1"/>
  <c r="V56" i="40" s="1"/>
  <c r="AP66" i="11"/>
  <c r="AT438" i="11"/>
  <c r="AO154" i="11"/>
  <c r="EG72" i="40" s="1"/>
  <c r="CI72" i="40" s="1"/>
  <c r="AP82" i="11"/>
  <c r="AW82" i="11" s="1"/>
  <c r="AW154" i="11" s="1"/>
  <c r="AW238" i="11" s="1"/>
  <c r="AT454" i="11"/>
  <c r="AI93" i="11"/>
  <c r="AI177" i="11" s="1"/>
  <c r="AI249" i="11" s="1"/>
  <c r="AI321" i="11" s="1"/>
  <c r="AI393" i="11" s="1"/>
  <c r="AV21" i="11"/>
  <c r="AV93" i="11" s="1"/>
  <c r="AV177" i="11" s="1"/>
  <c r="AV249" i="11" s="1"/>
  <c r="AV321" i="11" s="1"/>
  <c r="AV393" i="11" s="1"/>
  <c r="AO87" i="11"/>
  <c r="EG5" i="40" s="1"/>
  <c r="CI5" i="40" s="1"/>
  <c r="AP15" i="11"/>
  <c r="AT387" i="11"/>
  <c r="AO91" i="11"/>
  <c r="EG9" i="40" s="1"/>
  <c r="CI9" i="40" s="1"/>
  <c r="AP19" i="11"/>
  <c r="AW19" i="11" s="1"/>
  <c r="AW91" i="11" s="1"/>
  <c r="AW175" i="11" s="1"/>
  <c r="AT391" i="11"/>
  <c r="AP28" i="11"/>
  <c r="AO100" i="11"/>
  <c r="EG18" i="40" s="1"/>
  <c r="V18" i="40" s="1"/>
  <c r="AT400" i="11"/>
  <c r="AP44" i="11"/>
  <c r="AO116" i="11"/>
  <c r="EG34" i="40" s="1"/>
  <c r="V34" i="40" s="1"/>
  <c r="AT416" i="11"/>
  <c r="AO95" i="11"/>
  <c r="EG13" i="40" s="1"/>
  <c r="CI13" i="40" s="1"/>
  <c r="AP23" i="11"/>
  <c r="AT395" i="11"/>
  <c r="AP25" i="11"/>
  <c r="AO97" i="11"/>
  <c r="EG15" i="40" s="1"/>
  <c r="CI15" i="40" s="1"/>
  <c r="AT397" i="11"/>
  <c r="AP33" i="11"/>
  <c r="AO105" i="11"/>
  <c r="EG23" i="40" s="1"/>
  <c r="V23" i="40" s="1"/>
  <c r="AT405" i="11"/>
  <c r="AP41" i="11"/>
  <c r="AO113" i="11"/>
  <c r="EG31" i="40" s="1"/>
  <c r="V31" i="40" s="1"/>
  <c r="AT413" i="11"/>
  <c r="AP49" i="11"/>
  <c r="AO121" i="11"/>
  <c r="EG39" i="40" s="1"/>
  <c r="CI39" i="40" s="1"/>
  <c r="AT421" i="11"/>
  <c r="AP57" i="11"/>
  <c r="AO129" i="11"/>
  <c r="EG47" i="40" s="1"/>
  <c r="V47" i="40" s="1"/>
  <c r="AT429" i="11"/>
  <c r="AP65" i="11"/>
  <c r="AO137" i="11"/>
  <c r="EG55" i="40" s="1"/>
  <c r="CI55" i="40" s="1"/>
  <c r="AT437" i="11"/>
  <c r="AI103" i="11"/>
  <c r="AI187" i="11" s="1"/>
  <c r="AI259" i="11" s="1"/>
  <c r="AI331" i="11" s="1"/>
  <c r="AI403" i="11" s="1"/>
  <c r="AV31" i="11"/>
  <c r="AV103" i="11" s="1"/>
  <c r="AV187" i="11" s="1"/>
  <c r="AV259" i="11" s="1"/>
  <c r="AV331" i="11" s="1"/>
  <c r="AV403" i="11" s="1"/>
  <c r="AI111" i="11"/>
  <c r="AI195" i="11" s="1"/>
  <c r="AI267" i="11" s="1"/>
  <c r="AI339" i="11" s="1"/>
  <c r="AI411" i="11" s="1"/>
  <c r="AV39" i="11"/>
  <c r="AV111" i="11" s="1"/>
  <c r="AV195" i="11" s="1"/>
  <c r="AV267" i="11" s="1"/>
  <c r="AV339" i="11" s="1"/>
  <c r="AV411" i="11" s="1"/>
  <c r="AI119" i="11"/>
  <c r="AI203" i="11" s="1"/>
  <c r="AI275" i="11" s="1"/>
  <c r="AI347" i="11" s="1"/>
  <c r="AI419" i="11" s="1"/>
  <c r="AV47" i="11"/>
  <c r="AV119" i="11" s="1"/>
  <c r="AV203" i="11" s="1"/>
  <c r="AV275" i="11" s="1"/>
  <c r="AV347" i="11" s="1"/>
  <c r="AV419" i="11" s="1"/>
  <c r="AI127" i="11"/>
  <c r="AI211" i="11" s="1"/>
  <c r="AI283" i="11" s="1"/>
  <c r="AI355" i="11" s="1"/>
  <c r="AI427" i="11" s="1"/>
  <c r="AV55" i="11"/>
  <c r="AV127" i="11" s="1"/>
  <c r="AV211" i="11" s="1"/>
  <c r="AV283" i="11" s="1"/>
  <c r="AV355" i="11" s="1"/>
  <c r="AV427" i="11" s="1"/>
  <c r="AI135" i="11"/>
  <c r="AI219" i="11" s="1"/>
  <c r="AI291" i="11" s="1"/>
  <c r="AI363" i="11" s="1"/>
  <c r="AI435" i="11" s="1"/>
  <c r="AV63" i="11"/>
  <c r="AV135" i="11" s="1"/>
  <c r="AV219" i="11" s="1"/>
  <c r="AV291" i="11" s="1"/>
  <c r="AV363" i="11" s="1"/>
  <c r="AV435" i="11" s="1"/>
  <c r="AI143" i="11"/>
  <c r="AI227" i="11" s="1"/>
  <c r="AI299" i="11" s="1"/>
  <c r="AI371" i="11" s="1"/>
  <c r="AI443" i="11" s="1"/>
  <c r="AV71" i="11"/>
  <c r="AV143" i="11" s="1"/>
  <c r="AV227" i="11" s="1"/>
  <c r="AV299" i="11" s="1"/>
  <c r="AV371" i="11" s="1"/>
  <c r="AV443" i="11" s="1"/>
  <c r="AI151" i="11"/>
  <c r="AI235" i="11" s="1"/>
  <c r="AI307" i="11" s="1"/>
  <c r="AI379" i="11" s="1"/>
  <c r="AI451" i="11" s="1"/>
  <c r="AV79" i="11"/>
  <c r="AV151" i="11" s="1"/>
  <c r="AV235" i="11" s="1"/>
  <c r="AV307" i="11" s="1"/>
  <c r="AV379" i="11" s="1"/>
  <c r="AV451" i="11" s="1"/>
  <c r="AI145" i="11"/>
  <c r="AI229" i="11" s="1"/>
  <c r="AI301" i="11" s="1"/>
  <c r="AI373" i="11" s="1"/>
  <c r="AI445" i="11" s="1"/>
  <c r="AV73" i="11"/>
  <c r="AV145" i="11" s="1"/>
  <c r="AV229" i="11" s="1"/>
  <c r="AV301" i="11" s="1"/>
  <c r="AV373" i="11" s="1"/>
  <c r="AV445" i="11" s="1"/>
  <c r="AI153" i="11"/>
  <c r="AI237" i="11" s="1"/>
  <c r="AI309" i="11" s="1"/>
  <c r="AI381" i="11" s="1"/>
  <c r="AI453" i="11" s="1"/>
  <c r="AV81" i="11"/>
  <c r="AV153" i="11" s="1"/>
  <c r="AV237" i="11" s="1"/>
  <c r="AV309" i="11" s="1"/>
  <c r="AV381" i="11" s="1"/>
  <c r="AV453" i="11" s="1"/>
  <c r="AU49" i="37"/>
  <c r="AU121" i="37" s="1"/>
  <c r="AU421" i="37" s="1"/>
  <c r="AQ49" i="37"/>
  <c r="AQ121" i="37" s="1"/>
  <c r="AQ421" i="37" s="1"/>
  <c r="AL49" i="37"/>
  <c r="AL121" i="37" s="1"/>
  <c r="AL205" i="37" s="1"/>
  <c r="AL277" i="37" s="1"/>
  <c r="AL349" i="37" s="1"/>
  <c r="AL421" i="37" s="1"/>
  <c r="AH49" i="37"/>
  <c r="AH121" i="37" s="1"/>
  <c r="AH205" i="37" s="1"/>
  <c r="AH277" i="37" s="1"/>
  <c r="AH349" i="37" s="1"/>
  <c r="AH421" i="37" s="1"/>
  <c r="BB49" i="37"/>
  <c r="BB121" i="37" s="1"/>
  <c r="AS49" i="37"/>
  <c r="AS121" i="37" s="1"/>
  <c r="AS421" i="37" s="1"/>
  <c r="AO49" i="37"/>
  <c r="AX49" i="37" s="1"/>
  <c r="AJ49" i="37"/>
  <c r="AJ121" i="37" s="1"/>
  <c r="AJ205" i="37" s="1"/>
  <c r="AJ277" i="37" s="1"/>
  <c r="AJ349" i="37" s="1"/>
  <c r="AJ421" i="37" s="1"/>
  <c r="BA49" i="37"/>
  <c r="BA121" i="37" s="1"/>
  <c r="AR49" i="37"/>
  <c r="AR121" i="37" s="1"/>
  <c r="AR421" i="37" s="1"/>
  <c r="AN49" i="37"/>
  <c r="AN121" i="37" s="1"/>
  <c r="AN205" i="37" s="1"/>
  <c r="AN277" i="37" s="1"/>
  <c r="AN349" i="37" s="1"/>
  <c r="AN421" i="37" s="1"/>
  <c r="AI49" i="37"/>
  <c r="AK49" i="37"/>
  <c r="AK121" i="37" s="1"/>
  <c r="AT49" i="37"/>
  <c r="AT121" i="37" s="1"/>
  <c r="BB14" i="37"/>
  <c r="BB86" i="37" s="1"/>
  <c r="AS14" i="37"/>
  <c r="AS86" i="37" s="1"/>
  <c r="AS386" i="37" s="1"/>
  <c r="AO14" i="37"/>
  <c r="AX14" i="37" s="1"/>
  <c r="AJ14" i="37"/>
  <c r="AJ86" i="37" s="1"/>
  <c r="AJ170" i="37" s="1"/>
  <c r="AJ242" i="37" s="1"/>
  <c r="AJ314" i="37" s="1"/>
  <c r="AJ386" i="37" s="1"/>
  <c r="BA14" i="37"/>
  <c r="BA86" i="37" s="1"/>
  <c r="AR14" i="37"/>
  <c r="AR86" i="37" s="1"/>
  <c r="AR386" i="37" s="1"/>
  <c r="AN14" i="37"/>
  <c r="AN86" i="37" s="1"/>
  <c r="AN170" i="37" s="1"/>
  <c r="AN242" i="37" s="1"/>
  <c r="AN314" i="37" s="1"/>
  <c r="AN386" i="37" s="1"/>
  <c r="AI14" i="37"/>
  <c r="AU14" i="37"/>
  <c r="AU86" i="37" s="1"/>
  <c r="AU386" i="37" s="1"/>
  <c r="AQ14" i="37"/>
  <c r="AQ86" i="37" s="1"/>
  <c r="AQ386" i="37" s="1"/>
  <c r="AL14" i="37"/>
  <c r="AL86" i="37" s="1"/>
  <c r="AL170" i="37" s="1"/>
  <c r="AL242" i="37" s="1"/>
  <c r="AL314" i="37" s="1"/>
  <c r="AL386" i="37" s="1"/>
  <c r="AH14" i="37"/>
  <c r="AH86" i="37" s="1"/>
  <c r="AH170" i="37" s="1"/>
  <c r="AH242" i="37" s="1"/>
  <c r="AH314" i="37" s="1"/>
  <c r="AH386" i="37" s="1"/>
  <c r="AT14" i="37"/>
  <c r="AT86" i="37" s="1"/>
  <c r="AK14" i="37"/>
  <c r="AK86" i="37" s="1"/>
  <c r="BA35" i="37"/>
  <c r="BA107" i="37" s="1"/>
  <c r="AR35" i="37"/>
  <c r="AR107" i="37" s="1"/>
  <c r="AR407" i="37" s="1"/>
  <c r="AN35" i="37"/>
  <c r="AN107" i="37" s="1"/>
  <c r="AN191" i="37" s="1"/>
  <c r="AN263" i="37" s="1"/>
  <c r="AN335" i="37" s="1"/>
  <c r="AN407" i="37" s="1"/>
  <c r="AI35" i="37"/>
  <c r="AT35" i="37"/>
  <c r="AT107" i="37" s="1"/>
  <c r="AO35" i="37"/>
  <c r="AH35" i="37"/>
  <c r="AH107" i="37" s="1"/>
  <c r="AH191" i="37" s="1"/>
  <c r="AH263" i="37" s="1"/>
  <c r="AH335" i="37" s="1"/>
  <c r="AH407" i="37" s="1"/>
  <c r="AS35" i="37"/>
  <c r="AS107" i="37" s="1"/>
  <c r="AS407" i="37" s="1"/>
  <c r="AL35" i="37"/>
  <c r="AL107" i="37" s="1"/>
  <c r="AL191" i="37" s="1"/>
  <c r="AL263" i="37" s="1"/>
  <c r="AL335" i="37" s="1"/>
  <c r="AL407" i="37" s="1"/>
  <c r="AQ35" i="37"/>
  <c r="AQ107" i="37" s="1"/>
  <c r="AQ407" i="37" s="1"/>
  <c r="AK35" i="37"/>
  <c r="AK107" i="37" s="1"/>
  <c r="BB35" i="37"/>
  <c r="BB107" i="37" s="1"/>
  <c r="AU35" i="37"/>
  <c r="AU107" i="37" s="1"/>
  <c r="AU407" i="37" s="1"/>
  <c r="AJ35" i="37"/>
  <c r="AJ107" i="37" s="1"/>
  <c r="AJ191" i="37" s="1"/>
  <c r="AJ263" i="37" s="1"/>
  <c r="AJ335" i="37" s="1"/>
  <c r="AJ407" i="37" s="1"/>
  <c r="AU27" i="37"/>
  <c r="AU99" i="37" s="1"/>
  <c r="AU399" i="37" s="1"/>
  <c r="AQ27" i="37"/>
  <c r="AQ99" i="37" s="1"/>
  <c r="AQ399" i="37" s="1"/>
  <c r="AL27" i="37"/>
  <c r="AL99" i="37" s="1"/>
  <c r="AL183" i="37" s="1"/>
  <c r="AL255" i="37" s="1"/>
  <c r="AL327" i="37" s="1"/>
  <c r="AL399" i="37" s="1"/>
  <c r="AH27" i="37"/>
  <c r="AH99" i="37" s="1"/>
  <c r="AH183" i="37" s="1"/>
  <c r="AH255" i="37" s="1"/>
  <c r="AH327" i="37" s="1"/>
  <c r="AH399" i="37" s="1"/>
  <c r="AT27" i="37"/>
  <c r="AT99" i="37" s="1"/>
  <c r="AK27" i="37"/>
  <c r="AK99" i="37" s="1"/>
  <c r="BB27" i="37"/>
  <c r="BB99" i="37" s="1"/>
  <c r="AS27" i="37"/>
  <c r="AS99" i="37" s="1"/>
  <c r="AS399" i="37" s="1"/>
  <c r="AO27" i="37"/>
  <c r="AX27" i="37" s="1"/>
  <c r="AJ27" i="37"/>
  <c r="AJ99" i="37" s="1"/>
  <c r="AJ183" i="37" s="1"/>
  <c r="AJ255" i="37" s="1"/>
  <c r="AJ327" i="37" s="1"/>
  <c r="AJ399" i="37" s="1"/>
  <c r="BA27" i="37"/>
  <c r="BA99" i="37" s="1"/>
  <c r="AR27" i="37"/>
  <c r="AR99" i="37" s="1"/>
  <c r="AR399" i="37" s="1"/>
  <c r="AN27" i="37"/>
  <c r="AN99" i="37" s="1"/>
  <c r="AN183" i="37" s="1"/>
  <c r="AN255" i="37" s="1"/>
  <c r="AN327" i="37" s="1"/>
  <c r="AN399" i="37" s="1"/>
  <c r="AI27" i="37"/>
  <c r="BA36" i="37"/>
  <c r="BA108" i="37" s="1"/>
  <c r="AR36" i="37"/>
  <c r="AR108" i="37" s="1"/>
  <c r="AR408" i="37" s="1"/>
  <c r="AN36" i="37"/>
  <c r="AN108" i="37" s="1"/>
  <c r="AN192" i="37" s="1"/>
  <c r="AN264" i="37" s="1"/>
  <c r="AN336" i="37" s="1"/>
  <c r="AN408" i="37" s="1"/>
  <c r="AI36" i="37"/>
  <c r="BB36" i="37"/>
  <c r="BB108" i="37" s="1"/>
  <c r="AU36" i="37"/>
  <c r="AU108" i="37" s="1"/>
  <c r="AU408" i="37" s="1"/>
  <c r="AJ36" i="37"/>
  <c r="AJ108" i="37" s="1"/>
  <c r="AJ192" i="37" s="1"/>
  <c r="AJ264" i="37" s="1"/>
  <c r="AJ336" i="37" s="1"/>
  <c r="AJ408" i="37" s="1"/>
  <c r="AT36" i="37"/>
  <c r="AT108" i="37" s="1"/>
  <c r="AO36" i="37"/>
  <c r="AX36" i="37" s="1"/>
  <c r="AH36" i="37"/>
  <c r="AH108" i="37" s="1"/>
  <c r="AH192" i="37" s="1"/>
  <c r="AH264" i="37" s="1"/>
  <c r="AH336" i="37" s="1"/>
  <c r="AH408" i="37" s="1"/>
  <c r="AS36" i="37"/>
  <c r="AS108" i="37" s="1"/>
  <c r="AS408" i="37" s="1"/>
  <c r="AL36" i="37"/>
  <c r="AL108" i="37" s="1"/>
  <c r="AL192" i="37" s="1"/>
  <c r="AL264" i="37" s="1"/>
  <c r="AL336" i="37" s="1"/>
  <c r="AL408" i="37" s="1"/>
  <c r="AQ36" i="37"/>
  <c r="AQ108" i="37" s="1"/>
  <c r="AQ408" i="37" s="1"/>
  <c r="AK36" i="37"/>
  <c r="AK108" i="37" s="1"/>
  <c r="AP29" i="11"/>
  <c r="AO101" i="11"/>
  <c r="EG19" i="40" s="1"/>
  <c r="V19" i="40" s="1"/>
  <c r="AT417" i="11"/>
  <c r="AP53" i="11"/>
  <c r="AW53" i="11" s="1"/>
  <c r="AW125" i="11" s="1"/>
  <c r="AW209" i="11" s="1"/>
  <c r="AO125" i="11"/>
  <c r="EG43" i="40" s="1"/>
  <c r="CI43" i="40" s="1"/>
  <c r="AT433" i="11"/>
  <c r="AI89" i="11"/>
  <c r="AI173" i="11" s="1"/>
  <c r="AI245" i="11" s="1"/>
  <c r="AI317" i="11" s="1"/>
  <c r="AI389" i="11" s="1"/>
  <c r="AV17" i="11"/>
  <c r="AV89" i="11" s="1"/>
  <c r="AV173" i="11" s="1"/>
  <c r="AV245" i="11" s="1"/>
  <c r="AV317" i="11" s="1"/>
  <c r="AV389" i="11" s="1"/>
  <c r="AT394" i="11"/>
  <c r="AO94" i="11"/>
  <c r="EG12" i="40" s="1"/>
  <c r="V12" i="40" s="1"/>
  <c r="AP22" i="11"/>
  <c r="BA37" i="37"/>
  <c r="BA109" i="37" s="1"/>
  <c r="AR37" i="37"/>
  <c r="AR109" i="37" s="1"/>
  <c r="AR409" i="37" s="1"/>
  <c r="AN37" i="37"/>
  <c r="AN109" i="37" s="1"/>
  <c r="AN193" i="37" s="1"/>
  <c r="AN265" i="37" s="1"/>
  <c r="AN337" i="37" s="1"/>
  <c r="AN409" i="37" s="1"/>
  <c r="AI37" i="37"/>
  <c r="AQ37" i="37"/>
  <c r="AQ109" i="37" s="1"/>
  <c r="AQ409" i="37" s="1"/>
  <c r="AK37" i="37"/>
  <c r="AK109" i="37" s="1"/>
  <c r="BB37" i="37"/>
  <c r="BB109" i="37" s="1"/>
  <c r="AU37" i="37"/>
  <c r="AU109" i="37" s="1"/>
  <c r="AU409" i="37" s="1"/>
  <c r="AJ37" i="37"/>
  <c r="AJ109" i="37" s="1"/>
  <c r="AJ193" i="37" s="1"/>
  <c r="AJ265" i="37" s="1"/>
  <c r="AJ337" i="37" s="1"/>
  <c r="AJ409" i="37" s="1"/>
  <c r="AT37" i="37"/>
  <c r="AT109" i="37" s="1"/>
  <c r="AO37" i="37"/>
  <c r="AH37" i="37"/>
  <c r="AH109" i="37" s="1"/>
  <c r="AH193" i="37" s="1"/>
  <c r="AH265" i="37" s="1"/>
  <c r="AH337" i="37" s="1"/>
  <c r="AH409" i="37" s="1"/>
  <c r="AS37" i="37"/>
  <c r="AS109" i="37" s="1"/>
  <c r="AS409" i="37" s="1"/>
  <c r="AL37" i="37"/>
  <c r="AL109" i="37" s="1"/>
  <c r="AL193" i="37" s="1"/>
  <c r="AL265" i="37" s="1"/>
  <c r="AL337" i="37" s="1"/>
  <c r="AL409" i="37" s="1"/>
  <c r="AT17" i="37"/>
  <c r="AT89" i="37" s="1"/>
  <c r="AK17" i="37"/>
  <c r="AK89" i="37" s="1"/>
  <c r="BB17" i="37"/>
  <c r="BB89" i="37" s="1"/>
  <c r="AS17" i="37"/>
  <c r="AS89" i="37" s="1"/>
  <c r="AS389" i="37" s="1"/>
  <c r="AO17" i="37"/>
  <c r="AJ17" i="37"/>
  <c r="AJ89" i="37" s="1"/>
  <c r="AJ173" i="37" s="1"/>
  <c r="AJ245" i="37" s="1"/>
  <c r="AJ317" i="37" s="1"/>
  <c r="AJ389" i="37" s="1"/>
  <c r="BA17" i="37"/>
  <c r="BA89" i="37" s="1"/>
  <c r="AR17" i="37"/>
  <c r="AR89" i="37" s="1"/>
  <c r="AR389" i="37" s="1"/>
  <c r="AN17" i="37"/>
  <c r="AN89" i="37" s="1"/>
  <c r="AN173" i="37" s="1"/>
  <c r="AN245" i="37" s="1"/>
  <c r="AN317" i="37" s="1"/>
  <c r="AN389" i="37" s="1"/>
  <c r="AI17" i="37"/>
  <c r="AU17" i="37"/>
  <c r="AU89" i="37" s="1"/>
  <c r="AU389" i="37" s="1"/>
  <c r="AQ17" i="37"/>
  <c r="AQ89" i="37" s="1"/>
  <c r="AQ389" i="37" s="1"/>
  <c r="AL17" i="37"/>
  <c r="AL89" i="37" s="1"/>
  <c r="AL173" i="37" s="1"/>
  <c r="AL245" i="37" s="1"/>
  <c r="AL317" i="37" s="1"/>
  <c r="AL389" i="37" s="1"/>
  <c r="AH17" i="37"/>
  <c r="AH89" i="37" s="1"/>
  <c r="AH173" i="37" s="1"/>
  <c r="AH245" i="37" s="1"/>
  <c r="AH317" i="37" s="1"/>
  <c r="AH389" i="37" s="1"/>
  <c r="AU30" i="37"/>
  <c r="AU102" i="37" s="1"/>
  <c r="AU402" i="37" s="1"/>
  <c r="AQ30" i="37"/>
  <c r="AQ102" i="37" s="1"/>
  <c r="AQ402" i="37" s="1"/>
  <c r="AL30" i="37"/>
  <c r="AL102" i="37" s="1"/>
  <c r="AL186" i="37" s="1"/>
  <c r="AL258" i="37" s="1"/>
  <c r="AL330" i="37" s="1"/>
  <c r="AL402" i="37" s="1"/>
  <c r="AH30" i="37"/>
  <c r="AH102" i="37" s="1"/>
  <c r="AH186" i="37" s="1"/>
  <c r="AH258" i="37" s="1"/>
  <c r="AH330" i="37" s="1"/>
  <c r="AH402" i="37" s="1"/>
  <c r="AT30" i="37"/>
  <c r="AT102" i="37" s="1"/>
  <c r="AK30" i="37"/>
  <c r="AK102" i="37" s="1"/>
  <c r="BB30" i="37"/>
  <c r="BB102" i="37" s="1"/>
  <c r="AS30" i="37"/>
  <c r="AS102" i="37" s="1"/>
  <c r="AS402" i="37" s="1"/>
  <c r="AO30" i="37"/>
  <c r="AX30" i="37" s="1"/>
  <c r="AJ30" i="37"/>
  <c r="AJ102" i="37" s="1"/>
  <c r="AJ186" i="37" s="1"/>
  <c r="AJ258" i="37" s="1"/>
  <c r="AJ330" i="37" s="1"/>
  <c r="AJ402" i="37" s="1"/>
  <c r="BA30" i="37"/>
  <c r="BA102" i="37" s="1"/>
  <c r="AR30" i="37"/>
  <c r="AR102" i="37" s="1"/>
  <c r="AR402" i="37" s="1"/>
  <c r="AN30" i="37"/>
  <c r="AN102" i="37" s="1"/>
  <c r="AN186" i="37" s="1"/>
  <c r="AN258" i="37" s="1"/>
  <c r="AN330" i="37" s="1"/>
  <c r="AN402" i="37" s="1"/>
  <c r="AI30" i="37"/>
  <c r="AI88" i="11"/>
  <c r="AI172" i="11" s="1"/>
  <c r="AI244" i="11" s="1"/>
  <c r="AI316" i="11" s="1"/>
  <c r="AI388" i="11" s="1"/>
  <c r="AV16" i="11"/>
  <c r="AV88" i="11" s="1"/>
  <c r="AV172" i="11" s="1"/>
  <c r="AV244" i="11" s="1"/>
  <c r="AV316" i="11" s="1"/>
  <c r="AV388" i="11" s="1"/>
  <c r="AI92" i="11"/>
  <c r="AI176" i="11" s="1"/>
  <c r="AI248" i="11" s="1"/>
  <c r="AI320" i="11" s="1"/>
  <c r="AI392" i="11" s="1"/>
  <c r="AV20" i="11"/>
  <c r="AV92" i="11" s="1"/>
  <c r="AV176" i="11" s="1"/>
  <c r="AV248" i="11" s="1"/>
  <c r="AV320" i="11" s="1"/>
  <c r="AV392" i="11" s="1"/>
  <c r="AX29" i="11"/>
  <c r="AX101" i="11" s="1"/>
  <c r="AX185" i="11" s="1"/>
  <c r="AX257" i="11" s="1"/>
  <c r="AX329" i="11" s="1"/>
  <c r="AX401" i="11" s="1"/>
  <c r="AX37" i="11"/>
  <c r="AX109" i="11" s="1"/>
  <c r="AX193" i="11" s="1"/>
  <c r="AX265" i="11" s="1"/>
  <c r="AX337" i="11" s="1"/>
  <c r="AX409" i="11" s="1"/>
  <c r="AX45" i="11"/>
  <c r="AX117" i="11" s="1"/>
  <c r="AX201" i="11" s="1"/>
  <c r="AX273" i="11" s="1"/>
  <c r="AX345" i="11" s="1"/>
  <c r="AX417" i="11" s="1"/>
  <c r="AX53" i="11"/>
  <c r="AX125" i="11" s="1"/>
  <c r="AX209" i="11" s="1"/>
  <c r="AX281" i="11" s="1"/>
  <c r="AX353" i="11" s="1"/>
  <c r="AX425" i="11" s="1"/>
  <c r="AX61" i="11"/>
  <c r="AX133" i="11" s="1"/>
  <c r="AX217" i="11" s="1"/>
  <c r="AX289" i="11" s="1"/>
  <c r="AX361" i="11" s="1"/>
  <c r="AX433" i="11" s="1"/>
  <c r="AP17" i="11"/>
  <c r="AW17" i="11" s="1"/>
  <c r="AW89" i="11" s="1"/>
  <c r="AW173" i="11" s="1"/>
  <c r="AO89" i="11"/>
  <c r="EG7" i="40" s="1"/>
  <c r="CI7" i="40" s="1"/>
  <c r="AT389" i="11"/>
  <c r="AX22" i="11"/>
  <c r="AX94" i="11" s="1"/>
  <c r="AX178" i="11" s="1"/>
  <c r="AX250" i="11" s="1"/>
  <c r="AX322" i="11" s="1"/>
  <c r="AX394" i="11" s="1"/>
  <c r="AU84" i="37"/>
  <c r="AU156" i="37" s="1"/>
  <c r="AU456" i="37" s="1"/>
  <c r="AQ84" i="37"/>
  <c r="AQ156" i="37" s="1"/>
  <c r="AQ456" i="37" s="1"/>
  <c r="AL84" i="37"/>
  <c r="AL156" i="37" s="1"/>
  <c r="AL240" i="37" s="1"/>
  <c r="AL312" i="37" s="1"/>
  <c r="AL384" i="37" s="1"/>
  <c r="AL456" i="37" s="1"/>
  <c r="AH84" i="37"/>
  <c r="AH156" i="37" s="1"/>
  <c r="AH240" i="37" s="1"/>
  <c r="AH312" i="37" s="1"/>
  <c r="AH384" i="37" s="1"/>
  <c r="AH456" i="37" s="1"/>
  <c r="AT84" i="37"/>
  <c r="AT156" i="37" s="1"/>
  <c r="AK84" i="37"/>
  <c r="AK156" i="37" s="1"/>
  <c r="BB84" i="37"/>
  <c r="BB156" i="37" s="1"/>
  <c r="AS84" i="37"/>
  <c r="AS156" i="37" s="1"/>
  <c r="AS456" i="37" s="1"/>
  <c r="AO84" i="37"/>
  <c r="AX84" i="37" s="1"/>
  <c r="AJ84" i="37"/>
  <c r="AJ156" i="37" s="1"/>
  <c r="AJ240" i="37" s="1"/>
  <c r="AJ312" i="37" s="1"/>
  <c r="AJ384" i="37" s="1"/>
  <c r="AJ456" i="37" s="1"/>
  <c r="BA84" i="37"/>
  <c r="BA156" i="37" s="1"/>
  <c r="AR84" i="37"/>
  <c r="AR156" i="37" s="1"/>
  <c r="AR456" i="37" s="1"/>
  <c r="AN84" i="37"/>
  <c r="AN156" i="37" s="1"/>
  <c r="AN240" i="37" s="1"/>
  <c r="AN312" i="37" s="1"/>
  <c r="AN384" i="37" s="1"/>
  <c r="AN456" i="37" s="1"/>
  <c r="AI84" i="37"/>
  <c r="AU76" i="37"/>
  <c r="AU148" i="37" s="1"/>
  <c r="AU448" i="37" s="1"/>
  <c r="AQ76" i="37"/>
  <c r="AQ148" i="37" s="1"/>
  <c r="AQ448" i="37" s="1"/>
  <c r="AL76" i="37"/>
  <c r="AL148" i="37" s="1"/>
  <c r="AL232" i="37" s="1"/>
  <c r="AL304" i="37" s="1"/>
  <c r="AL376" i="37" s="1"/>
  <c r="AL448" i="37" s="1"/>
  <c r="AH76" i="37"/>
  <c r="AH148" i="37" s="1"/>
  <c r="AH232" i="37" s="1"/>
  <c r="AH304" i="37" s="1"/>
  <c r="AH376" i="37" s="1"/>
  <c r="AH448" i="37" s="1"/>
  <c r="AT76" i="37"/>
  <c r="AT148" i="37" s="1"/>
  <c r="AK76" i="37"/>
  <c r="AK148" i="37" s="1"/>
  <c r="BB76" i="37"/>
  <c r="BB148" i="37" s="1"/>
  <c r="AS76" i="37"/>
  <c r="AS148" i="37" s="1"/>
  <c r="AS448" i="37" s="1"/>
  <c r="AO76" i="37"/>
  <c r="AX76" i="37" s="1"/>
  <c r="AJ76" i="37"/>
  <c r="AJ148" i="37" s="1"/>
  <c r="AJ232" i="37" s="1"/>
  <c r="AJ304" i="37" s="1"/>
  <c r="AJ376" i="37" s="1"/>
  <c r="AJ448" i="37" s="1"/>
  <c r="BA76" i="37"/>
  <c r="BA148" i="37" s="1"/>
  <c r="AR76" i="37"/>
  <c r="AR148" i="37" s="1"/>
  <c r="AR448" i="37" s="1"/>
  <c r="AN76" i="37"/>
  <c r="AN148" i="37" s="1"/>
  <c r="AN232" i="37" s="1"/>
  <c r="AN304" i="37" s="1"/>
  <c r="AN376" i="37" s="1"/>
  <c r="AN448" i="37" s="1"/>
  <c r="AI76" i="37"/>
  <c r="AU68" i="37"/>
  <c r="AU140" i="37" s="1"/>
  <c r="AU440" i="37" s="1"/>
  <c r="AQ68" i="37"/>
  <c r="AQ140" i="37" s="1"/>
  <c r="AQ440" i="37" s="1"/>
  <c r="AL68" i="37"/>
  <c r="AL140" i="37" s="1"/>
  <c r="AL224" i="37" s="1"/>
  <c r="AL296" i="37" s="1"/>
  <c r="AL368" i="37" s="1"/>
  <c r="AL440" i="37" s="1"/>
  <c r="AH68" i="37"/>
  <c r="AH140" i="37" s="1"/>
  <c r="AH224" i="37" s="1"/>
  <c r="AH296" i="37" s="1"/>
  <c r="AH368" i="37" s="1"/>
  <c r="AH440" i="37" s="1"/>
  <c r="AT68" i="37"/>
  <c r="AT140" i="37" s="1"/>
  <c r="AK68" i="37"/>
  <c r="AK140" i="37" s="1"/>
  <c r="BB68" i="37"/>
  <c r="BB140" i="37" s="1"/>
  <c r="AS68" i="37"/>
  <c r="AS140" i="37" s="1"/>
  <c r="AS440" i="37" s="1"/>
  <c r="AO68" i="37"/>
  <c r="AX68" i="37" s="1"/>
  <c r="AJ68" i="37"/>
  <c r="AJ140" i="37" s="1"/>
  <c r="AJ224" i="37" s="1"/>
  <c r="AJ296" i="37" s="1"/>
  <c r="AJ368" i="37" s="1"/>
  <c r="AJ440" i="37" s="1"/>
  <c r="BA68" i="37"/>
  <c r="BA140" i="37" s="1"/>
  <c r="AR68" i="37"/>
  <c r="AR140" i="37" s="1"/>
  <c r="AR440" i="37" s="1"/>
  <c r="AN68" i="37"/>
  <c r="AN140" i="37" s="1"/>
  <c r="AN224" i="37" s="1"/>
  <c r="AN296" i="37" s="1"/>
  <c r="AN368" i="37" s="1"/>
  <c r="AN440" i="37" s="1"/>
  <c r="AI68" i="37"/>
  <c r="AU60" i="37"/>
  <c r="AU132" i="37" s="1"/>
  <c r="AU432" i="37" s="1"/>
  <c r="AQ60" i="37"/>
  <c r="AQ132" i="37" s="1"/>
  <c r="AQ432" i="37" s="1"/>
  <c r="AL60" i="37"/>
  <c r="AL132" i="37" s="1"/>
  <c r="AL216" i="37" s="1"/>
  <c r="AL288" i="37" s="1"/>
  <c r="AL360" i="37" s="1"/>
  <c r="AL432" i="37" s="1"/>
  <c r="AH60" i="37"/>
  <c r="AH132" i="37" s="1"/>
  <c r="AH216" i="37" s="1"/>
  <c r="AH288" i="37" s="1"/>
  <c r="AH360" i="37" s="1"/>
  <c r="AH432" i="37" s="1"/>
  <c r="AT60" i="37"/>
  <c r="AT132" i="37" s="1"/>
  <c r="AK60" i="37"/>
  <c r="AK132" i="37" s="1"/>
  <c r="BB60" i="37"/>
  <c r="BB132" i="37" s="1"/>
  <c r="AS60" i="37"/>
  <c r="AS132" i="37" s="1"/>
  <c r="AS432" i="37" s="1"/>
  <c r="AO60" i="37"/>
  <c r="AJ60" i="37"/>
  <c r="AJ132" i="37" s="1"/>
  <c r="AJ216" i="37" s="1"/>
  <c r="AJ288" i="37" s="1"/>
  <c r="AJ360" i="37" s="1"/>
  <c r="AJ432" i="37" s="1"/>
  <c r="BA60" i="37"/>
  <c r="BA132" i="37" s="1"/>
  <c r="AR60" i="37"/>
  <c r="AR132" i="37" s="1"/>
  <c r="AR432" i="37" s="1"/>
  <c r="AN60" i="37"/>
  <c r="AN132" i="37" s="1"/>
  <c r="AN216" i="37" s="1"/>
  <c r="AN288" i="37" s="1"/>
  <c r="AN360" i="37" s="1"/>
  <c r="AN432" i="37" s="1"/>
  <c r="AI60" i="37"/>
  <c r="AU52" i="37"/>
  <c r="AU124" i="37" s="1"/>
  <c r="AU424" i="37" s="1"/>
  <c r="AQ52" i="37"/>
  <c r="AQ124" i="37" s="1"/>
  <c r="AQ424" i="37" s="1"/>
  <c r="AL52" i="37"/>
  <c r="AL124" i="37" s="1"/>
  <c r="AL208" i="37" s="1"/>
  <c r="AL280" i="37" s="1"/>
  <c r="AL352" i="37" s="1"/>
  <c r="AL424" i="37" s="1"/>
  <c r="AH52" i="37"/>
  <c r="AH124" i="37" s="1"/>
  <c r="AH208" i="37" s="1"/>
  <c r="AH280" i="37" s="1"/>
  <c r="AH352" i="37" s="1"/>
  <c r="AH424" i="37" s="1"/>
  <c r="AT52" i="37"/>
  <c r="AT124" i="37" s="1"/>
  <c r="AK52" i="37"/>
  <c r="AK124" i="37" s="1"/>
  <c r="BB52" i="37"/>
  <c r="BB124" i="37" s="1"/>
  <c r="AS52" i="37"/>
  <c r="AS124" i="37" s="1"/>
  <c r="AS424" i="37" s="1"/>
  <c r="AO52" i="37"/>
  <c r="AJ52" i="37"/>
  <c r="AJ124" i="37" s="1"/>
  <c r="AJ208" i="37" s="1"/>
  <c r="AJ280" i="37" s="1"/>
  <c r="AJ352" i="37" s="1"/>
  <c r="AJ424" i="37" s="1"/>
  <c r="BA52" i="37"/>
  <c r="BA124" i="37" s="1"/>
  <c r="AR52" i="37"/>
  <c r="AR124" i="37" s="1"/>
  <c r="AR424" i="37" s="1"/>
  <c r="AN52" i="37"/>
  <c r="AN124" i="37" s="1"/>
  <c r="AN208" i="37" s="1"/>
  <c r="AN280" i="37" s="1"/>
  <c r="AN352" i="37" s="1"/>
  <c r="AN424" i="37" s="1"/>
  <c r="AI52" i="37"/>
  <c r="AP16" i="11"/>
  <c r="AW16" i="11" s="1"/>
  <c r="AW88" i="11" s="1"/>
  <c r="AW172" i="11" s="1"/>
  <c r="AO88" i="11"/>
  <c r="EG6" i="40" s="1"/>
  <c r="CI6" i="40" s="1"/>
  <c r="AT388" i="11"/>
  <c r="AO146" i="11"/>
  <c r="EG64" i="40" s="1"/>
  <c r="V64" i="40" s="1"/>
  <c r="AP74" i="11"/>
  <c r="AT446" i="11"/>
  <c r="AP20" i="11"/>
  <c r="AO92" i="11"/>
  <c r="EG10" i="40" s="1"/>
  <c r="CI10" i="40" s="1"/>
  <c r="AT392" i="11"/>
  <c r="AO99" i="11"/>
  <c r="EG17" i="40" s="1"/>
  <c r="CI17" i="40" s="1"/>
  <c r="AP27" i="11"/>
  <c r="AT399" i="11"/>
  <c r="AO107" i="11"/>
  <c r="EG25" i="40" s="1"/>
  <c r="CI25" i="40" s="1"/>
  <c r="AP35" i="11"/>
  <c r="AT407" i="11"/>
  <c r="AO115" i="11"/>
  <c r="EG33" i="40" s="1"/>
  <c r="CI33" i="40" s="1"/>
  <c r="AP43" i="11"/>
  <c r="AW43" i="11" s="1"/>
  <c r="AW115" i="11" s="1"/>
  <c r="AW199" i="11" s="1"/>
  <c r="AT415" i="11"/>
  <c r="AO123" i="11"/>
  <c r="EG41" i="40" s="1"/>
  <c r="V41" i="40" s="1"/>
  <c r="AP51" i="11"/>
  <c r="AT423" i="11"/>
  <c r="AO131" i="11"/>
  <c r="EG49" i="40" s="1"/>
  <c r="CI49" i="40" s="1"/>
  <c r="AP59" i="11"/>
  <c r="AT431" i="11"/>
  <c r="AO139" i="11"/>
  <c r="EG57" i="40" s="1"/>
  <c r="CI57" i="40" s="1"/>
  <c r="AP67" i="11"/>
  <c r="AT439" i="11"/>
  <c r="AO147" i="11"/>
  <c r="EG65" i="40" s="1"/>
  <c r="V65" i="40" s="1"/>
  <c r="AP75" i="11"/>
  <c r="AW75" i="11" s="1"/>
  <c r="AW147" i="11" s="1"/>
  <c r="AW231" i="11" s="1"/>
  <c r="AT447" i="11"/>
  <c r="AO155" i="11"/>
  <c r="EG73" i="40" s="1"/>
  <c r="CI73" i="40" s="1"/>
  <c r="AP83" i="11"/>
  <c r="AT455" i="11"/>
  <c r="AP40" i="11"/>
  <c r="AO112" i="11"/>
  <c r="EG30" i="40" s="1"/>
  <c r="V30" i="40" s="1"/>
  <c r="AT412" i="11"/>
  <c r="AP36" i="11"/>
  <c r="AO108" i="11"/>
  <c r="EG26" i="40" s="1"/>
  <c r="CI26" i="40" s="1"/>
  <c r="AT408" i="11"/>
  <c r="AP52" i="11"/>
  <c r="AW52" i="11" s="1"/>
  <c r="AW124" i="11" s="1"/>
  <c r="AW208" i="11" s="1"/>
  <c r="AO124" i="11"/>
  <c r="EG42" i="40" s="1"/>
  <c r="V42" i="40" s="1"/>
  <c r="AT424" i="11"/>
  <c r="AP60" i="11"/>
  <c r="AW60" i="11" s="1"/>
  <c r="AW132" i="11" s="1"/>
  <c r="AW216" i="11" s="1"/>
  <c r="AO132" i="11"/>
  <c r="EG50" i="40" s="1"/>
  <c r="CI50" i="40" s="1"/>
  <c r="AT432" i="11"/>
  <c r="AI141" i="11"/>
  <c r="AI225" i="11" s="1"/>
  <c r="AI297" i="11" s="1"/>
  <c r="AI369" i="11" s="1"/>
  <c r="AI441" i="11" s="1"/>
  <c r="AV69" i="11"/>
  <c r="AV141" i="11" s="1"/>
  <c r="AV225" i="11" s="1"/>
  <c r="AV297" i="11" s="1"/>
  <c r="AV369" i="11" s="1"/>
  <c r="AV441" i="11" s="1"/>
  <c r="AI149" i="11"/>
  <c r="AI233" i="11" s="1"/>
  <c r="AI305" i="11" s="1"/>
  <c r="AI377" i="11" s="1"/>
  <c r="AI449" i="11" s="1"/>
  <c r="AV77" i="11"/>
  <c r="AV149" i="11" s="1"/>
  <c r="AV233" i="11" s="1"/>
  <c r="AV305" i="11" s="1"/>
  <c r="AV377" i="11" s="1"/>
  <c r="AV449" i="11" s="1"/>
  <c r="AU79" i="37"/>
  <c r="AU151" i="37" s="1"/>
  <c r="AU451" i="37" s="1"/>
  <c r="AQ79" i="37"/>
  <c r="AQ151" i="37" s="1"/>
  <c r="AQ451" i="37" s="1"/>
  <c r="AL79" i="37"/>
  <c r="AL151" i="37" s="1"/>
  <c r="AL235" i="37" s="1"/>
  <c r="AL307" i="37" s="1"/>
  <c r="AL379" i="37" s="1"/>
  <c r="AL451" i="37" s="1"/>
  <c r="AH79" i="37"/>
  <c r="AH151" i="37" s="1"/>
  <c r="AH235" i="37" s="1"/>
  <c r="AH307" i="37" s="1"/>
  <c r="AH379" i="37" s="1"/>
  <c r="AH451" i="37" s="1"/>
  <c r="AT79" i="37"/>
  <c r="AT151" i="37" s="1"/>
  <c r="AK79" i="37"/>
  <c r="AK151" i="37" s="1"/>
  <c r="BB79" i="37"/>
  <c r="BB151" i="37" s="1"/>
  <c r="AS79" i="37"/>
  <c r="AS151" i="37" s="1"/>
  <c r="AS451" i="37" s="1"/>
  <c r="AO79" i="37"/>
  <c r="AX79" i="37" s="1"/>
  <c r="AJ79" i="37"/>
  <c r="AJ151" i="37" s="1"/>
  <c r="AJ235" i="37" s="1"/>
  <c r="AJ307" i="37" s="1"/>
  <c r="AJ379" i="37" s="1"/>
  <c r="AJ451" i="37" s="1"/>
  <c r="BA79" i="37"/>
  <c r="BA151" i="37" s="1"/>
  <c r="AR79" i="37"/>
  <c r="AR151" i="37" s="1"/>
  <c r="AR451" i="37" s="1"/>
  <c r="AN79" i="37"/>
  <c r="AN151" i="37" s="1"/>
  <c r="AN235" i="37" s="1"/>
  <c r="AN307" i="37" s="1"/>
  <c r="AN379" i="37" s="1"/>
  <c r="AN451" i="37" s="1"/>
  <c r="AI79" i="37"/>
  <c r="AU71" i="37"/>
  <c r="AU143" i="37" s="1"/>
  <c r="AU443" i="37" s="1"/>
  <c r="AQ71" i="37"/>
  <c r="AQ143" i="37" s="1"/>
  <c r="AQ443" i="37" s="1"/>
  <c r="AL71" i="37"/>
  <c r="AL143" i="37" s="1"/>
  <c r="AL227" i="37" s="1"/>
  <c r="AL299" i="37" s="1"/>
  <c r="AL371" i="37" s="1"/>
  <c r="AL443" i="37" s="1"/>
  <c r="AH71" i="37"/>
  <c r="AH143" i="37" s="1"/>
  <c r="AH227" i="37" s="1"/>
  <c r="AH299" i="37" s="1"/>
  <c r="AH371" i="37" s="1"/>
  <c r="AH443" i="37" s="1"/>
  <c r="AT71" i="37"/>
  <c r="AT143" i="37" s="1"/>
  <c r="AK71" i="37"/>
  <c r="AK143" i="37" s="1"/>
  <c r="BB71" i="37"/>
  <c r="BB143" i="37" s="1"/>
  <c r="AS71" i="37"/>
  <c r="AS143" i="37" s="1"/>
  <c r="AS443" i="37" s="1"/>
  <c r="AO71" i="37"/>
  <c r="AX71" i="37" s="1"/>
  <c r="AJ71" i="37"/>
  <c r="AJ143" i="37" s="1"/>
  <c r="AJ227" i="37" s="1"/>
  <c r="AJ299" i="37" s="1"/>
  <c r="AJ371" i="37" s="1"/>
  <c r="AJ443" i="37" s="1"/>
  <c r="BA71" i="37"/>
  <c r="BA143" i="37" s="1"/>
  <c r="AR71" i="37"/>
  <c r="AR143" i="37" s="1"/>
  <c r="AR443" i="37" s="1"/>
  <c r="AN71" i="37"/>
  <c r="AN143" i="37" s="1"/>
  <c r="AN227" i="37" s="1"/>
  <c r="AN299" i="37" s="1"/>
  <c r="AN371" i="37" s="1"/>
  <c r="AN443" i="37" s="1"/>
  <c r="AI71" i="37"/>
  <c r="AU63" i="37"/>
  <c r="AU135" i="37" s="1"/>
  <c r="AU435" i="37" s="1"/>
  <c r="AQ63" i="37"/>
  <c r="AQ135" i="37" s="1"/>
  <c r="AQ435" i="37" s="1"/>
  <c r="AL63" i="37"/>
  <c r="AL135" i="37" s="1"/>
  <c r="AL219" i="37" s="1"/>
  <c r="AL291" i="37" s="1"/>
  <c r="AL363" i="37" s="1"/>
  <c r="AL435" i="37" s="1"/>
  <c r="AH63" i="37"/>
  <c r="AH135" i="37" s="1"/>
  <c r="AH219" i="37" s="1"/>
  <c r="AH291" i="37" s="1"/>
  <c r="AH363" i="37" s="1"/>
  <c r="AH435" i="37" s="1"/>
  <c r="AT63" i="37"/>
  <c r="AT135" i="37" s="1"/>
  <c r="AK63" i="37"/>
  <c r="AK135" i="37" s="1"/>
  <c r="BB63" i="37"/>
  <c r="BB135" i="37" s="1"/>
  <c r="AS63" i="37"/>
  <c r="AS135" i="37" s="1"/>
  <c r="AS435" i="37" s="1"/>
  <c r="AO63" i="37"/>
  <c r="AX63" i="37" s="1"/>
  <c r="AJ63" i="37"/>
  <c r="AJ135" i="37" s="1"/>
  <c r="AJ219" i="37" s="1"/>
  <c r="AJ291" i="37" s="1"/>
  <c r="AJ363" i="37" s="1"/>
  <c r="AJ435" i="37" s="1"/>
  <c r="BA63" i="37"/>
  <c r="BA135" i="37" s="1"/>
  <c r="AR63" i="37"/>
  <c r="AR135" i="37" s="1"/>
  <c r="AR435" i="37" s="1"/>
  <c r="AN63" i="37"/>
  <c r="AN135" i="37" s="1"/>
  <c r="AN219" i="37" s="1"/>
  <c r="AN291" i="37" s="1"/>
  <c r="AN363" i="37" s="1"/>
  <c r="AN435" i="37" s="1"/>
  <c r="AI63" i="37"/>
  <c r="AU55" i="37"/>
  <c r="AU127" i="37" s="1"/>
  <c r="AU427" i="37" s="1"/>
  <c r="AQ55" i="37"/>
  <c r="AQ127" i="37" s="1"/>
  <c r="AQ427" i="37" s="1"/>
  <c r="AL55" i="37"/>
  <c r="AL127" i="37" s="1"/>
  <c r="AL211" i="37" s="1"/>
  <c r="AL283" i="37" s="1"/>
  <c r="AL355" i="37" s="1"/>
  <c r="AL427" i="37" s="1"/>
  <c r="AH55" i="37"/>
  <c r="AH127" i="37" s="1"/>
  <c r="AH211" i="37" s="1"/>
  <c r="AH283" i="37" s="1"/>
  <c r="AH355" i="37" s="1"/>
  <c r="AH427" i="37" s="1"/>
  <c r="AT55" i="37"/>
  <c r="AT127" i="37" s="1"/>
  <c r="AK55" i="37"/>
  <c r="AK127" i="37" s="1"/>
  <c r="BB55" i="37"/>
  <c r="BB127" i="37" s="1"/>
  <c r="AS55" i="37"/>
  <c r="AS127" i="37" s="1"/>
  <c r="AS427" i="37" s="1"/>
  <c r="AO55" i="37"/>
  <c r="AX55" i="37" s="1"/>
  <c r="AJ55" i="37"/>
  <c r="AJ127" i="37" s="1"/>
  <c r="AJ211" i="37" s="1"/>
  <c r="AJ283" i="37" s="1"/>
  <c r="AJ355" i="37" s="1"/>
  <c r="AJ427" i="37" s="1"/>
  <c r="BA55" i="37"/>
  <c r="BA127" i="37" s="1"/>
  <c r="AR55" i="37"/>
  <c r="AR127" i="37" s="1"/>
  <c r="AR427" i="37" s="1"/>
  <c r="AN55" i="37"/>
  <c r="AN127" i="37" s="1"/>
  <c r="AN211" i="37" s="1"/>
  <c r="AN283" i="37" s="1"/>
  <c r="AN355" i="37" s="1"/>
  <c r="AN427" i="37" s="1"/>
  <c r="AI55" i="37"/>
  <c r="BB47" i="37"/>
  <c r="BB119" i="37" s="1"/>
  <c r="AS47" i="37"/>
  <c r="AS119" i="37" s="1"/>
  <c r="AS419" i="37" s="1"/>
  <c r="AO47" i="37"/>
  <c r="AJ47" i="37"/>
  <c r="AJ119" i="37" s="1"/>
  <c r="AJ203" i="37" s="1"/>
  <c r="AJ275" i="37" s="1"/>
  <c r="AJ347" i="37" s="1"/>
  <c r="AJ419" i="37" s="1"/>
  <c r="BA47" i="37"/>
  <c r="BA119" i="37" s="1"/>
  <c r="AR47" i="37"/>
  <c r="AR119" i="37" s="1"/>
  <c r="AR419" i="37" s="1"/>
  <c r="AN47" i="37"/>
  <c r="AN119" i="37" s="1"/>
  <c r="AN203" i="37" s="1"/>
  <c r="AN275" i="37" s="1"/>
  <c r="AN347" i="37" s="1"/>
  <c r="AN419" i="37" s="1"/>
  <c r="AI47" i="37"/>
  <c r="AU47" i="37"/>
  <c r="AU119" i="37" s="1"/>
  <c r="AU419" i="37" s="1"/>
  <c r="AL47" i="37"/>
  <c r="AL119" i="37" s="1"/>
  <c r="AL203" i="37" s="1"/>
  <c r="AL275" i="37" s="1"/>
  <c r="AL347" i="37" s="1"/>
  <c r="AL419" i="37" s="1"/>
  <c r="AT47" i="37"/>
  <c r="AT119" i="37" s="1"/>
  <c r="AK47" i="37"/>
  <c r="AK119" i="37" s="1"/>
  <c r="AQ47" i="37"/>
  <c r="AQ119" i="37" s="1"/>
  <c r="AQ419" i="37" s="1"/>
  <c r="AH47" i="37"/>
  <c r="AH119" i="37" s="1"/>
  <c r="AH203" i="37" s="1"/>
  <c r="AH275" i="37" s="1"/>
  <c r="AH347" i="37" s="1"/>
  <c r="AH419" i="37" s="1"/>
  <c r="BA42" i="37"/>
  <c r="BA114" i="37" s="1"/>
  <c r="AR42" i="37"/>
  <c r="AR114" i="37" s="1"/>
  <c r="AR414" i="37" s="1"/>
  <c r="AN42" i="37"/>
  <c r="AN114" i="37" s="1"/>
  <c r="AN198" i="37" s="1"/>
  <c r="AN270" i="37" s="1"/>
  <c r="AN342" i="37" s="1"/>
  <c r="AN414" i="37" s="1"/>
  <c r="AI42" i="37"/>
  <c r="AS42" i="37"/>
  <c r="AS114" i="37" s="1"/>
  <c r="AS414" i="37" s="1"/>
  <c r="AL42" i="37"/>
  <c r="AL114" i="37" s="1"/>
  <c r="AL198" i="37" s="1"/>
  <c r="AL270" i="37" s="1"/>
  <c r="AL342" i="37" s="1"/>
  <c r="AL414" i="37" s="1"/>
  <c r="AQ42" i="37"/>
  <c r="AQ114" i="37" s="1"/>
  <c r="AQ414" i="37" s="1"/>
  <c r="AK42" i="37"/>
  <c r="AK114" i="37" s="1"/>
  <c r="BB42" i="37"/>
  <c r="BB114" i="37" s="1"/>
  <c r="AU42" i="37"/>
  <c r="AU114" i="37" s="1"/>
  <c r="AU414" i="37" s="1"/>
  <c r="AJ42" i="37"/>
  <c r="AJ114" i="37" s="1"/>
  <c r="AJ198" i="37" s="1"/>
  <c r="AJ270" i="37" s="1"/>
  <c r="AJ342" i="37" s="1"/>
  <c r="AJ414" i="37" s="1"/>
  <c r="AT42" i="37"/>
  <c r="AT114" i="37" s="1"/>
  <c r="AO42" i="37"/>
  <c r="AH42" i="37"/>
  <c r="AH114" i="37" s="1"/>
  <c r="AH198" i="37" s="1"/>
  <c r="AH270" i="37" s="1"/>
  <c r="AH342" i="37" s="1"/>
  <c r="AH414" i="37" s="1"/>
  <c r="AU33" i="37"/>
  <c r="AU105" i="37" s="1"/>
  <c r="AU405" i="37" s="1"/>
  <c r="AQ33" i="37"/>
  <c r="AQ105" i="37" s="1"/>
  <c r="AQ405" i="37" s="1"/>
  <c r="AL33" i="37"/>
  <c r="AL105" i="37" s="1"/>
  <c r="AL189" i="37" s="1"/>
  <c r="AL261" i="37" s="1"/>
  <c r="AL333" i="37" s="1"/>
  <c r="AL405" i="37" s="1"/>
  <c r="AH33" i="37"/>
  <c r="AH105" i="37" s="1"/>
  <c r="AH189" i="37" s="1"/>
  <c r="AH261" i="37" s="1"/>
  <c r="AH333" i="37" s="1"/>
  <c r="AH405" i="37" s="1"/>
  <c r="AT33" i="37"/>
  <c r="AT105" i="37" s="1"/>
  <c r="AK33" i="37"/>
  <c r="AK105" i="37" s="1"/>
  <c r="BB33" i="37"/>
  <c r="BB105" i="37" s="1"/>
  <c r="AS33" i="37"/>
  <c r="AS105" i="37" s="1"/>
  <c r="AS405" i="37" s="1"/>
  <c r="AO33" i="37"/>
  <c r="AX33" i="37" s="1"/>
  <c r="AJ33" i="37"/>
  <c r="AJ105" i="37" s="1"/>
  <c r="AJ189" i="37" s="1"/>
  <c r="AJ261" i="37" s="1"/>
  <c r="AJ333" i="37" s="1"/>
  <c r="AJ405" i="37" s="1"/>
  <c r="BA33" i="37"/>
  <c r="BA105" i="37" s="1"/>
  <c r="AR33" i="37"/>
  <c r="AR105" i="37" s="1"/>
  <c r="AR405" i="37" s="1"/>
  <c r="AN33" i="37"/>
  <c r="AN105" i="37" s="1"/>
  <c r="AN189" i="37" s="1"/>
  <c r="AN261" i="37" s="1"/>
  <c r="AN333" i="37" s="1"/>
  <c r="AN405" i="37" s="1"/>
  <c r="AI33" i="37"/>
  <c r="AU25" i="37"/>
  <c r="AU97" i="37" s="1"/>
  <c r="AU397" i="37" s="1"/>
  <c r="AQ25" i="37"/>
  <c r="AQ97" i="37" s="1"/>
  <c r="AQ397" i="37" s="1"/>
  <c r="AL25" i="37"/>
  <c r="AL97" i="37" s="1"/>
  <c r="AL181" i="37" s="1"/>
  <c r="AL253" i="37" s="1"/>
  <c r="AL325" i="37" s="1"/>
  <c r="AL397" i="37" s="1"/>
  <c r="AH25" i="37"/>
  <c r="AH97" i="37" s="1"/>
  <c r="AH181" i="37" s="1"/>
  <c r="AH253" i="37" s="1"/>
  <c r="AH325" i="37" s="1"/>
  <c r="AH397" i="37" s="1"/>
  <c r="AT25" i="37"/>
  <c r="AT97" i="37" s="1"/>
  <c r="AK25" i="37"/>
  <c r="AK97" i="37" s="1"/>
  <c r="BB25" i="37"/>
  <c r="BB97" i="37" s="1"/>
  <c r="AS25" i="37"/>
  <c r="AS97" i="37" s="1"/>
  <c r="AS397" i="37" s="1"/>
  <c r="AO25" i="37"/>
  <c r="AX25" i="37" s="1"/>
  <c r="AJ25" i="37"/>
  <c r="AJ97" i="37" s="1"/>
  <c r="AJ181" i="37" s="1"/>
  <c r="AJ253" i="37" s="1"/>
  <c r="AJ325" i="37" s="1"/>
  <c r="AJ397" i="37" s="1"/>
  <c r="BA25" i="37"/>
  <c r="BA97" i="37" s="1"/>
  <c r="AR25" i="37"/>
  <c r="AR97" i="37" s="1"/>
  <c r="AR397" i="37" s="1"/>
  <c r="AN25" i="37"/>
  <c r="AN97" i="37" s="1"/>
  <c r="AN181" i="37" s="1"/>
  <c r="AN253" i="37" s="1"/>
  <c r="AN325" i="37" s="1"/>
  <c r="AN397" i="37" s="1"/>
  <c r="AI25" i="37"/>
  <c r="BA19" i="37"/>
  <c r="BA91" i="37" s="1"/>
  <c r="AR19" i="37"/>
  <c r="AR91" i="37" s="1"/>
  <c r="AR391" i="37" s="1"/>
  <c r="AN19" i="37"/>
  <c r="AN91" i="37" s="1"/>
  <c r="AN175" i="37" s="1"/>
  <c r="AN247" i="37" s="1"/>
  <c r="AN319" i="37" s="1"/>
  <c r="AN391" i="37" s="1"/>
  <c r="AI19" i="37"/>
  <c r="AU19" i="37"/>
  <c r="AU91" i="37" s="1"/>
  <c r="AU391" i="37" s="1"/>
  <c r="AQ19" i="37"/>
  <c r="AQ91" i="37" s="1"/>
  <c r="AQ391" i="37" s="1"/>
  <c r="AL19" i="37"/>
  <c r="AL91" i="37" s="1"/>
  <c r="AL175" i="37" s="1"/>
  <c r="AL247" i="37" s="1"/>
  <c r="AL319" i="37" s="1"/>
  <c r="AL391" i="37" s="1"/>
  <c r="AH19" i="37"/>
  <c r="AH91" i="37" s="1"/>
  <c r="AH175" i="37" s="1"/>
  <c r="AH247" i="37" s="1"/>
  <c r="AH319" i="37" s="1"/>
  <c r="AH391" i="37" s="1"/>
  <c r="AT19" i="37"/>
  <c r="AT91" i="37" s="1"/>
  <c r="AK19" i="37"/>
  <c r="AK91" i="37" s="1"/>
  <c r="BB19" i="37"/>
  <c r="BB91" i="37" s="1"/>
  <c r="AS19" i="37"/>
  <c r="AS91" i="37" s="1"/>
  <c r="AS391" i="37" s="1"/>
  <c r="AO19" i="37"/>
  <c r="AX19" i="37" s="1"/>
  <c r="AJ19" i="37"/>
  <c r="AJ91" i="37" s="1"/>
  <c r="AJ175" i="37" s="1"/>
  <c r="AJ247" i="37" s="1"/>
  <c r="AJ319" i="37" s="1"/>
  <c r="AJ391" i="37" s="1"/>
  <c r="AX26" i="11"/>
  <c r="AX98" i="11" s="1"/>
  <c r="AX182" i="11" s="1"/>
  <c r="AX254" i="11" s="1"/>
  <c r="AX326" i="11" s="1"/>
  <c r="AX398" i="11" s="1"/>
  <c r="AX34" i="11"/>
  <c r="AX106" i="11" s="1"/>
  <c r="AX190" i="11" s="1"/>
  <c r="AX262" i="11" s="1"/>
  <c r="AX334" i="11" s="1"/>
  <c r="AX406" i="11" s="1"/>
  <c r="AX42" i="11"/>
  <c r="AX114" i="11" s="1"/>
  <c r="AX198" i="11" s="1"/>
  <c r="AX270" i="11" s="1"/>
  <c r="AX342" i="11" s="1"/>
  <c r="AX414" i="11" s="1"/>
  <c r="AX50" i="11"/>
  <c r="AX122" i="11" s="1"/>
  <c r="AX206" i="11" s="1"/>
  <c r="AX278" i="11" s="1"/>
  <c r="AX350" i="11" s="1"/>
  <c r="AX422" i="11" s="1"/>
  <c r="AX58" i="11"/>
  <c r="AX130" i="11" s="1"/>
  <c r="AX214" i="11" s="1"/>
  <c r="AX286" i="11" s="1"/>
  <c r="AX358" i="11" s="1"/>
  <c r="AX430" i="11" s="1"/>
  <c r="AX66" i="11"/>
  <c r="AX138" i="11" s="1"/>
  <c r="AX222" i="11" s="1"/>
  <c r="AX294" i="11" s="1"/>
  <c r="AX366" i="11" s="1"/>
  <c r="AX438" i="11" s="1"/>
  <c r="AX82" i="11"/>
  <c r="AX154" i="11" s="1"/>
  <c r="AX238" i="11" s="1"/>
  <c r="AX310" i="11" s="1"/>
  <c r="AX382" i="11" s="1"/>
  <c r="AX454" i="11" s="1"/>
  <c r="AP21" i="11"/>
  <c r="AO93" i="11"/>
  <c r="EG11" i="40" s="1"/>
  <c r="CI11" i="40" s="1"/>
  <c r="AT393" i="11"/>
  <c r="AX15" i="11"/>
  <c r="AX87" i="11" s="1"/>
  <c r="AX171" i="11" s="1"/>
  <c r="AX243" i="11" s="1"/>
  <c r="AX315" i="11" s="1"/>
  <c r="AX387" i="11" s="1"/>
  <c r="AX19" i="11"/>
  <c r="AX91" i="11" s="1"/>
  <c r="AX175" i="11" s="1"/>
  <c r="AX247" i="11" s="1"/>
  <c r="AX319" i="11" s="1"/>
  <c r="AX391" i="11" s="1"/>
  <c r="AX28" i="11"/>
  <c r="AX100" i="11" s="1"/>
  <c r="AX184" i="11" s="1"/>
  <c r="AX256" i="11" s="1"/>
  <c r="AX328" i="11" s="1"/>
  <c r="AX400" i="11" s="1"/>
  <c r="AX44" i="11"/>
  <c r="AX116" i="11" s="1"/>
  <c r="AX200" i="11" s="1"/>
  <c r="AX272" i="11" s="1"/>
  <c r="AX344" i="11" s="1"/>
  <c r="AX416" i="11" s="1"/>
  <c r="AX23" i="11"/>
  <c r="AX95" i="11" s="1"/>
  <c r="AX179" i="11" s="1"/>
  <c r="AX251" i="11" s="1"/>
  <c r="AX323" i="11" s="1"/>
  <c r="AX395" i="11" s="1"/>
  <c r="AX25" i="11"/>
  <c r="AX97" i="11" s="1"/>
  <c r="AX181" i="11" s="1"/>
  <c r="AX253" i="11" s="1"/>
  <c r="AX325" i="11" s="1"/>
  <c r="AX397" i="11" s="1"/>
  <c r="AX33" i="11"/>
  <c r="AX105" i="11" s="1"/>
  <c r="AX189" i="11" s="1"/>
  <c r="AX261" i="11" s="1"/>
  <c r="AX333" i="11" s="1"/>
  <c r="AX405" i="11" s="1"/>
  <c r="AX41" i="11"/>
  <c r="AX113" i="11" s="1"/>
  <c r="AX197" i="11" s="1"/>
  <c r="AX269" i="11" s="1"/>
  <c r="AX341" i="11" s="1"/>
  <c r="AX413" i="11" s="1"/>
  <c r="AX49" i="11"/>
  <c r="AX121" i="11" s="1"/>
  <c r="AX205" i="11" s="1"/>
  <c r="AX277" i="11" s="1"/>
  <c r="AX349" i="11" s="1"/>
  <c r="AX421" i="11" s="1"/>
  <c r="AX57" i="11"/>
  <c r="AX129" i="11" s="1"/>
  <c r="AX213" i="11" s="1"/>
  <c r="AX285" i="11" s="1"/>
  <c r="AX357" i="11" s="1"/>
  <c r="AX429" i="11" s="1"/>
  <c r="AX65" i="11"/>
  <c r="AX137" i="11" s="1"/>
  <c r="AX221" i="11" s="1"/>
  <c r="AX293" i="11" s="1"/>
  <c r="AX365" i="11" s="1"/>
  <c r="AX437" i="11" s="1"/>
  <c r="AU78" i="37"/>
  <c r="AU150" i="37" s="1"/>
  <c r="AU450" i="37" s="1"/>
  <c r="AQ78" i="37"/>
  <c r="AQ150" i="37" s="1"/>
  <c r="AQ450" i="37" s="1"/>
  <c r="AL78" i="37"/>
  <c r="AL150" i="37" s="1"/>
  <c r="AL234" i="37" s="1"/>
  <c r="AL306" i="37" s="1"/>
  <c r="AL378" i="37" s="1"/>
  <c r="AL450" i="37" s="1"/>
  <c r="AH78" i="37"/>
  <c r="AH150" i="37" s="1"/>
  <c r="AH234" i="37" s="1"/>
  <c r="AH306" i="37" s="1"/>
  <c r="AH378" i="37" s="1"/>
  <c r="AH450" i="37" s="1"/>
  <c r="AT78" i="37"/>
  <c r="AT150" i="37" s="1"/>
  <c r="AK78" i="37"/>
  <c r="AK150" i="37" s="1"/>
  <c r="BB78" i="37"/>
  <c r="BB150" i="37" s="1"/>
  <c r="AS78" i="37"/>
  <c r="AS150" i="37" s="1"/>
  <c r="AS450" i="37" s="1"/>
  <c r="AO78" i="37"/>
  <c r="AJ78" i="37"/>
  <c r="AJ150" i="37" s="1"/>
  <c r="AJ234" i="37" s="1"/>
  <c r="AJ306" i="37" s="1"/>
  <c r="AJ378" i="37" s="1"/>
  <c r="AJ450" i="37" s="1"/>
  <c r="BA78" i="37"/>
  <c r="BA150" i="37" s="1"/>
  <c r="AR78" i="37"/>
  <c r="AR150" i="37" s="1"/>
  <c r="AR450" i="37" s="1"/>
  <c r="AN78" i="37"/>
  <c r="AN150" i="37" s="1"/>
  <c r="AN234" i="37" s="1"/>
  <c r="AN306" i="37" s="1"/>
  <c r="AN378" i="37" s="1"/>
  <c r="AN450" i="37" s="1"/>
  <c r="AI78" i="37"/>
  <c r="AU70" i="37"/>
  <c r="AU142" i="37" s="1"/>
  <c r="AU442" i="37" s="1"/>
  <c r="AQ70" i="37"/>
  <c r="AQ142" i="37" s="1"/>
  <c r="AQ442" i="37" s="1"/>
  <c r="AL70" i="37"/>
  <c r="AL142" i="37" s="1"/>
  <c r="AL226" i="37" s="1"/>
  <c r="AL298" i="37" s="1"/>
  <c r="AL370" i="37" s="1"/>
  <c r="AL442" i="37" s="1"/>
  <c r="AH70" i="37"/>
  <c r="AH142" i="37" s="1"/>
  <c r="AH226" i="37" s="1"/>
  <c r="AH298" i="37" s="1"/>
  <c r="AH370" i="37" s="1"/>
  <c r="AH442" i="37" s="1"/>
  <c r="AT70" i="37"/>
  <c r="AT142" i="37" s="1"/>
  <c r="AK70" i="37"/>
  <c r="AK142" i="37" s="1"/>
  <c r="BB70" i="37"/>
  <c r="BB142" i="37" s="1"/>
  <c r="AS70" i="37"/>
  <c r="AS142" i="37" s="1"/>
  <c r="AS442" i="37" s="1"/>
  <c r="AO70" i="37"/>
  <c r="AX70" i="37" s="1"/>
  <c r="AJ70" i="37"/>
  <c r="AJ142" i="37" s="1"/>
  <c r="AJ226" i="37" s="1"/>
  <c r="AJ298" i="37" s="1"/>
  <c r="AJ370" i="37" s="1"/>
  <c r="AJ442" i="37" s="1"/>
  <c r="BA70" i="37"/>
  <c r="BA142" i="37" s="1"/>
  <c r="AR70" i="37"/>
  <c r="AR142" i="37" s="1"/>
  <c r="AR442" i="37" s="1"/>
  <c r="AN70" i="37"/>
  <c r="AN142" i="37" s="1"/>
  <c r="AN226" i="37" s="1"/>
  <c r="AN298" i="37" s="1"/>
  <c r="AN370" i="37" s="1"/>
  <c r="AN442" i="37" s="1"/>
  <c r="AI70" i="37"/>
  <c r="AU62" i="37"/>
  <c r="AU134" i="37" s="1"/>
  <c r="AU434" i="37" s="1"/>
  <c r="AQ62" i="37"/>
  <c r="AQ134" i="37" s="1"/>
  <c r="AQ434" i="37" s="1"/>
  <c r="AL62" i="37"/>
  <c r="AL134" i="37" s="1"/>
  <c r="AL218" i="37" s="1"/>
  <c r="AL290" i="37" s="1"/>
  <c r="AL362" i="37" s="1"/>
  <c r="AL434" i="37" s="1"/>
  <c r="AH62" i="37"/>
  <c r="AH134" i="37" s="1"/>
  <c r="AH218" i="37" s="1"/>
  <c r="AH290" i="37" s="1"/>
  <c r="AH362" i="37" s="1"/>
  <c r="AH434" i="37" s="1"/>
  <c r="AT62" i="37"/>
  <c r="AT134" i="37" s="1"/>
  <c r="AK62" i="37"/>
  <c r="AK134" i="37" s="1"/>
  <c r="BB62" i="37"/>
  <c r="BB134" i="37" s="1"/>
  <c r="AS62" i="37"/>
  <c r="AS134" i="37" s="1"/>
  <c r="AS434" i="37" s="1"/>
  <c r="AO62" i="37"/>
  <c r="AX62" i="37" s="1"/>
  <c r="AJ62" i="37"/>
  <c r="AJ134" i="37" s="1"/>
  <c r="AJ218" i="37" s="1"/>
  <c r="AJ290" i="37" s="1"/>
  <c r="AJ362" i="37" s="1"/>
  <c r="AJ434" i="37" s="1"/>
  <c r="BA62" i="37"/>
  <c r="BA134" i="37" s="1"/>
  <c r="AR62" i="37"/>
  <c r="AR134" i="37" s="1"/>
  <c r="AR434" i="37" s="1"/>
  <c r="AN62" i="37"/>
  <c r="AN134" i="37" s="1"/>
  <c r="AN218" i="37" s="1"/>
  <c r="AN290" i="37" s="1"/>
  <c r="AN362" i="37" s="1"/>
  <c r="AN434" i="37" s="1"/>
  <c r="AI62" i="37"/>
  <c r="AU54" i="37"/>
  <c r="AU126" i="37" s="1"/>
  <c r="AU426" i="37" s="1"/>
  <c r="AQ54" i="37"/>
  <c r="AQ126" i="37" s="1"/>
  <c r="AQ426" i="37" s="1"/>
  <c r="AL54" i="37"/>
  <c r="AL126" i="37" s="1"/>
  <c r="AL210" i="37" s="1"/>
  <c r="AL282" i="37" s="1"/>
  <c r="AL354" i="37" s="1"/>
  <c r="AL426" i="37" s="1"/>
  <c r="AH54" i="37"/>
  <c r="AH126" i="37" s="1"/>
  <c r="AH210" i="37" s="1"/>
  <c r="AH282" i="37" s="1"/>
  <c r="AH354" i="37" s="1"/>
  <c r="AH426" i="37" s="1"/>
  <c r="AT54" i="37"/>
  <c r="AT126" i="37" s="1"/>
  <c r="AK54" i="37"/>
  <c r="AK126" i="37" s="1"/>
  <c r="BB54" i="37"/>
  <c r="BB126" i="37" s="1"/>
  <c r="AS54" i="37"/>
  <c r="AS126" i="37" s="1"/>
  <c r="AS426" i="37" s="1"/>
  <c r="AO54" i="37"/>
  <c r="AJ54" i="37"/>
  <c r="AJ126" i="37" s="1"/>
  <c r="AJ210" i="37" s="1"/>
  <c r="AJ282" i="37" s="1"/>
  <c r="AJ354" i="37" s="1"/>
  <c r="AJ426" i="37" s="1"/>
  <c r="BA54" i="37"/>
  <c r="BA126" i="37" s="1"/>
  <c r="AR54" i="37"/>
  <c r="AR126" i="37" s="1"/>
  <c r="AR426" i="37" s="1"/>
  <c r="AN54" i="37"/>
  <c r="AN126" i="37" s="1"/>
  <c r="AN210" i="37" s="1"/>
  <c r="AN282" i="37" s="1"/>
  <c r="AN354" i="37" s="1"/>
  <c r="AN426" i="37" s="1"/>
  <c r="AI54" i="37"/>
  <c r="BA45" i="37"/>
  <c r="BA117" i="37" s="1"/>
  <c r="AR45" i="37"/>
  <c r="AR117" i="37" s="1"/>
  <c r="AR417" i="37" s="1"/>
  <c r="AN45" i="37"/>
  <c r="AN117" i="37" s="1"/>
  <c r="AN201" i="37" s="1"/>
  <c r="AN273" i="37" s="1"/>
  <c r="AN345" i="37" s="1"/>
  <c r="AN417" i="37" s="1"/>
  <c r="AI45" i="37"/>
  <c r="AQ45" i="37"/>
  <c r="AQ117" i="37" s="1"/>
  <c r="AQ417" i="37" s="1"/>
  <c r="AK45" i="37"/>
  <c r="AK117" i="37" s="1"/>
  <c r="BB45" i="37"/>
  <c r="BB117" i="37" s="1"/>
  <c r="AU45" i="37"/>
  <c r="AU117" i="37" s="1"/>
  <c r="AU417" i="37" s="1"/>
  <c r="AJ45" i="37"/>
  <c r="AJ117" i="37" s="1"/>
  <c r="AJ201" i="37" s="1"/>
  <c r="AJ273" i="37" s="1"/>
  <c r="AJ345" i="37" s="1"/>
  <c r="AJ417" i="37" s="1"/>
  <c r="AT45" i="37"/>
  <c r="AT117" i="37" s="1"/>
  <c r="AO45" i="37"/>
  <c r="AH45" i="37"/>
  <c r="AH117" i="37" s="1"/>
  <c r="AH201" i="37" s="1"/>
  <c r="AH273" i="37" s="1"/>
  <c r="AH345" i="37" s="1"/>
  <c r="AH417" i="37" s="1"/>
  <c r="AS45" i="37"/>
  <c r="AS117" i="37" s="1"/>
  <c r="AS417" i="37" s="1"/>
  <c r="AL45" i="37"/>
  <c r="AL117" i="37" s="1"/>
  <c r="AL201" i="37" s="1"/>
  <c r="AL273" i="37" s="1"/>
  <c r="AL345" i="37" s="1"/>
  <c r="AL417" i="37" s="1"/>
  <c r="BA38" i="37"/>
  <c r="BA110" i="37" s="1"/>
  <c r="AR38" i="37"/>
  <c r="AR110" i="37" s="1"/>
  <c r="AR410" i="37" s="1"/>
  <c r="AN38" i="37"/>
  <c r="AN110" i="37" s="1"/>
  <c r="AN194" i="37" s="1"/>
  <c r="AN266" i="37" s="1"/>
  <c r="AN338" i="37" s="1"/>
  <c r="AN410" i="37" s="1"/>
  <c r="AI38" i="37"/>
  <c r="AS38" i="37"/>
  <c r="AS110" i="37" s="1"/>
  <c r="AS410" i="37" s="1"/>
  <c r="AL38" i="37"/>
  <c r="AL110" i="37" s="1"/>
  <c r="AL194" i="37" s="1"/>
  <c r="AL266" i="37" s="1"/>
  <c r="AL338" i="37" s="1"/>
  <c r="AL410" i="37" s="1"/>
  <c r="AQ38" i="37"/>
  <c r="AQ110" i="37" s="1"/>
  <c r="AQ410" i="37" s="1"/>
  <c r="AK38" i="37"/>
  <c r="AK110" i="37" s="1"/>
  <c r="BB38" i="37"/>
  <c r="BB110" i="37" s="1"/>
  <c r="AU38" i="37"/>
  <c r="AU110" i="37" s="1"/>
  <c r="AU410" i="37" s="1"/>
  <c r="AJ38" i="37"/>
  <c r="AJ110" i="37" s="1"/>
  <c r="AJ194" i="37" s="1"/>
  <c r="AJ266" i="37" s="1"/>
  <c r="AJ338" i="37" s="1"/>
  <c r="AJ410" i="37" s="1"/>
  <c r="AT38" i="37"/>
  <c r="AT110" i="37" s="1"/>
  <c r="AO38" i="37"/>
  <c r="AX38" i="37" s="1"/>
  <c r="AH38" i="37"/>
  <c r="AH110" i="37" s="1"/>
  <c r="AH194" i="37" s="1"/>
  <c r="AH266" i="37" s="1"/>
  <c r="AH338" i="37" s="1"/>
  <c r="AH410" i="37" s="1"/>
  <c r="AU32" i="37"/>
  <c r="AU104" i="37" s="1"/>
  <c r="AU404" i="37" s="1"/>
  <c r="AQ32" i="37"/>
  <c r="AQ104" i="37" s="1"/>
  <c r="AQ404" i="37" s="1"/>
  <c r="AL32" i="37"/>
  <c r="AL104" i="37" s="1"/>
  <c r="AL188" i="37" s="1"/>
  <c r="AL260" i="37" s="1"/>
  <c r="AL332" i="37" s="1"/>
  <c r="AL404" i="37" s="1"/>
  <c r="AH32" i="37"/>
  <c r="AH104" i="37" s="1"/>
  <c r="AH188" i="37" s="1"/>
  <c r="AH260" i="37" s="1"/>
  <c r="AH332" i="37" s="1"/>
  <c r="AH404" i="37" s="1"/>
  <c r="AT32" i="37"/>
  <c r="AT104" i="37" s="1"/>
  <c r="AK32" i="37"/>
  <c r="AK104" i="37" s="1"/>
  <c r="BB32" i="37"/>
  <c r="BB104" i="37" s="1"/>
  <c r="AS32" i="37"/>
  <c r="AS104" i="37" s="1"/>
  <c r="AS404" i="37" s="1"/>
  <c r="AO32" i="37"/>
  <c r="AJ32" i="37"/>
  <c r="AJ104" i="37" s="1"/>
  <c r="AJ188" i="37" s="1"/>
  <c r="AJ260" i="37" s="1"/>
  <c r="AJ332" i="37" s="1"/>
  <c r="AJ404" i="37" s="1"/>
  <c r="BA32" i="37"/>
  <c r="BA104" i="37" s="1"/>
  <c r="AR32" i="37"/>
  <c r="AR104" i="37" s="1"/>
  <c r="AR404" i="37" s="1"/>
  <c r="AN32" i="37"/>
  <c r="AN104" i="37" s="1"/>
  <c r="AN188" i="37" s="1"/>
  <c r="AN260" i="37" s="1"/>
  <c r="AN332" i="37" s="1"/>
  <c r="AN404" i="37" s="1"/>
  <c r="AI32" i="37"/>
  <c r="AU24" i="37"/>
  <c r="AU96" i="37" s="1"/>
  <c r="AU396" i="37" s="1"/>
  <c r="AQ24" i="37"/>
  <c r="AQ96" i="37" s="1"/>
  <c r="AQ396" i="37" s="1"/>
  <c r="AL24" i="37"/>
  <c r="AL96" i="37" s="1"/>
  <c r="AL180" i="37" s="1"/>
  <c r="AL252" i="37" s="1"/>
  <c r="AL324" i="37" s="1"/>
  <c r="AL396" i="37" s="1"/>
  <c r="AH24" i="37"/>
  <c r="AH96" i="37" s="1"/>
  <c r="AH180" i="37" s="1"/>
  <c r="AH252" i="37" s="1"/>
  <c r="AH324" i="37" s="1"/>
  <c r="AH396" i="37" s="1"/>
  <c r="AT24" i="37"/>
  <c r="AT96" i="37" s="1"/>
  <c r="AK24" i="37"/>
  <c r="AK96" i="37" s="1"/>
  <c r="BB24" i="37"/>
  <c r="BB96" i="37" s="1"/>
  <c r="AS24" i="37"/>
  <c r="AS96" i="37" s="1"/>
  <c r="AS396" i="37" s="1"/>
  <c r="AO24" i="37"/>
  <c r="AJ24" i="37"/>
  <c r="AJ96" i="37" s="1"/>
  <c r="AJ180" i="37" s="1"/>
  <c r="AJ252" i="37" s="1"/>
  <c r="AJ324" i="37" s="1"/>
  <c r="AJ396" i="37" s="1"/>
  <c r="BA24" i="37"/>
  <c r="BA96" i="37" s="1"/>
  <c r="AR24" i="37"/>
  <c r="AR96" i="37" s="1"/>
  <c r="AR396" i="37" s="1"/>
  <c r="AN24" i="37"/>
  <c r="AN96" i="37" s="1"/>
  <c r="AN180" i="37" s="1"/>
  <c r="AN252" i="37" s="1"/>
  <c r="AN324" i="37" s="1"/>
  <c r="AN396" i="37" s="1"/>
  <c r="AI24" i="37"/>
  <c r="BA15" i="37"/>
  <c r="BA87" i="37" s="1"/>
  <c r="AR15" i="37"/>
  <c r="AR87" i="37" s="1"/>
  <c r="AR387" i="37" s="1"/>
  <c r="AN15" i="37"/>
  <c r="AN87" i="37" s="1"/>
  <c r="AN171" i="37" s="1"/>
  <c r="AN243" i="37" s="1"/>
  <c r="AN315" i="37" s="1"/>
  <c r="AN387" i="37" s="1"/>
  <c r="AI15" i="37"/>
  <c r="AU15" i="37"/>
  <c r="AU87" i="37" s="1"/>
  <c r="AU387" i="37" s="1"/>
  <c r="AQ15" i="37"/>
  <c r="AQ87" i="37" s="1"/>
  <c r="AQ387" i="37" s="1"/>
  <c r="AL15" i="37"/>
  <c r="AL87" i="37" s="1"/>
  <c r="AL171" i="37" s="1"/>
  <c r="AL243" i="37" s="1"/>
  <c r="AL315" i="37" s="1"/>
  <c r="AL387" i="37" s="1"/>
  <c r="AH15" i="37"/>
  <c r="AH87" i="37" s="1"/>
  <c r="AH171" i="37" s="1"/>
  <c r="AH243" i="37" s="1"/>
  <c r="AH315" i="37" s="1"/>
  <c r="AH387" i="37" s="1"/>
  <c r="AT15" i="37"/>
  <c r="AT87" i="37" s="1"/>
  <c r="AK15" i="37"/>
  <c r="AK87" i="37" s="1"/>
  <c r="BB15" i="37"/>
  <c r="BB87" i="37" s="1"/>
  <c r="AS15" i="37"/>
  <c r="AS87" i="37" s="1"/>
  <c r="AS387" i="37" s="1"/>
  <c r="AO15" i="37"/>
  <c r="AX15" i="37" s="1"/>
  <c r="AJ15" i="37"/>
  <c r="AJ87" i="37" s="1"/>
  <c r="AJ171" i="37" s="1"/>
  <c r="AJ243" i="37" s="1"/>
  <c r="AJ315" i="37" s="1"/>
  <c r="AJ387" i="37" s="1"/>
  <c r="AO103" i="11"/>
  <c r="EG21" i="40" s="1"/>
  <c r="CI21" i="40" s="1"/>
  <c r="AP31" i="11"/>
  <c r="AT403" i="11"/>
  <c r="AO111" i="11"/>
  <c r="EG29" i="40" s="1"/>
  <c r="V29" i="40" s="1"/>
  <c r="AP39" i="11"/>
  <c r="AW39" i="11" s="1"/>
  <c r="AW111" i="11" s="1"/>
  <c r="AW195" i="11" s="1"/>
  <c r="AT411" i="11"/>
  <c r="AO119" i="11"/>
  <c r="EG37" i="40" s="1"/>
  <c r="CI37" i="40" s="1"/>
  <c r="AP47" i="11"/>
  <c r="AT419" i="11"/>
  <c r="AO127" i="11"/>
  <c r="EG45" i="40" s="1"/>
  <c r="CI45" i="40" s="1"/>
  <c r="AP55" i="11"/>
  <c r="AT427" i="11"/>
  <c r="AO135" i="11"/>
  <c r="EG53" i="40" s="1"/>
  <c r="V53" i="40" s="1"/>
  <c r="AP63" i="11"/>
  <c r="AT435" i="11"/>
  <c r="AO143" i="11"/>
  <c r="EG61" i="40" s="1"/>
  <c r="V61" i="40" s="1"/>
  <c r="AP71" i="11"/>
  <c r="AW71" i="11" s="1"/>
  <c r="AW143" i="11" s="1"/>
  <c r="AW227" i="11" s="1"/>
  <c r="AT443" i="11"/>
  <c r="AO151" i="11"/>
  <c r="EG69" i="40" s="1"/>
  <c r="CI69" i="40" s="1"/>
  <c r="AP79" i="11"/>
  <c r="AT451" i="11"/>
  <c r="AP73" i="11"/>
  <c r="AO145" i="11"/>
  <c r="EG63" i="40" s="1"/>
  <c r="V63" i="40" s="1"/>
  <c r="AT445" i="11"/>
  <c r="AP81" i="11"/>
  <c r="AO153" i="11"/>
  <c r="EG71" i="40" s="1"/>
  <c r="CI71" i="40" s="1"/>
  <c r="AT453" i="11"/>
  <c r="AU81" i="37"/>
  <c r="AU153" i="37" s="1"/>
  <c r="AU453" i="37" s="1"/>
  <c r="AQ81" i="37"/>
  <c r="AQ153" i="37" s="1"/>
  <c r="AQ453" i="37" s="1"/>
  <c r="AL81" i="37"/>
  <c r="AL153" i="37" s="1"/>
  <c r="AL237" i="37" s="1"/>
  <c r="AL309" i="37" s="1"/>
  <c r="AL381" i="37" s="1"/>
  <c r="AL453" i="37" s="1"/>
  <c r="AH81" i="37"/>
  <c r="AH153" i="37" s="1"/>
  <c r="AH237" i="37" s="1"/>
  <c r="AH309" i="37" s="1"/>
  <c r="AH381" i="37" s="1"/>
  <c r="AH453" i="37" s="1"/>
  <c r="AT81" i="37"/>
  <c r="AT153" i="37" s="1"/>
  <c r="AK81" i="37"/>
  <c r="AK153" i="37" s="1"/>
  <c r="BB81" i="37"/>
  <c r="BB153" i="37" s="1"/>
  <c r="AS81" i="37"/>
  <c r="AS153" i="37" s="1"/>
  <c r="AS453" i="37" s="1"/>
  <c r="AO81" i="37"/>
  <c r="AJ81" i="37"/>
  <c r="AJ153" i="37" s="1"/>
  <c r="AJ237" i="37" s="1"/>
  <c r="AJ309" i="37" s="1"/>
  <c r="AJ381" i="37" s="1"/>
  <c r="AJ453" i="37" s="1"/>
  <c r="BA81" i="37"/>
  <c r="BA153" i="37" s="1"/>
  <c r="AR81" i="37"/>
  <c r="AR153" i="37" s="1"/>
  <c r="AR453" i="37" s="1"/>
  <c r="AN81" i="37"/>
  <c r="AN153" i="37" s="1"/>
  <c r="AN237" i="37" s="1"/>
  <c r="AN309" i="37" s="1"/>
  <c r="AN381" i="37" s="1"/>
  <c r="AN453" i="37" s="1"/>
  <c r="AI81" i="37"/>
  <c r="AU73" i="37"/>
  <c r="AU145" i="37" s="1"/>
  <c r="AU445" i="37" s="1"/>
  <c r="AQ73" i="37"/>
  <c r="AQ145" i="37" s="1"/>
  <c r="AQ445" i="37" s="1"/>
  <c r="AL73" i="37"/>
  <c r="AL145" i="37" s="1"/>
  <c r="AL229" i="37" s="1"/>
  <c r="AL301" i="37" s="1"/>
  <c r="AL373" i="37" s="1"/>
  <c r="AL445" i="37" s="1"/>
  <c r="AH73" i="37"/>
  <c r="AH145" i="37" s="1"/>
  <c r="AH229" i="37" s="1"/>
  <c r="AH301" i="37" s="1"/>
  <c r="AH373" i="37" s="1"/>
  <c r="AH445" i="37" s="1"/>
  <c r="AT73" i="37"/>
  <c r="AT145" i="37" s="1"/>
  <c r="AK73" i="37"/>
  <c r="AK145" i="37" s="1"/>
  <c r="BB73" i="37"/>
  <c r="BB145" i="37" s="1"/>
  <c r="AS73" i="37"/>
  <c r="AS145" i="37" s="1"/>
  <c r="AS445" i="37" s="1"/>
  <c r="AO73" i="37"/>
  <c r="AX73" i="37" s="1"/>
  <c r="AJ73" i="37"/>
  <c r="AJ145" i="37" s="1"/>
  <c r="AJ229" i="37" s="1"/>
  <c r="AJ301" i="37" s="1"/>
  <c r="AJ373" i="37" s="1"/>
  <c r="AJ445" i="37" s="1"/>
  <c r="BA73" i="37"/>
  <c r="BA145" i="37" s="1"/>
  <c r="AR73" i="37"/>
  <c r="AR145" i="37" s="1"/>
  <c r="AR445" i="37" s="1"/>
  <c r="AN73" i="37"/>
  <c r="AN145" i="37" s="1"/>
  <c r="AN229" i="37" s="1"/>
  <c r="AN301" i="37" s="1"/>
  <c r="AN373" i="37" s="1"/>
  <c r="AN445" i="37" s="1"/>
  <c r="AI73" i="37"/>
  <c r="AU65" i="37"/>
  <c r="AU137" i="37" s="1"/>
  <c r="AU437" i="37" s="1"/>
  <c r="AQ65" i="37"/>
  <c r="AQ137" i="37" s="1"/>
  <c r="AQ437" i="37" s="1"/>
  <c r="AL65" i="37"/>
  <c r="AL137" i="37" s="1"/>
  <c r="AL221" i="37" s="1"/>
  <c r="AL293" i="37" s="1"/>
  <c r="AL365" i="37" s="1"/>
  <c r="AL437" i="37" s="1"/>
  <c r="AH65" i="37"/>
  <c r="AH137" i="37" s="1"/>
  <c r="AH221" i="37" s="1"/>
  <c r="AH293" i="37" s="1"/>
  <c r="AH365" i="37" s="1"/>
  <c r="AH437" i="37" s="1"/>
  <c r="AT65" i="37"/>
  <c r="AT137" i="37" s="1"/>
  <c r="AK65" i="37"/>
  <c r="AK137" i="37" s="1"/>
  <c r="BB65" i="37"/>
  <c r="BB137" i="37" s="1"/>
  <c r="AS65" i="37"/>
  <c r="AS137" i="37" s="1"/>
  <c r="AS437" i="37" s="1"/>
  <c r="AO65" i="37"/>
  <c r="AX65" i="37" s="1"/>
  <c r="AJ65" i="37"/>
  <c r="AJ137" i="37" s="1"/>
  <c r="AJ221" i="37" s="1"/>
  <c r="AJ293" i="37" s="1"/>
  <c r="AJ365" i="37" s="1"/>
  <c r="AJ437" i="37" s="1"/>
  <c r="BA65" i="37"/>
  <c r="BA137" i="37" s="1"/>
  <c r="AR65" i="37"/>
  <c r="AR137" i="37" s="1"/>
  <c r="AR437" i="37" s="1"/>
  <c r="AN65" i="37"/>
  <c r="AN137" i="37" s="1"/>
  <c r="AN221" i="37" s="1"/>
  <c r="AN293" i="37" s="1"/>
  <c r="AN365" i="37" s="1"/>
  <c r="AN437" i="37" s="1"/>
  <c r="AI65" i="37"/>
  <c r="AU57" i="37"/>
  <c r="AU129" i="37" s="1"/>
  <c r="AU429" i="37" s="1"/>
  <c r="AQ57" i="37"/>
  <c r="AQ129" i="37" s="1"/>
  <c r="AQ429" i="37" s="1"/>
  <c r="AL57" i="37"/>
  <c r="AL129" i="37" s="1"/>
  <c r="AL213" i="37" s="1"/>
  <c r="AL285" i="37" s="1"/>
  <c r="AL357" i="37" s="1"/>
  <c r="AL429" i="37" s="1"/>
  <c r="AH57" i="37"/>
  <c r="AH129" i="37" s="1"/>
  <c r="AH213" i="37" s="1"/>
  <c r="AH285" i="37" s="1"/>
  <c r="AH357" i="37" s="1"/>
  <c r="AH429" i="37" s="1"/>
  <c r="AT57" i="37"/>
  <c r="AT129" i="37" s="1"/>
  <c r="AK57" i="37"/>
  <c r="AK129" i="37" s="1"/>
  <c r="BB57" i="37"/>
  <c r="BB129" i="37" s="1"/>
  <c r="AS57" i="37"/>
  <c r="AS129" i="37" s="1"/>
  <c r="AS429" i="37" s="1"/>
  <c r="AO57" i="37"/>
  <c r="AX57" i="37" s="1"/>
  <c r="AJ57" i="37"/>
  <c r="AJ129" i="37" s="1"/>
  <c r="AJ213" i="37" s="1"/>
  <c r="AJ285" i="37" s="1"/>
  <c r="AJ357" i="37" s="1"/>
  <c r="AJ429" i="37" s="1"/>
  <c r="BA57" i="37"/>
  <c r="BA129" i="37" s="1"/>
  <c r="AR57" i="37"/>
  <c r="AR129" i="37" s="1"/>
  <c r="AR429" i="37" s="1"/>
  <c r="AN57" i="37"/>
  <c r="AN129" i="37" s="1"/>
  <c r="AN213" i="37" s="1"/>
  <c r="AN285" i="37" s="1"/>
  <c r="AN357" i="37" s="1"/>
  <c r="AN429" i="37" s="1"/>
  <c r="AI57" i="37"/>
  <c r="AM186" i="11"/>
  <c r="AM258" i="11" s="1"/>
  <c r="AM330" i="11" s="1"/>
  <c r="AM194" i="11"/>
  <c r="AM266" i="11" s="1"/>
  <c r="AM338" i="11" s="1"/>
  <c r="AM202" i="11"/>
  <c r="AM274" i="11" s="1"/>
  <c r="AM346" i="11" s="1"/>
  <c r="AM210" i="11"/>
  <c r="AM282" i="11" s="1"/>
  <c r="AM354" i="11" s="1"/>
  <c r="AM218" i="11"/>
  <c r="AM290" i="11" s="1"/>
  <c r="AM362" i="11" s="1"/>
  <c r="AM226" i="11"/>
  <c r="AM298" i="11" s="1"/>
  <c r="AM370" i="11" s="1"/>
  <c r="AM234" i="11"/>
  <c r="AM306" i="11" s="1"/>
  <c r="AM378" i="11" s="1"/>
  <c r="AH170" i="11"/>
  <c r="AH242" i="11" s="1"/>
  <c r="AH314" i="11" s="1"/>
  <c r="AH386" i="11" s="1"/>
  <c r="AM170" i="11"/>
  <c r="AM242" i="11" s="1"/>
  <c r="AM314" i="11" s="1"/>
  <c r="AM224" i="11"/>
  <c r="AM296" i="11" s="1"/>
  <c r="AM368" i="11" s="1"/>
  <c r="AM232" i="11"/>
  <c r="AM304" i="11" s="1"/>
  <c r="AM376" i="11" s="1"/>
  <c r="AM240" i="11"/>
  <c r="AM312" i="11" s="1"/>
  <c r="AM384" i="11" s="1"/>
  <c r="AH174" i="11"/>
  <c r="AH246" i="11" s="1"/>
  <c r="AH318" i="11" s="1"/>
  <c r="AH390" i="11" s="1"/>
  <c r="AM174" i="11"/>
  <c r="AM246" i="11" s="1"/>
  <c r="AM318" i="11" s="1"/>
  <c r="AM180" i="11"/>
  <c r="AM252" i="11" s="1"/>
  <c r="AM324" i="11" s="1"/>
  <c r="AH180" i="11"/>
  <c r="AH252" i="11" s="1"/>
  <c r="AH324" i="11" s="1"/>
  <c r="AH396" i="11" s="1"/>
  <c r="AM188" i="11"/>
  <c r="AM260" i="11" s="1"/>
  <c r="AM332" i="11" s="1"/>
  <c r="AM204" i="11"/>
  <c r="AM276" i="11" s="1"/>
  <c r="AM348" i="11" s="1"/>
  <c r="AM212" i="11"/>
  <c r="AM284" i="11" s="1"/>
  <c r="AM356" i="11" s="1"/>
  <c r="AM220" i="11"/>
  <c r="AM292" i="11" s="1"/>
  <c r="AM364" i="11" s="1"/>
  <c r="AM228" i="11"/>
  <c r="AM300" i="11" s="1"/>
  <c r="AM372" i="11" s="1"/>
  <c r="AM236" i="11"/>
  <c r="AM308" i="11" s="1"/>
  <c r="AM380" i="11" s="1"/>
  <c r="AX45" i="37" l="1"/>
  <c r="AX117" i="37" s="1"/>
  <c r="AX201" i="37" s="1"/>
  <c r="AX273" i="37" s="1"/>
  <c r="AX345" i="37" s="1"/>
  <c r="AX417" i="37" s="1"/>
  <c r="AX141" i="37"/>
  <c r="AX225" i="37" s="1"/>
  <c r="AX297" i="37" s="1"/>
  <c r="AX369" i="37" s="1"/>
  <c r="AX441" i="37" s="1"/>
  <c r="AX103" i="37"/>
  <c r="AX187" i="37" s="1"/>
  <c r="AX259" i="37" s="1"/>
  <c r="AX331" i="37" s="1"/>
  <c r="AX403" i="37" s="1"/>
  <c r="AX24" i="37"/>
  <c r="AX96" i="37" s="1"/>
  <c r="AX180" i="37" s="1"/>
  <c r="AX252" i="37" s="1"/>
  <c r="AX324" i="37" s="1"/>
  <c r="AX396" i="37" s="1"/>
  <c r="AX99" i="37"/>
  <c r="AX183" i="37" s="1"/>
  <c r="AX255" i="37" s="1"/>
  <c r="AX327" i="37" s="1"/>
  <c r="AX399" i="37" s="1"/>
  <c r="AX94" i="37"/>
  <c r="AX178" i="37" s="1"/>
  <c r="AX250" i="37" s="1"/>
  <c r="AX322" i="37" s="1"/>
  <c r="AX394" i="37" s="1"/>
  <c r="AX43" i="37"/>
  <c r="AX115" i="37" s="1"/>
  <c r="AX199" i="37" s="1"/>
  <c r="AX271" i="37" s="1"/>
  <c r="AX343" i="37" s="1"/>
  <c r="AX415" i="37" s="1"/>
  <c r="AX60" i="37"/>
  <c r="AX132" i="37" s="1"/>
  <c r="AX216" i="37" s="1"/>
  <c r="AX288" i="37" s="1"/>
  <c r="AX360" i="37" s="1"/>
  <c r="AX432" i="37" s="1"/>
  <c r="AX145" i="37"/>
  <c r="AX229" i="37" s="1"/>
  <c r="AX301" i="37" s="1"/>
  <c r="AX373" i="37" s="1"/>
  <c r="AX445" i="37" s="1"/>
  <c r="AX92" i="37"/>
  <c r="AX176" i="37" s="1"/>
  <c r="AX248" i="37" s="1"/>
  <c r="AX320" i="37" s="1"/>
  <c r="AX392" i="37" s="1"/>
  <c r="AX93" i="37"/>
  <c r="AX177" i="37" s="1"/>
  <c r="AX249" i="37" s="1"/>
  <c r="AX321" i="37" s="1"/>
  <c r="AX393" i="37" s="1"/>
  <c r="AX61" i="37"/>
  <c r="AX133" i="37" s="1"/>
  <c r="AX217" i="37" s="1"/>
  <c r="AX289" i="37" s="1"/>
  <c r="AX361" i="37" s="1"/>
  <c r="AX433" i="37" s="1"/>
  <c r="AX59" i="37"/>
  <c r="AX131" i="37" s="1"/>
  <c r="AX215" i="37" s="1"/>
  <c r="AX287" i="37" s="1"/>
  <c r="AX359" i="37" s="1"/>
  <c r="AX431" i="37" s="1"/>
  <c r="AX54" i="37"/>
  <c r="AX126" i="37" s="1"/>
  <c r="AX210" i="37" s="1"/>
  <c r="AX282" i="37" s="1"/>
  <c r="AX354" i="37" s="1"/>
  <c r="AX426" i="37" s="1"/>
  <c r="AX75" i="37"/>
  <c r="AX147" i="37" s="1"/>
  <c r="AX231" i="37" s="1"/>
  <c r="AX303" i="37" s="1"/>
  <c r="AX375" i="37" s="1"/>
  <c r="AX447" i="37" s="1"/>
  <c r="AX35" i="37"/>
  <c r="AX107" i="37" s="1"/>
  <c r="AX191" i="37" s="1"/>
  <c r="AX263" i="37" s="1"/>
  <c r="AX335" i="37" s="1"/>
  <c r="AX407" i="37" s="1"/>
  <c r="AX142" i="37"/>
  <c r="AX226" i="37" s="1"/>
  <c r="AX298" i="37" s="1"/>
  <c r="AX370" i="37" s="1"/>
  <c r="AX442" i="37" s="1"/>
  <c r="AX86" i="37"/>
  <c r="AX170" i="37" s="1"/>
  <c r="AX242" i="37" s="1"/>
  <c r="AX314" i="37" s="1"/>
  <c r="AX386" i="37" s="1"/>
  <c r="AX137" i="37"/>
  <c r="AX221" i="37" s="1"/>
  <c r="AX293" i="37" s="1"/>
  <c r="AX365" i="37" s="1"/>
  <c r="AX437" i="37" s="1"/>
  <c r="AX111" i="37"/>
  <c r="AX195" i="37" s="1"/>
  <c r="AX267" i="37" s="1"/>
  <c r="AX339" i="37" s="1"/>
  <c r="AX411" i="37" s="1"/>
  <c r="AX106" i="37"/>
  <c r="AX190" i="37" s="1"/>
  <c r="AX262" i="37" s="1"/>
  <c r="AX334" i="37" s="1"/>
  <c r="AX406" i="37" s="1"/>
  <c r="AX16" i="37"/>
  <c r="AX88" i="37" s="1"/>
  <c r="AX172" i="37" s="1"/>
  <c r="AX244" i="37" s="1"/>
  <c r="AX316" i="37" s="1"/>
  <c r="AX388" i="37" s="1"/>
  <c r="AX51" i="37"/>
  <c r="AX123" i="37" s="1"/>
  <c r="AX207" i="37" s="1"/>
  <c r="AX279" i="37" s="1"/>
  <c r="AX351" i="37" s="1"/>
  <c r="AX423" i="37" s="1"/>
  <c r="AX78" i="37"/>
  <c r="AX150" i="37" s="1"/>
  <c r="AX234" i="37" s="1"/>
  <c r="AX306" i="37" s="1"/>
  <c r="AX378" i="37" s="1"/>
  <c r="AX450" i="37" s="1"/>
  <c r="AX44" i="37"/>
  <c r="AX116" i="37" s="1"/>
  <c r="AX200" i="37" s="1"/>
  <c r="AX272" i="37" s="1"/>
  <c r="AX344" i="37" s="1"/>
  <c r="AX416" i="37" s="1"/>
  <c r="AX81" i="37"/>
  <c r="AX153" i="37" s="1"/>
  <c r="AX237" i="37" s="1"/>
  <c r="AX309" i="37" s="1"/>
  <c r="AX381" i="37" s="1"/>
  <c r="AX453" i="37" s="1"/>
  <c r="AX83" i="37"/>
  <c r="AX155" i="37" s="1"/>
  <c r="AX239" i="37" s="1"/>
  <c r="AX311" i="37" s="1"/>
  <c r="AX383" i="37" s="1"/>
  <c r="AX455" i="37" s="1"/>
  <c r="AX156" i="37"/>
  <c r="AX240" i="37" s="1"/>
  <c r="AX312" i="37" s="1"/>
  <c r="AX384" i="37" s="1"/>
  <c r="AX456" i="37" s="1"/>
  <c r="AX108" i="37"/>
  <c r="AX192" i="37" s="1"/>
  <c r="AX264" i="37" s="1"/>
  <c r="AX336" i="37" s="1"/>
  <c r="AX408" i="37" s="1"/>
  <c r="AX87" i="37"/>
  <c r="AX171" i="37" s="1"/>
  <c r="AX243" i="37" s="1"/>
  <c r="AX315" i="37" s="1"/>
  <c r="AX387" i="37" s="1"/>
  <c r="AX134" i="37"/>
  <c r="AX218" i="37" s="1"/>
  <c r="AX290" i="37" s="1"/>
  <c r="AX362" i="37" s="1"/>
  <c r="AX434" i="37" s="1"/>
  <c r="AX148" i="37"/>
  <c r="AX232" i="37" s="1"/>
  <c r="AX304" i="37" s="1"/>
  <c r="AX376" i="37" s="1"/>
  <c r="AX448" i="37" s="1"/>
  <c r="AX112" i="37"/>
  <c r="AX196" i="37" s="1"/>
  <c r="AX268" i="37" s="1"/>
  <c r="AX340" i="37" s="1"/>
  <c r="AX412" i="37" s="1"/>
  <c r="AX139" i="37"/>
  <c r="AX223" i="37" s="1"/>
  <c r="AX295" i="37" s="1"/>
  <c r="AX367" i="37" s="1"/>
  <c r="AX439" i="37" s="1"/>
  <c r="AX17" i="37"/>
  <c r="AX89" i="37" s="1"/>
  <c r="AX173" i="37" s="1"/>
  <c r="AX245" i="37" s="1"/>
  <c r="AX317" i="37" s="1"/>
  <c r="AX389" i="37" s="1"/>
  <c r="AX32" i="37"/>
  <c r="AX104" i="37" s="1"/>
  <c r="AX188" i="37" s="1"/>
  <c r="AX260" i="37" s="1"/>
  <c r="AX332" i="37" s="1"/>
  <c r="AX404" i="37" s="1"/>
  <c r="AX29" i="37"/>
  <c r="AX101" i="37" s="1"/>
  <c r="AX185" i="37" s="1"/>
  <c r="AX257" i="37" s="1"/>
  <c r="AX329" i="37" s="1"/>
  <c r="AX401" i="37" s="1"/>
  <c r="AX23" i="37"/>
  <c r="AX95" i="37" s="1"/>
  <c r="AX179" i="37" s="1"/>
  <c r="AX251" i="37" s="1"/>
  <c r="AX323" i="37" s="1"/>
  <c r="AX395" i="37" s="1"/>
  <c r="AX42" i="37"/>
  <c r="AX114" i="37" s="1"/>
  <c r="AX198" i="37" s="1"/>
  <c r="AX270" i="37" s="1"/>
  <c r="AX342" i="37" s="1"/>
  <c r="AX414" i="37" s="1"/>
  <c r="AX37" i="37"/>
  <c r="AX109" i="37" s="1"/>
  <c r="AX193" i="37" s="1"/>
  <c r="AX265" i="37" s="1"/>
  <c r="AX337" i="37" s="1"/>
  <c r="AX409" i="37" s="1"/>
  <c r="AX110" i="37"/>
  <c r="AX194" i="37" s="1"/>
  <c r="AX266" i="37" s="1"/>
  <c r="AX338" i="37" s="1"/>
  <c r="AX410" i="37" s="1"/>
  <c r="AX140" i="37"/>
  <c r="AX224" i="37" s="1"/>
  <c r="AX296" i="37" s="1"/>
  <c r="AX368" i="37" s="1"/>
  <c r="AX440" i="37" s="1"/>
  <c r="AX129" i="37"/>
  <c r="AX213" i="37" s="1"/>
  <c r="AX285" i="37" s="1"/>
  <c r="AX357" i="37" s="1"/>
  <c r="AX429" i="37" s="1"/>
  <c r="AX102" i="37"/>
  <c r="AX186" i="37" s="1"/>
  <c r="AX258" i="37" s="1"/>
  <c r="AX330" i="37" s="1"/>
  <c r="AX402" i="37" s="1"/>
  <c r="AX149" i="37"/>
  <c r="AX233" i="37" s="1"/>
  <c r="AX305" i="37" s="1"/>
  <c r="AX377" i="37" s="1"/>
  <c r="AX449" i="37" s="1"/>
  <c r="AX98" i="37"/>
  <c r="AX182" i="37" s="1"/>
  <c r="AX254" i="37" s="1"/>
  <c r="AX326" i="37" s="1"/>
  <c r="AX398" i="37" s="1"/>
  <c r="AX52" i="37"/>
  <c r="AX124" i="37" s="1"/>
  <c r="AX208" i="37" s="1"/>
  <c r="AX280" i="37" s="1"/>
  <c r="AX352" i="37" s="1"/>
  <c r="AX424" i="37" s="1"/>
  <c r="AX41" i="37"/>
  <c r="AX113" i="37" s="1"/>
  <c r="AX197" i="37" s="1"/>
  <c r="AX269" i="37" s="1"/>
  <c r="AX341" i="37" s="1"/>
  <c r="AX413" i="37" s="1"/>
  <c r="AX47" i="37"/>
  <c r="AX119" i="37" s="1"/>
  <c r="AX203" i="37" s="1"/>
  <c r="AX275" i="37" s="1"/>
  <c r="AX347" i="37" s="1"/>
  <c r="AX419" i="37" s="1"/>
  <c r="AX53" i="37"/>
  <c r="AX125" i="37" s="1"/>
  <c r="AX209" i="37" s="1"/>
  <c r="AX281" i="37" s="1"/>
  <c r="AX353" i="37" s="1"/>
  <c r="AX425" i="37" s="1"/>
  <c r="AX46" i="37"/>
  <c r="AX118" i="37" s="1"/>
  <c r="AX202" i="37" s="1"/>
  <c r="AX274" i="37" s="1"/>
  <c r="AX346" i="37" s="1"/>
  <c r="AX418" i="37" s="1"/>
  <c r="V28" i="40"/>
  <c r="V33" i="40"/>
  <c r="CI67" i="40"/>
  <c r="CI14" i="40"/>
  <c r="CI34" i="40"/>
  <c r="V60" i="40"/>
  <c r="CI48" i="40"/>
  <c r="V4" i="40"/>
  <c r="V5" i="40"/>
  <c r="V45" i="40"/>
  <c r="CI62" i="40"/>
  <c r="V25" i="40"/>
  <c r="V73" i="40"/>
  <c r="CI31" i="40"/>
  <c r="V20" i="40"/>
  <c r="V52" i="40"/>
  <c r="V71" i="40"/>
  <c r="V13" i="40"/>
  <c r="CI18" i="40"/>
  <c r="V37" i="40"/>
  <c r="V17" i="40"/>
  <c r="V40" i="40"/>
  <c r="CI65" i="40"/>
  <c r="CI23" i="40"/>
  <c r="CI68" i="40"/>
  <c r="V50" i="40"/>
  <c r="V51" i="40"/>
  <c r="CI32" i="40"/>
  <c r="V44" i="40"/>
  <c r="V7" i="40"/>
  <c r="V74" i="40"/>
  <c r="CI42" i="40"/>
  <c r="CI29" i="40"/>
  <c r="V43" i="40"/>
  <c r="CI63" i="40"/>
  <c r="CI64" i="40"/>
  <c r="CI66" i="40"/>
  <c r="V15" i="40"/>
  <c r="V46" i="40"/>
  <c r="V10" i="40"/>
  <c r="CI35" i="40"/>
  <c r="V69" i="40"/>
  <c r="CI24" i="40"/>
  <c r="V49" i="40"/>
  <c r="CI36" i="40"/>
  <c r="V38" i="40"/>
  <c r="V55" i="40"/>
  <c r="V26" i="40"/>
  <c r="V58" i="40"/>
  <c r="V21" i="40"/>
  <c r="CI41" i="40"/>
  <c r="V72" i="40"/>
  <c r="V6" i="40"/>
  <c r="CI61" i="40"/>
  <c r="V9" i="40"/>
  <c r="CI12" i="40"/>
  <c r="V59" i="40"/>
  <c r="V27" i="40"/>
  <c r="CI47" i="40"/>
  <c r="CI16" i="40"/>
  <c r="CI53" i="40"/>
  <c r="V57" i="40"/>
  <c r="V39" i="40"/>
  <c r="V11" i="40"/>
  <c r="CI30" i="40"/>
  <c r="CI54" i="40"/>
  <c r="V70" i="40"/>
  <c r="V22" i="40"/>
  <c r="CI56" i="40"/>
  <c r="CI19" i="40"/>
  <c r="CI8" i="40"/>
  <c r="AM113" i="11"/>
  <c r="AM413" i="11" s="1"/>
  <c r="AM128" i="11"/>
  <c r="AM428" i="11" s="1"/>
  <c r="AM146" i="11"/>
  <c r="AM446" i="11" s="1"/>
  <c r="AM88" i="11"/>
  <c r="AM388" i="11" s="1"/>
  <c r="AM149" i="11"/>
  <c r="AM449" i="11" s="1"/>
  <c r="AM124" i="11"/>
  <c r="AM424" i="11" s="1"/>
  <c r="AM86" i="11"/>
  <c r="AM386" i="11" s="1"/>
  <c r="AM103" i="11"/>
  <c r="AM403" i="11" s="1"/>
  <c r="AM115" i="11"/>
  <c r="AM415" i="11" s="1"/>
  <c r="AM102" i="11"/>
  <c r="AM402" i="11" s="1"/>
  <c r="AM144" i="11"/>
  <c r="AM444" i="11" s="1"/>
  <c r="AM148" i="11"/>
  <c r="AM448" i="11" s="1"/>
  <c r="AM135" i="11"/>
  <c r="AM435" i="11" s="1"/>
  <c r="AM104" i="11"/>
  <c r="AM404" i="11" s="1"/>
  <c r="AM96" i="11"/>
  <c r="AM396" i="11" s="1"/>
  <c r="AK221" i="37"/>
  <c r="AK293" i="37" s="1"/>
  <c r="AK365" i="37" s="1"/>
  <c r="AK437" i="37" s="1"/>
  <c r="AK180" i="37"/>
  <c r="AK252" i="37" s="1"/>
  <c r="AK324" i="37" s="1"/>
  <c r="AK396" i="37" s="1"/>
  <c r="AK201" i="37"/>
  <c r="AK273" i="37" s="1"/>
  <c r="AK345" i="37" s="1"/>
  <c r="AK417" i="37" s="1"/>
  <c r="AK181" i="37"/>
  <c r="AK253" i="37" s="1"/>
  <c r="AK325" i="37" s="1"/>
  <c r="AK397" i="37" s="1"/>
  <c r="AK203" i="37"/>
  <c r="AK275" i="37" s="1"/>
  <c r="AK347" i="37" s="1"/>
  <c r="AK419" i="37" s="1"/>
  <c r="AK211" i="37"/>
  <c r="AK283" i="37" s="1"/>
  <c r="AK355" i="37" s="1"/>
  <c r="AK427" i="37" s="1"/>
  <c r="AK227" i="37"/>
  <c r="AK299" i="37" s="1"/>
  <c r="AK371" i="37" s="1"/>
  <c r="AK443" i="37" s="1"/>
  <c r="AW297" i="11"/>
  <c r="AW369" i="11" s="1"/>
  <c r="AW441" i="11" s="1"/>
  <c r="AW303" i="11"/>
  <c r="AW375" i="11" s="1"/>
  <c r="AW447" i="11" s="1"/>
  <c r="AW271" i="11"/>
  <c r="AW343" i="11" s="1"/>
  <c r="AW415" i="11" s="1"/>
  <c r="AK224" i="37"/>
  <c r="AK296" i="37" s="1"/>
  <c r="AK368" i="37" s="1"/>
  <c r="AK440" i="37" s="1"/>
  <c r="AK240" i="37"/>
  <c r="AK312" i="37" s="1"/>
  <c r="AK384" i="37" s="1"/>
  <c r="AK456" i="37" s="1"/>
  <c r="AK173" i="37"/>
  <c r="AK245" i="37" s="1"/>
  <c r="AK317" i="37" s="1"/>
  <c r="AK389" i="37" s="1"/>
  <c r="AK172" i="37"/>
  <c r="AK244" i="37" s="1"/>
  <c r="AK316" i="37" s="1"/>
  <c r="AK388" i="37" s="1"/>
  <c r="AK225" i="37"/>
  <c r="AK297" i="37" s="1"/>
  <c r="AK369" i="37" s="1"/>
  <c r="AK441" i="37" s="1"/>
  <c r="AK195" i="37"/>
  <c r="AK267" i="37" s="1"/>
  <c r="AK339" i="37" s="1"/>
  <c r="AK411" i="37" s="1"/>
  <c r="AK200" i="37"/>
  <c r="AK272" i="37" s="1"/>
  <c r="AK344" i="37" s="1"/>
  <c r="AK416" i="37" s="1"/>
  <c r="AK199" i="37"/>
  <c r="AK271" i="37" s="1"/>
  <c r="AK343" i="37" s="1"/>
  <c r="AK415" i="37" s="1"/>
  <c r="AK223" i="37"/>
  <c r="AK295" i="37" s="1"/>
  <c r="AK367" i="37" s="1"/>
  <c r="AK439" i="37" s="1"/>
  <c r="AK239" i="37"/>
  <c r="AK311" i="37" s="1"/>
  <c r="AK383" i="37" s="1"/>
  <c r="AK455" i="37" s="1"/>
  <c r="AK212" i="37"/>
  <c r="AK284" i="37" s="1"/>
  <c r="AK356" i="37" s="1"/>
  <c r="AK428" i="37" s="1"/>
  <c r="AK228" i="37"/>
  <c r="AK300" i="37" s="1"/>
  <c r="AK372" i="37" s="1"/>
  <c r="AK444" i="37" s="1"/>
  <c r="AK187" i="37"/>
  <c r="AK259" i="37" s="1"/>
  <c r="AK331" i="37" s="1"/>
  <c r="AK403" i="37" s="1"/>
  <c r="AK204" i="37"/>
  <c r="AK276" i="37" s="1"/>
  <c r="AK348" i="37" s="1"/>
  <c r="AK420" i="37" s="1"/>
  <c r="AM152" i="11"/>
  <c r="AM452" i="11" s="1"/>
  <c r="AM136" i="11"/>
  <c r="AM436" i="11" s="1"/>
  <c r="AM120" i="11"/>
  <c r="AM420" i="11" s="1"/>
  <c r="AM90" i="11"/>
  <c r="AM390" i="11" s="1"/>
  <c r="AM156" i="11"/>
  <c r="AM456" i="11" s="1"/>
  <c r="AM140" i="11"/>
  <c r="AM440" i="11" s="1"/>
  <c r="AM142" i="11"/>
  <c r="AM442" i="11" s="1"/>
  <c r="AM126" i="11"/>
  <c r="AM426" i="11" s="1"/>
  <c r="AM110" i="11"/>
  <c r="AM410" i="11" s="1"/>
  <c r="AK213" i="37"/>
  <c r="AK285" i="37" s="1"/>
  <c r="AK357" i="37" s="1"/>
  <c r="AK429" i="37" s="1"/>
  <c r="AK237" i="37"/>
  <c r="AK309" i="37" s="1"/>
  <c r="AK381" i="37" s="1"/>
  <c r="AK453" i="37" s="1"/>
  <c r="AW299" i="11"/>
  <c r="AW371" i="11" s="1"/>
  <c r="AW443" i="11" s="1"/>
  <c r="AW267" i="11"/>
  <c r="AW339" i="11" s="1"/>
  <c r="AW411" i="11" s="1"/>
  <c r="AK218" i="37"/>
  <c r="AK290" i="37" s="1"/>
  <c r="AK362" i="37" s="1"/>
  <c r="AK434" i="37" s="1"/>
  <c r="AW305" i="11"/>
  <c r="AW377" i="11" s="1"/>
  <c r="AW449" i="11" s="1"/>
  <c r="AW288" i="11"/>
  <c r="AW360" i="11" s="1"/>
  <c r="AW432" i="11" s="1"/>
  <c r="AW280" i="11"/>
  <c r="AW352" i="11" s="1"/>
  <c r="AW424" i="11" s="1"/>
  <c r="AK216" i="37"/>
  <c r="AK288" i="37" s="1"/>
  <c r="AK360" i="37" s="1"/>
  <c r="AK432" i="37" s="1"/>
  <c r="AW282" i="11"/>
  <c r="AW354" i="11" s="1"/>
  <c r="AW426" i="11" s="1"/>
  <c r="AK196" i="37"/>
  <c r="AK268" i="37" s="1"/>
  <c r="AK340" i="37" s="1"/>
  <c r="AK412" i="37" s="1"/>
  <c r="AK206" i="37"/>
  <c r="AK278" i="37" s="1"/>
  <c r="AK350" i="37" s="1"/>
  <c r="AK422" i="37" s="1"/>
  <c r="AK222" i="37"/>
  <c r="AK294" i="37" s="1"/>
  <c r="AK366" i="37" s="1"/>
  <c r="AK438" i="37" s="1"/>
  <c r="AK238" i="37"/>
  <c r="AK310" i="37" s="1"/>
  <c r="AK382" i="37" s="1"/>
  <c r="AK454" i="37" s="1"/>
  <c r="AK215" i="37"/>
  <c r="AK287" i="37" s="1"/>
  <c r="AK359" i="37" s="1"/>
  <c r="AK431" i="37" s="1"/>
  <c r="AM131" i="11"/>
  <c r="AM431" i="11" s="1"/>
  <c r="AK197" i="37"/>
  <c r="AK269" i="37" s="1"/>
  <c r="AK341" i="37" s="1"/>
  <c r="AK413" i="37" s="1"/>
  <c r="AM129" i="11"/>
  <c r="AM429" i="11" s="1"/>
  <c r="AK182" i="37"/>
  <c r="AK254" i="37" s="1"/>
  <c r="AK326" i="37" s="1"/>
  <c r="AK398" i="37" s="1"/>
  <c r="AK229" i="37"/>
  <c r="AK301" i="37" s="1"/>
  <c r="AK373" i="37" s="1"/>
  <c r="AK445" i="37" s="1"/>
  <c r="AK171" i="37"/>
  <c r="AK243" i="37" s="1"/>
  <c r="AK315" i="37" s="1"/>
  <c r="AK387" i="37" s="1"/>
  <c r="AK210" i="37"/>
  <c r="AK282" i="37" s="1"/>
  <c r="AK354" i="37" s="1"/>
  <c r="AK426" i="37" s="1"/>
  <c r="AK234" i="37"/>
  <c r="AK306" i="37" s="1"/>
  <c r="AK378" i="37" s="1"/>
  <c r="AK450" i="37" s="1"/>
  <c r="AK175" i="37"/>
  <c r="AK247" i="37" s="1"/>
  <c r="AK319" i="37" s="1"/>
  <c r="AK391" i="37" s="1"/>
  <c r="AK189" i="37"/>
  <c r="AK261" i="37" s="1"/>
  <c r="AK333" i="37" s="1"/>
  <c r="AK405" i="37" s="1"/>
  <c r="AK198" i="37"/>
  <c r="AK270" i="37" s="1"/>
  <c r="AK342" i="37" s="1"/>
  <c r="AK414" i="37" s="1"/>
  <c r="AK219" i="37"/>
  <c r="AK291" i="37" s="1"/>
  <c r="AK363" i="37" s="1"/>
  <c r="AK435" i="37" s="1"/>
  <c r="AK235" i="37"/>
  <c r="AK307" i="37" s="1"/>
  <c r="AK379" i="37" s="1"/>
  <c r="AK451" i="37" s="1"/>
  <c r="AW244" i="11"/>
  <c r="AW316" i="11" s="1"/>
  <c r="AW388" i="11" s="1"/>
  <c r="AK232" i="37"/>
  <c r="AK304" i="37" s="1"/>
  <c r="AK376" i="37" s="1"/>
  <c r="AK448" i="37" s="1"/>
  <c r="AW245" i="11"/>
  <c r="AW317" i="11" s="1"/>
  <c r="AW389" i="11" s="1"/>
  <c r="AK186" i="37"/>
  <c r="AK258" i="37" s="1"/>
  <c r="AK330" i="37" s="1"/>
  <c r="AK402" i="37" s="1"/>
  <c r="AW281" i="11"/>
  <c r="AW353" i="11" s="1"/>
  <c r="AW425" i="11" s="1"/>
  <c r="AK183" i="37"/>
  <c r="AK255" i="37" s="1"/>
  <c r="AK327" i="37" s="1"/>
  <c r="AK399" i="37" s="1"/>
  <c r="AK205" i="37"/>
  <c r="AK277" i="37" s="1"/>
  <c r="AK349" i="37" s="1"/>
  <c r="AK421" i="37" s="1"/>
  <c r="AW300" i="11"/>
  <c r="AW372" i="11" s="1"/>
  <c r="AW444" i="11" s="1"/>
  <c r="AW292" i="11"/>
  <c r="AW364" i="11" s="1"/>
  <c r="AW436" i="11" s="1"/>
  <c r="AW260" i="11"/>
  <c r="AW332" i="11" s="1"/>
  <c r="AW404" i="11" s="1"/>
  <c r="AW252" i="11"/>
  <c r="AW324" i="11" s="1"/>
  <c r="AW396" i="11" s="1"/>
  <c r="AW304" i="11"/>
  <c r="AW376" i="11" s="1"/>
  <c r="AW448" i="11" s="1"/>
  <c r="AW296" i="11"/>
  <c r="AW368" i="11" s="1"/>
  <c r="AW440" i="11" s="1"/>
  <c r="AK217" i="37"/>
  <c r="AK289" i="37" s="1"/>
  <c r="AK361" i="37" s="1"/>
  <c r="AK433" i="37" s="1"/>
  <c r="AK185" i="37"/>
  <c r="AK257" i="37" s="1"/>
  <c r="AK329" i="37" s="1"/>
  <c r="AK401" i="37" s="1"/>
  <c r="AK207" i="37"/>
  <c r="AK279" i="37" s="1"/>
  <c r="AK351" i="37" s="1"/>
  <c r="AK423" i="37" s="1"/>
  <c r="AK231" i="37"/>
  <c r="AK303" i="37" s="1"/>
  <c r="AK375" i="37" s="1"/>
  <c r="AK447" i="37" s="1"/>
  <c r="AK220" i="37"/>
  <c r="AK292" i="37" s="1"/>
  <c r="AK364" i="37" s="1"/>
  <c r="AK436" i="37" s="1"/>
  <c r="AK236" i="37"/>
  <c r="AK308" i="37" s="1"/>
  <c r="AK380" i="37" s="1"/>
  <c r="AK452" i="37" s="1"/>
  <c r="AW273" i="11"/>
  <c r="AW345" i="11" s="1"/>
  <c r="AW417" i="11" s="1"/>
  <c r="AK176" i="37"/>
  <c r="AK248" i="37" s="1"/>
  <c r="AK320" i="37" s="1"/>
  <c r="AK392" i="37" s="1"/>
  <c r="AK177" i="37"/>
  <c r="AK249" i="37" s="1"/>
  <c r="AK321" i="37" s="1"/>
  <c r="AK393" i="37" s="1"/>
  <c r="AK202" i="37"/>
  <c r="AK274" i="37" s="1"/>
  <c r="AK346" i="37" s="1"/>
  <c r="AK418" i="37" s="1"/>
  <c r="AM125" i="11"/>
  <c r="AM425" i="11" s="1"/>
  <c r="AM150" i="11"/>
  <c r="AM450" i="11" s="1"/>
  <c r="AM134" i="11"/>
  <c r="AM434" i="11" s="1"/>
  <c r="AM118" i="11"/>
  <c r="AM418" i="11" s="1"/>
  <c r="AK188" i="37"/>
  <c r="AK260" i="37" s="1"/>
  <c r="AK332" i="37" s="1"/>
  <c r="AK404" i="37" s="1"/>
  <c r="AK194" i="37"/>
  <c r="AK266" i="37" s="1"/>
  <c r="AK338" i="37" s="1"/>
  <c r="AK410" i="37" s="1"/>
  <c r="AK226" i="37"/>
  <c r="AK298" i="37" s="1"/>
  <c r="AK370" i="37" s="1"/>
  <c r="AK442" i="37" s="1"/>
  <c r="AK208" i="37"/>
  <c r="AK280" i="37" s="1"/>
  <c r="AK352" i="37" s="1"/>
  <c r="AK424" i="37" s="1"/>
  <c r="AK193" i="37"/>
  <c r="AK265" i="37" s="1"/>
  <c r="AK337" i="37" s="1"/>
  <c r="AK409" i="37" s="1"/>
  <c r="AK192" i="37"/>
  <c r="AK264" i="37" s="1"/>
  <c r="AK336" i="37" s="1"/>
  <c r="AK408" i="37" s="1"/>
  <c r="AK191" i="37"/>
  <c r="AK263" i="37" s="1"/>
  <c r="AK335" i="37" s="1"/>
  <c r="AK407" i="37" s="1"/>
  <c r="AK170" i="37"/>
  <c r="AK242" i="37" s="1"/>
  <c r="AK314" i="37" s="1"/>
  <c r="AK386" i="37" s="1"/>
  <c r="AW247" i="11"/>
  <c r="AW319" i="11" s="1"/>
  <c r="AW391" i="11" s="1"/>
  <c r="AW310" i="11"/>
  <c r="AW382" i="11" s="1"/>
  <c r="AW454" i="11" s="1"/>
  <c r="AW278" i="11"/>
  <c r="AW350" i="11" s="1"/>
  <c r="AW422" i="11" s="1"/>
  <c r="AW270" i="11"/>
  <c r="AW342" i="11" s="1"/>
  <c r="AW414" i="11" s="1"/>
  <c r="AW246" i="11"/>
  <c r="AW318" i="11" s="1"/>
  <c r="AW390" i="11" s="1"/>
  <c r="AW242" i="11"/>
  <c r="AW314" i="11" s="1"/>
  <c r="AW386" i="11" s="1"/>
  <c r="AK209" i="37"/>
  <c r="AK281" i="37" s="1"/>
  <c r="AK353" i="37" s="1"/>
  <c r="AK425" i="37" s="1"/>
  <c r="AK233" i="37"/>
  <c r="AK305" i="37" s="1"/>
  <c r="AK377" i="37" s="1"/>
  <c r="AK449" i="37" s="1"/>
  <c r="AM145" i="11"/>
  <c r="AM445" i="11" s="1"/>
  <c r="AK184" i="37"/>
  <c r="AK256" i="37" s="1"/>
  <c r="AK328" i="37" s="1"/>
  <c r="AK400" i="37" s="1"/>
  <c r="AK174" i="37"/>
  <c r="AK246" i="37" s="1"/>
  <c r="AK318" i="37" s="1"/>
  <c r="AK390" i="37" s="1"/>
  <c r="AK214" i="37"/>
  <c r="AK286" i="37" s="1"/>
  <c r="AK358" i="37" s="1"/>
  <c r="AK430" i="37" s="1"/>
  <c r="AK230" i="37"/>
  <c r="AK302" i="37" s="1"/>
  <c r="AK374" i="37" s="1"/>
  <c r="AK446" i="37" s="1"/>
  <c r="AK178" i="37"/>
  <c r="AK250" i="37" s="1"/>
  <c r="AK322" i="37" s="1"/>
  <c r="AK394" i="37" s="1"/>
  <c r="AK179" i="37"/>
  <c r="AK251" i="37" s="1"/>
  <c r="AK323" i="37" s="1"/>
  <c r="AK395" i="37" s="1"/>
  <c r="AK190" i="37"/>
  <c r="AK262" i="37" s="1"/>
  <c r="AK334" i="37" s="1"/>
  <c r="AK406" i="37" s="1"/>
  <c r="AO453" i="11"/>
  <c r="AO445" i="11"/>
  <c r="AO432" i="11"/>
  <c r="AO424" i="11"/>
  <c r="AO408" i="11"/>
  <c r="AO412" i="11"/>
  <c r="AO392" i="11"/>
  <c r="AO446" i="11"/>
  <c r="AO394" i="11"/>
  <c r="AO395" i="11"/>
  <c r="AO391" i="11"/>
  <c r="AO387" i="11"/>
  <c r="AO454" i="11"/>
  <c r="AO438" i="11"/>
  <c r="AO430" i="11"/>
  <c r="AO422" i="11"/>
  <c r="AO414" i="11"/>
  <c r="AO406" i="11"/>
  <c r="AO398" i="11"/>
  <c r="AO390" i="11"/>
  <c r="AO386" i="11"/>
  <c r="AM147" i="11"/>
  <c r="AM447" i="11" s="1"/>
  <c r="AM114" i="11"/>
  <c r="AM414" i="11" s="1"/>
  <c r="AO449" i="11"/>
  <c r="AO441" i="11"/>
  <c r="AM94" i="11"/>
  <c r="AM394" i="11" s="1"/>
  <c r="AO417" i="11"/>
  <c r="AO393" i="11"/>
  <c r="AO455" i="11"/>
  <c r="AO447" i="11"/>
  <c r="AO439" i="11"/>
  <c r="AO431" i="11"/>
  <c r="AO423" i="11"/>
  <c r="AO415" i="11"/>
  <c r="AO407" i="11"/>
  <c r="AO399" i="11"/>
  <c r="AO452" i="11"/>
  <c r="AO444" i="11"/>
  <c r="AO436" i="11"/>
  <c r="AO428" i="11"/>
  <c r="AO420" i="11"/>
  <c r="AO404" i="11"/>
  <c r="AO396" i="11"/>
  <c r="AO456" i="11"/>
  <c r="AO448" i="11"/>
  <c r="AO440" i="11"/>
  <c r="AO450" i="11"/>
  <c r="AO442" i="11"/>
  <c r="AO434" i="11"/>
  <c r="AO426" i="11"/>
  <c r="AO418" i="11"/>
  <c r="AO410" i="11"/>
  <c r="AO402" i="11"/>
  <c r="AM151" i="11"/>
  <c r="AM451" i="11" s="1"/>
  <c r="AM112" i="11"/>
  <c r="AM412" i="11" s="1"/>
  <c r="AM130" i="11"/>
  <c r="AM430" i="11" s="1"/>
  <c r="AM91" i="11"/>
  <c r="AM391" i="11" s="1"/>
  <c r="AM87" i="11"/>
  <c r="AM387" i="11" s="1"/>
  <c r="AM154" i="11"/>
  <c r="AM454" i="11" s="1"/>
  <c r="AO451" i="11"/>
  <c r="AO443" i="11"/>
  <c r="AO435" i="11"/>
  <c r="AO427" i="11"/>
  <c r="AO419" i="11"/>
  <c r="AO411" i="11"/>
  <c r="AO403" i="11"/>
  <c r="AO388" i="11"/>
  <c r="AO389" i="11"/>
  <c r="AO425" i="11"/>
  <c r="AO401" i="11"/>
  <c r="AO437" i="11"/>
  <c r="AO429" i="11"/>
  <c r="AO421" i="11"/>
  <c r="AO413" i="11"/>
  <c r="AO405" i="11"/>
  <c r="AO397" i="11"/>
  <c r="AO416" i="11"/>
  <c r="AO400" i="11"/>
  <c r="AO433" i="11"/>
  <c r="AO409" i="11"/>
  <c r="AM119" i="11"/>
  <c r="AM419" i="11" s="1"/>
  <c r="AM89" i="11"/>
  <c r="AM389" i="11" s="1"/>
  <c r="AM213" i="37"/>
  <c r="AP153" i="11"/>
  <c r="AP453" i="11" s="1"/>
  <c r="AY81" i="11"/>
  <c r="AY153" i="11" s="1"/>
  <c r="AY237" i="11" s="1"/>
  <c r="AY309" i="11" s="1"/>
  <c r="AY381" i="11" s="1"/>
  <c r="AY453" i="11" s="1"/>
  <c r="AI129" i="37"/>
  <c r="AI213" i="37" s="1"/>
  <c r="AI285" i="37" s="1"/>
  <c r="AI357" i="37" s="1"/>
  <c r="AI429" i="37" s="1"/>
  <c r="AV57" i="37"/>
  <c r="AV129" i="37" s="1"/>
  <c r="AV213" i="37" s="1"/>
  <c r="AV285" i="37" s="1"/>
  <c r="AV357" i="37" s="1"/>
  <c r="AV429" i="37" s="1"/>
  <c r="AI145" i="37"/>
  <c r="AI229" i="37" s="1"/>
  <c r="AI301" i="37" s="1"/>
  <c r="AI373" i="37" s="1"/>
  <c r="AI445" i="37" s="1"/>
  <c r="AV73" i="37"/>
  <c r="AV145" i="37" s="1"/>
  <c r="AV229" i="37" s="1"/>
  <c r="AV301" i="37" s="1"/>
  <c r="AV373" i="37" s="1"/>
  <c r="AV445" i="37" s="1"/>
  <c r="AP57" i="37"/>
  <c r="AO129" i="37"/>
  <c r="AO429" i="37" s="1"/>
  <c r="AT429" i="37"/>
  <c r="AP65" i="37"/>
  <c r="AO137" i="37"/>
  <c r="AO437" i="37" s="1"/>
  <c r="AT437" i="37"/>
  <c r="AP73" i="37"/>
  <c r="AY73" i="37" s="1"/>
  <c r="AO145" i="37"/>
  <c r="AO445" i="37" s="1"/>
  <c r="AT445" i="37"/>
  <c r="AP81" i="37"/>
  <c r="AO153" i="37"/>
  <c r="AO453" i="37" s="1"/>
  <c r="AT453" i="37"/>
  <c r="AO87" i="37"/>
  <c r="AO387" i="37" s="1"/>
  <c r="AP15" i="37"/>
  <c r="AT387" i="37"/>
  <c r="AO96" i="37"/>
  <c r="AO396" i="37" s="1"/>
  <c r="AP24" i="37"/>
  <c r="AT396" i="37"/>
  <c r="AO104" i="37"/>
  <c r="AO404" i="37" s="1"/>
  <c r="AP32" i="37"/>
  <c r="AT404" i="37"/>
  <c r="AO110" i="37"/>
  <c r="AO410" i="37" s="1"/>
  <c r="AP38" i="37"/>
  <c r="AT417" i="37"/>
  <c r="AO126" i="37"/>
  <c r="AO426" i="37" s="1"/>
  <c r="AP54" i="37"/>
  <c r="AT426" i="37"/>
  <c r="AO134" i="37"/>
  <c r="AO434" i="37" s="1"/>
  <c r="AP62" i="37"/>
  <c r="AT434" i="37"/>
  <c r="AO142" i="37"/>
  <c r="AO442" i="37" s="1"/>
  <c r="AP70" i="37"/>
  <c r="AT442" i="37"/>
  <c r="AO150" i="37"/>
  <c r="AO450" i="37" s="1"/>
  <c r="AP78" i="37"/>
  <c r="AT450" i="37"/>
  <c r="AM175" i="37"/>
  <c r="AM181" i="37"/>
  <c r="AM189" i="37"/>
  <c r="AM198" i="37"/>
  <c r="AM203" i="37"/>
  <c r="AM211" i="37"/>
  <c r="AM219" i="37"/>
  <c r="AM227" i="37"/>
  <c r="AM235" i="37"/>
  <c r="AP52" i="37"/>
  <c r="AO124" i="37"/>
  <c r="AO424" i="37" s="1"/>
  <c r="AT424" i="37"/>
  <c r="AP60" i="37"/>
  <c r="AO132" i="37"/>
  <c r="AO432" i="37" s="1"/>
  <c r="AT432" i="37"/>
  <c r="AP68" i="37"/>
  <c r="AO140" i="37"/>
  <c r="AO440" i="37" s="1"/>
  <c r="AT440" i="37"/>
  <c r="AP76" i="37"/>
  <c r="AO148" i="37"/>
  <c r="AO448" i="37" s="1"/>
  <c r="AT448" i="37"/>
  <c r="AP84" i="37"/>
  <c r="AO156" i="37"/>
  <c r="AO456" i="37" s="1"/>
  <c r="AT456" i="37"/>
  <c r="AO102" i="37"/>
  <c r="AO402" i="37" s="1"/>
  <c r="AP30" i="37"/>
  <c r="AT402" i="37"/>
  <c r="AI89" i="37"/>
  <c r="AI173" i="37" s="1"/>
  <c r="AI245" i="37" s="1"/>
  <c r="AI317" i="37" s="1"/>
  <c r="AI389" i="37" s="1"/>
  <c r="AV17" i="37"/>
  <c r="AV89" i="37" s="1"/>
  <c r="AV173" i="37" s="1"/>
  <c r="AV245" i="37" s="1"/>
  <c r="AV317" i="37" s="1"/>
  <c r="AV389" i="37" s="1"/>
  <c r="AT409" i="37"/>
  <c r="AO108" i="37"/>
  <c r="AO408" i="37" s="1"/>
  <c r="AP36" i="37"/>
  <c r="AT407" i="37"/>
  <c r="AM205" i="37"/>
  <c r="AP137" i="11"/>
  <c r="AP437" i="11" s="1"/>
  <c r="AY65" i="11"/>
  <c r="AY137" i="11" s="1"/>
  <c r="AY221" i="11" s="1"/>
  <c r="AY293" i="11" s="1"/>
  <c r="AY365" i="11" s="1"/>
  <c r="AY437" i="11" s="1"/>
  <c r="AP129" i="11"/>
  <c r="AP429" i="11" s="1"/>
  <c r="AY57" i="11"/>
  <c r="AY129" i="11" s="1"/>
  <c r="AY213" i="11" s="1"/>
  <c r="AY285" i="11" s="1"/>
  <c r="AY357" i="11" s="1"/>
  <c r="AY429" i="11" s="1"/>
  <c r="AP121" i="11"/>
  <c r="AP421" i="11" s="1"/>
  <c r="AY49" i="11"/>
  <c r="AY121" i="11" s="1"/>
  <c r="AY205" i="11" s="1"/>
  <c r="AY277" i="11" s="1"/>
  <c r="AY349" i="11" s="1"/>
  <c r="AY421" i="11" s="1"/>
  <c r="AP113" i="11"/>
  <c r="AP413" i="11" s="1"/>
  <c r="AY41" i="11"/>
  <c r="AY113" i="11" s="1"/>
  <c r="AY197" i="11" s="1"/>
  <c r="AY269" i="11" s="1"/>
  <c r="AY341" i="11" s="1"/>
  <c r="AY413" i="11" s="1"/>
  <c r="AP105" i="11"/>
  <c r="AP405" i="11" s="1"/>
  <c r="AY33" i="11"/>
  <c r="AY105" i="11" s="1"/>
  <c r="AY189" i="11" s="1"/>
  <c r="AY261" i="11" s="1"/>
  <c r="AY333" i="11" s="1"/>
  <c r="AY405" i="11" s="1"/>
  <c r="AP97" i="11"/>
  <c r="AP397" i="11" s="1"/>
  <c r="AY25" i="11"/>
  <c r="AY97" i="11" s="1"/>
  <c r="AY181" i="11" s="1"/>
  <c r="AY253" i="11" s="1"/>
  <c r="AY325" i="11" s="1"/>
  <c r="AY397" i="11" s="1"/>
  <c r="AP116" i="11"/>
  <c r="AP416" i="11" s="1"/>
  <c r="AY44" i="11"/>
  <c r="AY116" i="11" s="1"/>
  <c r="AY200" i="11" s="1"/>
  <c r="AY272" i="11" s="1"/>
  <c r="AY344" i="11" s="1"/>
  <c r="AY416" i="11" s="1"/>
  <c r="AP100" i="11"/>
  <c r="AP400" i="11" s="1"/>
  <c r="AY28" i="11"/>
  <c r="AY100" i="11" s="1"/>
  <c r="AY184" i="11" s="1"/>
  <c r="AY256" i="11" s="1"/>
  <c r="AY328" i="11" s="1"/>
  <c r="AY400" i="11" s="1"/>
  <c r="AO88" i="37"/>
  <c r="AO388" i="37" s="1"/>
  <c r="AP16" i="37"/>
  <c r="AT388" i="37"/>
  <c r="AP133" i="11"/>
  <c r="AP433" i="11" s="1"/>
  <c r="AY61" i="11"/>
  <c r="AY133" i="11" s="1"/>
  <c r="AY217" i="11" s="1"/>
  <c r="AY289" i="11" s="1"/>
  <c r="AY361" i="11" s="1"/>
  <c r="AY433" i="11" s="1"/>
  <c r="AP109" i="11"/>
  <c r="AP409" i="11" s="1"/>
  <c r="AY37" i="11"/>
  <c r="AY109" i="11" s="1"/>
  <c r="AY193" i="11" s="1"/>
  <c r="AY265" i="11" s="1"/>
  <c r="AY337" i="11" s="1"/>
  <c r="AY409" i="11" s="1"/>
  <c r="AP53" i="37"/>
  <c r="AO125" i="37"/>
  <c r="AO425" i="37" s="1"/>
  <c r="AT425" i="37"/>
  <c r="AP61" i="37"/>
  <c r="AO133" i="37"/>
  <c r="AO433" i="37" s="1"/>
  <c r="AT433" i="37"/>
  <c r="AP69" i="37"/>
  <c r="AO141" i="37"/>
  <c r="AO441" i="37" s="1"/>
  <c r="AT441" i="37"/>
  <c r="AP77" i="37"/>
  <c r="AO149" i="37"/>
  <c r="AO449" i="37" s="1"/>
  <c r="AT449" i="37"/>
  <c r="AM153" i="11"/>
  <c r="AM453" i="11" s="1"/>
  <c r="AT412" i="37"/>
  <c r="AM196" i="37"/>
  <c r="AM184" i="37"/>
  <c r="AM195" i="37"/>
  <c r="AM174" i="37"/>
  <c r="AM214" i="37"/>
  <c r="AM222" i="37"/>
  <c r="AM230" i="37"/>
  <c r="AM238" i="37"/>
  <c r="AW49" i="11"/>
  <c r="AW121" i="11" s="1"/>
  <c r="AO101" i="37"/>
  <c r="AO401" i="37" s="1"/>
  <c r="AP29" i="37"/>
  <c r="AT401" i="37"/>
  <c r="AO115" i="37"/>
  <c r="AO415" i="37" s="1"/>
  <c r="AP43" i="37"/>
  <c r="AT394" i="37"/>
  <c r="AO94" i="37"/>
  <c r="AO394" i="37" s="1"/>
  <c r="AP22" i="37"/>
  <c r="AO123" i="37"/>
  <c r="AO423" i="37" s="1"/>
  <c r="AP51" i="37"/>
  <c r="AT423" i="37"/>
  <c r="AO131" i="37"/>
  <c r="AO431" i="37" s="1"/>
  <c r="AP59" i="37"/>
  <c r="AT431" i="37"/>
  <c r="AO139" i="37"/>
  <c r="AO439" i="37" s="1"/>
  <c r="AP67" i="37"/>
  <c r="AT439" i="37"/>
  <c r="AO147" i="37"/>
  <c r="AO447" i="37" s="1"/>
  <c r="AP75" i="37"/>
  <c r="AT447" i="37"/>
  <c r="AO155" i="37"/>
  <c r="AO455" i="37" s="1"/>
  <c r="AP83" i="37"/>
  <c r="AT455" i="37"/>
  <c r="AM212" i="37"/>
  <c r="AM220" i="37"/>
  <c r="AM228" i="37"/>
  <c r="AM236" i="37"/>
  <c r="AM109" i="11"/>
  <c r="AM409" i="11" s="1"/>
  <c r="AM101" i="11"/>
  <c r="AM401" i="11" s="1"/>
  <c r="AO93" i="37"/>
  <c r="AO393" i="37" s="1"/>
  <c r="AP21" i="37"/>
  <c r="AT393" i="37"/>
  <c r="AM95" i="11"/>
  <c r="AM395" i="11" s="1"/>
  <c r="AM116" i="11"/>
  <c r="AM416" i="11" s="1"/>
  <c r="AM100" i="11"/>
  <c r="AM400" i="11" s="1"/>
  <c r="AM138" i="11"/>
  <c r="AM438" i="11" s="1"/>
  <c r="AM122" i="11"/>
  <c r="AM422" i="11" s="1"/>
  <c r="AM106" i="11"/>
  <c r="AM406" i="11" s="1"/>
  <c r="AM98" i="11"/>
  <c r="AM398" i="11" s="1"/>
  <c r="AT418" i="37"/>
  <c r="AM202" i="37"/>
  <c r="AM204" i="37"/>
  <c r="AP151" i="11"/>
  <c r="AP451" i="11" s="1"/>
  <c r="AY79" i="11"/>
  <c r="AY151" i="11" s="1"/>
  <c r="AY235" i="11" s="1"/>
  <c r="AY307" i="11" s="1"/>
  <c r="AY379" i="11" s="1"/>
  <c r="AY451" i="11" s="1"/>
  <c r="AP143" i="11"/>
  <c r="AP443" i="11" s="1"/>
  <c r="AY71" i="11"/>
  <c r="AY143" i="11" s="1"/>
  <c r="AY227" i="11" s="1"/>
  <c r="AY299" i="11" s="1"/>
  <c r="AY371" i="11" s="1"/>
  <c r="AY443" i="11" s="1"/>
  <c r="AP135" i="11"/>
  <c r="AP435" i="11" s="1"/>
  <c r="AY63" i="11"/>
  <c r="AY135" i="11" s="1"/>
  <c r="AY219" i="11" s="1"/>
  <c r="AY291" i="11" s="1"/>
  <c r="AY363" i="11" s="1"/>
  <c r="AY435" i="11" s="1"/>
  <c r="AP127" i="11"/>
  <c r="AP427" i="11" s="1"/>
  <c r="AY55" i="11"/>
  <c r="AY127" i="11" s="1"/>
  <c r="AY211" i="11" s="1"/>
  <c r="AY283" i="11" s="1"/>
  <c r="AY355" i="11" s="1"/>
  <c r="AY427" i="11" s="1"/>
  <c r="AP119" i="11"/>
  <c r="AP419" i="11" s="1"/>
  <c r="AY47" i="11"/>
  <c r="AY119" i="11" s="1"/>
  <c r="AY203" i="11" s="1"/>
  <c r="AY275" i="11" s="1"/>
  <c r="AY347" i="11" s="1"/>
  <c r="AY419" i="11" s="1"/>
  <c r="AP111" i="11"/>
  <c r="AP411" i="11" s="1"/>
  <c r="AY39" i="11"/>
  <c r="AY111" i="11" s="1"/>
  <c r="AY195" i="11" s="1"/>
  <c r="AY267" i="11" s="1"/>
  <c r="AY339" i="11" s="1"/>
  <c r="AY411" i="11" s="1"/>
  <c r="AP103" i="11"/>
  <c r="AP403" i="11" s="1"/>
  <c r="AY31" i="11"/>
  <c r="AY103" i="11" s="1"/>
  <c r="AY187" i="11" s="1"/>
  <c r="AY259" i="11" s="1"/>
  <c r="AY331" i="11" s="1"/>
  <c r="AY403" i="11" s="1"/>
  <c r="AT410" i="37"/>
  <c r="AP93" i="11"/>
  <c r="AP393" i="11" s="1"/>
  <c r="AY21" i="11"/>
  <c r="AY93" i="11" s="1"/>
  <c r="AY177" i="11" s="1"/>
  <c r="AY249" i="11" s="1"/>
  <c r="AY321" i="11" s="1"/>
  <c r="AY393" i="11" s="1"/>
  <c r="AI91" i="37"/>
  <c r="AI175" i="37" s="1"/>
  <c r="AI247" i="37" s="1"/>
  <c r="AI319" i="37" s="1"/>
  <c r="AI391" i="37" s="1"/>
  <c r="AV19" i="37"/>
  <c r="AV91" i="37" s="1"/>
  <c r="AV175" i="37" s="1"/>
  <c r="AV247" i="37" s="1"/>
  <c r="AV319" i="37" s="1"/>
  <c r="AV391" i="37" s="1"/>
  <c r="AI97" i="37"/>
  <c r="AI181" i="37" s="1"/>
  <c r="AI253" i="37" s="1"/>
  <c r="AI325" i="37" s="1"/>
  <c r="AI397" i="37" s="1"/>
  <c r="AV25" i="37"/>
  <c r="AV97" i="37" s="1"/>
  <c r="AV181" i="37" s="1"/>
  <c r="AV253" i="37" s="1"/>
  <c r="AV325" i="37" s="1"/>
  <c r="AV397" i="37" s="1"/>
  <c r="AI105" i="37"/>
  <c r="AI189" i="37" s="1"/>
  <c r="AI261" i="37" s="1"/>
  <c r="AI333" i="37" s="1"/>
  <c r="AI405" i="37" s="1"/>
  <c r="AV33" i="37"/>
  <c r="AV105" i="37" s="1"/>
  <c r="AV189" i="37" s="1"/>
  <c r="AV261" i="37" s="1"/>
  <c r="AV333" i="37" s="1"/>
  <c r="AV405" i="37" s="1"/>
  <c r="AI114" i="37"/>
  <c r="AI198" i="37" s="1"/>
  <c r="AI270" i="37" s="1"/>
  <c r="AI342" i="37" s="1"/>
  <c r="AI414" i="37" s="1"/>
  <c r="AV42" i="37"/>
  <c r="AV114" i="37" s="1"/>
  <c r="AV198" i="37" s="1"/>
  <c r="AV270" i="37" s="1"/>
  <c r="AV342" i="37" s="1"/>
  <c r="AV414" i="37" s="1"/>
  <c r="AI119" i="37"/>
  <c r="AI203" i="37" s="1"/>
  <c r="AI275" i="37" s="1"/>
  <c r="AI347" i="37" s="1"/>
  <c r="AI419" i="37" s="1"/>
  <c r="AV47" i="37"/>
  <c r="AV119" i="37" s="1"/>
  <c r="AV203" i="37" s="1"/>
  <c r="AV275" i="37" s="1"/>
  <c r="AV347" i="37" s="1"/>
  <c r="AV419" i="37" s="1"/>
  <c r="AI127" i="37"/>
  <c r="AI211" i="37" s="1"/>
  <c r="AI283" i="37" s="1"/>
  <c r="AI355" i="37" s="1"/>
  <c r="AI427" i="37" s="1"/>
  <c r="AV55" i="37"/>
  <c r="AV127" i="37" s="1"/>
  <c r="AV211" i="37" s="1"/>
  <c r="AV283" i="37" s="1"/>
  <c r="AV355" i="37" s="1"/>
  <c r="AV427" i="37" s="1"/>
  <c r="AI135" i="37"/>
  <c r="AI219" i="37" s="1"/>
  <c r="AI291" i="37" s="1"/>
  <c r="AI363" i="37" s="1"/>
  <c r="AI435" i="37" s="1"/>
  <c r="AV63" i="37"/>
  <c r="AV135" i="37" s="1"/>
  <c r="AV219" i="37" s="1"/>
  <c r="AV291" i="37" s="1"/>
  <c r="AV363" i="37" s="1"/>
  <c r="AV435" i="37" s="1"/>
  <c r="AI143" i="37"/>
  <c r="AI227" i="37" s="1"/>
  <c r="AI299" i="37" s="1"/>
  <c r="AI371" i="37" s="1"/>
  <c r="AI443" i="37" s="1"/>
  <c r="AV71" i="37"/>
  <c r="AV143" i="37" s="1"/>
  <c r="AV227" i="37" s="1"/>
  <c r="AV299" i="37" s="1"/>
  <c r="AV371" i="37" s="1"/>
  <c r="AV443" i="37" s="1"/>
  <c r="AI151" i="37"/>
  <c r="AI235" i="37" s="1"/>
  <c r="AI307" i="37" s="1"/>
  <c r="AI379" i="37" s="1"/>
  <c r="AI451" i="37" s="1"/>
  <c r="AV79" i="37"/>
  <c r="AV151" i="37" s="1"/>
  <c r="AV235" i="37" s="1"/>
  <c r="AV307" i="37" s="1"/>
  <c r="AV379" i="37" s="1"/>
  <c r="AV451" i="37" s="1"/>
  <c r="AP155" i="11"/>
  <c r="AP455" i="11" s="1"/>
  <c r="AY83" i="11"/>
  <c r="AY155" i="11" s="1"/>
  <c r="AY239" i="11" s="1"/>
  <c r="AY311" i="11" s="1"/>
  <c r="AY383" i="11" s="1"/>
  <c r="AY455" i="11" s="1"/>
  <c r="AP147" i="11"/>
  <c r="AP447" i="11" s="1"/>
  <c r="AY75" i="11"/>
  <c r="AY147" i="11" s="1"/>
  <c r="AY231" i="11" s="1"/>
  <c r="AY303" i="11" s="1"/>
  <c r="AY375" i="11" s="1"/>
  <c r="AY447" i="11" s="1"/>
  <c r="AP139" i="11"/>
  <c r="AP439" i="11" s="1"/>
  <c r="AY67" i="11"/>
  <c r="AY139" i="11" s="1"/>
  <c r="AY223" i="11" s="1"/>
  <c r="AY295" i="11" s="1"/>
  <c r="AY367" i="11" s="1"/>
  <c r="AY439" i="11" s="1"/>
  <c r="AP131" i="11"/>
  <c r="AP431" i="11" s="1"/>
  <c r="AY59" i="11"/>
  <c r="AY131" i="11" s="1"/>
  <c r="AY215" i="11" s="1"/>
  <c r="AY287" i="11" s="1"/>
  <c r="AY359" i="11" s="1"/>
  <c r="AY431" i="11" s="1"/>
  <c r="AP123" i="11"/>
  <c r="AP423" i="11" s="1"/>
  <c r="AY51" i="11"/>
  <c r="AY123" i="11" s="1"/>
  <c r="AY207" i="11" s="1"/>
  <c r="AY279" i="11" s="1"/>
  <c r="AY351" i="11" s="1"/>
  <c r="AY423" i="11" s="1"/>
  <c r="AP115" i="11"/>
  <c r="AP415" i="11" s="1"/>
  <c r="AY43" i="11"/>
  <c r="AY115" i="11" s="1"/>
  <c r="AY199" i="11" s="1"/>
  <c r="AY271" i="11" s="1"/>
  <c r="AY343" i="11" s="1"/>
  <c r="AY415" i="11" s="1"/>
  <c r="AP107" i="11"/>
  <c r="AP407" i="11" s="1"/>
  <c r="AY35" i="11"/>
  <c r="AY107" i="11" s="1"/>
  <c r="AY191" i="11" s="1"/>
  <c r="AY263" i="11" s="1"/>
  <c r="AY335" i="11" s="1"/>
  <c r="AY407" i="11" s="1"/>
  <c r="AP99" i="11"/>
  <c r="AP399" i="11" s="1"/>
  <c r="AY27" i="11"/>
  <c r="AY99" i="11" s="1"/>
  <c r="AY183" i="11" s="1"/>
  <c r="AY255" i="11" s="1"/>
  <c r="AY327" i="11" s="1"/>
  <c r="AY399" i="11" s="1"/>
  <c r="AP146" i="11"/>
  <c r="AP446" i="11" s="1"/>
  <c r="AY74" i="11"/>
  <c r="AY146" i="11" s="1"/>
  <c r="AY230" i="11" s="1"/>
  <c r="AY302" i="11" s="1"/>
  <c r="AY374" i="11" s="1"/>
  <c r="AY446" i="11" s="1"/>
  <c r="AO89" i="37"/>
  <c r="AO389" i="37" s="1"/>
  <c r="AP17" i="37"/>
  <c r="AY17" i="37" s="1"/>
  <c r="AT389" i="37"/>
  <c r="AP125" i="11"/>
  <c r="AP425" i="11" s="1"/>
  <c r="AY53" i="11"/>
  <c r="AY125" i="11" s="1"/>
  <c r="AY209" i="11" s="1"/>
  <c r="AY281" i="11" s="1"/>
  <c r="AY353" i="11" s="1"/>
  <c r="AY425" i="11" s="1"/>
  <c r="AP101" i="11"/>
  <c r="AP401" i="11" s="1"/>
  <c r="AY29" i="11"/>
  <c r="AY101" i="11" s="1"/>
  <c r="AY185" i="11" s="1"/>
  <c r="AY257" i="11" s="1"/>
  <c r="AY329" i="11" s="1"/>
  <c r="AY401" i="11" s="1"/>
  <c r="AT408" i="37"/>
  <c r="AM192" i="37"/>
  <c r="AM183" i="37"/>
  <c r="AM191" i="37"/>
  <c r="AM170" i="37"/>
  <c r="AI121" i="37"/>
  <c r="AI205" i="37" s="1"/>
  <c r="AI277" i="37" s="1"/>
  <c r="AI349" i="37" s="1"/>
  <c r="AI421" i="37" s="1"/>
  <c r="AV49" i="37"/>
  <c r="AV121" i="37" s="1"/>
  <c r="AV205" i="37" s="1"/>
  <c r="AV277" i="37" s="1"/>
  <c r="AV349" i="37" s="1"/>
  <c r="AV421" i="37" s="1"/>
  <c r="AW79" i="11"/>
  <c r="AW151" i="11" s="1"/>
  <c r="AW47" i="11"/>
  <c r="AW119" i="11" s="1"/>
  <c r="AW83" i="11"/>
  <c r="AW155" i="11" s="1"/>
  <c r="AW51" i="11"/>
  <c r="AW123" i="11" s="1"/>
  <c r="AP150" i="11"/>
  <c r="AP450" i="11" s="1"/>
  <c r="AY78" i="11"/>
  <c r="AY150" i="11" s="1"/>
  <c r="AY234" i="11" s="1"/>
  <c r="AY306" i="11" s="1"/>
  <c r="AY378" i="11" s="1"/>
  <c r="AY450" i="11" s="1"/>
  <c r="AP142" i="11"/>
  <c r="AP442" i="11" s="1"/>
  <c r="AY70" i="11"/>
  <c r="AY142" i="11" s="1"/>
  <c r="AY226" i="11" s="1"/>
  <c r="AY298" i="11" s="1"/>
  <c r="AY370" i="11" s="1"/>
  <c r="AY442" i="11" s="1"/>
  <c r="AP134" i="11"/>
  <c r="AP434" i="11" s="1"/>
  <c r="AY62" i="11"/>
  <c r="AY134" i="11" s="1"/>
  <c r="AY218" i="11" s="1"/>
  <c r="AY290" i="11" s="1"/>
  <c r="AY362" i="11" s="1"/>
  <c r="AY434" i="11" s="1"/>
  <c r="AP126" i="11"/>
  <c r="AP426" i="11" s="1"/>
  <c r="AY54" i="11"/>
  <c r="AY126" i="11" s="1"/>
  <c r="AY210" i="11" s="1"/>
  <c r="AY282" i="11" s="1"/>
  <c r="AY354" i="11" s="1"/>
  <c r="AY426" i="11" s="1"/>
  <c r="AP118" i="11"/>
  <c r="AP418" i="11" s="1"/>
  <c r="AY46" i="11"/>
  <c r="AY118" i="11" s="1"/>
  <c r="AY202" i="11" s="1"/>
  <c r="AY274" i="11" s="1"/>
  <c r="AY346" i="11" s="1"/>
  <c r="AY418" i="11" s="1"/>
  <c r="AP110" i="11"/>
  <c r="AP410" i="11" s="1"/>
  <c r="AY38" i="11"/>
  <c r="AY110" i="11" s="1"/>
  <c r="AY194" i="11" s="1"/>
  <c r="AY266" i="11" s="1"/>
  <c r="AY338" i="11" s="1"/>
  <c r="AY410" i="11" s="1"/>
  <c r="AP102" i="11"/>
  <c r="AP402" i="11" s="1"/>
  <c r="AY30" i="11"/>
  <c r="AY102" i="11" s="1"/>
  <c r="AY186" i="11" s="1"/>
  <c r="AY258" i="11" s="1"/>
  <c r="AY330" i="11" s="1"/>
  <c r="AY402" i="11" s="1"/>
  <c r="AM143" i="11"/>
  <c r="AM443" i="11" s="1"/>
  <c r="AM127" i="11"/>
  <c r="AM427" i="11" s="1"/>
  <c r="AM111" i="11"/>
  <c r="AM411" i="11" s="1"/>
  <c r="AI112" i="37"/>
  <c r="AI196" i="37" s="1"/>
  <c r="AI268" i="37" s="1"/>
  <c r="AI340" i="37" s="1"/>
  <c r="AI412" i="37" s="1"/>
  <c r="AV40" i="37"/>
  <c r="AV112" i="37" s="1"/>
  <c r="AV196" i="37" s="1"/>
  <c r="AV268" i="37" s="1"/>
  <c r="AV340" i="37" s="1"/>
  <c r="AV412" i="37" s="1"/>
  <c r="AI100" i="37"/>
  <c r="AI184" i="37" s="1"/>
  <c r="AI256" i="37" s="1"/>
  <c r="AI328" i="37" s="1"/>
  <c r="AI400" i="37" s="1"/>
  <c r="AV28" i="37"/>
  <c r="AV100" i="37" s="1"/>
  <c r="AV184" i="37" s="1"/>
  <c r="AV256" i="37" s="1"/>
  <c r="AV328" i="37" s="1"/>
  <c r="AV400" i="37" s="1"/>
  <c r="AI111" i="37"/>
  <c r="AI195" i="37" s="1"/>
  <c r="AI267" i="37" s="1"/>
  <c r="AI339" i="37" s="1"/>
  <c r="AI411" i="37" s="1"/>
  <c r="AV39" i="37"/>
  <c r="AV111" i="37" s="1"/>
  <c r="AV195" i="37" s="1"/>
  <c r="AV267" i="37" s="1"/>
  <c r="AV339" i="37" s="1"/>
  <c r="AV411" i="37" s="1"/>
  <c r="AI90" i="37"/>
  <c r="AI174" i="37" s="1"/>
  <c r="AI246" i="37" s="1"/>
  <c r="AI318" i="37" s="1"/>
  <c r="AI390" i="37" s="1"/>
  <c r="AV18" i="37"/>
  <c r="AV90" i="37" s="1"/>
  <c r="AV174" i="37" s="1"/>
  <c r="AV246" i="37" s="1"/>
  <c r="AV318" i="37" s="1"/>
  <c r="AV390" i="37" s="1"/>
  <c r="AM206" i="37"/>
  <c r="AI130" i="37"/>
  <c r="AI214" i="37" s="1"/>
  <c r="AI286" i="37" s="1"/>
  <c r="AI358" i="37" s="1"/>
  <c r="AI430" i="37" s="1"/>
  <c r="AV58" i="37"/>
  <c r="AV130" i="37" s="1"/>
  <c r="AV214" i="37" s="1"/>
  <c r="AV286" i="37" s="1"/>
  <c r="AV358" i="37" s="1"/>
  <c r="AV430" i="37" s="1"/>
  <c r="AI138" i="37"/>
  <c r="AI222" i="37" s="1"/>
  <c r="AI294" i="37" s="1"/>
  <c r="AI366" i="37" s="1"/>
  <c r="AI438" i="37" s="1"/>
  <c r="AV66" i="37"/>
  <c r="AV138" i="37" s="1"/>
  <c r="AV222" i="37" s="1"/>
  <c r="AV294" i="37" s="1"/>
  <c r="AV366" i="37" s="1"/>
  <c r="AV438" i="37" s="1"/>
  <c r="AI146" i="37"/>
  <c r="AI230" i="37" s="1"/>
  <c r="AI302" i="37" s="1"/>
  <c r="AI374" i="37" s="1"/>
  <c r="AI446" i="37" s="1"/>
  <c r="AV74" i="37"/>
  <c r="AV146" i="37" s="1"/>
  <c r="AV230" i="37" s="1"/>
  <c r="AV302" i="37" s="1"/>
  <c r="AV374" i="37" s="1"/>
  <c r="AV446" i="37" s="1"/>
  <c r="AI154" i="37"/>
  <c r="AI238" i="37" s="1"/>
  <c r="AI310" i="37" s="1"/>
  <c r="AI382" i="37" s="1"/>
  <c r="AI454" i="37" s="1"/>
  <c r="AV82" i="37"/>
  <c r="AV154" i="37" s="1"/>
  <c r="AV238" i="37" s="1"/>
  <c r="AV310" i="37" s="1"/>
  <c r="AV382" i="37" s="1"/>
  <c r="AV454" i="37" s="1"/>
  <c r="AW57" i="11"/>
  <c r="AW129" i="11" s="1"/>
  <c r="AW25" i="11"/>
  <c r="AW97" i="11" s="1"/>
  <c r="AO116" i="37"/>
  <c r="AO416" i="37" s="1"/>
  <c r="AP44" i="37"/>
  <c r="AT415" i="37"/>
  <c r="AM132" i="11"/>
  <c r="AM432" i="11" s="1"/>
  <c r="AM108" i="11"/>
  <c r="AM408" i="11" s="1"/>
  <c r="AM155" i="11"/>
  <c r="AM455" i="11" s="1"/>
  <c r="AM139" i="11"/>
  <c r="AM439" i="11" s="1"/>
  <c r="AM123" i="11"/>
  <c r="AM423" i="11" s="1"/>
  <c r="AM107" i="11"/>
  <c r="AM407" i="11" s="1"/>
  <c r="AM99" i="11"/>
  <c r="AM399" i="11" s="1"/>
  <c r="AM92" i="11"/>
  <c r="AM392" i="11" s="1"/>
  <c r="AI128" i="37"/>
  <c r="AI212" i="37" s="1"/>
  <c r="AI284" i="37" s="1"/>
  <c r="AI356" i="37" s="1"/>
  <c r="AI428" i="37" s="1"/>
  <c r="AV56" i="37"/>
  <c r="AV128" i="37" s="1"/>
  <c r="AV212" i="37" s="1"/>
  <c r="AV284" i="37" s="1"/>
  <c r="AV356" i="37" s="1"/>
  <c r="AV428" i="37" s="1"/>
  <c r="AI136" i="37"/>
  <c r="AI220" i="37" s="1"/>
  <c r="AI292" i="37" s="1"/>
  <c r="AI364" i="37" s="1"/>
  <c r="AI436" i="37" s="1"/>
  <c r="AV64" i="37"/>
  <c r="AV136" i="37" s="1"/>
  <c r="AV220" i="37" s="1"/>
  <c r="AV292" i="37" s="1"/>
  <c r="AV364" i="37" s="1"/>
  <c r="AV436" i="37" s="1"/>
  <c r="AI144" i="37"/>
  <c r="AI228" i="37" s="1"/>
  <c r="AI300" i="37" s="1"/>
  <c r="AI372" i="37" s="1"/>
  <c r="AI444" i="37" s="1"/>
  <c r="AV72" i="37"/>
  <c r="AV144" i="37" s="1"/>
  <c r="AV228" i="37" s="1"/>
  <c r="AV300" i="37" s="1"/>
  <c r="AV372" i="37" s="1"/>
  <c r="AV444" i="37" s="1"/>
  <c r="AI152" i="37"/>
  <c r="AI236" i="37" s="1"/>
  <c r="AI308" i="37" s="1"/>
  <c r="AI380" i="37" s="1"/>
  <c r="AI452" i="37" s="1"/>
  <c r="AV80" i="37"/>
  <c r="AV152" i="37" s="1"/>
  <c r="AV236" i="37" s="1"/>
  <c r="AV308" i="37" s="1"/>
  <c r="AV380" i="37" s="1"/>
  <c r="AV452" i="37" s="1"/>
  <c r="AW61" i="11"/>
  <c r="AW133" i="11" s="1"/>
  <c r="AW29" i="11"/>
  <c r="AW101" i="11" s="1"/>
  <c r="AW62" i="11"/>
  <c r="AW134" i="11" s="1"/>
  <c r="AW30" i="11"/>
  <c r="AW102" i="11" s="1"/>
  <c r="AM176" i="37"/>
  <c r="AM187" i="37"/>
  <c r="AM197" i="37"/>
  <c r="AP149" i="11"/>
  <c r="AP449" i="11" s="1"/>
  <c r="AY77" i="11"/>
  <c r="AY149" i="11" s="1"/>
  <c r="AY233" i="11" s="1"/>
  <c r="AY305" i="11" s="1"/>
  <c r="AY377" i="11" s="1"/>
  <c r="AY449" i="11" s="1"/>
  <c r="AP141" i="11"/>
  <c r="AP441" i="11" s="1"/>
  <c r="AY69" i="11"/>
  <c r="AY141" i="11" s="1"/>
  <c r="AY225" i="11" s="1"/>
  <c r="AY297" i="11" s="1"/>
  <c r="AY369" i="11" s="1"/>
  <c r="AY441" i="11" s="1"/>
  <c r="AM179" i="37"/>
  <c r="AM182" i="37"/>
  <c r="AM190" i="37"/>
  <c r="AI118" i="37"/>
  <c r="AI202" i="37" s="1"/>
  <c r="AI274" i="37" s="1"/>
  <c r="AI346" i="37" s="1"/>
  <c r="AI418" i="37" s="1"/>
  <c r="AV46" i="37"/>
  <c r="AV118" i="37" s="1"/>
  <c r="AV202" i="37" s="1"/>
  <c r="AV274" i="37" s="1"/>
  <c r="AV346" i="37" s="1"/>
  <c r="AV418" i="37" s="1"/>
  <c r="AI120" i="37"/>
  <c r="AI204" i="37" s="1"/>
  <c r="AI276" i="37" s="1"/>
  <c r="AI348" i="37" s="1"/>
  <c r="AI420" i="37" s="1"/>
  <c r="AV48" i="37"/>
  <c r="AV120" i="37" s="1"/>
  <c r="AV204" i="37" s="1"/>
  <c r="AV276" i="37" s="1"/>
  <c r="AV348" i="37" s="1"/>
  <c r="AV420" i="37" s="1"/>
  <c r="AP117" i="11"/>
  <c r="AP417" i="11" s="1"/>
  <c r="AY45" i="11"/>
  <c r="AY117" i="11" s="1"/>
  <c r="AY201" i="11" s="1"/>
  <c r="AY273" i="11" s="1"/>
  <c r="AY345" i="11" s="1"/>
  <c r="AY417" i="11" s="1"/>
  <c r="AM221" i="37"/>
  <c r="AM237" i="37"/>
  <c r="AP145" i="11"/>
  <c r="AP445" i="11" s="1"/>
  <c r="AY73" i="11"/>
  <c r="AY145" i="11" s="1"/>
  <c r="AY229" i="11" s="1"/>
  <c r="AY301" i="11" s="1"/>
  <c r="AY373" i="11" s="1"/>
  <c r="AY445" i="11" s="1"/>
  <c r="AM171" i="37"/>
  <c r="AM180" i="37"/>
  <c r="AM188" i="37"/>
  <c r="AM194" i="37"/>
  <c r="AM201" i="37"/>
  <c r="AM210" i="37"/>
  <c r="AM218" i="37"/>
  <c r="AM226" i="37"/>
  <c r="AM234" i="37"/>
  <c r="AO91" i="37"/>
  <c r="AO391" i="37" s="1"/>
  <c r="AP19" i="37"/>
  <c r="AY19" i="37" s="1"/>
  <c r="AT391" i="37"/>
  <c r="AO97" i="37"/>
  <c r="AO397" i="37" s="1"/>
  <c r="AP25" i="37"/>
  <c r="AY25" i="37" s="1"/>
  <c r="AT397" i="37"/>
  <c r="AO105" i="37"/>
  <c r="AO405" i="37" s="1"/>
  <c r="AP33" i="37"/>
  <c r="AT405" i="37"/>
  <c r="AO114" i="37"/>
  <c r="AO414" i="37" s="1"/>
  <c r="AP42" i="37"/>
  <c r="AT419" i="37"/>
  <c r="AO119" i="37"/>
  <c r="AO419" i="37" s="1"/>
  <c r="AP47" i="37"/>
  <c r="AY47" i="37" s="1"/>
  <c r="AO127" i="37"/>
  <c r="AO427" i="37" s="1"/>
  <c r="AP55" i="37"/>
  <c r="AT427" i="37"/>
  <c r="AO135" i="37"/>
  <c r="AO435" i="37" s="1"/>
  <c r="AP63" i="37"/>
  <c r="AT435" i="37"/>
  <c r="AO143" i="37"/>
  <c r="AO443" i="37" s="1"/>
  <c r="AP71" i="37"/>
  <c r="AY71" i="37" s="1"/>
  <c r="AT443" i="37"/>
  <c r="AO151" i="37"/>
  <c r="AO451" i="37" s="1"/>
  <c r="AP79" i="37"/>
  <c r="AY79" i="37" s="1"/>
  <c r="AT451" i="37"/>
  <c r="AP132" i="11"/>
  <c r="AP432" i="11" s="1"/>
  <c r="AY60" i="11"/>
  <c r="AY132" i="11" s="1"/>
  <c r="AY216" i="11" s="1"/>
  <c r="AY288" i="11" s="1"/>
  <c r="AY360" i="11" s="1"/>
  <c r="AY432" i="11" s="1"/>
  <c r="AP124" i="11"/>
  <c r="AP424" i="11" s="1"/>
  <c r="AY52" i="11"/>
  <c r="AY124" i="11" s="1"/>
  <c r="AY208" i="11" s="1"/>
  <c r="AY280" i="11" s="1"/>
  <c r="AY352" i="11" s="1"/>
  <c r="AY424" i="11" s="1"/>
  <c r="AP108" i="11"/>
  <c r="AP408" i="11" s="1"/>
  <c r="AY36" i="11"/>
  <c r="AY108" i="11" s="1"/>
  <c r="AY192" i="11" s="1"/>
  <c r="AY264" i="11" s="1"/>
  <c r="AY336" i="11" s="1"/>
  <c r="AY408" i="11" s="1"/>
  <c r="AP112" i="11"/>
  <c r="AP412" i="11" s="1"/>
  <c r="AY40" i="11"/>
  <c r="AY112" i="11" s="1"/>
  <c r="AY196" i="11" s="1"/>
  <c r="AY268" i="11" s="1"/>
  <c r="AY340" i="11" s="1"/>
  <c r="AY412" i="11" s="1"/>
  <c r="AP92" i="11"/>
  <c r="AP392" i="11" s="1"/>
  <c r="AY20" i="11"/>
  <c r="AY92" i="11" s="1"/>
  <c r="AY176" i="11" s="1"/>
  <c r="AY248" i="11" s="1"/>
  <c r="AY320" i="11" s="1"/>
  <c r="AY392" i="11" s="1"/>
  <c r="AP88" i="11"/>
  <c r="AP388" i="11" s="1"/>
  <c r="AY16" i="11"/>
  <c r="AY88" i="11" s="1"/>
  <c r="AY172" i="11" s="1"/>
  <c r="AY244" i="11" s="1"/>
  <c r="AY316" i="11" s="1"/>
  <c r="AY388" i="11" s="1"/>
  <c r="AM208" i="37"/>
  <c r="AM216" i="37"/>
  <c r="AM224" i="37"/>
  <c r="AM232" i="37"/>
  <c r="AM240" i="37"/>
  <c r="AW20" i="11"/>
  <c r="AW92" i="11" s="1"/>
  <c r="AM186" i="37"/>
  <c r="AM193" i="37"/>
  <c r="AI108" i="37"/>
  <c r="AI192" i="37" s="1"/>
  <c r="AI264" i="37" s="1"/>
  <c r="AI336" i="37" s="1"/>
  <c r="AI408" i="37" s="1"/>
  <c r="AV36" i="37"/>
  <c r="AV108" i="37" s="1"/>
  <c r="AV192" i="37" s="1"/>
  <c r="AV264" i="37" s="1"/>
  <c r="AV336" i="37" s="1"/>
  <c r="AV408" i="37" s="1"/>
  <c r="AI99" i="37"/>
  <c r="AI183" i="37" s="1"/>
  <c r="AI255" i="37" s="1"/>
  <c r="AI327" i="37" s="1"/>
  <c r="AI399" i="37" s="1"/>
  <c r="AV27" i="37"/>
  <c r="AV99" i="37" s="1"/>
  <c r="AV183" i="37" s="1"/>
  <c r="AV255" i="37" s="1"/>
  <c r="AV327" i="37" s="1"/>
  <c r="AV399" i="37" s="1"/>
  <c r="AI107" i="37"/>
  <c r="AI191" i="37" s="1"/>
  <c r="AI263" i="37" s="1"/>
  <c r="AI335" i="37" s="1"/>
  <c r="AI407" i="37" s="1"/>
  <c r="AV35" i="37"/>
  <c r="AV107" i="37" s="1"/>
  <c r="AV191" i="37" s="1"/>
  <c r="AV263" i="37" s="1"/>
  <c r="AV335" i="37" s="1"/>
  <c r="AV407" i="37" s="1"/>
  <c r="AI86" i="37"/>
  <c r="AI170" i="37" s="1"/>
  <c r="AI242" i="37" s="1"/>
  <c r="AI314" i="37" s="1"/>
  <c r="AI386" i="37" s="1"/>
  <c r="AV14" i="37"/>
  <c r="AV86" i="37" s="1"/>
  <c r="AV170" i="37" s="1"/>
  <c r="AV242" i="37" s="1"/>
  <c r="AV314" i="37" s="1"/>
  <c r="AV386" i="37" s="1"/>
  <c r="AT421" i="37"/>
  <c r="AO121" i="37"/>
  <c r="AO421" i="37" s="1"/>
  <c r="AP49" i="37"/>
  <c r="AY49" i="37" s="1"/>
  <c r="AW73" i="11"/>
  <c r="AW145" i="11" s="1"/>
  <c r="AW55" i="11"/>
  <c r="AW127" i="11" s="1"/>
  <c r="AW21" i="11"/>
  <c r="AW93" i="11" s="1"/>
  <c r="AP154" i="11"/>
  <c r="AP454" i="11" s="1"/>
  <c r="AY82" i="11"/>
  <c r="AY154" i="11" s="1"/>
  <c r="AY238" i="11" s="1"/>
  <c r="AY310" i="11" s="1"/>
  <c r="AY382" i="11" s="1"/>
  <c r="AY454" i="11" s="1"/>
  <c r="AP138" i="11"/>
  <c r="AP438" i="11" s="1"/>
  <c r="AY66" i="11"/>
  <c r="AY138" i="11" s="1"/>
  <c r="AY222" i="11" s="1"/>
  <c r="AY294" i="11" s="1"/>
  <c r="AY366" i="11" s="1"/>
  <c r="AY438" i="11" s="1"/>
  <c r="AP130" i="11"/>
  <c r="AP430" i="11" s="1"/>
  <c r="AY58" i="11"/>
  <c r="AY130" i="11" s="1"/>
  <c r="AY214" i="11" s="1"/>
  <c r="AY286" i="11" s="1"/>
  <c r="AY358" i="11" s="1"/>
  <c r="AY430" i="11" s="1"/>
  <c r="AP122" i="11"/>
  <c r="AP422" i="11" s="1"/>
  <c r="AY50" i="11"/>
  <c r="AY122" i="11" s="1"/>
  <c r="AY206" i="11" s="1"/>
  <c r="AY278" i="11" s="1"/>
  <c r="AY350" i="11" s="1"/>
  <c r="AY422" i="11" s="1"/>
  <c r="AP114" i="11"/>
  <c r="AP414" i="11" s="1"/>
  <c r="AY42" i="11"/>
  <c r="AY114" i="11" s="1"/>
  <c r="AY198" i="11" s="1"/>
  <c r="AY270" i="11" s="1"/>
  <c r="AY342" i="11" s="1"/>
  <c r="AY414" i="11" s="1"/>
  <c r="AP106" i="11"/>
  <c r="AP406" i="11" s="1"/>
  <c r="AY34" i="11"/>
  <c r="AY106" i="11" s="1"/>
  <c r="AY190" i="11" s="1"/>
  <c r="AY262" i="11" s="1"/>
  <c r="AY334" i="11" s="1"/>
  <c r="AY406" i="11" s="1"/>
  <c r="AP98" i="11"/>
  <c r="AP398" i="11" s="1"/>
  <c r="AY26" i="11"/>
  <c r="AY98" i="11" s="1"/>
  <c r="AY182" i="11" s="1"/>
  <c r="AY254" i="11" s="1"/>
  <c r="AY326" i="11" s="1"/>
  <c r="AY398" i="11" s="1"/>
  <c r="AW40" i="11"/>
  <c r="AW112" i="11" s="1"/>
  <c r="AW59" i="11"/>
  <c r="AW131" i="11" s="1"/>
  <c r="AW27" i="11"/>
  <c r="AW99" i="11" s="1"/>
  <c r="AW74" i="11"/>
  <c r="AW146" i="11" s="1"/>
  <c r="AM172" i="37"/>
  <c r="AP152" i="11"/>
  <c r="AP452" i="11" s="1"/>
  <c r="AY80" i="11"/>
  <c r="AY152" i="11" s="1"/>
  <c r="AY236" i="11" s="1"/>
  <c r="AY308" i="11" s="1"/>
  <c r="AY380" i="11" s="1"/>
  <c r="AY452" i="11" s="1"/>
  <c r="AP144" i="11"/>
  <c r="AP444" i="11" s="1"/>
  <c r="AY72" i="11"/>
  <c r="AY144" i="11" s="1"/>
  <c r="AY228" i="11" s="1"/>
  <c r="AY300" i="11" s="1"/>
  <c r="AY372" i="11" s="1"/>
  <c r="AY444" i="11" s="1"/>
  <c r="AP136" i="11"/>
  <c r="AP436" i="11" s="1"/>
  <c r="AY64" i="11"/>
  <c r="AY136" i="11" s="1"/>
  <c r="AY220" i="11" s="1"/>
  <c r="AY292" i="11" s="1"/>
  <c r="AY364" i="11" s="1"/>
  <c r="AY436" i="11" s="1"/>
  <c r="AP128" i="11"/>
  <c r="AP428" i="11" s="1"/>
  <c r="AY56" i="11"/>
  <c r="AY128" i="11" s="1"/>
  <c r="AY212" i="11" s="1"/>
  <c r="AY284" i="11" s="1"/>
  <c r="AY356" i="11" s="1"/>
  <c r="AY428" i="11" s="1"/>
  <c r="AP120" i="11"/>
  <c r="AP420" i="11" s="1"/>
  <c r="AY48" i="11"/>
  <c r="AY120" i="11" s="1"/>
  <c r="AY204" i="11" s="1"/>
  <c r="AY276" i="11" s="1"/>
  <c r="AY348" i="11" s="1"/>
  <c r="AY420" i="11" s="1"/>
  <c r="AP104" i="11"/>
  <c r="AP404" i="11" s="1"/>
  <c r="AY32" i="11"/>
  <c r="AY104" i="11" s="1"/>
  <c r="AY188" i="11" s="1"/>
  <c r="AY260" i="11" s="1"/>
  <c r="AY332" i="11" s="1"/>
  <c r="AY404" i="11" s="1"/>
  <c r="AP96" i="11"/>
  <c r="AP396" i="11" s="1"/>
  <c r="AY24" i="11"/>
  <c r="AY96" i="11" s="1"/>
  <c r="AY180" i="11" s="1"/>
  <c r="AY252" i="11" s="1"/>
  <c r="AY324" i="11" s="1"/>
  <c r="AY396" i="11" s="1"/>
  <c r="AP156" i="11"/>
  <c r="AP456" i="11" s="1"/>
  <c r="AY84" i="11"/>
  <c r="AY156" i="11" s="1"/>
  <c r="AY240" i="11" s="1"/>
  <c r="AY312" i="11" s="1"/>
  <c r="AY384" i="11" s="1"/>
  <c r="AY456" i="11" s="1"/>
  <c r="AP148" i="11"/>
  <c r="AP448" i="11" s="1"/>
  <c r="AY76" i="11"/>
  <c r="AY148" i="11" s="1"/>
  <c r="AY232" i="11" s="1"/>
  <c r="AY304" i="11" s="1"/>
  <c r="AY376" i="11" s="1"/>
  <c r="AY448" i="11" s="1"/>
  <c r="AP140" i="11"/>
  <c r="AP440" i="11" s="1"/>
  <c r="AY68" i="11"/>
  <c r="AY140" i="11" s="1"/>
  <c r="AY224" i="11" s="1"/>
  <c r="AY296" i="11" s="1"/>
  <c r="AY368" i="11" s="1"/>
  <c r="AY440" i="11" s="1"/>
  <c r="AM209" i="37"/>
  <c r="AM217" i="37"/>
  <c r="AM225" i="37"/>
  <c r="AM233" i="37"/>
  <c r="AO100" i="37"/>
  <c r="AO400" i="37" s="1"/>
  <c r="AP28" i="37"/>
  <c r="AY28" i="37" s="1"/>
  <c r="AT400" i="37"/>
  <c r="AO111" i="37"/>
  <c r="AO411" i="37" s="1"/>
  <c r="AP39" i="37"/>
  <c r="AY39" i="37" s="1"/>
  <c r="AT390" i="37"/>
  <c r="AO90" i="37"/>
  <c r="AO390" i="37" s="1"/>
  <c r="AP18" i="37"/>
  <c r="AY18" i="37" s="1"/>
  <c r="AI122" i="37"/>
  <c r="AI206" i="37" s="1"/>
  <c r="AI278" i="37" s="1"/>
  <c r="AI350" i="37" s="1"/>
  <c r="AI422" i="37" s="1"/>
  <c r="AV50" i="37"/>
  <c r="AV122" i="37" s="1"/>
  <c r="AV206" i="37" s="1"/>
  <c r="AV278" i="37" s="1"/>
  <c r="AV350" i="37" s="1"/>
  <c r="AV422" i="37" s="1"/>
  <c r="AT422" i="37"/>
  <c r="AO130" i="37"/>
  <c r="AO430" i="37" s="1"/>
  <c r="AP58" i="37"/>
  <c r="AY58" i="37" s="1"/>
  <c r="AT430" i="37"/>
  <c r="AO138" i="37"/>
  <c r="AO438" i="37" s="1"/>
  <c r="AP66" i="37"/>
  <c r="AT438" i="37"/>
  <c r="AO146" i="37"/>
  <c r="AO446" i="37" s="1"/>
  <c r="AP74" i="37"/>
  <c r="AY74" i="37" s="1"/>
  <c r="AT446" i="37"/>
  <c r="AO154" i="37"/>
  <c r="AO454" i="37" s="1"/>
  <c r="AP82" i="37"/>
  <c r="AY82" i="37" s="1"/>
  <c r="AT454" i="37"/>
  <c r="AW65" i="11"/>
  <c r="AW137" i="11" s="1"/>
  <c r="AW33" i="11"/>
  <c r="AW105" i="11" s="1"/>
  <c r="AW28" i="11"/>
  <c r="AW100" i="11" s="1"/>
  <c r="AW58" i="11"/>
  <c r="AW130" i="11" s="1"/>
  <c r="AW26" i="11"/>
  <c r="AW98" i="11" s="1"/>
  <c r="AT416" i="37"/>
  <c r="AM200" i="37"/>
  <c r="AM185" i="37"/>
  <c r="AM199" i="37"/>
  <c r="AM178" i="37"/>
  <c r="AM207" i="37"/>
  <c r="AM215" i="37"/>
  <c r="AM223" i="37"/>
  <c r="AM231" i="37"/>
  <c r="AM239" i="37"/>
  <c r="AP56" i="37"/>
  <c r="AY56" i="37" s="1"/>
  <c r="AO128" i="37"/>
  <c r="AO428" i="37" s="1"/>
  <c r="AT428" i="37"/>
  <c r="AP64" i="37"/>
  <c r="AY64" i="37" s="1"/>
  <c r="AO136" i="37"/>
  <c r="AO436" i="37" s="1"/>
  <c r="AT436" i="37"/>
  <c r="AP72" i="37"/>
  <c r="AO144" i="37"/>
  <c r="AO444" i="37" s="1"/>
  <c r="AT444" i="37"/>
  <c r="AP80" i="37"/>
  <c r="AO152" i="37"/>
  <c r="AO452" i="37" s="1"/>
  <c r="AT452" i="37"/>
  <c r="AW37" i="11"/>
  <c r="AW109" i="11" s="1"/>
  <c r="AW80" i="11"/>
  <c r="AW152" i="11" s="1"/>
  <c r="AW48" i="11"/>
  <c r="AW120" i="11" s="1"/>
  <c r="AW84" i="11"/>
  <c r="AW156" i="11" s="1"/>
  <c r="AW70" i="11"/>
  <c r="AW142" i="11" s="1"/>
  <c r="AW38" i="11"/>
  <c r="AW110" i="11" s="1"/>
  <c r="AI92" i="37"/>
  <c r="AI176" i="37" s="1"/>
  <c r="AI248" i="37" s="1"/>
  <c r="AI320" i="37" s="1"/>
  <c r="AI392" i="37" s="1"/>
  <c r="AV20" i="37"/>
  <c r="AV92" i="37" s="1"/>
  <c r="AV176" i="37" s="1"/>
  <c r="AV248" i="37" s="1"/>
  <c r="AV320" i="37" s="1"/>
  <c r="AV392" i="37" s="1"/>
  <c r="AI103" i="37"/>
  <c r="AI187" i="37" s="1"/>
  <c r="AI259" i="37" s="1"/>
  <c r="AI331" i="37" s="1"/>
  <c r="AI403" i="37" s="1"/>
  <c r="AV31" i="37"/>
  <c r="AV103" i="37" s="1"/>
  <c r="AV187" i="37" s="1"/>
  <c r="AV259" i="37" s="1"/>
  <c r="AV331" i="37" s="1"/>
  <c r="AV403" i="37" s="1"/>
  <c r="AM177" i="37"/>
  <c r="AO113" i="37"/>
  <c r="AO413" i="37" s="1"/>
  <c r="AP41" i="37"/>
  <c r="AI113" i="37"/>
  <c r="AI197" i="37" s="1"/>
  <c r="AI269" i="37" s="1"/>
  <c r="AI341" i="37" s="1"/>
  <c r="AI413" i="37" s="1"/>
  <c r="AV41" i="37"/>
  <c r="AV113" i="37" s="1"/>
  <c r="AV197" i="37" s="1"/>
  <c r="AV269" i="37" s="1"/>
  <c r="AV341" i="37" s="1"/>
  <c r="AV413" i="37" s="1"/>
  <c r="AI95" i="37"/>
  <c r="AI179" i="37" s="1"/>
  <c r="AI251" i="37" s="1"/>
  <c r="AI323" i="37" s="1"/>
  <c r="AI395" i="37" s="1"/>
  <c r="AV23" i="37"/>
  <c r="AV95" i="37" s="1"/>
  <c r="AV179" i="37" s="1"/>
  <c r="AV251" i="37" s="1"/>
  <c r="AV323" i="37" s="1"/>
  <c r="AV395" i="37" s="1"/>
  <c r="AI98" i="37"/>
  <c r="AI182" i="37" s="1"/>
  <c r="AI254" i="37" s="1"/>
  <c r="AI326" i="37" s="1"/>
  <c r="AI398" i="37" s="1"/>
  <c r="AV26" i="37"/>
  <c r="AV98" i="37" s="1"/>
  <c r="AV182" i="37" s="1"/>
  <c r="AV254" i="37" s="1"/>
  <c r="AV326" i="37" s="1"/>
  <c r="AV398" i="37" s="1"/>
  <c r="AI106" i="37"/>
  <c r="AI190" i="37" s="1"/>
  <c r="AI262" i="37" s="1"/>
  <c r="AI334" i="37" s="1"/>
  <c r="AI406" i="37" s="1"/>
  <c r="AV34" i="37"/>
  <c r="AV106" i="37" s="1"/>
  <c r="AV190" i="37" s="1"/>
  <c r="AV262" i="37" s="1"/>
  <c r="AV334" i="37" s="1"/>
  <c r="AV406" i="37" s="1"/>
  <c r="AT420" i="37"/>
  <c r="AO120" i="37"/>
  <c r="AO420" i="37" s="1"/>
  <c r="AP48" i="37"/>
  <c r="AM229" i="37"/>
  <c r="AI137" i="37"/>
  <c r="AI221" i="37" s="1"/>
  <c r="AI293" i="37" s="1"/>
  <c r="AI365" i="37" s="1"/>
  <c r="AI437" i="37" s="1"/>
  <c r="AV65" i="37"/>
  <c r="AV137" i="37" s="1"/>
  <c r="AV221" i="37" s="1"/>
  <c r="AV293" i="37" s="1"/>
  <c r="AV365" i="37" s="1"/>
  <c r="AV437" i="37" s="1"/>
  <c r="AI153" i="37"/>
  <c r="AI237" i="37" s="1"/>
  <c r="AI309" i="37" s="1"/>
  <c r="AI381" i="37" s="1"/>
  <c r="AI453" i="37" s="1"/>
  <c r="AV81" i="37"/>
  <c r="AV153" i="37" s="1"/>
  <c r="AV237" i="37" s="1"/>
  <c r="AV309" i="37" s="1"/>
  <c r="AV381" i="37" s="1"/>
  <c r="AV453" i="37" s="1"/>
  <c r="AI87" i="37"/>
  <c r="AI171" i="37" s="1"/>
  <c r="AI243" i="37" s="1"/>
  <c r="AI315" i="37" s="1"/>
  <c r="AI387" i="37" s="1"/>
  <c r="AV15" i="37"/>
  <c r="AV87" i="37" s="1"/>
  <c r="AV171" i="37" s="1"/>
  <c r="AV243" i="37" s="1"/>
  <c r="AV315" i="37" s="1"/>
  <c r="AV387" i="37" s="1"/>
  <c r="AI96" i="37"/>
  <c r="AI180" i="37" s="1"/>
  <c r="AI252" i="37" s="1"/>
  <c r="AI324" i="37" s="1"/>
  <c r="AI396" i="37" s="1"/>
  <c r="AV24" i="37"/>
  <c r="AV96" i="37" s="1"/>
  <c r="AV180" i="37" s="1"/>
  <c r="AV252" i="37" s="1"/>
  <c r="AV324" i="37" s="1"/>
  <c r="AV396" i="37" s="1"/>
  <c r="AI104" i="37"/>
  <c r="AI188" i="37" s="1"/>
  <c r="AI260" i="37" s="1"/>
  <c r="AI332" i="37" s="1"/>
  <c r="AI404" i="37" s="1"/>
  <c r="AV32" i="37"/>
  <c r="AV104" i="37" s="1"/>
  <c r="AV188" i="37" s="1"/>
  <c r="AV260" i="37" s="1"/>
  <c r="AV332" i="37" s="1"/>
  <c r="AV404" i="37" s="1"/>
  <c r="AI110" i="37"/>
  <c r="AI194" i="37" s="1"/>
  <c r="AI266" i="37" s="1"/>
  <c r="AI338" i="37" s="1"/>
  <c r="AI410" i="37" s="1"/>
  <c r="AV38" i="37"/>
  <c r="AV110" i="37" s="1"/>
  <c r="AV194" i="37" s="1"/>
  <c r="AV266" i="37" s="1"/>
  <c r="AV338" i="37" s="1"/>
  <c r="AV410" i="37" s="1"/>
  <c r="AO117" i="37"/>
  <c r="AO417" i="37" s="1"/>
  <c r="AP45" i="37"/>
  <c r="AI117" i="37"/>
  <c r="AI201" i="37" s="1"/>
  <c r="AI273" i="37" s="1"/>
  <c r="AI345" i="37" s="1"/>
  <c r="AI417" i="37" s="1"/>
  <c r="AV45" i="37"/>
  <c r="AV117" i="37" s="1"/>
  <c r="AV201" i="37" s="1"/>
  <c r="AV273" i="37" s="1"/>
  <c r="AV345" i="37" s="1"/>
  <c r="AV417" i="37" s="1"/>
  <c r="AI126" i="37"/>
  <c r="AI210" i="37" s="1"/>
  <c r="AI282" i="37" s="1"/>
  <c r="AI354" i="37" s="1"/>
  <c r="AI426" i="37" s="1"/>
  <c r="AV54" i="37"/>
  <c r="AV126" i="37" s="1"/>
  <c r="AV210" i="37" s="1"/>
  <c r="AV282" i="37" s="1"/>
  <c r="AV354" i="37" s="1"/>
  <c r="AV426" i="37" s="1"/>
  <c r="AI134" i="37"/>
  <c r="AI218" i="37" s="1"/>
  <c r="AI290" i="37" s="1"/>
  <c r="AI362" i="37" s="1"/>
  <c r="AI434" i="37" s="1"/>
  <c r="AV62" i="37"/>
  <c r="AV134" i="37" s="1"/>
  <c r="AV218" i="37" s="1"/>
  <c r="AV290" i="37" s="1"/>
  <c r="AV362" i="37" s="1"/>
  <c r="AV434" i="37" s="1"/>
  <c r="AI142" i="37"/>
  <c r="AI226" i="37" s="1"/>
  <c r="AI298" i="37" s="1"/>
  <c r="AI370" i="37" s="1"/>
  <c r="AI442" i="37" s="1"/>
  <c r="AV70" i="37"/>
  <c r="AV142" i="37" s="1"/>
  <c r="AV226" i="37" s="1"/>
  <c r="AV298" i="37" s="1"/>
  <c r="AV370" i="37" s="1"/>
  <c r="AV442" i="37" s="1"/>
  <c r="AI150" i="37"/>
  <c r="AI234" i="37" s="1"/>
  <c r="AI306" i="37" s="1"/>
  <c r="AI378" i="37" s="1"/>
  <c r="AI450" i="37" s="1"/>
  <c r="AV78" i="37"/>
  <c r="AV150" i="37" s="1"/>
  <c r="AV234" i="37" s="1"/>
  <c r="AV306" i="37" s="1"/>
  <c r="AV378" i="37" s="1"/>
  <c r="AV450" i="37" s="1"/>
  <c r="AX91" i="37"/>
  <c r="AX175" i="37" s="1"/>
  <c r="AX247" i="37" s="1"/>
  <c r="AX319" i="37" s="1"/>
  <c r="AX391" i="37" s="1"/>
  <c r="AX97" i="37"/>
  <c r="AX181" i="37" s="1"/>
  <c r="AX253" i="37" s="1"/>
  <c r="AX325" i="37" s="1"/>
  <c r="AX397" i="37" s="1"/>
  <c r="AX105" i="37"/>
  <c r="AX189" i="37" s="1"/>
  <c r="AX261" i="37" s="1"/>
  <c r="AX333" i="37" s="1"/>
  <c r="AX405" i="37" s="1"/>
  <c r="AT414" i="37"/>
  <c r="AX127" i="37"/>
  <c r="AX211" i="37" s="1"/>
  <c r="AX283" i="37" s="1"/>
  <c r="AX355" i="37" s="1"/>
  <c r="AX427" i="37" s="1"/>
  <c r="AX135" i="37"/>
  <c r="AX219" i="37" s="1"/>
  <c r="AX291" i="37" s="1"/>
  <c r="AX363" i="37" s="1"/>
  <c r="AX435" i="37" s="1"/>
  <c r="AX143" i="37"/>
  <c r="AX227" i="37" s="1"/>
  <c r="AX299" i="37" s="1"/>
  <c r="AX371" i="37" s="1"/>
  <c r="AX443" i="37" s="1"/>
  <c r="AX151" i="37"/>
  <c r="AX235" i="37" s="1"/>
  <c r="AX307" i="37" s="1"/>
  <c r="AX379" i="37" s="1"/>
  <c r="AX451" i="37" s="1"/>
  <c r="AI124" i="37"/>
  <c r="AI208" i="37" s="1"/>
  <c r="AI280" i="37" s="1"/>
  <c r="AI352" i="37" s="1"/>
  <c r="AI424" i="37" s="1"/>
  <c r="AV52" i="37"/>
  <c r="AV124" i="37" s="1"/>
  <c r="AV208" i="37" s="1"/>
  <c r="AV280" i="37" s="1"/>
  <c r="AV352" i="37" s="1"/>
  <c r="AV424" i="37" s="1"/>
  <c r="AI132" i="37"/>
  <c r="AI216" i="37" s="1"/>
  <c r="AI288" i="37" s="1"/>
  <c r="AI360" i="37" s="1"/>
  <c r="AI432" i="37" s="1"/>
  <c r="AV60" i="37"/>
  <c r="AV132" i="37" s="1"/>
  <c r="AV216" i="37" s="1"/>
  <c r="AV288" i="37" s="1"/>
  <c r="AV360" i="37" s="1"/>
  <c r="AV432" i="37" s="1"/>
  <c r="AI140" i="37"/>
  <c r="AI224" i="37" s="1"/>
  <c r="AI296" i="37" s="1"/>
  <c r="AI368" i="37" s="1"/>
  <c r="AI440" i="37" s="1"/>
  <c r="AV68" i="37"/>
  <c r="AV140" i="37" s="1"/>
  <c r="AV224" i="37" s="1"/>
  <c r="AV296" i="37" s="1"/>
  <c r="AV368" i="37" s="1"/>
  <c r="AV440" i="37" s="1"/>
  <c r="AI148" i="37"/>
  <c r="AI232" i="37" s="1"/>
  <c r="AI304" i="37" s="1"/>
  <c r="AI376" i="37" s="1"/>
  <c r="AI448" i="37" s="1"/>
  <c r="AV76" i="37"/>
  <c r="AV148" i="37" s="1"/>
  <c r="AV232" i="37" s="1"/>
  <c r="AV304" i="37" s="1"/>
  <c r="AV376" i="37" s="1"/>
  <c r="AV448" i="37" s="1"/>
  <c r="AI156" i="37"/>
  <c r="AI240" i="37" s="1"/>
  <c r="AI312" i="37" s="1"/>
  <c r="AI384" i="37" s="1"/>
  <c r="AI456" i="37" s="1"/>
  <c r="AV84" i="37"/>
  <c r="AV156" i="37" s="1"/>
  <c r="AV240" i="37" s="1"/>
  <c r="AV312" i="37" s="1"/>
  <c r="AV384" i="37" s="1"/>
  <c r="AV456" i="37" s="1"/>
  <c r="AP89" i="11"/>
  <c r="AP389" i="11" s="1"/>
  <c r="AY17" i="11"/>
  <c r="AY89" i="11" s="1"/>
  <c r="AY173" i="11" s="1"/>
  <c r="AY245" i="11" s="1"/>
  <c r="AY317" i="11" s="1"/>
  <c r="AY389" i="11" s="1"/>
  <c r="AI102" i="37"/>
  <c r="AI186" i="37" s="1"/>
  <c r="AI258" i="37" s="1"/>
  <c r="AI330" i="37" s="1"/>
  <c r="AI402" i="37" s="1"/>
  <c r="AV30" i="37"/>
  <c r="AV102" i="37" s="1"/>
  <c r="AV186" i="37" s="1"/>
  <c r="AV258" i="37" s="1"/>
  <c r="AV330" i="37" s="1"/>
  <c r="AV402" i="37" s="1"/>
  <c r="AM173" i="37"/>
  <c r="AO109" i="37"/>
  <c r="AO409" i="37" s="1"/>
  <c r="AP37" i="37"/>
  <c r="AY37" i="37" s="1"/>
  <c r="AI109" i="37"/>
  <c r="AI193" i="37" s="1"/>
  <c r="AI265" i="37" s="1"/>
  <c r="AI337" i="37" s="1"/>
  <c r="AI409" i="37" s="1"/>
  <c r="AV37" i="37"/>
  <c r="AV109" i="37" s="1"/>
  <c r="AV193" i="37" s="1"/>
  <c r="AV265" i="37" s="1"/>
  <c r="AV337" i="37" s="1"/>
  <c r="AV409" i="37" s="1"/>
  <c r="AP94" i="11"/>
  <c r="AP394" i="11" s="1"/>
  <c r="AY22" i="11"/>
  <c r="AY94" i="11" s="1"/>
  <c r="AY178" i="11" s="1"/>
  <c r="AY250" i="11" s="1"/>
  <c r="AY322" i="11" s="1"/>
  <c r="AY394" i="11" s="1"/>
  <c r="AO99" i="37"/>
  <c r="AO399" i="37" s="1"/>
  <c r="AP27" i="37"/>
  <c r="AT399" i="37"/>
  <c r="AO107" i="37"/>
  <c r="AO407" i="37" s="1"/>
  <c r="AP35" i="37"/>
  <c r="AT386" i="37"/>
  <c r="AO86" i="37"/>
  <c r="AO386" i="37" s="1"/>
  <c r="AP14" i="37"/>
  <c r="AY14" i="37" s="1"/>
  <c r="AX121" i="37"/>
  <c r="AX205" i="37" s="1"/>
  <c r="AX277" i="37" s="1"/>
  <c r="AX349" i="37" s="1"/>
  <c r="AX421" i="37" s="1"/>
  <c r="AW81" i="11"/>
  <c r="AW153" i="11" s="1"/>
  <c r="AW63" i="11"/>
  <c r="AW135" i="11" s="1"/>
  <c r="AW31" i="11"/>
  <c r="AW103" i="11" s="1"/>
  <c r="AP95" i="11"/>
  <c r="AP395" i="11" s="1"/>
  <c r="AY23" i="11"/>
  <c r="AY95" i="11" s="1"/>
  <c r="AY179" i="11" s="1"/>
  <c r="AY251" i="11" s="1"/>
  <c r="AY323" i="11" s="1"/>
  <c r="AY395" i="11" s="1"/>
  <c r="AP91" i="11"/>
  <c r="AP391" i="11" s="1"/>
  <c r="AY19" i="11"/>
  <c r="AY91" i="11" s="1"/>
  <c r="AY175" i="11" s="1"/>
  <c r="AY247" i="11" s="1"/>
  <c r="AY319" i="11" s="1"/>
  <c r="AY391" i="11" s="1"/>
  <c r="AP87" i="11"/>
  <c r="AP387" i="11" s="1"/>
  <c r="AY15" i="11"/>
  <c r="AY87" i="11" s="1"/>
  <c r="AY171" i="11" s="1"/>
  <c r="AY243" i="11" s="1"/>
  <c r="AY315" i="11" s="1"/>
  <c r="AY387" i="11" s="1"/>
  <c r="AM141" i="11"/>
  <c r="AM441" i="11" s="1"/>
  <c r="AW36" i="11"/>
  <c r="AW108" i="11" s="1"/>
  <c r="AW67" i="11"/>
  <c r="AW139" i="11" s="1"/>
  <c r="AW35" i="11"/>
  <c r="AW107" i="11" s="1"/>
  <c r="AI88" i="37"/>
  <c r="AI172" i="37" s="1"/>
  <c r="AI244" i="37" s="1"/>
  <c r="AI316" i="37" s="1"/>
  <c r="AI388" i="37" s="1"/>
  <c r="AV16" i="37"/>
  <c r="AV88" i="37" s="1"/>
  <c r="AV172" i="37" s="1"/>
  <c r="AV244" i="37" s="1"/>
  <c r="AV316" i="37" s="1"/>
  <c r="AV388" i="37" s="1"/>
  <c r="AP90" i="11"/>
  <c r="AP390" i="11" s="1"/>
  <c r="AY18" i="11"/>
  <c r="AY90" i="11" s="1"/>
  <c r="AY174" i="11" s="1"/>
  <c r="AY246" i="11" s="1"/>
  <c r="AY318" i="11" s="1"/>
  <c r="AY390" i="11" s="1"/>
  <c r="AP86" i="11"/>
  <c r="AP386" i="11" s="1"/>
  <c r="AY14" i="11"/>
  <c r="AY86" i="11" s="1"/>
  <c r="AY170" i="11" s="1"/>
  <c r="AY242" i="11" s="1"/>
  <c r="AY314" i="11" s="1"/>
  <c r="AY386" i="11" s="1"/>
  <c r="AI125" i="37"/>
  <c r="AI209" i="37" s="1"/>
  <c r="AI281" i="37" s="1"/>
  <c r="AI353" i="37" s="1"/>
  <c r="AI425" i="37" s="1"/>
  <c r="AV53" i="37"/>
  <c r="AV125" i="37" s="1"/>
  <c r="AV209" i="37" s="1"/>
  <c r="AV281" i="37" s="1"/>
  <c r="AV353" i="37" s="1"/>
  <c r="AV425" i="37" s="1"/>
  <c r="AI133" i="37"/>
  <c r="AI217" i="37" s="1"/>
  <c r="AI289" i="37" s="1"/>
  <c r="AI361" i="37" s="1"/>
  <c r="AI433" i="37" s="1"/>
  <c r="AV61" i="37"/>
  <c r="AV133" i="37" s="1"/>
  <c r="AV217" i="37" s="1"/>
  <c r="AV289" i="37" s="1"/>
  <c r="AV361" i="37" s="1"/>
  <c r="AV433" i="37" s="1"/>
  <c r="AI141" i="37"/>
  <c r="AI225" i="37" s="1"/>
  <c r="AI297" i="37" s="1"/>
  <c r="AI369" i="37" s="1"/>
  <c r="AI441" i="37" s="1"/>
  <c r="AV69" i="37"/>
  <c r="AV141" i="37" s="1"/>
  <c r="AV225" i="37" s="1"/>
  <c r="AV297" i="37" s="1"/>
  <c r="AV369" i="37" s="1"/>
  <c r="AV441" i="37" s="1"/>
  <c r="AI149" i="37"/>
  <c r="AI233" i="37" s="1"/>
  <c r="AI305" i="37" s="1"/>
  <c r="AI377" i="37" s="1"/>
  <c r="AI449" i="37" s="1"/>
  <c r="AV77" i="37"/>
  <c r="AV149" i="37" s="1"/>
  <c r="AV233" i="37" s="1"/>
  <c r="AV305" i="37" s="1"/>
  <c r="AV377" i="37" s="1"/>
  <c r="AV449" i="37" s="1"/>
  <c r="AO112" i="37"/>
  <c r="AO412" i="37" s="1"/>
  <c r="AP40" i="37"/>
  <c r="AY40" i="37" s="1"/>
  <c r="AX100" i="37"/>
  <c r="AX184" i="37" s="1"/>
  <c r="AX256" i="37" s="1"/>
  <c r="AX328" i="37" s="1"/>
  <c r="AX400" i="37" s="1"/>
  <c r="AT411" i="37"/>
  <c r="AX90" i="37"/>
  <c r="AX174" i="37" s="1"/>
  <c r="AX246" i="37" s="1"/>
  <c r="AX318" i="37" s="1"/>
  <c r="AX390" i="37" s="1"/>
  <c r="AO122" i="37"/>
  <c r="AO422" i="37" s="1"/>
  <c r="AP50" i="37"/>
  <c r="AY50" i="37" s="1"/>
  <c r="AX122" i="37"/>
  <c r="AX206" i="37" s="1"/>
  <c r="AX278" i="37" s="1"/>
  <c r="AX350" i="37" s="1"/>
  <c r="AX422" i="37" s="1"/>
  <c r="AX130" i="37"/>
  <c r="AX214" i="37" s="1"/>
  <c r="AX286" i="37" s="1"/>
  <c r="AX358" i="37" s="1"/>
  <c r="AX430" i="37" s="1"/>
  <c r="AX138" i="37"/>
  <c r="AX222" i="37" s="1"/>
  <c r="AX294" i="37" s="1"/>
  <c r="AX366" i="37" s="1"/>
  <c r="AX438" i="37" s="1"/>
  <c r="AX146" i="37"/>
  <c r="AX230" i="37" s="1"/>
  <c r="AX302" i="37" s="1"/>
  <c r="AX374" i="37" s="1"/>
  <c r="AX446" i="37" s="1"/>
  <c r="AX154" i="37"/>
  <c r="AX238" i="37" s="1"/>
  <c r="AX310" i="37" s="1"/>
  <c r="AX382" i="37" s="1"/>
  <c r="AX454" i="37" s="1"/>
  <c r="AW41" i="11"/>
  <c r="AW113" i="11" s="1"/>
  <c r="AW23" i="11"/>
  <c r="AW95" i="11" s="1"/>
  <c r="AW44" i="11"/>
  <c r="AW116" i="11" s="1"/>
  <c r="AW15" i="11"/>
  <c r="AW87" i="11" s="1"/>
  <c r="AM93" i="11"/>
  <c r="AM393" i="11" s="1"/>
  <c r="AW66" i="11"/>
  <c r="AW138" i="11" s="1"/>
  <c r="AW34" i="11"/>
  <c r="AW106" i="11" s="1"/>
  <c r="AI116" i="37"/>
  <c r="AI200" i="37" s="1"/>
  <c r="AI272" i="37" s="1"/>
  <c r="AI344" i="37" s="1"/>
  <c r="AI416" i="37" s="1"/>
  <c r="AV44" i="37"/>
  <c r="AV116" i="37" s="1"/>
  <c r="AV200" i="37" s="1"/>
  <c r="AV272" i="37" s="1"/>
  <c r="AV344" i="37" s="1"/>
  <c r="AV416" i="37" s="1"/>
  <c r="AI101" i="37"/>
  <c r="AI185" i="37" s="1"/>
  <c r="AI257" i="37" s="1"/>
  <c r="AI329" i="37" s="1"/>
  <c r="AI401" i="37" s="1"/>
  <c r="AV29" i="37"/>
  <c r="AV101" i="37" s="1"/>
  <c r="AV185" i="37" s="1"/>
  <c r="AV257" i="37" s="1"/>
  <c r="AV329" i="37" s="1"/>
  <c r="AV401" i="37" s="1"/>
  <c r="AI115" i="37"/>
  <c r="AI199" i="37" s="1"/>
  <c r="AI271" i="37" s="1"/>
  <c r="AI343" i="37" s="1"/>
  <c r="AI415" i="37" s="1"/>
  <c r="AV43" i="37"/>
  <c r="AV115" i="37" s="1"/>
  <c r="AV199" i="37" s="1"/>
  <c r="AV271" i="37" s="1"/>
  <c r="AV343" i="37" s="1"/>
  <c r="AV415" i="37" s="1"/>
  <c r="AI94" i="37"/>
  <c r="AI178" i="37" s="1"/>
  <c r="AI250" i="37" s="1"/>
  <c r="AI322" i="37" s="1"/>
  <c r="AI394" i="37" s="1"/>
  <c r="AV22" i="37"/>
  <c r="AV94" i="37" s="1"/>
  <c r="AV178" i="37" s="1"/>
  <c r="AV250" i="37" s="1"/>
  <c r="AV322" i="37" s="1"/>
  <c r="AV394" i="37" s="1"/>
  <c r="AI123" i="37"/>
  <c r="AI207" i="37" s="1"/>
  <c r="AI279" i="37" s="1"/>
  <c r="AI351" i="37" s="1"/>
  <c r="AI423" i="37" s="1"/>
  <c r="AV51" i="37"/>
  <c r="AV123" i="37" s="1"/>
  <c r="AV207" i="37" s="1"/>
  <c r="AV279" i="37" s="1"/>
  <c r="AV351" i="37" s="1"/>
  <c r="AV423" i="37" s="1"/>
  <c r="AI131" i="37"/>
  <c r="AI215" i="37" s="1"/>
  <c r="AI287" i="37" s="1"/>
  <c r="AI359" i="37" s="1"/>
  <c r="AI431" i="37" s="1"/>
  <c r="AV59" i="37"/>
  <c r="AV131" i="37" s="1"/>
  <c r="AV215" i="37" s="1"/>
  <c r="AV287" i="37" s="1"/>
  <c r="AV359" i="37" s="1"/>
  <c r="AV431" i="37" s="1"/>
  <c r="AI139" i="37"/>
  <c r="AI223" i="37" s="1"/>
  <c r="AI295" i="37" s="1"/>
  <c r="AI367" i="37" s="1"/>
  <c r="AI439" i="37" s="1"/>
  <c r="AV67" i="37"/>
  <c r="AV139" i="37" s="1"/>
  <c r="AV223" i="37" s="1"/>
  <c r="AV295" i="37" s="1"/>
  <c r="AV367" i="37" s="1"/>
  <c r="AV439" i="37" s="1"/>
  <c r="AI147" i="37"/>
  <c r="AI231" i="37" s="1"/>
  <c r="AI303" i="37" s="1"/>
  <c r="AI375" i="37" s="1"/>
  <c r="AI447" i="37" s="1"/>
  <c r="AV75" i="37"/>
  <c r="AV147" i="37" s="1"/>
  <c r="AV231" i="37" s="1"/>
  <c r="AV303" i="37" s="1"/>
  <c r="AV375" i="37" s="1"/>
  <c r="AV447" i="37" s="1"/>
  <c r="AI155" i="37"/>
  <c r="AI239" i="37" s="1"/>
  <c r="AI311" i="37" s="1"/>
  <c r="AI383" i="37" s="1"/>
  <c r="AI455" i="37" s="1"/>
  <c r="AV83" i="37"/>
  <c r="AV155" i="37" s="1"/>
  <c r="AV239" i="37" s="1"/>
  <c r="AV311" i="37" s="1"/>
  <c r="AV383" i="37" s="1"/>
  <c r="AV455" i="37" s="1"/>
  <c r="AX128" i="37"/>
  <c r="AX212" i="37" s="1"/>
  <c r="AX284" i="37" s="1"/>
  <c r="AX356" i="37" s="1"/>
  <c r="AX428" i="37" s="1"/>
  <c r="AX136" i="37"/>
  <c r="AX220" i="37" s="1"/>
  <c r="AX292" i="37" s="1"/>
  <c r="AX364" i="37" s="1"/>
  <c r="AX436" i="37" s="1"/>
  <c r="AX144" i="37"/>
  <c r="AX228" i="37" s="1"/>
  <c r="AX300" i="37" s="1"/>
  <c r="AX372" i="37" s="1"/>
  <c r="AX444" i="37" s="1"/>
  <c r="AX152" i="37"/>
  <c r="AX236" i="37" s="1"/>
  <c r="AX308" i="37" s="1"/>
  <c r="AX380" i="37" s="1"/>
  <c r="AX452" i="37" s="1"/>
  <c r="AW22" i="11"/>
  <c r="AW94" i="11" s="1"/>
  <c r="AW56" i="11"/>
  <c r="AW128" i="11" s="1"/>
  <c r="AW78" i="11"/>
  <c r="AW150" i="11" s="1"/>
  <c r="AW46" i="11"/>
  <c r="AW118" i="11" s="1"/>
  <c r="AO92" i="37"/>
  <c r="AO392" i="37" s="1"/>
  <c r="AP20" i="37"/>
  <c r="AT392" i="37"/>
  <c r="AO103" i="37"/>
  <c r="AO403" i="37" s="1"/>
  <c r="AP31" i="37"/>
  <c r="AY31" i="37" s="1"/>
  <c r="AT403" i="37"/>
  <c r="AI93" i="37"/>
  <c r="AI177" i="37" s="1"/>
  <c r="AI249" i="37" s="1"/>
  <c r="AI321" i="37" s="1"/>
  <c r="AI393" i="37" s="1"/>
  <c r="AV21" i="37"/>
  <c r="AV93" i="37" s="1"/>
  <c r="AV177" i="37" s="1"/>
  <c r="AV249" i="37" s="1"/>
  <c r="AV321" i="37" s="1"/>
  <c r="AV393" i="37" s="1"/>
  <c r="AT413" i="37"/>
  <c r="AM137" i="11"/>
  <c r="AM437" i="11" s="1"/>
  <c r="AM121" i="11"/>
  <c r="AM421" i="11" s="1"/>
  <c r="AM105" i="11"/>
  <c r="AM405" i="11" s="1"/>
  <c r="AM97" i="11"/>
  <c r="AM397" i="11" s="1"/>
  <c r="AO95" i="37"/>
  <c r="AO395" i="37" s="1"/>
  <c r="AP23" i="37"/>
  <c r="AT395" i="37"/>
  <c r="AO98" i="37"/>
  <c r="AO398" i="37" s="1"/>
  <c r="AP26" i="37"/>
  <c r="AY26" i="37" s="1"/>
  <c r="AT398" i="37"/>
  <c r="AO106" i="37"/>
  <c r="AO406" i="37" s="1"/>
  <c r="AP34" i="37"/>
  <c r="AT406" i="37"/>
  <c r="AO118" i="37"/>
  <c r="AO418" i="37" s="1"/>
  <c r="AP46" i="37"/>
  <c r="AY46" i="37" s="1"/>
  <c r="AX120" i="37"/>
  <c r="AX204" i="37" s="1"/>
  <c r="AX276" i="37" s="1"/>
  <c r="AX348" i="37" s="1"/>
  <c r="AX420" i="37" s="1"/>
  <c r="AM133" i="11"/>
  <c r="AM433" i="11" s="1"/>
  <c r="AM117" i="11"/>
  <c r="AM417" i="11" s="1"/>
  <c r="AW68" i="37" l="1"/>
  <c r="AW140" i="37" s="1"/>
  <c r="AW224" i="37" s="1"/>
  <c r="AW296" i="37" s="1"/>
  <c r="AW368" i="37" s="1"/>
  <c r="AW440" i="37" s="1"/>
  <c r="AY68" i="37"/>
  <c r="AY140" i="37" s="1"/>
  <c r="AY224" i="37" s="1"/>
  <c r="AY296" i="37" s="1"/>
  <c r="AY368" i="37" s="1"/>
  <c r="AY440" i="37" s="1"/>
  <c r="AW44" i="37"/>
  <c r="AW116" i="37" s="1"/>
  <c r="AW200" i="37" s="1"/>
  <c r="AW272" i="37" s="1"/>
  <c r="AW344" i="37" s="1"/>
  <c r="AW416" i="37" s="1"/>
  <c r="AY44" i="37"/>
  <c r="AY116" i="37" s="1"/>
  <c r="AY200" i="37" s="1"/>
  <c r="AY272" i="37" s="1"/>
  <c r="AY344" i="37" s="1"/>
  <c r="AY416" i="37" s="1"/>
  <c r="AW21" i="37"/>
  <c r="AW93" i="37" s="1"/>
  <c r="AW177" i="37" s="1"/>
  <c r="AW249" i="37" s="1"/>
  <c r="AW321" i="37" s="1"/>
  <c r="AW393" i="37" s="1"/>
  <c r="AY21" i="37"/>
  <c r="AY93" i="37" s="1"/>
  <c r="AY177" i="37" s="1"/>
  <c r="AY249" i="37" s="1"/>
  <c r="AY321" i="37" s="1"/>
  <c r="AY393" i="37" s="1"/>
  <c r="AW78" i="37"/>
  <c r="AW150" i="37" s="1"/>
  <c r="AW234" i="37" s="1"/>
  <c r="AW306" i="37" s="1"/>
  <c r="AW378" i="37" s="1"/>
  <c r="AW450" i="37" s="1"/>
  <c r="AY78" i="37"/>
  <c r="AY150" i="37" s="1"/>
  <c r="AY234" i="37" s="1"/>
  <c r="AY306" i="37" s="1"/>
  <c r="AY378" i="37" s="1"/>
  <c r="AY450" i="37" s="1"/>
  <c r="AW34" i="37"/>
  <c r="AW106" i="37" s="1"/>
  <c r="AW190" i="37" s="1"/>
  <c r="AW262" i="37" s="1"/>
  <c r="AW334" i="37" s="1"/>
  <c r="AW406" i="37" s="1"/>
  <c r="AY34" i="37"/>
  <c r="AY106" i="37" s="1"/>
  <c r="AY190" i="37" s="1"/>
  <c r="AY262" i="37" s="1"/>
  <c r="AY334" i="37" s="1"/>
  <c r="AY406" i="37" s="1"/>
  <c r="AW83" i="37"/>
  <c r="AW155" i="37" s="1"/>
  <c r="AW239" i="37" s="1"/>
  <c r="AW311" i="37" s="1"/>
  <c r="AW383" i="37" s="1"/>
  <c r="AW455" i="37" s="1"/>
  <c r="AY83" i="37"/>
  <c r="AY155" i="37" s="1"/>
  <c r="AY239" i="37" s="1"/>
  <c r="AY311" i="37" s="1"/>
  <c r="AY383" i="37" s="1"/>
  <c r="AY455" i="37" s="1"/>
  <c r="AW84" i="37"/>
  <c r="AW156" i="37" s="1"/>
  <c r="AW240" i="37" s="1"/>
  <c r="AW312" i="37" s="1"/>
  <c r="AW384" i="37" s="1"/>
  <c r="AW456" i="37" s="1"/>
  <c r="AY84" i="37"/>
  <c r="AY156" i="37" s="1"/>
  <c r="AY240" i="37" s="1"/>
  <c r="AY312" i="37" s="1"/>
  <c r="AY384" i="37" s="1"/>
  <c r="AY456" i="37" s="1"/>
  <c r="AW54" i="37"/>
  <c r="AW126" i="37" s="1"/>
  <c r="AW210" i="37" s="1"/>
  <c r="AW282" i="37" s="1"/>
  <c r="AW354" i="37" s="1"/>
  <c r="AW426" i="37" s="1"/>
  <c r="AY54" i="37"/>
  <c r="AY126" i="37" s="1"/>
  <c r="AY210" i="37" s="1"/>
  <c r="AY282" i="37" s="1"/>
  <c r="AY354" i="37" s="1"/>
  <c r="AY426" i="37" s="1"/>
  <c r="AW81" i="37"/>
  <c r="AW153" i="37" s="1"/>
  <c r="AW237" i="37" s="1"/>
  <c r="AW309" i="37" s="1"/>
  <c r="AW381" i="37" s="1"/>
  <c r="AW453" i="37" s="1"/>
  <c r="AY81" i="37"/>
  <c r="AY153" i="37" s="1"/>
  <c r="AY237" i="37" s="1"/>
  <c r="AY309" i="37" s="1"/>
  <c r="AY381" i="37" s="1"/>
  <c r="AY453" i="37" s="1"/>
  <c r="AW22" i="37"/>
  <c r="AW94" i="37" s="1"/>
  <c r="AW178" i="37" s="1"/>
  <c r="AW250" i="37" s="1"/>
  <c r="AW322" i="37" s="1"/>
  <c r="AW394" i="37" s="1"/>
  <c r="AY22" i="37"/>
  <c r="AY94" i="37" s="1"/>
  <c r="AY178" i="37" s="1"/>
  <c r="AY250" i="37" s="1"/>
  <c r="AY322" i="37" s="1"/>
  <c r="AY394" i="37" s="1"/>
  <c r="AW69" i="37"/>
  <c r="AW141" i="37" s="1"/>
  <c r="AW225" i="37" s="1"/>
  <c r="AW297" i="37" s="1"/>
  <c r="AW369" i="37" s="1"/>
  <c r="AW441" i="37" s="1"/>
  <c r="AY69" i="37"/>
  <c r="AY141" i="37" s="1"/>
  <c r="AY225" i="37" s="1"/>
  <c r="AY297" i="37" s="1"/>
  <c r="AY369" i="37" s="1"/>
  <c r="AY441" i="37" s="1"/>
  <c r="AW36" i="37"/>
  <c r="AW108" i="37" s="1"/>
  <c r="AW192" i="37" s="1"/>
  <c r="AW264" i="37" s="1"/>
  <c r="AW336" i="37" s="1"/>
  <c r="AW408" i="37" s="1"/>
  <c r="AY36" i="37"/>
  <c r="AY108" i="37" s="1"/>
  <c r="AY192" i="37" s="1"/>
  <c r="AY264" i="37" s="1"/>
  <c r="AY336" i="37" s="1"/>
  <c r="AY408" i="37" s="1"/>
  <c r="AW32" i="37"/>
  <c r="AW104" i="37" s="1"/>
  <c r="AW188" i="37" s="1"/>
  <c r="AW260" i="37" s="1"/>
  <c r="AW332" i="37" s="1"/>
  <c r="AW404" i="37" s="1"/>
  <c r="AY32" i="37"/>
  <c r="AY104" i="37" s="1"/>
  <c r="AY188" i="37" s="1"/>
  <c r="AY260" i="37" s="1"/>
  <c r="AY332" i="37" s="1"/>
  <c r="AY404" i="37" s="1"/>
  <c r="AW35" i="37"/>
  <c r="AW107" i="37" s="1"/>
  <c r="AW191" i="37" s="1"/>
  <c r="AW263" i="37" s="1"/>
  <c r="AW335" i="37" s="1"/>
  <c r="AW407" i="37" s="1"/>
  <c r="AY35" i="37"/>
  <c r="AY107" i="37" s="1"/>
  <c r="AY191" i="37" s="1"/>
  <c r="AY263" i="37" s="1"/>
  <c r="AY335" i="37" s="1"/>
  <c r="AY407" i="37" s="1"/>
  <c r="AW72" i="37"/>
  <c r="AW144" i="37" s="1"/>
  <c r="AW228" i="37" s="1"/>
  <c r="AW300" i="37" s="1"/>
  <c r="AW372" i="37" s="1"/>
  <c r="AW444" i="37" s="1"/>
  <c r="AY72" i="37"/>
  <c r="AY144" i="37" s="1"/>
  <c r="AY228" i="37" s="1"/>
  <c r="AY300" i="37" s="1"/>
  <c r="AY372" i="37" s="1"/>
  <c r="AY444" i="37" s="1"/>
  <c r="AW59" i="37"/>
  <c r="AW131" i="37" s="1"/>
  <c r="AW215" i="37" s="1"/>
  <c r="AW287" i="37" s="1"/>
  <c r="AW359" i="37" s="1"/>
  <c r="AW431" i="37" s="1"/>
  <c r="AY59" i="37"/>
  <c r="AY131" i="37" s="1"/>
  <c r="AY215" i="37" s="1"/>
  <c r="AY287" i="37" s="1"/>
  <c r="AY359" i="37" s="1"/>
  <c r="AY431" i="37" s="1"/>
  <c r="AW43" i="37"/>
  <c r="AW115" i="37" s="1"/>
  <c r="AW199" i="37" s="1"/>
  <c r="AW271" i="37" s="1"/>
  <c r="AW343" i="37" s="1"/>
  <c r="AW415" i="37" s="1"/>
  <c r="AY43" i="37"/>
  <c r="AY115" i="37" s="1"/>
  <c r="AY199" i="37" s="1"/>
  <c r="AY271" i="37" s="1"/>
  <c r="AY343" i="37" s="1"/>
  <c r="AY415" i="37" s="1"/>
  <c r="AW61" i="37"/>
  <c r="AW133" i="37" s="1"/>
  <c r="AW217" i="37" s="1"/>
  <c r="AW289" i="37" s="1"/>
  <c r="AW361" i="37" s="1"/>
  <c r="AW433" i="37" s="1"/>
  <c r="AY61" i="37"/>
  <c r="AY133" i="37" s="1"/>
  <c r="AY217" i="37" s="1"/>
  <c r="AY289" i="37" s="1"/>
  <c r="AY361" i="37" s="1"/>
  <c r="AY433" i="37" s="1"/>
  <c r="AW60" i="37"/>
  <c r="AW132" i="37" s="1"/>
  <c r="AW216" i="37" s="1"/>
  <c r="AW288" i="37" s="1"/>
  <c r="AW360" i="37" s="1"/>
  <c r="AW432" i="37" s="1"/>
  <c r="AY60" i="37"/>
  <c r="AY132" i="37" s="1"/>
  <c r="AY216" i="37" s="1"/>
  <c r="AY288" i="37" s="1"/>
  <c r="AY360" i="37" s="1"/>
  <c r="AY432" i="37" s="1"/>
  <c r="AW24" i="37"/>
  <c r="AW96" i="37" s="1"/>
  <c r="AW180" i="37" s="1"/>
  <c r="AW252" i="37" s="1"/>
  <c r="AW324" i="37" s="1"/>
  <c r="AW396" i="37" s="1"/>
  <c r="AY24" i="37"/>
  <c r="AY96" i="37" s="1"/>
  <c r="AY180" i="37" s="1"/>
  <c r="AY252" i="37" s="1"/>
  <c r="AY324" i="37" s="1"/>
  <c r="AY396" i="37" s="1"/>
  <c r="AW57" i="37"/>
  <c r="AW129" i="37" s="1"/>
  <c r="AW213" i="37" s="1"/>
  <c r="AW285" i="37" s="1"/>
  <c r="AW357" i="37" s="1"/>
  <c r="AW429" i="37" s="1"/>
  <c r="AY57" i="37"/>
  <c r="AY129" i="37" s="1"/>
  <c r="AY213" i="37" s="1"/>
  <c r="AY285" i="37" s="1"/>
  <c r="AY357" i="37" s="1"/>
  <c r="AY429" i="37" s="1"/>
  <c r="AW23" i="37"/>
  <c r="AW95" i="37" s="1"/>
  <c r="AW179" i="37" s="1"/>
  <c r="AW251" i="37" s="1"/>
  <c r="AW323" i="37" s="1"/>
  <c r="AW395" i="37" s="1"/>
  <c r="AY23" i="37"/>
  <c r="AY95" i="37" s="1"/>
  <c r="AY179" i="37" s="1"/>
  <c r="AY251" i="37" s="1"/>
  <c r="AY323" i="37" s="1"/>
  <c r="AY395" i="37" s="1"/>
  <c r="AW80" i="37"/>
  <c r="AW152" i="37" s="1"/>
  <c r="AW236" i="37" s="1"/>
  <c r="AW308" i="37" s="1"/>
  <c r="AW380" i="37" s="1"/>
  <c r="AW452" i="37" s="1"/>
  <c r="AY80" i="37"/>
  <c r="AY152" i="37" s="1"/>
  <c r="AY236" i="37" s="1"/>
  <c r="AY308" i="37" s="1"/>
  <c r="AY380" i="37" s="1"/>
  <c r="AY452" i="37" s="1"/>
  <c r="AW66" i="37"/>
  <c r="AW138" i="37" s="1"/>
  <c r="AW222" i="37" s="1"/>
  <c r="AW294" i="37" s="1"/>
  <c r="AW366" i="37" s="1"/>
  <c r="AW438" i="37" s="1"/>
  <c r="AY66" i="37"/>
  <c r="AY138" i="37" s="1"/>
  <c r="AY222" i="37" s="1"/>
  <c r="AY294" i="37" s="1"/>
  <c r="AY366" i="37" s="1"/>
  <c r="AY438" i="37" s="1"/>
  <c r="AW63" i="37"/>
  <c r="AW135" i="37" s="1"/>
  <c r="AW219" i="37" s="1"/>
  <c r="AW291" i="37" s="1"/>
  <c r="AW363" i="37" s="1"/>
  <c r="AW435" i="37" s="1"/>
  <c r="AY63" i="37"/>
  <c r="AY135" i="37" s="1"/>
  <c r="AY219" i="37" s="1"/>
  <c r="AY291" i="37" s="1"/>
  <c r="AY363" i="37" s="1"/>
  <c r="AY435" i="37" s="1"/>
  <c r="AW42" i="37"/>
  <c r="AW114" i="37" s="1"/>
  <c r="AW198" i="37" s="1"/>
  <c r="AW270" i="37" s="1"/>
  <c r="AW342" i="37" s="1"/>
  <c r="AW414" i="37" s="1"/>
  <c r="AY42" i="37"/>
  <c r="AY114" i="37" s="1"/>
  <c r="AY198" i="37" s="1"/>
  <c r="AY270" i="37" s="1"/>
  <c r="AY342" i="37" s="1"/>
  <c r="AY414" i="37" s="1"/>
  <c r="AW16" i="37"/>
  <c r="AW88" i="37" s="1"/>
  <c r="AW172" i="37" s="1"/>
  <c r="AW244" i="37" s="1"/>
  <c r="AW316" i="37" s="1"/>
  <c r="AW388" i="37" s="1"/>
  <c r="AY16" i="37"/>
  <c r="AY88" i="37" s="1"/>
  <c r="AY172" i="37" s="1"/>
  <c r="AY244" i="37" s="1"/>
  <c r="AY316" i="37" s="1"/>
  <c r="AY388" i="37" s="1"/>
  <c r="AW70" i="37"/>
  <c r="AW142" i="37" s="1"/>
  <c r="AW226" i="37" s="1"/>
  <c r="AW298" i="37" s="1"/>
  <c r="AW370" i="37" s="1"/>
  <c r="AW442" i="37" s="1"/>
  <c r="AY70" i="37"/>
  <c r="AY142" i="37" s="1"/>
  <c r="AY226" i="37" s="1"/>
  <c r="AY298" i="37" s="1"/>
  <c r="AY370" i="37" s="1"/>
  <c r="AY442" i="37" s="1"/>
  <c r="AW65" i="37"/>
  <c r="AW137" i="37" s="1"/>
  <c r="AW221" i="37" s="1"/>
  <c r="AW293" i="37" s="1"/>
  <c r="AW365" i="37" s="1"/>
  <c r="AW437" i="37" s="1"/>
  <c r="AY65" i="37"/>
  <c r="AY137" i="37" s="1"/>
  <c r="AY221" i="37" s="1"/>
  <c r="AY293" i="37" s="1"/>
  <c r="AY365" i="37" s="1"/>
  <c r="AY437" i="37" s="1"/>
  <c r="AW41" i="37"/>
  <c r="AW113" i="37" s="1"/>
  <c r="AW197" i="37" s="1"/>
  <c r="AW269" i="37" s="1"/>
  <c r="AW341" i="37" s="1"/>
  <c r="AW413" i="37" s="1"/>
  <c r="AY41" i="37"/>
  <c r="AY113" i="37" s="1"/>
  <c r="AY197" i="37" s="1"/>
  <c r="AY269" i="37" s="1"/>
  <c r="AY341" i="37" s="1"/>
  <c r="AY413" i="37" s="1"/>
  <c r="AW75" i="37"/>
  <c r="AW147" i="37" s="1"/>
  <c r="AW231" i="37" s="1"/>
  <c r="AW303" i="37" s="1"/>
  <c r="AW375" i="37" s="1"/>
  <c r="AW447" i="37" s="1"/>
  <c r="AY75" i="37"/>
  <c r="AY147" i="37" s="1"/>
  <c r="AY231" i="37" s="1"/>
  <c r="AY303" i="37" s="1"/>
  <c r="AY375" i="37" s="1"/>
  <c r="AY447" i="37" s="1"/>
  <c r="AW77" i="37"/>
  <c r="AW149" i="37" s="1"/>
  <c r="AW233" i="37" s="1"/>
  <c r="AW305" i="37" s="1"/>
  <c r="AW377" i="37" s="1"/>
  <c r="AW449" i="37" s="1"/>
  <c r="AY77" i="37"/>
  <c r="AY149" i="37" s="1"/>
  <c r="AY233" i="37" s="1"/>
  <c r="AY305" i="37" s="1"/>
  <c r="AY377" i="37" s="1"/>
  <c r="AY449" i="37" s="1"/>
  <c r="AW76" i="37"/>
  <c r="AW148" i="37" s="1"/>
  <c r="AW232" i="37" s="1"/>
  <c r="AW304" i="37" s="1"/>
  <c r="AW376" i="37" s="1"/>
  <c r="AW448" i="37" s="1"/>
  <c r="AY76" i="37"/>
  <c r="AY148" i="37" s="1"/>
  <c r="AY232" i="37" s="1"/>
  <c r="AY304" i="37" s="1"/>
  <c r="AY376" i="37" s="1"/>
  <c r="AY448" i="37" s="1"/>
  <c r="AW38" i="37"/>
  <c r="AW110" i="37" s="1"/>
  <c r="AW194" i="37" s="1"/>
  <c r="AW266" i="37" s="1"/>
  <c r="AW338" i="37" s="1"/>
  <c r="AW410" i="37" s="1"/>
  <c r="AY38" i="37"/>
  <c r="AY110" i="37" s="1"/>
  <c r="AY194" i="37" s="1"/>
  <c r="AY266" i="37" s="1"/>
  <c r="AY338" i="37" s="1"/>
  <c r="AY410" i="37" s="1"/>
  <c r="AW67" i="37"/>
  <c r="AW139" i="37" s="1"/>
  <c r="AW223" i="37" s="1"/>
  <c r="AW295" i="37" s="1"/>
  <c r="AW367" i="37" s="1"/>
  <c r="AW439" i="37" s="1"/>
  <c r="AY67" i="37"/>
  <c r="AY139" i="37" s="1"/>
  <c r="AY223" i="37" s="1"/>
  <c r="AY295" i="37" s="1"/>
  <c r="AY367" i="37" s="1"/>
  <c r="AY439" i="37" s="1"/>
  <c r="AW20" i="37"/>
  <c r="AW92" i="37" s="1"/>
  <c r="AW176" i="37" s="1"/>
  <c r="AW248" i="37" s="1"/>
  <c r="AW320" i="37" s="1"/>
  <c r="AW392" i="37" s="1"/>
  <c r="AY20" i="37"/>
  <c r="AY92" i="37" s="1"/>
  <c r="AY176" i="37" s="1"/>
  <c r="AY248" i="37" s="1"/>
  <c r="AY320" i="37" s="1"/>
  <c r="AY392" i="37" s="1"/>
  <c r="AW27" i="37"/>
  <c r="AW99" i="37" s="1"/>
  <c r="AW183" i="37" s="1"/>
  <c r="AW255" i="37" s="1"/>
  <c r="AW327" i="37" s="1"/>
  <c r="AW399" i="37" s="1"/>
  <c r="AY27" i="37"/>
  <c r="AY99" i="37" s="1"/>
  <c r="AY183" i="37" s="1"/>
  <c r="AY255" i="37" s="1"/>
  <c r="AY327" i="37" s="1"/>
  <c r="AY399" i="37" s="1"/>
  <c r="AW48" i="37"/>
  <c r="AW120" i="37" s="1"/>
  <c r="AW204" i="37" s="1"/>
  <c r="AW276" i="37" s="1"/>
  <c r="AW348" i="37" s="1"/>
  <c r="AW420" i="37" s="1"/>
  <c r="AY48" i="37"/>
  <c r="AY120" i="37" s="1"/>
  <c r="AY204" i="37" s="1"/>
  <c r="AY276" i="37" s="1"/>
  <c r="AY348" i="37" s="1"/>
  <c r="AY420" i="37" s="1"/>
  <c r="AW51" i="37"/>
  <c r="AW123" i="37" s="1"/>
  <c r="AW207" i="37" s="1"/>
  <c r="AW279" i="37" s="1"/>
  <c r="AW351" i="37" s="1"/>
  <c r="AW423" i="37" s="1"/>
  <c r="AY51" i="37"/>
  <c r="AY123" i="37" s="1"/>
  <c r="AY207" i="37" s="1"/>
  <c r="AY279" i="37" s="1"/>
  <c r="AY351" i="37" s="1"/>
  <c r="AY423" i="37" s="1"/>
  <c r="AW29" i="37"/>
  <c r="AW101" i="37" s="1"/>
  <c r="AW185" i="37" s="1"/>
  <c r="AW257" i="37" s="1"/>
  <c r="AW329" i="37" s="1"/>
  <c r="AW401" i="37" s="1"/>
  <c r="AY29" i="37"/>
  <c r="AY101" i="37" s="1"/>
  <c r="AY185" i="37" s="1"/>
  <c r="AY257" i="37" s="1"/>
  <c r="AY329" i="37" s="1"/>
  <c r="AY401" i="37" s="1"/>
  <c r="AW53" i="37"/>
  <c r="AW125" i="37" s="1"/>
  <c r="AW209" i="37" s="1"/>
  <c r="AW281" i="37" s="1"/>
  <c r="AW353" i="37" s="1"/>
  <c r="AW425" i="37" s="1"/>
  <c r="AY53" i="37"/>
  <c r="AY125" i="37" s="1"/>
  <c r="AY209" i="37" s="1"/>
  <c r="AY281" i="37" s="1"/>
  <c r="AY353" i="37" s="1"/>
  <c r="AY425" i="37" s="1"/>
  <c r="AW30" i="37"/>
  <c r="AW102" i="37" s="1"/>
  <c r="AW186" i="37" s="1"/>
  <c r="AW258" i="37" s="1"/>
  <c r="AW330" i="37" s="1"/>
  <c r="AW402" i="37" s="1"/>
  <c r="AY30" i="37"/>
  <c r="AY102" i="37" s="1"/>
  <c r="AY186" i="37" s="1"/>
  <c r="AY258" i="37" s="1"/>
  <c r="AY330" i="37" s="1"/>
  <c r="AY402" i="37" s="1"/>
  <c r="AW52" i="37"/>
  <c r="AW124" i="37" s="1"/>
  <c r="AW208" i="37" s="1"/>
  <c r="AW280" i="37" s="1"/>
  <c r="AW352" i="37" s="1"/>
  <c r="AW424" i="37" s="1"/>
  <c r="AY52" i="37"/>
  <c r="AY124" i="37" s="1"/>
  <c r="AY208" i="37" s="1"/>
  <c r="AY280" i="37" s="1"/>
  <c r="AY352" i="37" s="1"/>
  <c r="AY424" i="37" s="1"/>
  <c r="AW15" i="37"/>
  <c r="AW87" i="37" s="1"/>
  <c r="AW171" i="37" s="1"/>
  <c r="AW243" i="37" s="1"/>
  <c r="AW315" i="37" s="1"/>
  <c r="AW387" i="37" s="1"/>
  <c r="AY15" i="37"/>
  <c r="AY87" i="37" s="1"/>
  <c r="AY171" i="37" s="1"/>
  <c r="AY243" i="37" s="1"/>
  <c r="AY315" i="37" s="1"/>
  <c r="AY387" i="37" s="1"/>
  <c r="AW45" i="37"/>
  <c r="AW117" i="37" s="1"/>
  <c r="AW201" i="37" s="1"/>
  <c r="AW273" i="37" s="1"/>
  <c r="AW345" i="37" s="1"/>
  <c r="AW417" i="37" s="1"/>
  <c r="AY45" i="37"/>
  <c r="AY117" i="37" s="1"/>
  <c r="AY201" i="37" s="1"/>
  <c r="AY273" i="37" s="1"/>
  <c r="AY345" i="37" s="1"/>
  <c r="AY417" i="37" s="1"/>
  <c r="AW55" i="37"/>
  <c r="AW127" i="37" s="1"/>
  <c r="AW211" i="37" s="1"/>
  <c r="AW283" i="37" s="1"/>
  <c r="AW355" i="37" s="1"/>
  <c r="AW427" i="37" s="1"/>
  <c r="AY55" i="37"/>
  <c r="AY127" i="37" s="1"/>
  <c r="AY211" i="37" s="1"/>
  <c r="AY283" i="37" s="1"/>
  <c r="AY355" i="37" s="1"/>
  <c r="AY427" i="37" s="1"/>
  <c r="AW33" i="37"/>
  <c r="AW105" i="37" s="1"/>
  <c r="AW189" i="37" s="1"/>
  <c r="AW261" i="37" s="1"/>
  <c r="AW333" i="37" s="1"/>
  <c r="AW405" i="37" s="1"/>
  <c r="AY33" i="37"/>
  <c r="AY105" i="37" s="1"/>
  <c r="AY189" i="37" s="1"/>
  <c r="AY261" i="37" s="1"/>
  <c r="AY333" i="37" s="1"/>
  <c r="AY405" i="37" s="1"/>
  <c r="AW62" i="37"/>
  <c r="AW134" i="37" s="1"/>
  <c r="AW218" i="37" s="1"/>
  <c r="AW290" i="37" s="1"/>
  <c r="AW362" i="37" s="1"/>
  <c r="AW434" i="37" s="1"/>
  <c r="AY62" i="37"/>
  <c r="AY134" i="37" s="1"/>
  <c r="AY218" i="37" s="1"/>
  <c r="AY290" i="37" s="1"/>
  <c r="AY362" i="37" s="1"/>
  <c r="AY434" i="37" s="1"/>
  <c r="AM310" i="37"/>
  <c r="AM382" i="37" s="1"/>
  <c r="AM257" i="37"/>
  <c r="AM329" i="37" s="1"/>
  <c r="AM265" i="37"/>
  <c r="AM337" i="37" s="1"/>
  <c r="AM246" i="37"/>
  <c r="AM318" i="37" s="1"/>
  <c r="AM272" i="37"/>
  <c r="AM344" i="37" s="1"/>
  <c r="AM305" i="37"/>
  <c r="AM377" i="37" s="1"/>
  <c r="AM258" i="37"/>
  <c r="AM330" i="37" s="1"/>
  <c r="AM267" i="37"/>
  <c r="AM339" i="37" s="1"/>
  <c r="AM297" i="37"/>
  <c r="AM369" i="37" s="1"/>
  <c r="AM256" i="37"/>
  <c r="AM328" i="37" s="1"/>
  <c r="AM307" i="37"/>
  <c r="AM379" i="37" s="1"/>
  <c r="AM289" i="37"/>
  <c r="AM361" i="37" s="1"/>
  <c r="AM312" i="37"/>
  <c r="AM384" i="37" s="1"/>
  <c r="AM268" i="37"/>
  <c r="AM340" i="37" s="1"/>
  <c r="AM299" i="37"/>
  <c r="AM371" i="37" s="1"/>
  <c r="AM281" i="37"/>
  <c r="AM353" i="37" s="1"/>
  <c r="AM304" i="37"/>
  <c r="AM376" i="37" s="1"/>
  <c r="AM242" i="37"/>
  <c r="AM314" i="37" s="1"/>
  <c r="AM291" i="37"/>
  <c r="AM363" i="37" s="1"/>
  <c r="AM296" i="37"/>
  <c r="AM368" i="37" s="1"/>
  <c r="AM263" i="37"/>
  <c r="AM335" i="37" s="1"/>
  <c r="AM283" i="37"/>
  <c r="AM355" i="37" s="1"/>
  <c r="AM288" i="37"/>
  <c r="AM360" i="37" s="1"/>
  <c r="AM269" i="37"/>
  <c r="AM341" i="37" s="1"/>
  <c r="AM255" i="37"/>
  <c r="AM327" i="37" s="1"/>
  <c r="AM275" i="37"/>
  <c r="AM347" i="37" s="1"/>
  <c r="AM243" i="37"/>
  <c r="AM315" i="37" s="1"/>
  <c r="AM249" i="37"/>
  <c r="AM321" i="37" s="1"/>
  <c r="AM280" i="37"/>
  <c r="AM352" i="37" s="1"/>
  <c r="AM259" i="37"/>
  <c r="AM331" i="37" s="1"/>
  <c r="AM264" i="37"/>
  <c r="AM336" i="37" s="1"/>
  <c r="AM270" i="37"/>
  <c r="AM342" i="37" s="1"/>
  <c r="AM309" i="37"/>
  <c r="AM381" i="37" s="1"/>
  <c r="AM248" i="37"/>
  <c r="AM320" i="37" s="1"/>
  <c r="AM261" i="37"/>
  <c r="AM333" i="37" s="1"/>
  <c r="AM293" i="37"/>
  <c r="AM365" i="37" s="1"/>
  <c r="AM253" i="37"/>
  <c r="AM325" i="37" s="1"/>
  <c r="AM279" i="37"/>
  <c r="AM351" i="37" s="1"/>
  <c r="AM247" i="37"/>
  <c r="AM319" i="37" s="1"/>
  <c r="AM244" i="37"/>
  <c r="AM316" i="37" s="1"/>
  <c r="AM301" i="37"/>
  <c r="AM373" i="37" s="1"/>
  <c r="AM277" i="37"/>
  <c r="AM349" i="37" s="1"/>
  <c r="AM271" i="37"/>
  <c r="AM343" i="37" s="1"/>
  <c r="AM285" i="37"/>
  <c r="AM357" i="37" s="1"/>
  <c r="AM286" i="37"/>
  <c r="AM358" i="37" s="1"/>
  <c r="AM306" i="37"/>
  <c r="AM378" i="37" s="1"/>
  <c r="AM298" i="37"/>
  <c r="AM370" i="37" s="1"/>
  <c r="AM262" i="37"/>
  <c r="AM334" i="37" s="1"/>
  <c r="AM276" i="37"/>
  <c r="AM348" i="37" s="1"/>
  <c r="AM295" i="37"/>
  <c r="AM367" i="37" s="1"/>
  <c r="AM290" i="37"/>
  <c r="AM362" i="37" s="1"/>
  <c r="AM254" i="37"/>
  <c r="AM326" i="37" s="1"/>
  <c r="AM278" i="37"/>
  <c r="AM350" i="37" s="1"/>
  <c r="AM274" i="37"/>
  <c r="AM346" i="37" s="1"/>
  <c r="AM282" i="37"/>
  <c r="AM354" i="37" s="1"/>
  <c r="AM251" i="37"/>
  <c r="AM323" i="37" s="1"/>
  <c r="AM308" i="37"/>
  <c r="AM380" i="37" s="1"/>
  <c r="AM287" i="37"/>
  <c r="AM359" i="37" s="1"/>
  <c r="AM294" i="37"/>
  <c r="AM366" i="37" s="1"/>
  <c r="AM273" i="37"/>
  <c r="AM345" i="37" s="1"/>
  <c r="AM300" i="37"/>
  <c r="AM372" i="37" s="1"/>
  <c r="AM266" i="37"/>
  <c r="AM338" i="37" s="1"/>
  <c r="AM292" i="37"/>
  <c r="AM364" i="37" s="1"/>
  <c r="AM302" i="37"/>
  <c r="AM374" i="37" s="1"/>
  <c r="AM245" i="37"/>
  <c r="AM317" i="37" s="1"/>
  <c r="AM311" i="37"/>
  <c r="AM383" i="37" s="1"/>
  <c r="AM260" i="37"/>
  <c r="AM332" i="37" s="1"/>
  <c r="AM284" i="37"/>
  <c r="AM356" i="37" s="1"/>
  <c r="AM250" i="37"/>
  <c r="AM322" i="37" s="1"/>
  <c r="AM303" i="37"/>
  <c r="AM375" i="37" s="1"/>
  <c r="AM252" i="37"/>
  <c r="AM324" i="37" s="1"/>
  <c r="AM99" i="37"/>
  <c r="AM122" i="37"/>
  <c r="AM131" i="37"/>
  <c r="AM96" i="37"/>
  <c r="AM132" i="37"/>
  <c r="AM126" i="37"/>
  <c r="AM125" i="37"/>
  <c r="AM144" i="37"/>
  <c r="AW202" i="11"/>
  <c r="AW212" i="11"/>
  <c r="AW200" i="11"/>
  <c r="AW223" i="11"/>
  <c r="AW193" i="11"/>
  <c r="AW182" i="11"/>
  <c r="AW184" i="11"/>
  <c r="AW196" i="11"/>
  <c r="AW234" i="11"/>
  <c r="AW179" i="11"/>
  <c r="AW192" i="11"/>
  <c r="AW187" i="11"/>
  <c r="AW194" i="11"/>
  <c r="AW240" i="11"/>
  <c r="AW214" i="11"/>
  <c r="AW189" i="11"/>
  <c r="AW230" i="11"/>
  <c r="AM148" i="37"/>
  <c r="AM137" i="37"/>
  <c r="AM106" i="37"/>
  <c r="AM95" i="37"/>
  <c r="AW186" i="11"/>
  <c r="AW185" i="11"/>
  <c r="AW203" i="11"/>
  <c r="AM86" i="37"/>
  <c r="AW190" i="11"/>
  <c r="AW197" i="11"/>
  <c r="AW219" i="11"/>
  <c r="AW226" i="11"/>
  <c r="AW204" i="11"/>
  <c r="AW221" i="11"/>
  <c r="AW183" i="11"/>
  <c r="AW211" i="11"/>
  <c r="AW218" i="11"/>
  <c r="AW217" i="11"/>
  <c r="AW181" i="11"/>
  <c r="AW207" i="11"/>
  <c r="AW235" i="11"/>
  <c r="AW178" i="11"/>
  <c r="AW222" i="11"/>
  <c r="AW171" i="11"/>
  <c r="AW191" i="11"/>
  <c r="AW237" i="11"/>
  <c r="AW236" i="11"/>
  <c r="AM147" i="37"/>
  <c r="AM141" i="37"/>
  <c r="AM88" i="37"/>
  <c r="AW215" i="11"/>
  <c r="AW177" i="11"/>
  <c r="AW229" i="11"/>
  <c r="AW176" i="11"/>
  <c r="AM110" i="37"/>
  <c r="AM98" i="37"/>
  <c r="AW213" i="11"/>
  <c r="AW239" i="11"/>
  <c r="AM128" i="37"/>
  <c r="AW205" i="11"/>
  <c r="AM97" i="37"/>
  <c r="AM149" i="37"/>
  <c r="AM133" i="37"/>
  <c r="AM156" i="37"/>
  <c r="AM140" i="37"/>
  <c r="AM124" i="37"/>
  <c r="AM152" i="37"/>
  <c r="AM136" i="37"/>
  <c r="AM121" i="37"/>
  <c r="AM94" i="37"/>
  <c r="AM93" i="37"/>
  <c r="AM105" i="37"/>
  <c r="AP103" i="37"/>
  <c r="AP403" i="37" s="1"/>
  <c r="AY103" i="37"/>
  <c r="AY187" i="37" s="1"/>
  <c r="AY259" i="37" s="1"/>
  <c r="AY331" i="37" s="1"/>
  <c r="AY403" i="37" s="1"/>
  <c r="AP112" i="37"/>
  <c r="AP412" i="37" s="1"/>
  <c r="AY112" i="37"/>
  <c r="AY196" i="37" s="1"/>
  <c r="AY268" i="37" s="1"/>
  <c r="AY340" i="37" s="1"/>
  <c r="AY412" i="37" s="1"/>
  <c r="AP118" i="37"/>
  <c r="AP418" i="37" s="1"/>
  <c r="AY118" i="37"/>
  <c r="AY202" i="37" s="1"/>
  <c r="AY274" i="37" s="1"/>
  <c r="AY346" i="37" s="1"/>
  <c r="AY418" i="37" s="1"/>
  <c r="AP122" i="37"/>
  <c r="AP422" i="37" s="1"/>
  <c r="AY122" i="37"/>
  <c r="AY206" i="37" s="1"/>
  <c r="AY278" i="37" s="1"/>
  <c r="AY350" i="37" s="1"/>
  <c r="AY422" i="37" s="1"/>
  <c r="AM89" i="37"/>
  <c r="AP117" i="37"/>
  <c r="AP417" i="37" s="1"/>
  <c r="AM145" i="37"/>
  <c r="AP113" i="37"/>
  <c r="AP413" i="37" s="1"/>
  <c r="AP136" i="37"/>
  <c r="AP436" i="37" s="1"/>
  <c r="AY136" i="37"/>
  <c r="AY220" i="37" s="1"/>
  <c r="AY292" i="37" s="1"/>
  <c r="AY364" i="37" s="1"/>
  <c r="AY436" i="37" s="1"/>
  <c r="AM155" i="37"/>
  <c r="AM139" i="37"/>
  <c r="AM123" i="37"/>
  <c r="AM115" i="37"/>
  <c r="AM116" i="37"/>
  <c r="AP130" i="37"/>
  <c r="AP430" i="37" s="1"/>
  <c r="AY130" i="37"/>
  <c r="AY214" i="37" s="1"/>
  <c r="AY286" i="37" s="1"/>
  <c r="AY358" i="37" s="1"/>
  <c r="AY430" i="37" s="1"/>
  <c r="AP90" i="37"/>
  <c r="AP390" i="37" s="1"/>
  <c r="AY90" i="37"/>
  <c r="AY174" i="37" s="1"/>
  <c r="AY246" i="37" s="1"/>
  <c r="AY318" i="37" s="1"/>
  <c r="AY390" i="37" s="1"/>
  <c r="AP121" i="37"/>
  <c r="AP421" i="37" s="1"/>
  <c r="AY121" i="37"/>
  <c r="AY205" i="37" s="1"/>
  <c r="AY277" i="37" s="1"/>
  <c r="AY349" i="37" s="1"/>
  <c r="AY421" i="37" s="1"/>
  <c r="AM109" i="37"/>
  <c r="AP151" i="37"/>
  <c r="AP451" i="37" s="1"/>
  <c r="AY151" i="37"/>
  <c r="AY235" i="37" s="1"/>
  <c r="AY307" i="37" s="1"/>
  <c r="AY379" i="37" s="1"/>
  <c r="AY451" i="37" s="1"/>
  <c r="AP97" i="37"/>
  <c r="AP397" i="37" s="1"/>
  <c r="AY97" i="37"/>
  <c r="AY181" i="37" s="1"/>
  <c r="AY253" i="37" s="1"/>
  <c r="AY325" i="37" s="1"/>
  <c r="AY397" i="37" s="1"/>
  <c r="AM150" i="37"/>
  <c r="AM134" i="37"/>
  <c r="AM117" i="37"/>
  <c r="AM104" i="37"/>
  <c r="AM87" i="37"/>
  <c r="AM153" i="37"/>
  <c r="AM113" i="37"/>
  <c r="AM92" i="37"/>
  <c r="AW58" i="37"/>
  <c r="AW130" i="37" s="1"/>
  <c r="AW18" i="37"/>
  <c r="AW90" i="37" s="1"/>
  <c r="AW40" i="37"/>
  <c r="AW112" i="37" s="1"/>
  <c r="AW49" i="37"/>
  <c r="AW121" i="37" s="1"/>
  <c r="AM107" i="37"/>
  <c r="AM108" i="37"/>
  <c r="AW25" i="37"/>
  <c r="AW97" i="37" s="1"/>
  <c r="AM118" i="37"/>
  <c r="AP93" i="37"/>
  <c r="AP393" i="37" s="1"/>
  <c r="AP131" i="37"/>
  <c r="AP431" i="37" s="1"/>
  <c r="AP115" i="37"/>
  <c r="AP415" i="37" s="1"/>
  <c r="AM154" i="37"/>
  <c r="AM138" i="37"/>
  <c r="AM90" i="37"/>
  <c r="AM100" i="37"/>
  <c r="AP149" i="37"/>
  <c r="AP449" i="37" s="1"/>
  <c r="AP108" i="37"/>
  <c r="AP408" i="37" s="1"/>
  <c r="AP132" i="37"/>
  <c r="AP432" i="37" s="1"/>
  <c r="AM151" i="37"/>
  <c r="AM135" i="37"/>
  <c r="AM119" i="37"/>
  <c r="AM91" i="37"/>
  <c r="AP150" i="37"/>
  <c r="AP450" i="37" s="1"/>
  <c r="AP110" i="37"/>
  <c r="AP410" i="37" s="1"/>
  <c r="AP153" i="37"/>
  <c r="AP453" i="37" s="1"/>
  <c r="AM129" i="37"/>
  <c r="AP86" i="37"/>
  <c r="AP386" i="37" s="1"/>
  <c r="AY86" i="37"/>
  <c r="AY170" i="37" s="1"/>
  <c r="AY242" i="37" s="1"/>
  <c r="AY314" i="37" s="1"/>
  <c r="AY386" i="37" s="1"/>
  <c r="AP109" i="37"/>
  <c r="AP409" i="37" s="1"/>
  <c r="AY109" i="37"/>
  <c r="AY193" i="37" s="1"/>
  <c r="AY265" i="37" s="1"/>
  <c r="AY337" i="37" s="1"/>
  <c r="AY409" i="37" s="1"/>
  <c r="AW31" i="37"/>
  <c r="AW103" i="37" s="1"/>
  <c r="AP128" i="37"/>
  <c r="AP428" i="37" s="1"/>
  <c r="AY128" i="37"/>
  <c r="AY212" i="37" s="1"/>
  <c r="AY284" i="37" s="1"/>
  <c r="AY356" i="37" s="1"/>
  <c r="AY428" i="37" s="1"/>
  <c r="AP154" i="37"/>
  <c r="AP454" i="37" s="1"/>
  <c r="AY154" i="37"/>
  <c r="AY238" i="37" s="1"/>
  <c r="AY310" i="37" s="1"/>
  <c r="AY382" i="37" s="1"/>
  <c r="AY454" i="37" s="1"/>
  <c r="AP111" i="37"/>
  <c r="AP411" i="37" s="1"/>
  <c r="AY111" i="37"/>
  <c r="AY195" i="37" s="1"/>
  <c r="AY267" i="37" s="1"/>
  <c r="AY339" i="37" s="1"/>
  <c r="AY411" i="37" s="1"/>
  <c r="AP143" i="37"/>
  <c r="AP443" i="37" s="1"/>
  <c r="AY143" i="37"/>
  <c r="AY227" i="37" s="1"/>
  <c r="AY299" i="37" s="1"/>
  <c r="AY371" i="37" s="1"/>
  <c r="AY443" i="37" s="1"/>
  <c r="AP119" i="37"/>
  <c r="AP419" i="37" s="1"/>
  <c r="AY119" i="37"/>
  <c r="AY203" i="37" s="1"/>
  <c r="AY275" i="37" s="1"/>
  <c r="AY347" i="37" s="1"/>
  <c r="AY419" i="37" s="1"/>
  <c r="AP91" i="37"/>
  <c r="AP391" i="37" s="1"/>
  <c r="AY91" i="37"/>
  <c r="AY175" i="37" s="1"/>
  <c r="AY247" i="37" s="1"/>
  <c r="AY319" i="37" s="1"/>
  <c r="AY391" i="37" s="1"/>
  <c r="AP155" i="37"/>
  <c r="AP455" i="37" s="1"/>
  <c r="AP123" i="37"/>
  <c r="AP423" i="37" s="1"/>
  <c r="AP101" i="37"/>
  <c r="AP401" i="37" s="1"/>
  <c r="AP141" i="37"/>
  <c r="AP441" i="37" s="1"/>
  <c r="AP88" i="37"/>
  <c r="AP388" i="37" s="1"/>
  <c r="AP156" i="37"/>
  <c r="AP456" i="37" s="1"/>
  <c r="AP124" i="37"/>
  <c r="AP424" i="37" s="1"/>
  <c r="AP142" i="37"/>
  <c r="AP442" i="37" s="1"/>
  <c r="AP104" i="37"/>
  <c r="AP404" i="37" s="1"/>
  <c r="AP145" i="37"/>
  <c r="AP445" i="37" s="1"/>
  <c r="AY145" i="37"/>
  <c r="AY229" i="37" s="1"/>
  <c r="AY301" i="37" s="1"/>
  <c r="AY373" i="37" s="1"/>
  <c r="AY445" i="37" s="1"/>
  <c r="AP106" i="37"/>
  <c r="AP406" i="37" s="1"/>
  <c r="AP98" i="37"/>
  <c r="AP398" i="37" s="1"/>
  <c r="AY98" i="37"/>
  <c r="AY182" i="37" s="1"/>
  <c r="AY254" i="37" s="1"/>
  <c r="AY326" i="37" s="1"/>
  <c r="AY398" i="37" s="1"/>
  <c r="AP107" i="37"/>
  <c r="AP407" i="37" s="1"/>
  <c r="AW37" i="37"/>
  <c r="AW109" i="37" s="1"/>
  <c r="AP120" i="37"/>
  <c r="AP420" i="37" s="1"/>
  <c r="AP152" i="37"/>
  <c r="AP452" i="37" s="1"/>
  <c r="AP146" i="37"/>
  <c r="AP446" i="37" s="1"/>
  <c r="AY146" i="37"/>
  <c r="AY230" i="37" s="1"/>
  <c r="AY302" i="37" s="1"/>
  <c r="AY374" i="37" s="1"/>
  <c r="AY446" i="37" s="1"/>
  <c r="AP100" i="37"/>
  <c r="AP400" i="37" s="1"/>
  <c r="AY100" i="37"/>
  <c r="AY184" i="37" s="1"/>
  <c r="AY256" i="37" s="1"/>
  <c r="AY328" i="37" s="1"/>
  <c r="AY400" i="37" s="1"/>
  <c r="AW14" i="37"/>
  <c r="AW86" i="37" s="1"/>
  <c r="AM102" i="37"/>
  <c r="AP135" i="37"/>
  <c r="AP435" i="37" s="1"/>
  <c r="AP114" i="37"/>
  <c r="AP414" i="37" s="1"/>
  <c r="AM142" i="37"/>
  <c r="AW46" i="37"/>
  <c r="AW118" i="37" s="1"/>
  <c r="AW56" i="37"/>
  <c r="AW128" i="37" s="1"/>
  <c r="AW74" i="37"/>
  <c r="AW146" i="37" s="1"/>
  <c r="AW39" i="37"/>
  <c r="AW111" i="37" s="1"/>
  <c r="AW28" i="37"/>
  <c r="AW100" i="37" s="1"/>
  <c r="AP89" i="37"/>
  <c r="AP389" i="37" s="1"/>
  <c r="AY89" i="37"/>
  <c r="AY173" i="37" s="1"/>
  <c r="AY245" i="37" s="1"/>
  <c r="AY317" i="37" s="1"/>
  <c r="AY389" i="37" s="1"/>
  <c r="AW71" i="37"/>
  <c r="AW143" i="37" s="1"/>
  <c r="AW19" i="37"/>
  <c r="AW91" i="37" s="1"/>
  <c r="AM120" i="37"/>
  <c r="AP147" i="37"/>
  <c r="AP447" i="37" s="1"/>
  <c r="AM146" i="37"/>
  <c r="AM130" i="37"/>
  <c r="AM111" i="37"/>
  <c r="AM112" i="37"/>
  <c r="AP133" i="37"/>
  <c r="AP433" i="37" s="1"/>
  <c r="AW17" i="37"/>
  <c r="AW89" i="37" s="1"/>
  <c r="AP148" i="37"/>
  <c r="AP448" i="37" s="1"/>
  <c r="AM143" i="37"/>
  <c r="AM127" i="37"/>
  <c r="AM114" i="37"/>
  <c r="AP134" i="37"/>
  <c r="AP434" i="37" s="1"/>
  <c r="AP96" i="37"/>
  <c r="AP396" i="37" s="1"/>
  <c r="AP137" i="37"/>
  <c r="AP437" i="37" s="1"/>
  <c r="AP92" i="37"/>
  <c r="AP392" i="37" s="1"/>
  <c r="AP95" i="37"/>
  <c r="AP395" i="37" s="1"/>
  <c r="AP99" i="37"/>
  <c r="AP399" i="37" s="1"/>
  <c r="AW26" i="37"/>
  <c r="AW98" i="37" s="1"/>
  <c r="AP144" i="37"/>
  <c r="AP444" i="37" s="1"/>
  <c r="AM101" i="37"/>
  <c r="AP138" i="37"/>
  <c r="AP438" i="37" s="1"/>
  <c r="AW50" i="37"/>
  <c r="AW122" i="37" s="1"/>
  <c r="AP127" i="37"/>
  <c r="AP427" i="37" s="1"/>
  <c r="AP105" i="37"/>
  <c r="AP405" i="37" s="1"/>
  <c r="AM103" i="37"/>
  <c r="AW64" i="37"/>
  <c r="AW136" i="37" s="1"/>
  <c r="AP116" i="37"/>
  <c r="AP416" i="37" s="1"/>
  <c r="AW82" i="37"/>
  <c r="AW154" i="37" s="1"/>
  <c r="AW79" i="37"/>
  <c r="AW151" i="37" s="1"/>
  <c r="AW47" i="37"/>
  <c r="AW119" i="37" s="1"/>
  <c r="AP139" i="37"/>
  <c r="AP439" i="37" s="1"/>
  <c r="AP94" i="37"/>
  <c r="AP394" i="37" s="1"/>
  <c r="AP125" i="37"/>
  <c r="AP425" i="37" s="1"/>
  <c r="AP102" i="37"/>
  <c r="AP402" i="37" s="1"/>
  <c r="AP140" i="37"/>
  <c r="AP440" i="37" s="1"/>
  <c r="AP126" i="37"/>
  <c r="AP426" i="37" s="1"/>
  <c r="AP87" i="37"/>
  <c r="AP387" i="37" s="1"/>
  <c r="AP129" i="37"/>
  <c r="AP429" i="37" s="1"/>
  <c r="AW73" i="37"/>
  <c r="AW145" i="37" s="1"/>
  <c r="M60" i="35" l="1"/>
  <c r="F60" i="35" s="1"/>
  <c r="AM411" i="37"/>
  <c r="O51" i="35"/>
  <c r="O55" i="35"/>
  <c r="M38" i="35"/>
  <c r="F38" i="35" s="1"/>
  <c r="O52" i="35"/>
  <c r="O17" i="35"/>
  <c r="O57" i="35"/>
  <c r="O31" i="35"/>
  <c r="O38" i="35"/>
  <c r="O50" i="35"/>
  <c r="AM430" i="37"/>
  <c r="AM445" i="37"/>
  <c r="O28" i="35"/>
  <c r="O23" i="35"/>
  <c r="O59" i="35"/>
  <c r="O62" i="35"/>
  <c r="O10" i="35"/>
  <c r="O45" i="35"/>
  <c r="O24" i="35"/>
  <c r="O20" i="35"/>
  <c r="O35" i="35"/>
  <c r="O71" i="35"/>
  <c r="O60" i="35"/>
  <c r="O25" i="35"/>
  <c r="O67" i="35"/>
  <c r="O56" i="35"/>
  <c r="O68" i="35"/>
  <c r="O32" i="35"/>
  <c r="O58" i="35"/>
  <c r="O49" i="35"/>
  <c r="O34" i="35"/>
  <c r="O14" i="35"/>
  <c r="O53" i="35"/>
  <c r="O47" i="35"/>
  <c r="O26" i="35"/>
  <c r="O70" i="35"/>
  <c r="O65" i="35"/>
  <c r="O19" i="35"/>
  <c r="O33" i="35"/>
  <c r="O42" i="35"/>
  <c r="O66" i="35"/>
  <c r="O13" i="35"/>
  <c r="O12" i="35"/>
  <c r="O11" i="35"/>
  <c r="O43" i="35"/>
  <c r="O44" i="35"/>
  <c r="O6" i="35"/>
  <c r="O22" i="35"/>
  <c r="O5" i="35"/>
  <c r="O74" i="35"/>
  <c r="O73" i="35"/>
  <c r="O41" i="35"/>
  <c r="AM434" i="37"/>
  <c r="AM437" i="37"/>
  <c r="AM414" i="37"/>
  <c r="AM387" i="37"/>
  <c r="AM391" i="37"/>
  <c r="AM412" i="37"/>
  <c r="AM400" i="37"/>
  <c r="AM403" i="37"/>
  <c r="AM401" i="37"/>
  <c r="AM454" i="37"/>
  <c r="AM441" i="37"/>
  <c r="AM389" i="37"/>
  <c r="AM413" i="37"/>
  <c r="AM450" i="37"/>
  <c r="AM402" i="37"/>
  <c r="AM443" i="37"/>
  <c r="AM409" i="37"/>
  <c r="AM386" i="37"/>
  <c r="AM392" i="37"/>
  <c r="AM455" i="37"/>
  <c r="AM407" i="37"/>
  <c r="AM429" i="37"/>
  <c r="AM390" i="37"/>
  <c r="AM405" i="37"/>
  <c r="AM446" i="37"/>
  <c r="AM453" i="37"/>
  <c r="AM432" i="37"/>
  <c r="AM416" i="37"/>
  <c r="AM449" i="37"/>
  <c r="AM404" i="37"/>
  <c r="AM395" i="37"/>
  <c r="AM419" i="37"/>
  <c r="AM406" i="37"/>
  <c r="AM397" i="37"/>
  <c r="AM438" i="37"/>
  <c r="AM447" i="37"/>
  <c r="AM423" i="37"/>
  <c r="AM417" i="37"/>
  <c r="AM424" i="37"/>
  <c r="AM448" i="37"/>
  <c r="AM439" i="37"/>
  <c r="AM421" i="37"/>
  <c r="AM436" i="37"/>
  <c r="AM398" i="37"/>
  <c r="AM394" i="37"/>
  <c r="AM425" i="37"/>
  <c r="AM396" i="37"/>
  <c r="AM428" i="37"/>
  <c r="AM426" i="37"/>
  <c r="AM452" i="37"/>
  <c r="AM431" i="37"/>
  <c r="AM388" i="37"/>
  <c r="AM410" i="37"/>
  <c r="AM451" i="37"/>
  <c r="AM440" i="37"/>
  <c r="AM427" i="37"/>
  <c r="AM444" i="37"/>
  <c r="AM408" i="37"/>
  <c r="AM418" i="37"/>
  <c r="AM415" i="37"/>
  <c r="AM422" i="37"/>
  <c r="M4" i="35"/>
  <c r="F4" i="35" s="1"/>
  <c r="M5" i="35"/>
  <c r="F5" i="35" s="1"/>
  <c r="M6" i="35"/>
  <c r="F6" i="35" s="1"/>
  <c r="AM420" i="37"/>
  <c r="M34" i="35"/>
  <c r="F34" i="35" s="1"/>
  <c r="M73" i="35"/>
  <c r="F73" i="35" s="1"/>
  <c r="M67" i="35"/>
  <c r="F67" i="35" s="1"/>
  <c r="M55" i="35"/>
  <c r="F55" i="35" s="1"/>
  <c r="M17" i="35"/>
  <c r="F17" i="35" s="1"/>
  <c r="M33" i="35"/>
  <c r="F33" i="35" s="1"/>
  <c r="M12" i="35"/>
  <c r="F12" i="35" s="1"/>
  <c r="M42" i="35"/>
  <c r="F42" i="35" s="1"/>
  <c r="M59" i="35"/>
  <c r="F59" i="35" s="1"/>
  <c r="M43" i="35"/>
  <c r="F43" i="35" s="1"/>
  <c r="M14" i="35"/>
  <c r="F14" i="35" s="1"/>
  <c r="M53" i="35"/>
  <c r="F53" i="35" s="1"/>
  <c r="M58" i="35"/>
  <c r="F58" i="35" s="1"/>
  <c r="M50" i="35"/>
  <c r="F50" i="35" s="1"/>
  <c r="M49" i="35"/>
  <c r="F49" i="35" s="1"/>
  <c r="M20" i="35"/>
  <c r="F20" i="35" s="1"/>
  <c r="M26" i="35"/>
  <c r="F26" i="35" s="1"/>
  <c r="M22" i="35"/>
  <c r="F22" i="35" s="1"/>
  <c r="M11" i="35"/>
  <c r="F11" i="35" s="1"/>
  <c r="M74" i="35"/>
  <c r="F74" i="35" s="1"/>
  <c r="M51" i="35"/>
  <c r="F51" i="35" s="1"/>
  <c r="M28" i="35"/>
  <c r="F28" i="35" s="1"/>
  <c r="M24" i="35"/>
  <c r="F24" i="35" s="1"/>
  <c r="M44" i="35"/>
  <c r="F44" i="35" s="1"/>
  <c r="AM456" i="37"/>
  <c r="AM435" i="37"/>
  <c r="AM399" i="37"/>
  <c r="AM442" i="37"/>
  <c r="AM393" i="37"/>
  <c r="AM433" i="37"/>
  <c r="M57" i="35"/>
  <c r="F57" i="35" s="1"/>
  <c r="M19" i="35"/>
  <c r="F19" i="35" s="1"/>
  <c r="M56" i="35"/>
  <c r="F56" i="35" s="1"/>
  <c r="M10" i="35"/>
  <c r="F10" i="35" s="1"/>
  <c r="M52" i="35"/>
  <c r="F52" i="35" s="1"/>
  <c r="M23" i="35"/>
  <c r="F23" i="35" s="1"/>
  <c r="M66" i="35"/>
  <c r="F66" i="35" s="1"/>
  <c r="M65" i="35"/>
  <c r="F65" i="35" s="1"/>
  <c r="M35" i="35"/>
  <c r="F35" i="35" s="1"/>
  <c r="M31" i="35"/>
  <c r="F31" i="35" s="1"/>
  <c r="M25" i="35"/>
  <c r="F25" i="35" s="1"/>
  <c r="M71" i="35"/>
  <c r="F71" i="35" s="1"/>
  <c r="M41" i="35"/>
  <c r="F41" i="35" s="1"/>
  <c r="M70" i="35"/>
  <c r="F70" i="35" s="1"/>
  <c r="M62" i="35"/>
  <c r="F62" i="35" s="1"/>
  <c r="M32" i="35"/>
  <c r="F32" i="35" s="1"/>
  <c r="M13" i="35"/>
  <c r="F13" i="35" s="1"/>
  <c r="M45" i="35"/>
  <c r="F45" i="35" s="1"/>
  <c r="M47" i="35"/>
  <c r="F47" i="35" s="1"/>
  <c r="M68" i="35"/>
  <c r="F68" i="35" s="1"/>
  <c r="AW229" i="37"/>
  <c r="M63" i="35"/>
  <c r="F63" i="35" s="1"/>
  <c r="AW238" i="37"/>
  <c r="M72" i="35"/>
  <c r="F72" i="35" s="1"/>
  <c r="AW206" i="37"/>
  <c r="M40" i="35"/>
  <c r="F40" i="35" s="1"/>
  <c r="AW173" i="37"/>
  <c r="M7" i="35"/>
  <c r="F7" i="35" s="1"/>
  <c r="AW227" i="37"/>
  <c r="M61" i="35"/>
  <c r="F61" i="35" s="1"/>
  <c r="AW230" i="37"/>
  <c r="M64" i="35"/>
  <c r="F64" i="35" s="1"/>
  <c r="AW212" i="37"/>
  <c r="M46" i="35"/>
  <c r="F46" i="35" s="1"/>
  <c r="AW187" i="37"/>
  <c r="M21" i="35"/>
  <c r="F21" i="35" s="1"/>
  <c r="AW214" i="37"/>
  <c r="M48" i="35"/>
  <c r="F48" i="35" s="1"/>
  <c r="AW182" i="37"/>
  <c r="M16" i="35"/>
  <c r="F16" i="35" s="1"/>
  <c r="AW184" i="37"/>
  <c r="M18" i="35"/>
  <c r="F18" i="35" s="1"/>
  <c r="AW170" i="37"/>
  <c r="AW205" i="37"/>
  <c r="M39" i="35"/>
  <c r="F39" i="35" s="1"/>
  <c r="AW203" i="37"/>
  <c r="M37" i="35"/>
  <c r="F37" i="35" s="1"/>
  <c r="AW220" i="37"/>
  <c r="M54" i="35"/>
  <c r="F54" i="35" s="1"/>
  <c r="AW195" i="37"/>
  <c r="M29" i="35"/>
  <c r="F29" i="35" s="1"/>
  <c r="AW202" i="37"/>
  <c r="M36" i="35"/>
  <c r="F36" i="35" s="1"/>
  <c r="AW193" i="37"/>
  <c r="M27" i="35"/>
  <c r="F27" i="35" s="1"/>
  <c r="AW196" i="37"/>
  <c r="M30" i="35"/>
  <c r="F30" i="35" s="1"/>
  <c r="AW235" i="37"/>
  <c r="M69" i="35"/>
  <c r="F69" i="35" s="1"/>
  <c r="AW175" i="37"/>
  <c r="M9" i="35"/>
  <c r="F9" i="35" s="1"/>
  <c r="AW181" i="37"/>
  <c r="M15" i="35"/>
  <c r="F15" i="35" s="1"/>
  <c r="AW174" i="37"/>
  <c r="M8" i="35"/>
  <c r="F8" i="35" s="1"/>
  <c r="AW285" i="11"/>
  <c r="AW357" i="11" s="1"/>
  <c r="AW429" i="11" s="1"/>
  <c r="AW309" i="11"/>
  <c r="AW381" i="11" s="1"/>
  <c r="AW453" i="11" s="1"/>
  <c r="AW243" i="11"/>
  <c r="AW315" i="11" s="1"/>
  <c r="AW387" i="11" s="1"/>
  <c r="AW250" i="11"/>
  <c r="AW322" i="11" s="1"/>
  <c r="AW394" i="11" s="1"/>
  <c r="AW264" i="11"/>
  <c r="AW336" i="11" s="1"/>
  <c r="AW408" i="11" s="1"/>
  <c r="AW301" i="11"/>
  <c r="AW373" i="11" s="1"/>
  <c r="AW445" i="11" s="1"/>
  <c r="AW287" i="11"/>
  <c r="AW359" i="11" s="1"/>
  <c r="AW431" i="11" s="1"/>
  <c r="AW279" i="11"/>
  <c r="AW351" i="11" s="1"/>
  <c r="AW423" i="11" s="1"/>
  <c r="AW289" i="11"/>
  <c r="AW361" i="11" s="1"/>
  <c r="AW433" i="11" s="1"/>
  <c r="AW283" i="11"/>
  <c r="AW355" i="11" s="1"/>
  <c r="AW427" i="11" s="1"/>
  <c r="AW293" i="11"/>
  <c r="AW365" i="11" s="1"/>
  <c r="AW437" i="11" s="1"/>
  <c r="AW298" i="11"/>
  <c r="AW370" i="11" s="1"/>
  <c r="AW442" i="11" s="1"/>
  <c r="AW269" i="11"/>
  <c r="AW341" i="11" s="1"/>
  <c r="AW413" i="11" s="1"/>
  <c r="AW275" i="11"/>
  <c r="AW347" i="11" s="1"/>
  <c r="AW419" i="11" s="1"/>
  <c r="AW258" i="11"/>
  <c r="AW330" i="11" s="1"/>
  <c r="AW402" i="11" s="1"/>
  <c r="AW261" i="11"/>
  <c r="AW333" i="11" s="1"/>
  <c r="AW405" i="11" s="1"/>
  <c r="AW312" i="11"/>
  <c r="AW384" i="11" s="1"/>
  <c r="AW456" i="11" s="1"/>
  <c r="AW306" i="11"/>
  <c r="AW378" i="11" s="1"/>
  <c r="AW450" i="11" s="1"/>
  <c r="AW268" i="11"/>
  <c r="AW340" i="11" s="1"/>
  <c r="AW412" i="11" s="1"/>
  <c r="AW254" i="11"/>
  <c r="AW326" i="11" s="1"/>
  <c r="AW398" i="11" s="1"/>
  <c r="AW295" i="11"/>
  <c r="AW367" i="11" s="1"/>
  <c r="AW439" i="11" s="1"/>
  <c r="AW284" i="11"/>
  <c r="AW356" i="11" s="1"/>
  <c r="AW428" i="11" s="1"/>
  <c r="AW277" i="11"/>
  <c r="AW349" i="11" s="1"/>
  <c r="AW421" i="11" s="1"/>
  <c r="AW311" i="11"/>
  <c r="AW383" i="11" s="1"/>
  <c r="AW455" i="11" s="1"/>
  <c r="AW308" i="11"/>
  <c r="AW380" i="11" s="1"/>
  <c r="AW452" i="11" s="1"/>
  <c r="AW263" i="11"/>
  <c r="AW335" i="11" s="1"/>
  <c r="AW407" i="11" s="1"/>
  <c r="AW294" i="11"/>
  <c r="AW366" i="11" s="1"/>
  <c r="AW438" i="11" s="1"/>
  <c r="AW302" i="11"/>
  <c r="AW374" i="11" s="1"/>
  <c r="AW446" i="11" s="1"/>
  <c r="AW259" i="11"/>
  <c r="AW331" i="11" s="1"/>
  <c r="AW403" i="11" s="1"/>
  <c r="AW248" i="11"/>
  <c r="AW320" i="11" s="1"/>
  <c r="AW392" i="11" s="1"/>
  <c r="AW249" i="11"/>
  <c r="AW321" i="11" s="1"/>
  <c r="AW393" i="11" s="1"/>
  <c r="AW307" i="11"/>
  <c r="AW379" i="11" s="1"/>
  <c r="AW451" i="11" s="1"/>
  <c r="AW253" i="11"/>
  <c r="AW325" i="11" s="1"/>
  <c r="AW397" i="11" s="1"/>
  <c r="AW290" i="11"/>
  <c r="AW362" i="11" s="1"/>
  <c r="AW434" i="11" s="1"/>
  <c r="AW255" i="11"/>
  <c r="AW327" i="11" s="1"/>
  <c r="AW399" i="11" s="1"/>
  <c r="AW276" i="11"/>
  <c r="AW348" i="11" s="1"/>
  <c r="AW420" i="11" s="1"/>
  <c r="AW291" i="11"/>
  <c r="AW363" i="11" s="1"/>
  <c r="AW435" i="11" s="1"/>
  <c r="AW262" i="11"/>
  <c r="AW334" i="11" s="1"/>
  <c r="AW406" i="11" s="1"/>
  <c r="AW257" i="11"/>
  <c r="AW329" i="11" s="1"/>
  <c r="AW401" i="11" s="1"/>
  <c r="AW286" i="11"/>
  <c r="AW358" i="11" s="1"/>
  <c r="AW430" i="11" s="1"/>
  <c r="AW266" i="11"/>
  <c r="AW338" i="11" s="1"/>
  <c r="AW410" i="11" s="1"/>
  <c r="AW251" i="11"/>
  <c r="AW323" i="11" s="1"/>
  <c r="AW395" i="11" s="1"/>
  <c r="AW256" i="11"/>
  <c r="AW328" i="11" s="1"/>
  <c r="AW400" i="11" s="1"/>
  <c r="AW265" i="11"/>
  <c r="AW337" i="11" s="1"/>
  <c r="AW409" i="11" s="1"/>
  <c r="AW272" i="11"/>
  <c r="AW344" i="11" s="1"/>
  <c r="AW416" i="11" s="1"/>
  <c r="AW274" i="11"/>
  <c r="AW346" i="11" s="1"/>
  <c r="AW418" i="11" s="1"/>
  <c r="K25" i="35" l="1"/>
  <c r="K51" i="35"/>
  <c r="J51" i="35"/>
  <c r="L56" i="35"/>
  <c r="L51" i="35"/>
  <c r="L42" i="35"/>
  <c r="K35" i="35"/>
  <c r="L24" i="35"/>
  <c r="K23" i="35"/>
  <c r="K24" i="35"/>
  <c r="J24" i="35"/>
  <c r="L12" i="35"/>
  <c r="L14" i="35"/>
  <c r="J35" i="35"/>
  <c r="L35" i="35"/>
  <c r="J56" i="35"/>
  <c r="K26" i="35"/>
  <c r="J25" i="35"/>
  <c r="L25" i="35"/>
  <c r="K56" i="35"/>
  <c r="AW275" i="37"/>
  <c r="AW347" i="37" s="1"/>
  <c r="AW419" i="37" s="1"/>
  <c r="O37" i="35"/>
  <c r="L38" i="35" s="1"/>
  <c r="AW265" i="37"/>
  <c r="AW337" i="37" s="1"/>
  <c r="AW409" i="37" s="1"/>
  <c r="O27" i="35"/>
  <c r="L27" i="35" s="1"/>
  <c r="AW245" i="37"/>
  <c r="AW317" i="37" s="1"/>
  <c r="AW389" i="37" s="1"/>
  <c r="O7" i="35"/>
  <c r="K7" i="35" s="1"/>
  <c r="AW310" i="37"/>
  <c r="AW382" i="37" s="1"/>
  <c r="AW454" i="37" s="1"/>
  <c r="O72" i="35"/>
  <c r="J72" i="35" s="1"/>
  <c r="AW274" i="37"/>
  <c r="AW346" i="37" s="1"/>
  <c r="AW418" i="37" s="1"/>
  <c r="O36" i="35"/>
  <c r="AW292" i="37"/>
  <c r="AW364" i="37" s="1"/>
  <c r="AW436" i="37" s="1"/>
  <c r="O54" i="35"/>
  <c r="J55" i="35" s="1"/>
  <c r="AW277" i="37"/>
  <c r="AW349" i="37" s="1"/>
  <c r="AW421" i="37" s="1"/>
  <c r="O39" i="35"/>
  <c r="J39" i="35" s="1"/>
  <c r="AW307" i="37"/>
  <c r="AW379" i="37" s="1"/>
  <c r="AW451" i="37" s="1"/>
  <c r="O69" i="35"/>
  <c r="J70" i="35" s="1"/>
  <c r="AW254" i="37"/>
  <c r="AW326" i="37" s="1"/>
  <c r="AW398" i="37" s="1"/>
  <c r="O16" i="35"/>
  <c r="J17" i="35" s="1"/>
  <c r="AW284" i="37"/>
  <c r="AW356" i="37" s="1"/>
  <c r="AW428" i="37" s="1"/>
  <c r="O46" i="35"/>
  <c r="L46" i="35" s="1"/>
  <c r="AW246" i="37"/>
  <c r="AW318" i="37" s="1"/>
  <c r="AW390" i="37" s="1"/>
  <c r="O8" i="35"/>
  <c r="AW267" i="37"/>
  <c r="AW339" i="37" s="1"/>
  <c r="AW411" i="37" s="1"/>
  <c r="O29" i="35"/>
  <c r="K29" i="35" s="1"/>
  <c r="AW242" i="37"/>
  <c r="AW314" i="37" s="1"/>
  <c r="AW386" i="37" s="1"/>
  <c r="O4" i="35"/>
  <c r="K4" i="35" s="1"/>
  <c r="AW268" i="37"/>
  <c r="AW340" i="37" s="1"/>
  <c r="AW412" i="37" s="1"/>
  <c r="O30" i="35"/>
  <c r="K31" i="35" s="1"/>
  <c r="AW286" i="37"/>
  <c r="AW358" i="37" s="1"/>
  <c r="AW430" i="37" s="1"/>
  <c r="O48" i="35"/>
  <c r="J48" i="35" s="1"/>
  <c r="AW278" i="37"/>
  <c r="AW350" i="37" s="1"/>
  <c r="AW422" i="37" s="1"/>
  <c r="O40" i="35"/>
  <c r="AW301" i="37"/>
  <c r="AW373" i="37" s="1"/>
  <c r="AW445" i="37" s="1"/>
  <c r="O63" i="35"/>
  <c r="K63" i="35" s="1"/>
  <c r="AW253" i="37"/>
  <c r="AW325" i="37" s="1"/>
  <c r="AW397" i="37" s="1"/>
  <c r="O15" i="35"/>
  <c r="AW256" i="37"/>
  <c r="AW328" i="37" s="1"/>
  <c r="AW400" i="37" s="1"/>
  <c r="O18" i="35"/>
  <c r="L19" i="35" s="1"/>
  <c r="AW302" i="37"/>
  <c r="AW374" i="37" s="1"/>
  <c r="AW446" i="37" s="1"/>
  <c r="O64" i="35"/>
  <c r="L65" i="35" s="1"/>
  <c r="AW247" i="37"/>
  <c r="AW319" i="37" s="1"/>
  <c r="AW391" i="37" s="1"/>
  <c r="O9" i="35"/>
  <c r="J10" i="35" s="1"/>
  <c r="AW259" i="37"/>
  <c r="AW331" i="37" s="1"/>
  <c r="AW403" i="37" s="1"/>
  <c r="O21" i="35"/>
  <c r="J22" i="35" s="1"/>
  <c r="AW299" i="37"/>
  <c r="AW371" i="37" s="1"/>
  <c r="AW443" i="37" s="1"/>
  <c r="O61" i="35"/>
  <c r="J62" i="35" s="1"/>
  <c r="J26" i="35"/>
  <c r="L26" i="35"/>
  <c r="K14" i="35"/>
  <c r="L13" i="35"/>
  <c r="J13" i="35"/>
  <c r="K13" i="35"/>
  <c r="L23" i="35"/>
  <c r="J14" i="35"/>
  <c r="J23" i="35"/>
  <c r="J12" i="35"/>
  <c r="K12" i="35"/>
  <c r="J42" i="35"/>
  <c r="K42" i="35"/>
  <c r="K6" i="35"/>
  <c r="J6" i="35"/>
  <c r="L6" i="35"/>
  <c r="J67" i="35"/>
  <c r="L67" i="35"/>
  <c r="L66" i="35"/>
  <c r="J66" i="35"/>
  <c r="K67" i="35"/>
  <c r="K66" i="35"/>
  <c r="J50" i="35"/>
  <c r="L50" i="35"/>
  <c r="K50" i="35"/>
  <c r="K58" i="35"/>
  <c r="J58" i="35"/>
  <c r="L58" i="35"/>
  <c r="L45" i="35"/>
  <c r="K44" i="35"/>
  <c r="J44" i="35"/>
  <c r="J45" i="35"/>
  <c r="L44" i="35"/>
  <c r="K45" i="35"/>
  <c r="L20" i="35"/>
  <c r="J20" i="35"/>
  <c r="K20" i="35"/>
  <c r="K74" i="35"/>
  <c r="J74" i="35"/>
  <c r="L74" i="35"/>
  <c r="J43" i="35"/>
  <c r="K43" i="35"/>
  <c r="L43" i="35"/>
  <c r="L59" i="35"/>
  <c r="J59" i="35"/>
  <c r="K59" i="35"/>
  <c r="L68" i="35"/>
  <c r="J68" i="35"/>
  <c r="K68" i="35"/>
  <c r="K57" i="35"/>
  <c r="L57" i="35"/>
  <c r="J57" i="35"/>
  <c r="L34" i="35"/>
  <c r="L33" i="35"/>
  <c r="J34" i="35"/>
  <c r="J33" i="35"/>
  <c r="K34" i="35"/>
  <c r="K33" i="35"/>
  <c r="K60" i="35"/>
  <c r="L60" i="35"/>
  <c r="J60" i="35"/>
  <c r="K11" i="35"/>
  <c r="L11" i="35"/>
  <c r="J11" i="35"/>
  <c r="K53" i="35"/>
  <c r="L53" i="35"/>
  <c r="J53" i="35"/>
  <c r="J71" i="35"/>
  <c r="K71" i="35"/>
  <c r="L71" i="35"/>
  <c r="L52" i="35"/>
  <c r="K52" i="35"/>
  <c r="J52" i="35"/>
  <c r="L32" i="35"/>
  <c r="J32" i="35"/>
  <c r="K32" i="35"/>
  <c r="L4" i="35" l="1"/>
  <c r="L8" i="35"/>
  <c r="J54" i="35"/>
  <c r="K54" i="35"/>
  <c r="L55" i="35"/>
  <c r="L21" i="35"/>
  <c r="J7" i="35"/>
  <c r="K22" i="35"/>
  <c r="K21" i="35"/>
  <c r="J21" i="35"/>
  <c r="K8" i="35"/>
  <c r="L7" i="35"/>
  <c r="L54" i="35"/>
  <c r="J8" i="35"/>
  <c r="L73" i="35"/>
  <c r="K61" i="35"/>
  <c r="K72" i="35"/>
  <c r="J61" i="35"/>
  <c r="K39" i="35"/>
  <c r="K73" i="35"/>
  <c r="J73" i="35"/>
  <c r="L37" i="35"/>
  <c r="J29" i="35"/>
  <c r="L29" i="35"/>
  <c r="K65" i="35"/>
  <c r="L17" i="35"/>
  <c r="J65" i="35"/>
  <c r="K17" i="35"/>
  <c r="J5" i="35"/>
  <c r="L5" i="35"/>
  <c r="J46" i="35"/>
  <c r="K5" i="35"/>
  <c r="L48" i="35"/>
  <c r="L10" i="35"/>
  <c r="J18" i="35"/>
  <c r="K70" i="35"/>
  <c r="L18" i="35"/>
  <c r="L40" i="35"/>
  <c r="J9" i="35"/>
  <c r="K10" i="35"/>
  <c r="K9" i="35"/>
  <c r="J4" i="35"/>
  <c r="L70" i="35"/>
  <c r="K69" i="35"/>
  <c r="K18" i="35"/>
  <c r="J28" i="35"/>
  <c r="L69" i="35"/>
  <c r="J69" i="35"/>
  <c r="K28" i="35"/>
  <c r="J19" i="35"/>
  <c r="L62" i="35"/>
  <c r="J64" i="35"/>
  <c r="L63" i="35"/>
  <c r="K37" i="35"/>
  <c r="K38" i="35"/>
  <c r="J37" i="35"/>
  <c r="J38" i="35"/>
  <c r="J63" i="35"/>
  <c r="K64" i="35"/>
  <c r="L64" i="35"/>
  <c r="L39" i="35"/>
  <c r="L9" i="35"/>
  <c r="L49" i="35"/>
  <c r="K48" i="35"/>
  <c r="K49" i="35"/>
  <c r="L30" i="35"/>
  <c r="L31" i="35"/>
  <c r="J31" i="35"/>
  <c r="J40" i="35"/>
  <c r="L22" i="35"/>
  <c r="K55" i="35"/>
  <c r="L72" i="35"/>
  <c r="J49" i="35"/>
  <c r="K62" i="35"/>
  <c r="K30" i="35"/>
  <c r="J30" i="35"/>
  <c r="J27" i="35"/>
  <c r="L61" i="35"/>
  <c r="L28" i="35"/>
  <c r="K27" i="35"/>
  <c r="K19" i="35"/>
  <c r="K40" i="35"/>
  <c r="L41" i="35"/>
  <c r="K41" i="35"/>
  <c r="J41" i="35"/>
  <c r="L15" i="35"/>
  <c r="J15" i="35"/>
  <c r="K15" i="35"/>
  <c r="L47" i="35"/>
  <c r="K47" i="35"/>
  <c r="J47" i="35"/>
  <c r="K46" i="35"/>
  <c r="K36" i="35"/>
  <c r="J36" i="35"/>
  <c r="L36" i="35"/>
  <c r="K16" i="35"/>
  <c r="J16" i="35"/>
  <c r="L16" i="35"/>
  <c r="K77" i="35" l="1"/>
  <c r="L77" i="35" s="1"/>
  <c r="K79" i="35"/>
  <c r="L79" i="35" s="1"/>
  <c r="K78" i="35"/>
  <c r="L78" i="35" s="1"/>
  <c r="E78" i="35" l="1"/>
  <c r="E79" i="35"/>
  <c r="E77" i="35"/>
  <c r="F78" i="35"/>
  <c r="F77" i="35"/>
  <c r="F79" i="35"/>
  <c r="BP5" i="40"/>
  <c r="CA4" i="40" l="1"/>
  <c r="AL14" i="24"/>
  <c r="AL48" i="24"/>
  <c r="AL5" i="24"/>
  <c r="AL27" i="24"/>
  <c r="AL8" i="24"/>
  <c r="AL23" i="24"/>
  <c r="AL6" i="24"/>
  <c r="AL12" i="24"/>
  <c r="AL9" i="24"/>
  <c r="AL37" i="24"/>
  <c r="AL15" i="24"/>
  <c r="AL22" i="24"/>
  <c r="AL32" i="24"/>
  <c r="AL31" i="24"/>
  <c r="AL20" i="24"/>
  <c r="AL16" i="24"/>
  <c r="AL17" i="24"/>
  <c r="AL10" i="24"/>
  <c r="AL39" i="24"/>
  <c r="AL24" i="24"/>
  <c r="AL46" i="24"/>
  <c r="AL34" i="24"/>
  <c r="AL18" i="24"/>
  <c r="AL35" i="24"/>
  <c r="AL36" i="24"/>
  <c r="AL29" i="24"/>
  <c r="AL41" i="24"/>
  <c r="AL25" i="24"/>
  <c r="AL40" i="24"/>
  <c r="AL30" i="24"/>
  <c r="AL21" i="24"/>
  <c r="AL11" i="24"/>
  <c r="AL43" i="24"/>
  <c r="AL26" i="24"/>
  <c r="AL7" i="24"/>
  <c r="AL44" i="24"/>
  <c r="AL49" i="24"/>
  <c r="AL33" i="24"/>
  <c r="AL45" i="24"/>
  <c r="AL19" i="24"/>
  <c r="AL42" i="24"/>
  <c r="AL13" i="24"/>
  <c r="AL38" i="24"/>
  <c r="AL47" i="24"/>
  <c r="AL63" i="24" l="1"/>
  <c r="AL52" i="24"/>
  <c r="AL53" i="24"/>
  <c r="AL51" i="24"/>
  <c r="AL58" i="24"/>
  <c r="AL55" i="24"/>
  <c r="AL60" i="24"/>
  <c r="AL50" i="24"/>
  <c r="AL62" i="24"/>
  <c r="AL54" i="24"/>
  <c r="AL59" i="24"/>
  <c r="AL64" i="24"/>
  <c r="AL56" i="24"/>
  <c r="AL61" i="24"/>
  <c r="AL57" i="24"/>
  <c r="AR12" i="24" l="1"/>
  <c r="Y12" i="24" s="1"/>
  <c r="AR10" i="24"/>
  <c r="Y8" i="24" s="1"/>
  <c r="Y5" i="24" s="1"/>
  <c r="C18" i="44" s="1"/>
  <c r="Z5" i="24" l="1"/>
  <c r="G18" i="44" s="1"/>
  <c r="O1" i="40"/>
  <c r="CB1" i="40" l="1"/>
  <c r="DD54" i="40" s="1"/>
  <c r="DE54" i="40" s="1"/>
  <c r="DT54" i="40" s="1"/>
  <c r="AO5" i="40"/>
  <c r="AP5" i="40" s="1"/>
  <c r="AO41" i="40"/>
  <c r="AP41" i="40" s="1"/>
  <c r="AO35" i="40"/>
  <c r="AP35" i="40" s="1"/>
  <c r="AO21" i="40"/>
  <c r="AP21" i="40" s="1"/>
  <c r="AO62" i="40"/>
  <c r="AP62" i="40" s="1"/>
  <c r="AO48" i="40"/>
  <c r="AP48" i="40" s="1"/>
  <c r="AO50" i="40"/>
  <c r="AP50" i="40" s="1"/>
  <c r="AO68" i="40"/>
  <c r="AP68" i="40" s="1"/>
  <c r="AO31" i="40"/>
  <c r="AP31" i="40" s="1"/>
  <c r="AO6" i="40"/>
  <c r="AP6" i="40" s="1"/>
  <c r="AO49" i="40"/>
  <c r="AP49" i="40" s="1"/>
  <c r="AO43" i="40"/>
  <c r="AP43" i="40" s="1"/>
  <c r="AO29" i="40"/>
  <c r="AP29" i="40" s="1"/>
  <c r="AO15" i="40"/>
  <c r="AP15" i="40" s="1"/>
  <c r="AO56" i="40"/>
  <c r="AP56" i="40" s="1"/>
  <c r="AO66" i="40"/>
  <c r="AP66" i="40" s="1"/>
  <c r="AO13" i="40"/>
  <c r="AP13" i="40" s="1"/>
  <c r="AO47" i="40"/>
  <c r="AP47" i="40" s="1"/>
  <c r="AO7" i="40"/>
  <c r="AP7" i="40" s="1"/>
  <c r="AO57" i="40"/>
  <c r="AP57" i="40" s="1"/>
  <c r="AO59" i="40"/>
  <c r="AP59" i="40" s="1"/>
  <c r="AO45" i="40"/>
  <c r="AP45" i="40" s="1"/>
  <c r="AO23" i="40"/>
  <c r="AP23" i="40" s="1"/>
  <c r="AO72" i="40"/>
  <c r="AP72" i="40" s="1"/>
  <c r="AO27" i="40"/>
  <c r="AP27" i="40" s="1"/>
  <c r="AO37" i="40"/>
  <c r="AP37" i="40" s="1"/>
  <c r="AO63" i="40"/>
  <c r="AP63" i="40" s="1"/>
  <c r="AO8" i="40"/>
  <c r="AP8" i="40" s="1"/>
  <c r="AO65" i="40"/>
  <c r="AP65" i="40" s="1"/>
  <c r="AO4" i="40"/>
  <c r="AP4" i="40" s="1"/>
  <c r="AO61" i="40"/>
  <c r="AP61" i="40" s="1"/>
  <c r="AO39" i="40"/>
  <c r="AP39" i="40" s="1"/>
  <c r="AO10" i="40"/>
  <c r="AP10" i="40" s="1"/>
  <c r="AO51" i="40"/>
  <c r="AP51" i="40" s="1"/>
  <c r="AO53" i="40"/>
  <c r="AP53" i="40" s="1"/>
  <c r="AO24" i="40"/>
  <c r="AP24" i="40" s="1"/>
  <c r="AO9" i="40"/>
  <c r="AP9" i="40" s="1"/>
  <c r="AO73" i="40"/>
  <c r="AP73" i="40" s="1"/>
  <c r="AO20" i="40"/>
  <c r="AP20" i="40" s="1"/>
  <c r="AO69" i="40"/>
  <c r="AP69" i="40" s="1"/>
  <c r="AO55" i="40"/>
  <c r="AP55" i="40" s="1"/>
  <c r="AO18" i="40"/>
  <c r="AP18" i="40" s="1"/>
  <c r="AO67" i="40"/>
  <c r="AP67" i="40" s="1"/>
  <c r="AO14" i="40"/>
  <c r="AP14" i="40" s="1"/>
  <c r="AO40" i="40"/>
  <c r="AP40" i="40" s="1"/>
  <c r="AO17" i="40"/>
  <c r="AP17" i="40" s="1"/>
  <c r="AO58" i="40"/>
  <c r="AP58" i="40" s="1"/>
  <c r="AO28" i="40"/>
  <c r="AP28" i="40" s="1"/>
  <c r="AO22" i="40"/>
  <c r="AP22" i="40" s="1"/>
  <c r="AO71" i="40"/>
  <c r="AP71" i="40" s="1"/>
  <c r="AO26" i="40"/>
  <c r="AP26" i="40" s="1"/>
  <c r="AO12" i="40"/>
  <c r="AP12" i="40" s="1"/>
  <c r="AO30" i="40"/>
  <c r="AP30" i="40" s="1"/>
  <c r="AO64" i="40"/>
  <c r="AP64" i="40" s="1"/>
  <c r="AO25" i="40"/>
  <c r="AP25" i="40" s="1"/>
  <c r="AO74" i="40"/>
  <c r="AP74" i="40" s="1"/>
  <c r="AO44" i="40"/>
  <c r="AP44" i="40" s="1"/>
  <c r="AO38" i="40"/>
  <c r="AP38" i="40" s="1"/>
  <c r="AO16" i="40"/>
  <c r="AP16" i="40" s="1"/>
  <c r="AO34" i="40"/>
  <c r="AP34" i="40" s="1"/>
  <c r="AO36" i="40"/>
  <c r="AP36" i="40" s="1"/>
  <c r="AO54" i="40"/>
  <c r="AP54" i="40" s="1"/>
  <c r="AO11" i="40"/>
  <c r="AP11" i="40" s="1"/>
  <c r="AO33" i="40"/>
  <c r="AP33" i="40" s="1"/>
  <c r="AO19" i="40"/>
  <c r="AP19" i="40" s="1"/>
  <c r="AO60" i="40"/>
  <c r="AP60" i="40" s="1"/>
  <c r="AO46" i="40"/>
  <c r="AP46" i="40" s="1"/>
  <c r="AO32" i="40"/>
  <c r="AP32" i="40" s="1"/>
  <c r="AO42" i="40"/>
  <c r="AP42" i="40" s="1"/>
  <c r="AO52" i="40"/>
  <c r="AP52" i="40" s="1"/>
  <c r="AO70" i="40"/>
  <c r="AP70" i="40" s="1"/>
  <c r="O2" i="40"/>
  <c r="X6" i="40" l="1"/>
  <c r="K6" i="40" s="1"/>
  <c r="M6" i="40" s="1"/>
  <c r="X70" i="40"/>
  <c r="K70" i="40" s="1"/>
  <c r="M70" i="40" s="1"/>
  <c r="X63" i="40"/>
  <c r="K63" i="40" s="1"/>
  <c r="M63" i="40" s="1"/>
  <c r="X56" i="40"/>
  <c r="K56" i="40" s="1"/>
  <c r="M56" i="40" s="1"/>
  <c r="X49" i="40"/>
  <c r="K49" i="40" s="1"/>
  <c r="M49" i="40" s="1"/>
  <c r="X42" i="40"/>
  <c r="K42" i="40" s="1"/>
  <c r="M42" i="40" s="1"/>
  <c r="X35" i="40"/>
  <c r="K35" i="40" s="1"/>
  <c r="M35" i="40" s="1"/>
  <c r="X28" i="40"/>
  <c r="K28" i="40" s="1"/>
  <c r="M28" i="40" s="1"/>
  <c r="X21" i="40"/>
  <c r="K21" i="40" s="1"/>
  <c r="M21" i="40" s="1"/>
  <c r="X7" i="40"/>
  <c r="K7" i="40" s="1"/>
  <c r="X71" i="40"/>
  <c r="K71" i="40" s="1"/>
  <c r="M71" i="40" s="1"/>
  <c r="X57" i="40"/>
  <c r="K57" i="40" s="1"/>
  <c r="M57" i="40" s="1"/>
  <c r="X43" i="40"/>
  <c r="K43" i="40" s="1"/>
  <c r="M43" i="40" s="1"/>
  <c r="X29" i="40"/>
  <c r="K29" i="40" s="1"/>
  <c r="M29" i="40" s="1"/>
  <c r="X15" i="40"/>
  <c r="K15" i="40" s="1"/>
  <c r="X8" i="40"/>
  <c r="K8" i="40" s="1"/>
  <c r="M8" i="40" s="1"/>
  <c r="X65" i="40"/>
  <c r="K65" i="40" s="1"/>
  <c r="M65" i="40" s="1"/>
  <c r="X51" i="40"/>
  <c r="K51" i="40" s="1"/>
  <c r="M51" i="40" s="1"/>
  <c r="X37" i="40"/>
  <c r="K37" i="40" s="1"/>
  <c r="M37" i="40" s="1"/>
  <c r="X54" i="40"/>
  <c r="K54" i="40" s="1"/>
  <c r="M54" i="40" s="1"/>
  <c r="X19" i="40"/>
  <c r="K19" i="40" s="1"/>
  <c r="M19" i="40" s="1"/>
  <c r="X69" i="40"/>
  <c r="K69" i="40" s="1"/>
  <c r="M69" i="40" s="1"/>
  <c r="X30" i="40"/>
  <c r="K30" i="40" s="1"/>
  <c r="M30" i="40" s="1"/>
  <c r="X23" i="40"/>
  <c r="K23" i="40" s="1"/>
  <c r="M23" i="40" s="1"/>
  <c r="X16" i="40"/>
  <c r="K16" i="40" s="1"/>
  <c r="M16" i="40" s="1"/>
  <c r="X9" i="40"/>
  <c r="K9" i="40" s="1"/>
  <c r="M9" i="40" s="1"/>
  <c r="X73" i="40"/>
  <c r="K73" i="40" s="1"/>
  <c r="M73" i="40" s="1"/>
  <c r="X66" i="40"/>
  <c r="K66" i="40" s="1"/>
  <c r="M66" i="40" s="1"/>
  <c r="X59" i="40"/>
  <c r="K59" i="40" s="1"/>
  <c r="M59" i="40" s="1"/>
  <c r="X52" i="40"/>
  <c r="K52" i="40" s="1"/>
  <c r="M52" i="40" s="1"/>
  <c r="X45" i="40"/>
  <c r="K45" i="40" s="1"/>
  <c r="M45" i="40" s="1"/>
  <c r="X46" i="40"/>
  <c r="K46" i="40" s="1"/>
  <c r="M46" i="40" s="1"/>
  <c r="X25" i="40"/>
  <c r="K25" i="40" s="1"/>
  <c r="M25" i="40" s="1"/>
  <c r="X11" i="40"/>
  <c r="K11" i="40" s="1"/>
  <c r="M11" i="40" s="1"/>
  <c r="X68" i="40"/>
  <c r="K68" i="40" s="1"/>
  <c r="M68" i="40" s="1"/>
  <c r="X61" i="40"/>
  <c r="K61" i="40" s="1"/>
  <c r="M61" i="40" s="1"/>
  <c r="X33" i="40"/>
  <c r="K33" i="40" s="1"/>
  <c r="M33" i="40" s="1"/>
  <c r="X12" i="40"/>
  <c r="K12" i="40" s="1"/>
  <c r="M12" i="40" s="1"/>
  <c r="X38" i="40"/>
  <c r="K38" i="40" s="1"/>
  <c r="M38" i="40" s="1"/>
  <c r="X31" i="40"/>
  <c r="K31" i="40" s="1"/>
  <c r="M31" i="40" s="1"/>
  <c r="X24" i="40"/>
  <c r="K24" i="40" s="1"/>
  <c r="M24" i="40" s="1"/>
  <c r="X17" i="40"/>
  <c r="K17" i="40" s="1"/>
  <c r="M17" i="40" s="1"/>
  <c r="X10" i="40"/>
  <c r="K10" i="40" s="1"/>
  <c r="M10" i="40" s="1"/>
  <c r="X74" i="40"/>
  <c r="K74" i="40" s="1"/>
  <c r="M74" i="40" s="1"/>
  <c r="X67" i="40"/>
  <c r="K67" i="40" s="1"/>
  <c r="M67" i="40" s="1"/>
  <c r="X60" i="40"/>
  <c r="K60" i="40" s="1"/>
  <c r="M60" i="40" s="1"/>
  <c r="X53" i="40"/>
  <c r="K53" i="40" s="1"/>
  <c r="M53" i="40" s="1"/>
  <c r="X39" i="40"/>
  <c r="K39" i="40" s="1"/>
  <c r="M39" i="40" s="1"/>
  <c r="X32" i="40"/>
  <c r="K32" i="40" s="1"/>
  <c r="M32" i="40" s="1"/>
  <c r="X18" i="40"/>
  <c r="K18" i="40" s="1"/>
  <c r="M18" i="40" s="1"/>
  <c r="X4" i="40"/>
  <c r="K4" i="40" s="1"/>
  <c r="M4" i="40" s="1"/>
  <c r="AD4" i="40" s="1"/>
  <c r="X40" i="40"/>
  <c r="K40" i="40" s="1"/>
  <c r="M40" i="40" s="1"/>
  <c r="X62" i="40"/>
  <c r="K62" i="40" s="1"/>
  <c r="M62" i="40" s="1"/>
  <c r="X55" i="40"/>
  <c r="K55" i="40" s="1"/>
  <c r="M55" i="40" s="1"/>
  <c r="X48" i="40"/>
  <c r="K48" i="40" s="1"/>
  <c r="M48" i="40" s="1"/>
  <c r="X41" i="40"/>
  <c r="K41" i="40" s="1"/>
  <c r="M41" i="40" s="1"/>
  <c r="X34" i="40"/>
  <c r="K34" i="40" s="1"/>
  <c r="M34" i="40" s="1"/>
  <c r="X27" i="40"/>
  <c r="K27" i="40" s="1"/>
  <c r="M27" i="40" s="1"/>
  <c r="X20" i="40"/>
  <c r="K20" i="40" s="1"/>
  <c r="M20" i="40" s="1"/>
  <c r="X13" i="40"/>
  <c r="K13" i="40" s="1"/>
  <c r="M13" i="40" s="1"/>
  <c r="X14" i="40"/>
  <c r="K14" i="40" s="1"/>
  <c r="M14" i="40" s="1"/>
  <c r="X64" i="40"/>
  <c r="K64" i="40" s="1"/>
  <c r="M64" i="40" s="1"/>
  <c r="X50" i="40"/>
  <c r="K50" i="40" s="1"/>
  <c r="M50" i="40" s="1"/>
  <c r="X36" i="40"/>
  <c r="K36" i="40" s="1"/>
  <c r="M36" i="40" s="1"/>
  <c r="X22" i="40"/>
  <c r="K22" i="40" s="1"/>
  <c r="M22" i="40" s="1"/>
  <c r="X72" i="40"/>
  <c r="K72" i="40" s="1"/>
  <c r="M72" i="40" s="1"/>
  <c r="X58" i="40"/>
  <c r="K58" i="40" s="1"/>
  <c r="M58" i="40" s="1"/>
  <c r="X44" i="40"/>
  <c r="K44" i="40" s="1"/>
  <c r="M44" i="40" s="1"/>
  <c r="X47" i="40"/>
  <c r="K47" i="40" s="1"/>
  <c r="M47" i="40" s="1"/>
  <c r="X26" i="40"/>
  <c r="K26" i="40" s="1"/>
  <c r="M26" i="40" s="1"/>
  <c r="L26" i="40" s="1"/>
  <c r="X5" i="40"/>
  <c r="K5" i="40" s="1"/>
  <c r="M5" i="40" s="1"/>
  <c r="EO8" i="40"/>
  <c r="EO49" i="40"/>
  <c r="EO5" i="40"/>
  <c r="EO31" i="40"/>
  <c r="EO24" i="40"/>
  <c r="EO4" i="40"/>
  <c r="EO15" i="40"/>
  <c r="EO67" i="40"/>
  <c r="EO68" i="40"/>
  <c r="EO12" i="40"/>
  <c r="EO74" i="40"/>
  <c r="EO27" i="40"/>
  <c r="EO19" i="40"/>
  <c r="EO69" i="40"/>
  <c r="EO57" i="40"/>
  <c r="EO23" i="40"/>
  <c r="EO61" i="40"/>
  <c r="EO22" i="40"/>
  <c r="EO16" i="40"/>
  <c r="EO11" i="40"/>
  <c r="EO28" i="40"/>
  <c r="EO39" i="40"/>
  <c r="EO48" i="40"/>
  <c r="EO42" i="40"/>
  <c r="EO65" i="40"/>
  <c r="EO13" i="40"/>
  <c r="M7" i="40"/>
  <c r="EO38" i="40"/>
  <c r="EO20" i="40"/>
  <c r="EO60" i="40"/>
  <c r="EO46" i="40"/>
  <c r="EO63" i="40"/>
  <c r="EO52" i="40"/>
  <c r="EO54" i="40"/>
  <c r="EO71" i="40"/>
  <c r="EO29" i="40"/>
  <c r="EO43" i="40"/>
  <c r="EO9" i="40"/>
  <c r="EO53" i="40"/>
  <c r="EO70" i="40"/>
  <c r="EO30" i="40"/>
  <c r="EO32" i="40"/>
  <c r="EO34" i="40"/>
  <c r="EO44" i="40"/>
  <c r="EO47" i="40"/>
  <c r="EO64" i="40"/>
  <c r="EO66" i="40"/>
  <c r="EO26" i="40"/>
  <c r="EO36" i="40"/>
  <c r="EO40" i="40"/>
  <c r="EO55" i="40"/>
  <c r="EO50" i="40"/>
  <c r="EO56" i="40"/>
  <c r="EO33" i="40"/>
  <c r="EO72" i="40"/>
  <c r="EO41" i="40"/>
  <c r="EO62" i="40"/>
  <c r="EO37" i="40"/>
  <c r="EO59" i="40"/>
  <c r="EO73" i="40"/>
  <c r="EO7" i="40"/>
  <c r="EO58" i="40"/>
  <c r="EO10" i="40"/>
  <c r="EO21" i="40"/>
  <c r="EO14" i="40"/>
  <c r="EO45" i="40"/>
  <c r="EO6" i="40"/>
  <c r="EO18" i="40"/>
  <c r="EO35" i="40"/>
  <c r="EO25" i="40"/>
  <c r="EO17" i="40"/>
  <c r="EO51" i="40"/>
  <c r="DD27" i="40"/>
  <c r="DE27" i="40" s="1"/>
  <c r="DT27" i="40" s="1"/>
  <c r="DD30" i="40"/>
  <c r="DE30" i="40" s="1"/>
  <c r="DT30" i="40" s="1"/>
  <c r="DD28" i="40"/>
  <c r="DE28" i="40" s="1"/>
  <c r="DT28" i="40" s="1"/>
  <c r="DD6" i="40"/>
  <c r="DE6" i="40" s="1"/>
  <c r="DT6" i="40" s="1"/>
  <c r="DD21" i="40"/>
  <c r="DE21" i="40" s="1"/>
  <c r="DT21" i="40" s="1"/>
  <c r="DD13" i="40"/>
  <c r="DE13" i="40" s="1"/>
  <c r="DT13" i="40" s="1"/>
  <c r="DD24" i="40"/>
  <c r="DE24" i="40" s="1"/>
  <c r="DT24" i="40" s="1"/>
  <c r="DD5" i="40"/>
  <c r="DE5" i="40" s="1"/>
  <c r="DD16" i="40"/>
  <c r="DE16" i="40" s="1"/>
  <c r="DT16" i="40" s="1"/>
  <c r="DD18" i="40"/>
  <c r="DE18" i="40" s="1"/>
  <c r="DT18" i="40" s="1"/>
  <c r="DD44" i="40"/>
  <c r="DE44" i="40" s="1"/>
  <c r="DT44" i="40" s="1"/>
  <c r="DD15" i="40"/>
  <c r="DE15" i="40" s="1"/>
  <c r="DT15" i="40" s="1"/>
  <c r="DD22" i="40"/>
  <c r="DE22" i="40" s="1"/>
  <c r="DT22" i="40" s="1"/>
  <c r="DD36" i="40"/>
  <c r="DE36" i="40" s="1"/>
  <c r="DT36" i="40" s="1"/>
  <c r="DD9" i="40"/>
  <c r="DE9" i="40" s="1"/>
  <c r="DT9" i="40" s="1"/>
  <c r="DD71" i="40"/>
  <c r="DE71" i="40" s="1"/>
  <c r="DT71" i="40" s="1"/>
  <c r="DD34" i="40"/>
  <c r="DE34" i="40" s="1"/>
  <c r="DT34" i="40" s="1"/>
  <c r="DD12" i="40"/>
  <c r="DE12" i="40" s="1"/>
  <c r="DT12" i="40" s="1"/>
  <c r="DD49" i="40"/>
  <c r="DE49" i="40" s="1"/>
  <c r="DT49" i="40" s="1"/>
  <c r="DD51" i="40"/>
  <c r="DE51" i="40" s="1"/>
  <c r="DT51" i="40" s="1"/>
  <c r="DD68" i="40"/>
  <c r="DE68" i="40" s="1"/>
  <c r="DT68" i="40" s="1"/>
  <c r="DD11" i="40"/>
  <c r="DE11" i="40" s="1"/>
  <c r="DT11" i="40" s="1"/>
  <c r="DD17" i="40"/>
  <c r="DE17" i="40" s="1"/>
  <c r="DT17" i="40" s="1"/>
  <c r="DD23" i="40"/>
  <c r="DE23" i="40" s="1"/>
  <c r="DT23" i="40" s="1"/>
  <c r="DD42" i="40"/>
  <c r="DE42" i="40" s="1"/>
  <c r="DT42" i="40" s="1"/>
  <c r="DD69" i="40"/>
  <c r="DE69" i="40" s="1"/>
  <c r="DD4" i="40"/>
  <c r="DE4" i="40" s="1"/>
  <c r="DT4" i="40" s="1"/>
  <c r="DD10" i="40"/>
  <c r="DE10" i="40" s="1"/>
  <c r="DT10" i="40" s="1"/>
  <c r="DD40" i="40"/>
  <c r="DE40" i="40" s="1"/>
  <c r="DT40" i="40" s="1"/>
  <c r="DD39" i="40"/>
  <c r="DE39" i="40" s="1"/>
  <c r="DT39" i="40" s="1"/>
  <c r="DD47" i="40"/>
  <c r="DE47" i="40" s="1"/>
  <c r="DT47" i="40" s="1"/>
  <c r="DD66" i="40"/>
  <c r="DE66" i="40" s="1"/>
  <c r="DT66" i="40" s="1"/>
  <c r="DD46" i="40"/>
  <c r="DE46" i="40" s="1"/>
  <c r="DT46" i="40" s="1"/>
  <c r="DD56" i="40"/>
  <c r="DE56" i="40" s="1"/>
  <c r="DT56" i="40" s="1"/>
  <c r="DD38" i="40"/>
  <c r="DE38" i="40" s="1"/>
  <c r="DT38" i="40" s="1"/>
  <c r="DD52" i="40"/>
  <c r="DE52" i="40" s="1"/>
  <c r="DT52" i="40" s="1"/>
  <c r="DD72" i="40"/>
  <c r="DE72" i="40" s="1"/>
  <c r="DT72" i="40" s="1"/>
  <c r="DD48" i="40"/>
  <c r="DE48" i="40" s="1"/>
  <c r="DT48" i="40" s="1"/>
  <c r="DD14" i="40"/>
  <c r="DE14" i="40" s="1"/>
  <c r="DT14" i="40" s="1"/>
  <c r="DD62" i="40"/>
  <c r="DE62" i="40" s="1"/>
  <c r="DT62" i="40" s="1"/>
  <c r="DD8" i="40"/>
  <c r="DE8" i="40" s="1"/>
  <c r="DT8" i="40" s="1"/>
  <c r="DD57" i="40"/>
  <c r="DE57" i="40" s="1"/>
  <c r="DT57" i="40" s="1"/>
  <c r="DD41" i="40"/>
  <c r="DE41" i="40" s="1"/>
  <c r="DT41" i="40" s="1"/>
  <c r="DD70" i="40"/>
  <c r="DE70" i="40" s="1"/>
  <c r="DT70" i="40" s="1"/>
  <c r="DD20" i="40"/>
  <c r="DE20" i="40" s="1"/>
  <c r="DT20" i="40" s="1"/>
  <c r="DD59" i="40"/>
  <c r="DE59" i="40" s="1"/>
  <c r="DT59" i="40" s="1"/>
  <c r="DD31" i="40"/>
  <c r="DE31" i="40" s="1"/>
  <c r="DT31" i="40" s="1"/>
  <c r="DD61" i="40"/>
  <c r="DE61" i="40" s="1"/>
  <c r="DT61" i="40" s="1"/>
  <c r="DD53" i="40"/>
  <c r="DE53" i="40" s="1"/>
  <c r="DT53" i="40" s="1"/>
  <c r="DX54" i="40" s="1"/>
  <c r="CB2" i="40"/>
  <c r="DD58" i="40"/>
  <c r="DE58" i="40" s="1"/>
  <c r="DD60" i="40"/>
  <c r="DE60" i="40" s="1"/>
  <c r="DD63" i="40"/>
  <c r="DE63" i="40" s="1"/>
  <c r="DT63" i="40" s="1"/>
  <c r="DD67" i="40"/>
  <c r="DE67" i="40" s="1"/>
  <c r="DT67" i="40" s="1"/>
  <c r="DD33" i="40"/>
  <c r="DE33" i="40" s="1"/>
  <c r="DD73" i="40"/>
  <c r="DE73" i="40" s="1"/>
  <c r="DT73" i="40" s="1"/>
  <c r="DD64" i="40"/>
  <c r="DE64" i="40" s="1"/>
  <c r="DT64" i="40" s="1"/>
  <c r="DD65" i="40"/>
  <c r="DE65" i="40" s="1"/>
  <c r="DD37" i="40"/>
  <c r="DE37" i="40" s="1"/>
  <c r="DT37" i="40" s="1"/>
  <c r="DD74" i="40"/>
  <c r="DE74" i="40" s="1"/>
  <c r="DT74" i="40" s="1"/>
  <c r="DD19" i="40"/>
  <c r="DE19" i="40" s="1"/>
  <c r="DT19" i="40" s="1"/>
  <c r="DD26" i="40"/>
  <c r="DE26" i="40" s="1"/>
  <c r="DT26" i="40" s="1"/>
  <c r="DD32" i="40"/>
  <c r="DE32" i="40" s="1"/>
  <c r="DD35" i="40"/>
  <c r="DE35" i="40" s="1"/>
  <c r="DT35" i="40" s="1"/>
  <c r="DD25" i="40"/>
  <c r="DE25" i="40" s="1"/>
  <c r="DD55" i="40"/>
  <c r="DE55" i="40" s="1"/>
  <c r="DT55" i="40" s="1"/>
  <c r="DW55" i="40" s="1"/>
  <c r="DD50" i="40"/>
  <c r="DE50" i="40" s="1"/>
  <c r="DT50" i="40" s="1"/>
  <c r="DD43" i="40"/>
  <c r="DE43" i="40" s="1"/>
  <c r="DT43" i="40" s="1"/>
  <c r="DD29" i="40"/>
  <c r="DE29" i="40" s="1"/>
  <c r="DT29" i="40" s="1"/>
  <c r="DD45" i="40"/>
  <c r="DE45" i="40" s="1"/>
  <c r="DT45" i="40" s="1"/>
  <c r="DD7" i="40"/>
  <c r="DE7" i="40" s="1"/>
  <c r="M15" i="40"/>
  <c r="AQ44" i="40"/>
  <c r="BE44" i="40"/>
  <c r="BE7" i="40"/>
  <c r="AQ7" i="40"/>
  <c r="AQ4" i="40"/>
  <c r="BE4" i="40"/>
  <c r="BE48" i="40"/>
  <c r="AQ48" i="40"/>
  <c r="BE27" i="40"/>
  <c r="AQ27" i="40"/>
  <c r="BE52" i="40"/>
  <c r="AQ52" i="40"/>
  <c r="AQ56" i="40"/>
  <c r="BE56" i="40"/>
  <c r="BE55" i="40"/>
  <c r="AQ55" i="40"/>
  <c r="BE57" i="40"/>
  <c r="AQ57" i="40"/>
  <c r="AQ60" i="40"/>
  <c r="BE60" i="40"/>
  <c r="BE45" i="40"/>
  <c r="AQ45" i="40"/>
  <c r="AQ49" i="40"/>
  <c r="BE49" i="40"/>
  <c r="AQ41" i="40"/>
  <c r="BE41" i="40"/>
  <c r="AQ65" i="40"/>
  <c r="BE65" i="40"/>
  <c r="BE28" i="40"/>
  <c r="AQ28" i="40"/>
  <c r="BE36" i="40"/>
  <c r="AQ36" i="40"/>
  <c r="BE20" i="40"/>
  <c r="AQ20" i="40"/>
  <c r="BE61" i="40"/>
  <c r="AQ61" i="40"/>
  <c r="AQ32" i="40"/>
  <c r="BE32" i="40"/>
  <c r="BE47" i="40"/>
  <c r="AQ47" i="40"/>
  <c r="AQ69" i="40"/>
  <c r="BE69" i="40"/>
  <c r="AQ30" i="40"/>
  <c r="BE30" i="40"/>
  <c r="BE64" i="40"/>
  <c r="AQ64" i="40"/>
  <c r="AQ22" i="40"/>
  <c r="BE22" i="40"/>
  <c r="AQ10" i="40"/>
  <c r="BE10" i="40"/>
  <c r="BE73" i="40"/>
  <c r="AQ73" i="40"/>
  <c r="BE12" i="40"/>
  <c r="AQ12" i="40"/>
  <c r="AQ51" i="40"/>
  <c r="BE51" i="40"/>
  <c r="BE33" i="40"/>
  <c r="AQ33" i="40"/>
  <c r="BE46" i="40"/>
  <c r="AQ46" i="40"/>
  <c r="AQ24" i="40"/>
  <c r="BE24" i="40"/>
  <c r="BE43" i="40"/>
  <c r="AQ43" i="40"/>
  <c r="AQ71" i="40"/>
  <c r="BE71" i="40"/>
  <c r="BE72" i="40"/>
  <c r="AQ72" i="40"/>
  <c r="AQ42" i="40"/>
  <c r="BE42" i="40"/>
  <c r="AQ17" i="40"/>
  <c r="BE17" i="40"/>
  <c r="BE5" i="40"/>
  <c r="AQ5" i="40"/>
  <c r="AQ38" i="40"/>
  <c r="BE38" i="40"/>
  <c r="BE40" i="40"/>
  <c r="AQ40" i="40"/>
  <c r="BE23" i="40"/>
  <c r="AQ23" i="40"/>
  <c r="AQ35" i="40"/>
  <c r="BE35" i="40"/>
  <c r="BE9" i="40"/>
  <c r="AQ9" i="40"/>
  <c r="AQ14" i="40"/>
  <c r="BE14" i="40"/>
  <c r="BE11" i="40"/>
  <c r="AQ11" i="40"/>
  <c r="AQ16" i="40"/>
  <c r="BE16" i="40"/>
  <c r="BE50" i="40"/>
  <c r="AQ50" i="40"/>
  <c r="BE53" i="40"/>
  <c r="AQ53" i="40"/>
  <c r="AQ67" i="40"/>
  <c r="BE67" i="40"/>
  <c r="BE25" i="40"/>
  <c r="AQ25" i="40"/>
  <c r="BE6" i="40"/>
  <c r="AQ6" i="40"/>
  <c r="BE21" i="40"/>
  <c r="AQ21" i="40"/>
  <c r="BE13" i="40"/>
  <c r="AQ13" i="40"/>
  <c r="AQ39" i="40"/>
  <c r="BE39" i="40"/>
  <c r="BE15" i="40"/>
  <c r="AQ15" i="40"/>
  <c r="AQ54" i="40"/>
  <c r="BE54" i="40"/>
  <c r="BE8" i="40"/>
  <c r="AQ8" i="40"/>
  <c r="BE70" i="40"/>
  <c r="AQ70" i="40"/>
  <c r="BE31" i="40"/>
  <c r="AQ31" i="40"/>
  <c r="AQ63" i="40"/>
  <c r="BE63" i="40"/>
  <c r="BE29" i="40"/>
  <c r="AQ29" i="40"/>
  <c r="BE66" i="40"/>
  <c r="AQ66" i="40"/>
  <c r="AQ58" i="40"/>
  <c r="BE58" i="40"/>
  <c r="BE68" i="40"/>
  <c r="AQ68" i="40"/>
  <c r="BE59" i="40"/>
  <c r="AQ59" i="40"/>
  <c r="AQ18" i="40"/>
  <c r="BE18" i="40"/>
  <c r="AQ74" i="40"/>
  <c r="BE74" i="40"/>
  <c r="BE34" i="40"/>
  <c r="AQ34" i="40"/>
  <c r="AQ19" i="40"/>
  <c r="BE19" i="40"/>
  <c r="BE37" i="40"/>
  <c r="AQ37" i="40"/>
  <c r="BE26" i="40"/>
  <c r="AQ26" i="40"/>
  <c r="AQ62" i="40"/>
  <c r="BE62" i="40"/>
  <c r="CK44" i="40" l="1"/>
  <c r="BX44" i="40" s="1"/>
  <c r="BZ44" i="40" s="1"/>
  <c r="CK53" i="40"/>
  <c r="BX53" i="40" s="1"/>
  <c r="CK7" i="40"/>
  <c r="BX7" i="40" s="1"/>
  <c r="BZ7" i="40" s="1"/>
  <c r="CK14" i="40"/>
  <c r="BX14" i="40" s="1"/>
  <c r="CK22" i="40"/>
  <c r="BX22" i="40" s="1"/>
  <c r="CK30" i="40"/>
  <c r="BX30" i="40" s="1"/>
  <c r="BZ30" i="40" s="1"/>
  <c r="CK38" i="40"/>
  <c r="BX38" i="40" s="1"/>
  <c r="BZ38" i="40" s="1"/>
  <c r="CK46" i="40"/>
  <c r="BX46" i="40" s="1"/>
  <c r="CK54" i="40"/>
  <c r="BX54" i="40" s="1"/>
  <c r="BZ54" i="40" s="1"/>
  <c r="CK62" i="40"/>
  <c r="BX62" i="40" s="1"/>
  <c r="BZ62" i="40" s="1"/>
  <c r="CK70" i="40"/>
  <c r="BX70" i="40" s="1"/>
  <c r="BZ70" i="40" s="1"/>
  <c r="CK8" i="40"/>
  <c r="BX8" i="40" s="1"/>
  <c r="BZ8" i="40" s="1"/>
  <c r="CK15" i="40"/>
  <c r="BX15" i="40" s="1"/>
  <c r="CK23" i="40"/>
  <c r="BX23" i="40" s="1"/>
  <c r="BZ23" i="40" s="1"/>
  <c r="CK31" i="40"/>
  <c r="BX31" i="40" s="1"/>
  <c r="CK39" i="40"/>
  <c r="BX39" i="40" s="1"/>
  <c r="CK47" i="40"/>
  <c r="BX47" i="40" s="1"/>
  <c r="BZ47" i="40" s="1"/>
  <c r="CK55" i="40"/>
  <c r="BX55" i="40" s="1"/>
  <c r="CK63" i="40"/>
  <c r="BX63" i="40" s="1"/>
  <c r="CK71" i="40"/>
  <c r="BX71" i="40" s="1"/>
  <c r="CK9" i="40"/>
  <c r="BX9" i="40" s="1"/>
  <c r="CK16" i="40"/>
  <c r="BX16" i="40" s="1"/>
  <c r="CK24" i="40"/>
  <c r="BX24" i="40" s="1"/>
  <c r="BZ24" i="40" s="1"/>
  <c r="CK32" i="40"/>
  <c r="BX32" i="40" s="1"/>
  <c r="CK40" i="40"/>
  <c r="BX40" i="40" s="1"/>
  <c r="BZ40" i="40" s="1"/>
  <c r="CK48" i="40"/>
  <c r="BX48" i="40" s="1"/>
  <c r="CK56" i="40"/>
  <c r="BX56" i="40" s="1"/>
  <c r="CK64" i="40"/>
  <c r="BX64" i="40" s="1"/>
  <c r="CK72" i="40"/>
  <c r="BX72" i="40" s="1"/>
  <c r="BZ72" i="40" s="1"/>
  <c r="CK4" i="40"/>
  <c r="BX4" i="40" s="1"/>
  <c r="CK17" i="40"/>
  <c r="BX17" i="40" s="1"/>
  <c r="BZ17" i="40" s="1"/>
  <c r="CK25" i="40"/>
  <c r="BX25" i="40" s="1"/>
  <c r="CK33" i="40"/>
  <c r="BX33" i="40" s="1"/>
  <c r="BZ33" i="40" s="1"/>
  <c r="CK41" i="40"/>
  <c r="BX41" i="40" s="1"/>
  <c r="CK49" i="40"/>
  <c r="BX49" i="40" s="1"/>
  <c r="BZ49" i="40" s="1"/>
  <c r="CK57" i="40"/>
  <c r="BX57" i="40" s="1"/>
  <c r="CK65" i="40"/>
  <c r="BX65" i="40" s="1"/>
  <c r="BZ65" i="40" s="1"/>
  <c r="CK73" i="40"/>
  <c r="BX73" i="40" s="1"/>
  <c r="CK10" i="40"/>
  <c r="BX10" i="40" s="1"/>
  <c r="CK18" i="40"/>
  <c r="BX18" i="40" s="1"/>
  <c r="BZ18" i="40" s="1"/>
  <c r="CK26" i="40"/>
  <c r="BX26" i="40" s="1"/>
  <c r="CK34" i="40"/>
  <c r="BX34" i="40" s="1"/>
  <c r="BZ34" i="40" s="1"/>
  <c r="CK42" i="40"/>
  <c r="BX42" i="40" s="1"/>
  <c r="CK50" i="40"/>
  <c r="BX50" i="40" s="1"/>
  <c r="CK58" i="40"/>
  <c r="BX58" i="40" s="1"/>
  <c r="BZ58" i="40" s="1"/>
  <c r="CK66" i="40"/>
  <c r="BX66" i="40" s="1"/>
  <c r="CK74" i="40"/>
  <c r="BX74" i="40" s="1"/>
  <c r="BZ74" i="40" s="1"/>
  <c r="BY74" i="40" s="1"/>
  <c r="CK11" i="40"/>
  <c r="BX11" i="40" s="1"/>
  <c r="BZ11" i="40" s="1"/>
  <c r="CK19" i="40"/>
  <c r="BX19" i="40" s="1"/>
  <c r="BZ19" i="40" s="1"/>
  <c r="CK27" i="40"/>
  <c r="BX27" i="40" s="1"/>
  <c r="CK35" i="40"/>
  <c r="BX35" i="40" s="1"/>
  <c r="BZ35" i="40" s="1"/>
  <c r="CK43" i="40"/>
  <c r="BX43" i="40" s="1"/>
  <c r="BZ43" i="40" s="1"/>
  <c r="BY43" i="40" s="1"/>
  <c r="CK51" i="40"/>
  <c r="BX51" i="40" s="1"/>
  <c r="BZ51" i="40" s="1"/>
  <c r="CK59" i="40"/>
  <c r="BX59" i="40" s="1"/>
  <c r="BZ59" i="40" s="1"/>
  <c r="CK67" i="40"/>
  <c r="BX67" i="40" s="1"/>
  <c r="CK5" i="40"/>
  <c r="BX5" i="40" s="1"/>
  <c r="BZ5" i="40" s="1"/>
  <c r="CK12" i="40"/>
  <c r="BX12" i="40" s="1"/>
  <c r="CK20" i="40"/>
  <c r="BX20" i="40" s="1"/>
  <c r="CK28" i="40"/>
  <c r="BX28" i="40" s="1"/>
  <c r="CK36" i="40"/>
  <c r="BX36" i="40" s="1"/>
  <c r="CK52" i="40"/>
  <c r="BX52" i="40" s="1"/>
  <c r="CK60" i="40"/>
  <c r="BX60" i="40" s="1"/>
  <c r="CK68" i="40"/>
  <c r="BX68" i="40" s="1"/>
  <c r="BZ68" i="40" s="1"/>
  <c r="CK6" i="40"/>
  <c r="BX6" i="40" s="1"/>
  <c r="BZ6" i="40" s="1"/>
  <c r="CK13" i="40"/>
  <c r="BX13" i="40" s="1"/>
  <c r="BZ13" i="40" s="1"/>
  <c r="CK21" i="40"/>
  <c r="BX21" i="40" s="1"/>
  <c r="BZ21" i="40" s="1"/>
  <c r="CK29" i="40"/>
  <c r="BX29" i="40" s="1"/>
  <c r="BZ29" i="40" s="1"/>
  <c r="CK37" i="40"/>
  <c r="BX37" i="40" s="1"/>
  <c r="CK45" i="40"/>
  <c r="BX45" i="40" s="1"/>
  <c r="BZ45" i="40" s="1"/>
  <c r="CK61" i="40"/>
  <c r="BX61" i="40" s="1"/>
  <c r="CK69" i="40"/>
  <c r="BX69" i="40" s="1"/>
  <c r="BZ69" i="40" s="1"/>
  <c r="DW52" i="40"/>
  <c r="DX21" i="40"/>
  <c r="DW57" i="40"/>
  <c r="DX27" i="40"/>
  <c r="DW29" i="40"/>
  <c r="DX23" i="40"/>
  <c r="DX36" i="40"/>
  <c r="DW22" i="40"/>
  <c r="AD58" i="40"/>
  <c r="DX42" i="40"/>
  <c r="DW21" i="40"/>
  <c r="DF32" i="40"/>
  <c r="DX22" i="40"/>
  <c r="DF49" i="40"/>
  <c r="DF21" i="40"/>
  <c r="DF22" i="40"/>
  <c r="DW20" i="40"/>
  <c r="DF40" i="40"/>
  <c r="DW31" i="40"/>
  <c r="DW43" i="40"/>
  <c r="DF60" i="40"/>
  <c r="DF11" i="40"/>
  <c r="DF20" i="40"/>
  <c r="DX37" i="40"/>
  <c r="DX11" i="40"/>
  <c r="DW28" i="40"/>
  <c r="DF28" i="40"/>
  <c r="DW24" i="40"/>
  <c r="DW27" i="40"/>
  <c r="DF54" i="40"/>
  <c r="DF27" i="40"/>
  <c r="DF43" i="40"/>
  <c r="DX52" i="40"/>
  <c r="DF6" i="40"/>
  <c r="DF53" i="40"/>
  <c r="DT5" i="40"/>
  <c r="DX5" i="40" s="1"/>
  <c r="DX30" i="40"/>
  <c r="DF52" i="40"/>
  <c r="DX51" i="40"/>
  <c r="DT60" i="40"/>
  <c r="DX60" i="40" s="1"/>
  <c r="DW42" i="40"/>
  <c r="DX28" i="40"/>
  <c r="DF59" i="40"/>
  <c r="DX38" i="40"/>
  <c r="DF41" i="40"/>
  <c r="DF37" i="40"/>
  <c r="DF45" i="40"/>
  <c r="DF42" i="40"/>
  <c r="DW41" i="40"/>
  <c r="DF72" i="40"/>
  <c r="DF71" i="40"/>
  <c r="DW23" i="40"/>
  <c r="DF62" i="40"/>
  <c r="DF24" i="40"/>
  <c r="DW44" i="40"/>
  <c r="DW12" i="40"/>
  <c r="DF16" i="40"/>
  <c r="DF64" i="40"/>
  <c r="DF39" i="40"/>
  <c r="DF73" i="40"/>
  <c r="DF14" i="40"/>
  <c r="DF69" i="40"/>
  <c r="DF50" i="40"/>
  <c r="DF38" i="40"/>
  <c r="DT58" i="40"/>
  <c r="DW59" i="40" s="1"/>
  <c r="DF25" i="40"/>
  <c r="DW64" i="40"/>
  <c r="DF5" i="40"/>
  <c r="DF35" i="40"/>
  <c r="DF61" i="40"/>
  <c r="DF4" i="40"/>
  <c r="DW37" i="40"/>
  <c r="DF44" i="40"/>
  <c r="DW51" i="40"/>
  <c r="DF63" i="40"/>
  <c r="DW38" i="40"/>
  <c r="DX64" i="40"/>
  <c r="DF46" i="40"/>
  <c r="DF30" i="40"/>
  <c r="DW30" i="40"/>
  <c r="DX29" i="40"/>
  <c r="DF29" i="40"/>
  <c r="DF26" i="40"/>
  <c r="DW11" i="40"/>
  <c r="DX12" i="40"/>
  <c r="DF70" i="40"/>
  <c r="DF56" i="40"/>
  <c r="DF65" i="40"/>
  <c r="DW36" i="40"/>
  <c r="DX20" i="40"/>
  <c r="DX43" i="40"/>
  <c r="DX56" i="40"/>
  <c r="DW19" i="40"/>
  <c r="DF74" i="40"/>
  <c r="DF68" i="40"/>
  <c r="DF67" i="40"/>
  <c r="DF10" i="40"/>
  <c r="DF23" i="40"/>
  <c r="DF36" i="40"/>
  <c r="DX44" i="40"/>
  <c r="DF51" i="40"/>
  <c r="DF66" i="40"/>
  <c r="DW56" i="40"/>
  <c r="DF13" i="40"/>
  <c r="DW13" i="40"/>
  <c r="DF57" i="40"/>
  <c r="DF55" i="40"/>
  <c r="DX57" i="40"/>
  <c r="DX13" i="40"/>
  <c r="DF58" i="40"/>
  <c r="DF12" i="40"/>
  <c r="DT65" i="40"/>
  <c r="DW65" i="40" s="1"/>
  <c r="DX18" i="40"/>
  <c r="DF19" i="40"/>
  <c r="DX55" i="40"/>
  <c r="DT69" i="40"/>
  <c r="DX69" i="40" s="1"/>
  <c r="DX19" i="40"/>
  <c r="DT25" i="40"/>
  <c r="DW26" i="40" s="1"/>
  <c r="DF8" i="40"/>
  <c r="DF34" i="40"/>
  <c r="DW15" i="40"/>
  <c r="DX47" i="40"/>
  <c r="DW18" i="40"/>
  <c r="DX41" i="40"/>
  <c r="DF48" i="40"/>
  <c r="DW48" i="40"/>
  <c r="DF47" i="40"/>
  <c r="DF9" i="40"/>
  <c r="DT33" i="40"/>
  <c r="DX34" i="40" s="1"/>
  <c r="DF7" i="40"/>
  <c r="DF33" i="40"/>
  <c r="DX48" i="40"/>
  <c r="DF18" i="40"/>
  <c r="DT7" i="40"/>
  <c r="DW8" i="40" s="1"/>
  <c r="DX31" i="40"/>
  <c r="DF15" i="40"/>
  <c r="DX17" i="40"/>
  <c r="DT32" i="40"/>
  <c r="DW32" i="40" s="1"/>
  <c r="DW47" i="40"/>
  <c r="DF17" i="40"/>
  <c r="DF31" i="40"/>
  <c r="BZ15" i="40"/>
  <c r="AD7" i="40"/>
  <c r="AD54" i="40"/>
  <c r="AD29" i="40"/>
  <c r="AD52" i="40"/>
  <c r="AD65" i="40"/>
  <c r="AD68" i="40"/>
  <c r="AD59" i="40"/>
  <c r="AD18" i="40"/>
  <c r="AD34" i="40"/>
  <c r="AD39" i="40"/>
  <c r="AD70" i="40"/>
  <c r="AD74" i="40"/>
  <c r="AD23" i="40"/>
  <c r="AD10" i="40"/>
  <c r="AD61" i="40"/>
  <c r="AD15" i="40"/>
  <c r="AD30" i="40"/>
  <c r="AD66" i="40"/>
  <c r="L42" i="40"/>
  <c r="AD42" i="40"/>
  <c r="L48" i="40"/>
  <c r="AD48" i="40"/>
  <c r="L27" i="40"/>
  <c r="AD27" i="40"/>
  <c r="L55" i="40"/>
  <c r="AD55" i="40"/>
  <c r="AD24" i="40"/>
  <c r="L36" i="40"/>
  <c r="AD36" i="40"/>
  <c r="L64" i="40"/>
  <c r="AD64" i="40"/>
  <c r="AD37" i="40"/>
  <c r="L62" i="40"/>
  <c r="AD62" i="40"/>
  <c r="L5" i="40"/>
  <c r="AD5" i="40"/>
  <c r="L56" i="40"/>
  <c r="AD56" i="40"/>
  <c r="L45" i="40"/>
  <c r="AD45" i="40"/>
  <c r="L53" i="40"/>
  <c r="AD53" i="40"/>
  <c r="L21" i="40"/>
  <c r="AD21" i="40"/>
  <c r="L6" i="40"/>
  <c r="AD6" i="40"/>
  <c r="L46" i="40"/>
  <c r="AD46" i="40"/>
  <c r="L13" i="40"/>
  <c r="AD13" i="40"/>
  <c r="AD32" i="40"/>
  <c r="AD41" i="40"/>
  <c r="L28" i="40"/>
  <c r="AD28" i="40"/>
  <c r="AD33" i="40"/>
  <c r="L9" i="40"/>
  <c r="AD9" i="40"/>
  <c r="L8" i="40"/>
  <c r="AD8" i="40"/>
  <c r="L16" i="40"/>
  <c r="AD16" i="40"/>
  <c r="L60" i="40"/>
  <c r="AD60" i="40"/>
  <c r="L35" i="40"/>
  <c r="AD35" i="40"/>
  <c r="AD72" i="40"/>
  <c r="AD11" i="40"/>
  <c r="L25" i="40"/>
  <c r="AD25" i="40"/>
  <c r="L49" i="40"/>
  <c r="AD49" i="40"/>
  <c r="L43" i="40"/>
  <c r="AD43" i="40"/>
  <c r="AD31" i="40"/>
  <c r="L63" i="40"/>
  <c r="AD63" i="40"/>
  <c r="L40" i="40"/>
  <c r="AD40" i="40"/>
  <c r="L67" i="40"/>
  <c r="AD67" i="40"/>
  <c r="L71" i="40"/>
  <c r="AD71" i="40"/>
  <c r="AD12" i="40"/>
  <c r="AD19" i="40"/>
  <c r="L50" i="40"/>
  <c r="AD50" i="40"/>
  <c r="L38" i="40"/>
  <c r="AD38" i="40"/>
  <c r="L44" i="40"/>
  <c r="AD44" i="40"/>
  <c r="L73" i="40"/>
  <c r="AD73" i="40"/>
  <c r="L69" i="40"/>
  <c r="AD69" i="40"/>
  <c r="L57" i="40"/>
  <c r="AD57" i="40"/>
  <c r="AD20" i="40"/>
  <c r="L51" i="40"/>
  <c r="AD51" i="40"/>
  <c r="AD47" i="40"/>
  <c r="L14" i="40"/>
  <c r="AD14" i="40"/>
  <c r="L17" i="40"/>
  <c r="AD17" i="40"/>
  <c r="L22" i="40"/>
  <c r="AD22" i="40"/>
  <c r="AD26" i="40"/>
  <c r="L72" i="40"/>
  <c r="L74" i="40"/>
  <c r="L65" i="40"/>
  <c r="L70" i="40"/>
  <c r="L15" i="40"/>
  <c r="L37" i="40"/>
  <c r="L24" i="40"/>
  <c r="L30" i="40"/>
  <c r="L52" i="40"/>
  <c r="L23" i="40"/>
  <c r="L47" i="40"/>
  <c r="L29" i="40"/>
  <c r="L20" i="40"/>
  <c r="L33" i="40"/>
  <c r="L32" i="40"/>
  <c r="L41" i="40"/>
  <c r="L61" i="40"/>
  <c r="L59" i="40"/>
  <c r="L68" i="40"/>
  <c r="L54" i="40"/>
  <c r="L12" i="40"/>
  <c r="L66" i="40"/>
  <c r="L58" i="40"/>
  <c r="L34" i="40"/>
  <c r="L39" i="40"/>
  <c r="L18" i="40"/>
  <c r="L31" i="40"/>
  <c r="L4" i="40"/>
  <c r="L11" i="40"/>
  <c r="L7" i="40"/>
  <c r="L10" i="40"/>
  <c r="L19" i="40"/>
  <c r="DX15" i="40"/>
  <c r="DW16" i="40"/>
  <c r="DW53" i="40"/>
  <c r="DX53" i="40"/>
  <c r="DW54" i="40"/>
  <c r="DX24" i="40"/>
  <c r="DW14" i="40"/>
  <c r="DX14" i="40"/>
  <c r="BI41" i="40"/>
  <c r="BI70" i="40"/>
  <c r="DW17" i="40"/>
  <c r="DX16" i="40"/>
  <c r="BI7" i="40"/>
  <c r="BH9" i="40"/>
  <c r="BH21" i="40"/>
  <c r="BI34" i="40"/>
  <c r="BI21" i="40"/>
  <c r="BH53" i="40"/>
  <c r="BI28" i="40"/>
  <c r="BI46" i="40"/>
  <c r="BH71" i="40"/>
  <c r="BH74" i="40"/>
  <c r="BH26" i="40"/>
  <c r="BH28" i="40"/>
  <c r="BI54" i="40"/>
  <c r="BH46" i="40"/>
  <c r="BH13" i="40"/>
  <c r="BI12" i="40"/>
  <c r="BH54" i="40"/>
  <c r="BH70" i="40"/>
  <c r="BI27" i="40"/>
  <c r="BH67" i="40"/>
  <c r="BI71" i="40"/>
  <c r="BH41" i="40"/>
  <c r="BI66" i="40"/>
  <c r="BI40" i="40"/>
  <c r="BI67" i="40"/>
  <c r="BI51" i="40"/>
  <c r="BI74" i="40"/>
  <c r="BH34" i="40"/>
  <c r="BH22" i="40"/>
  <c r="BI53" i="40"/>
  <c r="BH7" i="40"/>
  <c r="BH30" i="40"/>
  <c r="BH31" i="40"/>
  <c r="BI6" i="40"/>
  <c r="BH27" i="40"/>
  <c r="BH6" i="40"/>
  <c r="BI26" i="40"/>
  <c r="BI31" i="40"/>
  <c r="BH55" i="40"/>
  <c r="BI9" i="40"/>
  <c r="BH8" i="40"/>
  <c r="BI13" i="40"/>
  <c r="BI8" i="40"/>
  <c r="BI55" i="40"/>
  <c r="BH12" i="40"/>
  <c r="BI29" i="40"/>
  <c r="BI30" i="40"/>
  <c r="BH29" i="40"/>
  <c r="BI23" i="40"/>
  <c r="BI22" i="40"/>
  <c r="BH23" i="40"/>
  <c r="BH52" i="40"/>
  <c r="BI52" i="40"/>
  <c r="BH51" i="40"/>
  <c r="BH66" i="40"/>
  <c r="BH40" i="40"/>
  <c r="BH17" i="40"/>
  <c r="BI17" i="40"/>
  <c r="BI5" i="40"/>
  <c r="BH5" i="40"/>
  <c r="BI4" i="40"/>
  <c r="BH4" i="40"/>
  <c r="BI59" i="40"/>
  <c r="BH59" i="40"/>
  <c r="BI18" i="40"/>
  <c r="BH18" i="40"/>
  <c r="DW4" i="40"/>
  <c r="DX4" i="40"/>
  <c r="BI38" i="40"/>
  <c r="BH38" i="40"/>
  <c r="DW71" i="40"/>
  <c r="DX71" i="40"/>
  <c r="DW72" i="40"/>
  <c r="DX72" i="40"/>
  <c r="DW68" i="40"/>
  <c r="DX68" i="40"/>
  <c r="BI60" i="40"/>
  <c r="BH60" i="40"/>
  <c r="AQ75" i="40"/>
  <c r="AT4" i="40" s="1"/>
  <c r="BH37" i="40"/>
  <c r="BI37" i="40"/>
  <c r="BH56" i="40"/>
  <c r="BI56" i="40"/>
  <c r="BH62" i="40"/>
  <c r="BH61" i="40"/>
  <c r="BI61" i="40"/>
  <c r="BI62" i="40"/>
  <c r="BI24" i="40"/>
  <c r="BI25" i="40"/>
  <c r="BH24" i="40"/>
  <c r="BH25" i="40"/>
  <c r="BH72" i="40"/>
  <c r="BI72" i="40"/>
  <c r="BI73" i="40"/>
  <c r="BH73" i="40"/>
  <c r="DW46" i="40"/>
  <c r="DX45" i="40"/>
  <c r="DW45" i="40"/>
  <c r="DX46" i="40"/>
  <c r="DW63" i="40"/>
  <c r="DX63" i="40"/>
  <c r="DW62" i="40"/>
  <c r="DX62" i="40"/>
  <c r="BH43" i="40"/>
  <c r="BI43" i="40"/>
  <c r="DW39" i="40"/>
  <c r="DX40" i="40"/>
  <c r="DW40" i="40"/>
  <c r="DX39" i="40"/>
  <c r="DX67" i="40"/>
  <c r="DW67" i="40"/>
  <c r="BH50" i="40"/>
  <c r="BH49" i="40"/>
  <c r="BI50" i="40"/>
  <c r="BI49" i="40"/>
  <c r="BH19" i="40"/>
  <c r="BI20" i="40"/>
  <c r="BH20" i="40"/>
  <c r="BI19" i="40"/>
  <c r="BI42" i="40"/>
  <c r="BH42" i="40"/>
  <c r="BI14" i="40"/>
  <c r="BH14" i="40"/>
  <c r="BI65" i="40"/>
  <c r="BH65" i="40"/>
  <c r="BH39" i="40"/>
  <c r="BI39" i="40"/>
  <c r="BH36" i="40"/>
  <c r="BI36" i="40"/>
  <c r="BH35" i="40"/>
  <c r="BI35" i="40"/>
  <c r="BH16" i="40"/>
  <c r="BI16" i="40"/>
  <c r="BI15" i="40"/>
  <c r="BH15" i="40"/>
  <c r="BI44" i="40"/>
  <c r="BH44" i="40"/>
  <c r="BH45" i="40"/>
  <c r="BI45" i="40"/>
  <c r="DW35" i="40"/>
  <c r="DX35" i="40"/>
  <c r="BI64" i="40"/>
  <c r="BI63" i="40"/>
  <c r="BH64" i="40"/>
  <c r="BH63" i="40"/>
  <c r="DX9" i="40"/>
  <c r="DX10" i="40"/>
  <c r="DW9" i="40"/>
  <c r="DW10" i="40"/>
  <c r="BI47" i="40"/>
  <c r="BH48" i="40"/>
  <c r="BH47" i="40"/>
  <c r="BI48" i="40"/>
  <c r="BI69" i="40"/>
  <c r="BH69" i="40"/>
  <c r="BH68" i="40"/>
  <c r="BI68" i="40"/>
  <c r="BH10" i="40"/>
  <c r="BH11" i="40"/>
  <c r="BI11" i="40"/>
  <c r="BI10" i="40"/>
  <c r="BH32" i="40"/>
  <c r="BI32" i="40"/>
  <c r="BH33" i="40"/>
  <c r="BI33" i="40"/>
  <c r="BI57" i="40"/>
  <c r="BH58" i="40"/>
  <c r="BI58" i="40"/>
  <c r="BH57" i="40"/>
  <c r="DW49" i="40"/>
  <c r="DW50" i="40"/>
  <c r="DX50" i="40"/>
  <c r="DX49" i="40"/>
  <c r="DX74" i="40"/>
  <c r="DX73" i="40"/>
  <c r="DW73" i="40"/>
  <c r="DW74" i="40"/>
  <c r="DX59" i="40" l="1"/>
  <c r="DX6" i="40"/>
  <c r="DW5" i="40"/>
  <c r="DW6" i="40"/>
  <c r="DX70" i="40"/>
  <c r="DX66" i="40"/>
  <c r="DW66" i="40"/>
  <c r="DW60" i="40"/>
  <c r="DX65" i="40"/>
  <c r="DW61" i="40"/>
  <c r="DX61" i="40"/>
  <c r="DX32" i="40"/>
  <c r="DW58" i="40"/>
  <c r="DX58" i="40"/>
  <c r="DW33" i="40"/>
  <c r="DW34" i="40"/>
  <c r="DW7" i="40"/>
  <c r="DX7" i="40"/>
  <c r="DX26" i="40"/>
  <c r="DX25" i="40"/>
  <c r="DX8" i="40"/>
  <c r="DW25" i="40"/>
  <c r="DX33" i="40"/>
  <c r="DW70" i="40"/>
  <c r="DW69" i="40"/>
  <c r="DF75" i="40"/>
  <c r="DI4" i="40" s="1"/>
  <c r="DI7" i="40" s="1"/>
  <c r="CH34" i="40" s="1"/>
  <c r="DK34" i="40" s="1"/>
  <c r="BY24" i="40"/>
  <c r="CQ24" i="40"/>
  <c r="BZ22" i="40"/>
  <c r="CQ22" i="40" s="1"/>
  <c r="BZ71" i="40"/>
  <c r="CQ71" i="40" s="1"/>
  <c r="BZ73" i="40"/>
  <c r="BY73" i="40" s="1"/>
  <c r="BZ61" i="40"/>
  <c r="BY61" i="40" s="1"/>
  <c r="BZ36" i="40"/>
  <c r="CQ36" i="40" s="1"/>
  <c r="BY72" i="40"/>
  <c r="BZ32" i="40"/>
  <c r="BY32" i="40" s="1"/>
  <c r="BY70" i="40"/>
  <c r="CQ70" i="40"/>
  <c r="BZ26" i="40"/>
  <c r="BY26" i="40" s="1"/>
  <c r="BZ9" i="40"/>
  <c r="CQ9" i="40" s="1"/>
  <c r="BY23" i="40"/>
  <c r="BY17" i="40"/>
  <c r="BY68" i="40"/>
  <c r="BY65" i="40"/>
  <c r="BZ66" i="40"/>
  <c r="CQ66" i="40" s="1"/>
  <c r="BZ14" i="40"/>
  <c r="CQ14" i="40" s="1"/>
  <c r="BZ37" i="40"/>
  <c r="BZ10" i="40"/>
  <c r="CQ11" i="40" s="1"/>
  <c r="BY15" i="40"/>
  <c r="BY38" i="40"/>
  <c r="BY44" i="40"/>
  <c r="CQ44" i="40"/>
  <c r="BY18" i="40"/>
  <c r="CQ18" i="40"/>
  <c r="BY69" i="40"/>
  <c r="CQ69" i="40"/>
  <c r="BY54" i="40"/>
  <c r="BY8" i="40"/>
  <c r="CQ8" i="40"/>
  <c r="BZ64" i="40"/>
  <c r="BZ56" i="40"/>
  <c r="BY56" i="40" s="1"/>
  <c r="BZ39" i="40"/>
  <c r="CQ39" i="40" s="1"/>
  <c r="BZ53" i="40"/>
  <c r="CQ54" i="40" s="1"/>
  <c r="BY34" i="40"/>
  <c r="CQ34" i="40"/>
  <c r="BZ55" i="40"/>
  <c r="CQ55" i="40" s="1"/>
  <c r="BZ48" i="40"/>
  <c r="CQ48" i="40" s="1"/>
  <c r="BY35" i="40"/>
  <c r="CQ35" i="40"/>
  <c r="BY59" i="40"/>
  <c r="CQ59" i="40"/>
  <c r="BZ50" i="40"/>
  <c r="CQ50" i="40" s="1"/>
  <c r="BY21" i="40"/>
  <c r="BZ60" i="40"/>
  <c r="CQ60" i="40" s="1"/>
  <c r="BZ57" i="40"/>
  <c r="BZ12" i="40"/>
  <c r="CQ12" i="40" s="1"/>
  <c r="BZ16" i="40"/>
  <c r="CQ16" i="40" s="1"/>
  <c r="BZ20" i="40"/>
  <c r="CQ20" i="40" s="1"/>
  <c r="BZ27" i="40"/>
  <c r="CQ27" i="40" s="1"/>
  <c r="BY19" i="40"/>
  <c r="CQ19" i="40"/>
  <c r="BZ42" i="40"/>
  <c r="BY42" i="40" s="1"/>
  <c r="BY58" i="40"/>
  <c r="BZ4" i="40"/>
  <c r="CQ4" i="40" s="1"/>
  <c r="BY51" i="40"/>
  <c r="BY33" i="40"/>
  <c r="BZ28" i="40"/>
  <c r="CQ29" i="40" s="1"/>
  <c r="BY45" i="40"/>
  <c r="CQ45" i="40"/>
  <c r="BZ67" i="40"/>
  <c r="BY67" i="40" s="1"/>
  <c r="BZ31" i="40"/>
  <c r="CQ31" i="40" s="1"/>
  <c r="BZ63" i="40"/>
  <c r="CQ63" i="40" s="1"/>
  <c r="BY13" i="40"/>
  <c r="BY29" i="40"/>
  <c r="BY62" i="40"/>
  <c r="BY7" i="40"/>
  <c r="CQ7" i="40"/>
  <c r="BY47" i="40"/>
  <c r="BZ46" i="40"/>
  <c r="CQ46" i="40" s="1"/>
  <c r="BY6" i="40"/>
  <c r="CQ6" i="40"/>
  <c r="BZ41" i="40"/>
  <c r="CQ41" i="40" s="1"/>
  <c r="BZ25" i="40"/>
  <c r="CQ25" i="40" s="1"/>
  <c r="BY5" i="40"/>
  <c r="BY49" i="40"/>
  <c r="BY40" i="40"/>
  <c r="BY11" i="40"/>
  <c r="BZ52" i="40"/>
  <c r="CQ52" i="40" s="1"/>
  <c r="BY30" i="40"/>
  <c r="CQ30" i="40"/>
  <c r="AT7" i="40"/>
  <c r="U21" i="40" s="1"/>
  <c r="AV21" i="40" s="1"/>
  <c r="AD76" i="40"/>
  <c r="BK10" i="40"/>
  <c r="BK9" i="40"/>
  <c r="CQ33" i="40" l="1"/>
  <c r="BY22" i="40"/>
  <c r="DZ10" i="40"/>
  <c r="DZ9" i="40"/>
  <c r="CH41" i="40"/>
  <c r="DK41" i="40" s="1"/>
  <c r="CH36" i="40"/>
  <c r="DK36" i="40" s="1"/>
  <c r="CH63" i="40"/>
  <c r="DK63" i="40" s="1"/>
  <c r="CH38" i="40"/>
  <c r="DK38" i="40" s="1"/>
  <c r="CH48" i="40"/>
  <c r="DK48" i="40" s="1"/>
  <c r="CH60" i="40"/>
  <c r="DK60" i="40" s="1"/>
  <c r="DJ7" i="40"/>
  <c r="CH52" i="40"/>
  <c r="DK52" i="40" s="1"/>
  <c r="CH46" i="40"/>
  <c r="DK46" i="40" s="1"/>
  <c r="CH69" i="40"/>
  <c r="DK69" i="40" s="1"/>
  <c r="CH13" i="40"/>
  <c r="DK13" i="40" s="1"/>
  <c r="CH70" i="40"/>
  <c r="DK70" i="40" s="1"/>
  <c r="CH44" i="40"/>
  <c r="DK44" i="40" s="1"/>
  <c r="CH27" i="40"/>
  <c r="DK27" i="40" s="1"/>
  <c r="CH18" i="40"/>
  <c r="DK18" i="40" s="1"/>
  <c r="CH45" i="40"/>
  <c r="DK45" i="40" s="1"/>
  <c r="CH16" i="40"/>
  <c r="DK16" i="40" s="1"/>
  <c r="CH43" i="40"/>
  <c r="DK43" i="40" s="1"/>
  <c r="CH30" i="40"/>
  <c r="DK30" i="40" s="1"/>
  <c r="CH68" i="40"/>
  <c r="DK68" i="40" s="1"/>
  <c r="CH26" i="40"/>
  <c r="DK26" i="40" s="1"/>
  <c r="CH64" i="40"/>
  <c r="DK64" i="40" s="1"/>
  <c r="CH17" i="40"/>
  <c r="DK17" i="40" s="1"/>
  <c r="CQ62" i="40"/>
  <c r="CQ23" i="40"/>
  <c r="CQ37" i="40"/>
  <c r="CQ51" i="40"/>
  <c r="CH6" i="40"/>
  <c r="DK6" i="40" s="1"/>
  <c r="CH25" i="40"/>
  <c r="DK25" i="40" s="1"/>
  <c r="CH73" i="40"/>
  <c r="DK73" i="40" s="1"/>
  <c r="CH15" i="40"/>
  <c r="DK15" i="40" s="1"/>
  <c r="CH50" i="40"/>
  <c r="DK50" i="40" s="1"/>
  <c r="CH7" i="40"/>
  <c r="DK7" i="40" s="1"/>
  <c r="CH10" i="40"/>
  <c r="DK10" i="40" s="1"/>
  <c r="CH40" i="40"/>
  <c r="DK40" i="40" s="1"/>
  <c r="CH21" i="40"/>
  <c r="DK21" i="40" s="1"/>
  <c r="CH57" i="40"/>
  <c r="DK57" i="40" s="1"/>
  <c r="CH9" i="40"/>
  <c r="DK9" i="40" s="1"/>
  <c r="CH12" i="40"/>
  <c r="DK12" i="40" s="1"/>
  <c r="CH22" i="40"/>
  <c r="DK22" i="40" s="1"/>
  <c r="CH5" i="40"/>
  <c r="DK5" i="40" s="1"/>
  <c r="CH23" i="40"/>
  <c r="DK23" i="40" s="1"/>
  <c r="CH62" i="40"/>
  <c r="DK62" i="40" s="1"/>
  <c r="CH56" i="40"/>
  <c r="DK56" i="40" s="1"/>
  <c r="DI12" i="40"/>
  <c r="EA6" i="40" s="1"/>
  <c r="CH4" i="40"/>
  <c r="DK4" i="40" s="1"/>
  <c r="CH58" i="40"/>
  <c r="DK58" i="40" s="1"/>
  <c r="CH61" i="40"/>
  <c r="DK61" i="40" s="1"/>
  <c r="CH71" i="40"/>
  <c r="DK71" i="40" s="1"/>
  <c r="CH33" i="40"/>
  <c r="DK33" i="40" s="1"/>
  <c r="CH55" i="40"/>
  <c r="DK55" i="40" s="1"/>
  <c r="CH49" i="40"/>
  <c r="DK49" i="40" s="1"/>
  <c r="CH47" i="40"/>
  <c r="DK47" i="40" s="1"/>
  <c r="CH54" i="40"/>
  <c r="DK54" i="40" s="1"/>
  <c r="CH42" i="40"/>
  <c r="DK42" i="40" s="1"/>
  <c r="CH32" i="40"/>
  <c r="DK32" i="40" s="1"/>
  <c r="CH29" i="40"/>
  <c r="DK29" i="40" s="1"/>
  <c r="CH53" i="40"/>
  <c r="DK53" i="40" s="1"/>
  <c r="CH67" i="40"/>
  <c r="DK67" i="40" s="1"/>
  <c r="CH37" i="40"/>
  <c r="DK37" i="40" s="1"/>
  <c r="CH65" i="40"/>
  <c r="DK65" i="40" s="1"/>
  <c r="CH31" i="40"/>
  <c r="DK31" i="40" s="1"/>
  <c r="CH14" i="40"/>
  <c r="DK14" i="40" s="1"/>
  <c r="CH8" i="40"/>
  <c r="DK8" i="40" s="1"/>
  <c r="CH28" i="40"/>
  <c r="DK28" i="40" s="1"/>
  <c r="CH24" i="40"/>
  <c r="DK24" i="40" s="1"/>
  <c r="CH74" i="40"/>
  <c r="DK74" i="40" s="1"/>
  <c r="CH11" i="40"/>
  <c r="DK11" i="40" s="1"/>
  <c r="CH39" i="40"/>
  <c r="DK39" i="40" s="1"/>
  <c r="CH72" i="40"/>
  <c r="DK72" i="40" s="1"/>
  <c r="CH19" i="40"/>
  <c r="DK19" i="40" s="1"/>
  <c r="CH35" i="40"/>
  <c r="DK35" i="40" s="1"/>
  <c r="CH59" i="40"/>
  <c r="DK59" i="40" s="1"/>
  <c r="CH51" i="40"/>
  <c r="DK51" i="40" s="1"/>
  <c r="CH66" i="40"/>
  <c r="DK66" i="40" s="1"/>
  <c r="CH20" i="40"/>
  <c r="DK20" i="40" s="1"/>
  <c r="BY28" i="40"/>
  <c r="CQ57" i="40"/>
  <c r="CQ5" i="40"/>
  <c r="BY36" i="40"/>
  <c r="BY50" i="40"/>
  <c r="BY53" i="40"/>
  <c r="CQ15" i="40"/>
  <c r="BY14" i="40"/>
  <c r="BY63" i="40"/>
  <c r="CQ17" i="40"/>
  <c r="BY60" i="40"/>
  <c r="BY20" i="40"/>
  <c r="BY55" i="40"/>
  <c r="CQ64" i="40"/>
  <c r="BY46" i="40"/>
  <c r="BY16" i="40"/>
  <c r="CQ67" i="40"/>
  <c r="CQ38" i="40"/>
  <c r="CQ49" i="40"/>
  <c r="BY52" i="40"/>
  <c r="CQ58" i="40"/>
  <c r="CQ21" i="40"/>
  <c r="BY48" i="40"/>
  <c r="BY39" i="40"/>
  <c r="BY66" i="40"/>
  <c r="CQ72" i="40"/>
  <c r="BY71" i="40"/>
  <c r="BY41" i="40"/>
  <c r="BY31" i="40"/>
  <c r="BY12" i="40"/>
  <c r="CQ10" i="40"/>
  <c r="CQ68" i="40"/>
  <c r="CQ40" i="40"/>
  <c r="BY37" i="40"/>
  <c r="CQ56" i="40"/>
  <c r="CQ32" i="40"/>
  <c r="CQ73" i="40"/>
  <c r="CQ74" i="40"/>
  <c r="BY25" i="40"/>
  <c r="CQ47" i="40"/>
  <c r="CQ13" i="40"/>
  <c r="BY4" i="40"/>
  <c r="BY27" i="40"/>
  <c r="BY57" i="40"/>
  <c r="BY64" i="40"/>
  <c r="BY10" i="40"/>
  <c r="CQ65" i="40"/>
  <c r="BY9" i="40"/>
  <c r="CQ28" i="40"/>
  <c r="CQ53" i="40"/>
  <c r="CQ26" i="40"/>
  <c r="CQ43" i="40"/>
  <c r="CQ42" i="40"/>
  <c r="CQ61" i="40"/>
  <c r="U41" i="40"/>
  <c r="AV41" i="40" s="1"/>
  <c r="U49" i="40"/>
  <c r="AV49" i="40" s="1"/>
  <c r="U55" i="40"/>
  <c r="AV55" i="40" s="1"/>
  <c r="U58" i="40"/>
  <c r="AV58" i="40" s="1"/>
  <c r="U14" i="40"/>
  <c r="AV14" i="40" s="1"/>
  <c r="U4" i="40"/>
  <c r="AV4" i="40" s="1"/>
  <c r="U6" i="40"/>
  <c r="AV6" i="40" s="1"/>
  <c r="U5" i="40"/>
  <c r="AV5" i="40" s="1"/>
  <c r="U71" i="40"/>
  <c r="AV71" i="40" s="1"/>
  <c r="U30" i="40"/>
  <c r="AV30" i="40" s="1"/>
  <c r="U16" i="40"/>
  <c r="AV16" i="40" s="1"/>
  <c r="U43" i="40"/>
  <c r="AV43" i="40" s="1"/>
  <c r="U9" i="40"/>
  <c r="AV9" i="40" s="1"/>
  <c r="U17" i="40"/>
  <c r="AV17" i="40" s="1"/>
  <c r="U64" i="40"/>
  <c r="AV64" i="40" s="1"/>
  <c r="U70" i="40"/>
  <c r="AV70" i="40" s="1"/>
  <c r="U53" i="40"/>
  <c r="AV53" i="40" s="1"/>
  <c r="U33" i="40"/>
  <c r="AV33" i="40" s="1"/>
  <c r="U52" i="40"/>
  <c r="AV52" i="40" s="1"/>
  <c r="U54" i="40"/>
  <c r="AV54" i="40" s="1"/>
  <c r="U28" i="40"/>
  <c r="AV28" i="40" s="1"/>
  <c r="U19" i="40"/>
  <c r="AV19" i="40" s="1"/>
  <c r="U39" i="40"/>
  <c r="AV39" i="40" s="1"/>
  <c r="U22" i="40"/>
  <c r="AV22" i="40" s="1"/>
  <c r="U13" i="40"/>
  <c r="AV13" i="40" s="1"/>
  <c r="U51" i="40"/>
  <c r="AV51" i="40" s="1"/>
  <c r="U11" i="40"/>
  <c r="AV11" i="40" s="1"/>
  <c r="U12" i="40"/>
  <c r="AV12" i="40" s="1"/>
  <c r="U40" i="40"/>
  <c r="AV40" i="40" s="1"/>
  <c r="U62" i="40"/>
  <c r="AV62" i="40" s="1"/>
  <c r="U74" i="40"/>
  <c r="AV74" i="40" s="1"/>
  <c r="U7" i="40"/>
  <c r="AV7" i="40" s="1"/>
  <c r="U37" i="40"/>
  <c r="AV37" i="40" s="1"/>
  <c r="U59" i="40"/>
  <c r="AV59" i="40" s="1"/>
  <c r="U27" i="40"/>
  <c r="AV27" i="40" s="1"/>
  <c r="U68" i="40"/>
  <c r="AV68" i="40" s="1"/>
  <c r="U67" i="40"/>
  <c r="AV67" i="40" s="1"/>
  <c r="U26" i="40"/>
  <c r="AV26" i="40" s="1"/>
  <c r="U46" i="40"/>
  <c r="AV46" i="40" s="1"/>
  <c r="U60" i="40"/>
  <c r="AV60" i="40" s="1"/>
  <c r="U56" i="40"/>
  <c r="AV56" i="40" s="1"/>
  <c r="U50" i="40"/>
  <c r="AV50" i="40" s="1"/>
  <c r="U23" i="40"/>
  <c r="AV23" i="40" s="1"/>
  <c r="U38" i="40"/>
  <c r="AV38" i="40" s="1"/>
  <c r="U34" i="40"/>
  <c r="AV34" i="40" s="1"/>
  <c r="U18" i="40"/>
  <c r="AV18" i="40" s="1"/>
  <c r="U36" i="40"/>
  <c r="AV36" i="40" s="1"/>
  <c r="U63" i="40"/>
  <c r="AV63" i="40" s="1"/>
  <c r="U24" i="40"/>
  <c r="AV24" i="40" s="1"/>
  <c r="U61" i="40"/>
  <c r="AV61" i="40" s="1"/>
  <c r="U15" i="40"/>
  <c r="AV15" i="40" s="1"/>
  <c r="U42" i="40"/>
  <c r="AV42" i="40" s="1"/>
  <c r="U73" i="40"/>
  <c r="AV73" i="40" s="1"/>
  <c r="U66" i="40"/>
  <c r="AV66" i="40" s="1"/>
  <c r="U29" i="40"/>
  <c r="AV29" i="40" s="1"/>
  <c r="U72" i="40"/>
  <c r="AV72" i="40" s="1"/>
  <c r="U45" i="40"/>
  <c r="AV45" i="40" s="1"/>
  <c r="U35" i="40"/>
  <c r="AV35" i="40" s="1"/>
  <c r="U48" i="40"/>
  <c r="AV48" i="40" s="1"/>
  <c r="U8" i="40"/>
  <c r="AV8" i="40" s="1"/>
  <c r="U31" i="40"/>
  <c r="AV31" i="40" s="1"/>
  <c r="U20" i="40"/>
  <c r="AV20" i="40" s="1"/>
  <c r="U47" i="40"/>
  <c r="AV47" i="40" s="1"/>
  <c r="U65" i="40"/>
  <c r="AV65" i="40" s="1"/>
  <c r="U57" i="40"/>
  <c r="AV57" i="40" s="1"/>
  <c r="U32" i="40"/>
  <c r="AV32" i="40" s="1"/>
  <c r="U44" i="40"/>
  <c r="AV44" i="40" s="1"/>
  <c r="U69" i="40"/>
  <c r="AV69" i="40" s="1"/>
  <c r="U25" i="40"/>
  <c r="AV25" i="40" s="1"/>
  <c r="U10" i="40"/>
  <c r="AV10" i="40" s="1"/>
  <c r="AU7" i="40"/>
  <c r="AT12" i="40"/>
  <c r="BL6" i="40" s="1"/>
  <c r="BL9" i="40" s="1"/>
  <c r="AT8" i="40" l="1"/>
  <c r="T7" i="40" s="1"/>
  <c r="AW7" i="40" s="1"/>
  <c r="EA10" i="40"/>
  <c r="EA9" i="40"/>
  <c r="DP17" i="40"/>
  <c r="DP9" i="40"/>
  <c r="DQ9" i="40" s="1"/>
  <c r="CQ76" i="40"/>
  <c r="DI8" i="40" s="1"/>
  <c r="BA17" i="40"/>
  <c r="BL10" i="40"/>
  <c r="BA9" i="40"/>
  <c r="BB9" i="40" s="1"/>
  <c r="S51" i="40"/>
  <c r="AX51" i="40" s="1"/>
  <c r="S45" i="40"/>
  <c r="AX45" i="40" s="1"/>
  <c r="S73" i="40"/>
  <c r="AX73" i="40" s="1"/>
  <c r="S37" i="40"/>
  <c r="AX37" i="40" s="1"/>
  <c r="S65" i="40"/>
  <c r="AX65" i="40" s="1"/>
  <c r="S23" i="40"/>
  <c r="AX23" i="40" s="1"/>
  <c r="S9" i="40"/>
  <c r="AX9" i="40" s="1"/>
  <c r="S40" i="40"/>
  <c r="AX40" i="40" s="1"/>
  <c r="S27" i="40"/>
  <c r="AX27" i="40" s="1"/>
  <c r="S17" i="40"/>
  <c r="AX17" i="40" s="1"/>
  <c r="S7" i="40"/>
  <c r="AX7" i="40" s="1"/>
  <c r="S14" i="40"/>
  <c r="AX14" i="40" s="1"/>
  <c r="S57" i="40"/>
  <c r="AX57" i="40" s="1"/>
  <c r="S15" i="40"/>
  <c r="AX15" i="40" s="1"/>
  <c r="S41" i="40"/>
  <c r="AX41" i="40" s="1"/>
  <c r="S42" i="40"/>
  <c r="AX42" i="40" s="1"/>
  <c r="S30" i="40"/>
  <c r="AX30" i="40" s="1"/>
  <c r="S49" i="40"/>
  <c r="AX49" i="40" s="1"/>
  <c r="S48" i="40"/>
  <c r="AX48" i="40" s="1"/>
  <c r="S50" i="40"/>
  <c r="AX50" i="40" s="1"/>
  <c r="S19" i="40"/>
  <c r="AX19" i="40" s="1"/>
  <c r="S66" i="40"/>
  <c r="AX66" i="40" s="1"/>
  <c r="S62" i="40"/>
  <c r="AX62" i="40" s="1"/>
  <c r="S47" i="40"/>
  <c r="AX47" i="40" s="1"/>
  <c r="S24" i="40"/>
  <c r="AX24" i="40" s="1"/>
  <c r="S8" i="40"/>
  <c r="AX8" i="40" s="1"/>
  <c r="S68" i="40"/>
  <c r="AX68" i="40" s="1"/>
  <c r="S67" i="40"/>
  <c r="AX67" i="40" s="1"/>
  <c r="S53" i="40"/>
  <c r="AX53" i="40" s="1"/>
  <c r="S29" i="40"/>
  <c r="AX29" i="40" s="1"/>
  <c r="S5" i="40"/>
  <c r="AX5" i="40" s="1"/>
  <c r="S10" i="40"/>
  <c r="AX10" i="40" s="1"/>
  <c r="S64" i="40"/>
  <c r="AX64" i="40" s="1"/>
  <c r="S58" i="40"/>
  <c r="AX58" i="40" s="1"/>
  <c r="S52" i="40" l="1"/>
  <c r="AX52" i="40" s="1"/>
  <c r="S34" i="40"/>
  <c r="AX34" i="40" s="1"/>
  <c r="T9" i="40"/>
  <c r="AW9" i="40" s="1"/>
  <c r="S4" i="40"/>
  <c r="AX4" i="40" s="1"/>
  <c r="T16" i="40"/>
  <c r="AW16" i="40" s="1"/>
  <c r="T52" i="40"/>
  <c r="AW52" i="40" s="1"/>
  <c r="T49" i="40"/>
  <c r="AW49" i="40" s="1"/>
  <c r="T50" i="40"/>
  <c r="AW50" i="40" s="1"/>
  <c r="T57" i="40"/>
  <c r="AW57" i="40" s="1"/>
  <c r="T20" i="40"/>
  <c r="AW20" i="40" s="1"/>
  <c r="T65" i="40"/>
  <c r="AW65" i="40" s="1"/>
  <c r="T70" i="40"/>
  <c r="AW70" i="40" s="1"/>
  <c r="T69" i="40"/>
  <c r="AW69" i="40" s="1"/>
  <c r="T33" i="40"/>
  <c r="AW33" i="40" s="1"/>
  <c r="T11" i="40"/>
  <c r="AW11" i="40" s="1"/>
  <c r="T72" i="40"/>
  <c r="AW72" i="40" s="1"/>
  <c r="T8" i="40"/>
  <c r="AW8" i="40" s="1"/>
  <c r="T41" i="40"/>
  <c r="AW41" i="40" s="1"/>
  <c r="T62" i="40"/>
  <c r="AW62" i="40" s="1"/>
  <c r="T61" i="40"/>
  <c r="AW61" i="40" s="1"/>
  <c r="T15" i="40"/>
  <c r="AW15" i="40" s="1"/>
  <c r="T13" i="40"/>
  <c r="AW13" i="40" s="1"/>
  <c r="T22" i="40"/>
  <c r="AW22" i="40" s="1"/>
  <c r="T44" i="40"/>
  <c r="AW44" i="40" s="1"/>
  <c r="T56" i="40"/>
  <c r="AW56" i="40" s="1"/>
  <c r="T60" i="40"/>
  <c r="AW60" i="40" s="1"/>
  <c r="T64" i="40"/>
  <c r="AW64" i="40" s="1"/>
  <c r="T54" i="40"/>
  <c r="AW54" i="40" s="1"/>
  <c r="T53" i="40"/>
  <c r="AW53" i="40" s="1"/>
  <c r="T12" i="40"/>
  <c r="AW12" i="40" s="1"/>
  <c r="T4" i="40"/>
  <c r="AW4" i="40" s="1"/>
  <c r="T32" i="40"/>
  <c r="AW32" i="40" s="1"/>
  <c r="T27" i="40"/>
  <c r="AW27" i="40" s="1"/>
  <c r="T48" i="40"/>
  <c r="AW48" i="40" s="1"/>
  <c r="T46" i="40"/>
  <c r="AW46" i="40" s="1"/>
  <c r="T45" i="40"/>
  <c r="AW45" i="40" s="1"/>
  <c r="S60" i="40"/>
  <c r="AX60" i="40" s="1"/>
  <c r="S44" i="40"/>
  <c r="AX44" i="40" s="1"/>
  <c r="S70" i="40"/>
  <c r="AX70" i="40" s="1"/>
  <c r="T31" i="40"/>
  <c r="AW31" i="40" s="1"/>
  <c r="T59" i="40"/>
  <c r="AW59" i="40" s="1"/>
  <c r="T68" i="40"/>
  <c r="AW68" i="40" s="1"/>
  <c r="T25" i="40"/>
  <c r="AW25" i="40" s="1"/>
  <c r="T63" i="40"/>
  <c r="AW63" i="40" s="1"/>
  <c r="T51" i="40"/>
  <c r="AW51" i="40" s="1"/>
  <c r="T40" i="40"/>
  <c r="AW40" i="40" s="1"/>
  <c r="T38" i="40"/>
  <c r="AW38" i="40" s="1"/>
  <c r="T37" i="40"/>
  <c r="AW37" i="40" s="1"/>
  <c r="AT13" i="40"/>
  <c r="AU13" i="40" s="1"/>
  <c r="S28" i="40"/>
  <c r="AX28" i="40" s="1"/>
  <c r="S74" i="40"/>
  <c r="AX74" i="40" s="1"/>
  <c r="S22" i="40"/>
  <c r="AX22" i="40" s="1"/>
  <c r="S39" i="40"/>
  <c r="AX39" i="40" s="1"/>
  <c r="S6" i="40"/>
  <c r="AX6" i="40" s="1"/>
  <c r="S11" i="40"/>
  <c r="AX11" i="40" s="1"/>
  <c r="S69" i="40"/>
  <c r="AX69" i="40" s="1"/>
  <c r="T10" i="40"/>
  <c r="AW10" i="40" s="1"/>
  <c r="T35" i="40"/>
  <c r="AW35" i="40" s="1"/>
  <c r="T36" i="40"/>
  <c r="AW36" i="40" s="1"/>
  <c r="T66" i="40"/>
  <c r="AW66" i="40" s="1"/>
  <c r="T47" i="40"/>
  <c r="AW47" i="40" s="1"/>
  <c r="T14" i="40"/>
  <c r="AW14" i="40" s="1"/>
  <c r="T21" i="40"/>
  <c r="AW21" i="40" s="1"/>
  <c r="T29" i="40"/>
  <c r="AW29" i="40" s="1"/>
  <c r="T28" i="40"/>
  <c r="AW28" i="40" s="1"/>
  <c r="T23" i="40"/>
  <c r="AW23" i="40" s="1"/>
  <c r="S46" i="40"/>
  <c r="AX46" i="40" s="1"/>
  <c r="S54" i="40"/>
  <c r="AX54" i="40" s="1"/>
  <c r="S36" i="40"/>
  <c r="AX36" i="40" s="1"/>
  <c r="S59" i="40"/>
  <c r="AX59" i="40" s="1"/>
  <c r="S13" i="40"/>
  <c r="AX13" i="40" s="1"/>
  <c r="S21" i="40"/>
  <c r="AX21" i="40" s="1"/>
  <c r="S16" i="40"/>
  <c r="AX16" i="40" s="1"/>
  <c r="S72" i="40"/>
  <c r="AX72" i="40" s="1"/>
  <c r="AU12" i="40"/>
  <c r="T18" i="40"/>
  <c r="AW18" i="40" s="1"/>
  <c r="T74" i="40"/>
  <c r="AW74" i="40" s="1"/>
  <c r="T67" i="40"/>
  <c r="AW67" i="40" s="1"/>
  <c r="T42" i="40"/>
  <c r="AW42" i="40" s="1"/>
  <c r="T39" i="40"/>
  <c r="AW39" i="40" s="1"/>
  <c r="T58" i="40"/>
  <c r="AW58" i="40" s="1"/>
  <c r="T71" i="40"/>
  <c r="AW71" i="40" s="1"/>
  <c r="T19" i="40"/>
  <c r="AW19" i="40" s="1"/>
  <c r="T17" i="40"/>
  <c r="AW17" i="40" s="1"/>
  <c r="S35" i="40"/>
  <c r="AX35" i="40" s="1"/>
  <c r="S43" i="40"/>
  <c r="AX43" i="40" s="1"/>
  <c r="S33" i="40"/>
  <c r="AX33" i="40" s="1"/>
  <c r="S32" i="40"/>
  <c r="AX32" i="40" s="1"/>
  <c r="S55" i="40"/>
  <c r="AX55" i="40" s="1"/>
  <c r="S63" i="40"/>
  <c r="AX63" i="40" s="1"/>
  <c r="S56" i="40"/>
  <c r="AX56" i="40" s="1"/>
  <c r="S20" i="40"/>
  <c r="AX20" i="40" s="1"/>
  <c r="S31" i="40"/>
  <c r="AX31" i="40" s="1"/>
  <c r="S25" i="40"/>
  <c r="AX25" i="40" s="1"/>
  <c r="S61" i="40"/>
  <c r="AX61" i="40" s="1"/>
  <c r="S71" i="40"/>
  <c r="AX71" i="40" s="1"/>
  <c r="S38" i="40"/>
  <c r="AX38" i="40" s="1"/>
  <c r="S26" i="40"/>
  <c r="AX26" i="40" s="1"/>
  <c r="S12" i="40"/>
  <c r="AX12" i="40" s="1"/>
  <c r="S18" i="40"/>
  <c r="AX18" i="40" s="1"/>
  <c r="T26" i="40"/>
  <c r="AW26" i="40" s="1"/>
  <c r="T24" i="40"/>
  <c r="AW24" i="40" s="1"/>
  <c r="T43" i="40"/>
  <c r="AW43" i="40" s="1"/>
  <c r="T73" i="40"/>
  <c r="AW73" i="40" s="1"/>
  <c r="T30" i="40"/>
  <c r="AW30" i="40" s="1"/>
  <c r="T34" i="40"/>
  <c r="AW34" i="40" s="1"/>
  <c r="T55" i="40"/>
  <c r="AW55" i="40" s="1"/>
  <c r="T6" i="40"/>
  <c r="AW6" i="40" s="1"/>
  <c r="T5" i="40"/>
  <c r="AW5" i="40" s="1"/>
  <c r="CG74" i="40"/>
  <c r="DL74" i="40" s="1"/>
  <c r="CF39" i="40"/>
  <c r="DM39" i="40" s="1"/>
  <c r="CG50" i="40"/>
  <c r="DL50" i="40" s="1"/>
  <c r="CG28" i="40"/>
  <c r="DL28" i="40" s="1"/>
  <c r="CG64" i="40"/>
  <c r="DL64" i="40" s="1"/>
  <c r="CF69" i="40"/>
  <c r="DM69" i="40" s="1"/>
  <c r="CF15" i="40"/>
  <c r="DM15" i="40" s="1"/>
  <c r="CF14" i="40"/>
  <c r="DM14" i="40" s="1"/>
  <c r="CG5" i="40"/>
  <c r="DL5" i="40" s="1"/>
  <c r="CF37" i="40"/>
  <c r="DM37" i="40" s="1"/>
  <c r="CF65" i="40"/>
  <c r="DM65" i="40" s="1"/>
  <c r="CF48" i="40"/>
  <c r="DM48" i="40" s="1"/>
  <c r="CG13" i="40"/>
  <c r="DL13" i="40" s="1"/>
  <c r="CF35" i="40"/>
  <c r="DM35" i="40" s="1"/>
  <c r="CG55" i="40"/>
  <c r="DL55" i="40" s="1"/>
  <c r="CG65" i="40"/>
  <c r="DL65" i="40" s="1"/>
  <c r="CG30" i="40"/>
  <c r="DL30" i="40" s="1"/>
  <c r="CF55" i="40"/>
  <c r="DM55" i="40" s="1"/>
  <c r="CF53" i="40"/>
  <c r="DM53" i="40" s="1"/>
  <c r="CG59" i="40"/>
  <c r="DL59" i="40" s="1"/>
  <c r="CF11" i="40"/>
  <c r="DM11" i="40" s="1"/>
  <c r="CF63" i="40"/>
  <c r="DM63" i="40" s="1"/>
  <c r="CF26" i="40"/>
  <c r="DM26" i="40" s="1"/>
  <c r="CG33" i="40"/>
  <c r="DL33" i="40" s="1"/>
  <c r="CF71" i="40"/>
  <c r="DM71" i="40" s="1"/>
  <c r="CF58" i="40"/>
  <c r="DM58" i="40" s="1"/>
  <c r="CG53" i="40"/>
  <c r="DL53" i="40" s="1"/>
  <c r="CF60" i="40"/>
  <c r="DM60" i="40" s="1"/>
  <c r="CG6" i="40"/>
  <c r="DL6" i="40" s="1"/>
  <c r="CG8" i="40"/>
  <c r="DL8" i="40" s="1"/>
  <c r="CF8" i="40"/>
  <c r="DM8" i="40" s="1"/>
  <c r="CF68" i="40"/>
  <c r="DM68" i="40" s="1"/>
  <c r="CG46" i="40"/>
  <c r="DL46" i="40" s="1"/>
  <c r="CG36" i="40"/>
  <c r="DL36" i="40" s="1"/>
  <c r="CG22" i="40"/>
  <c r="DL22" i="40" s="1"/>
  <c r="CG69" i="40"/>
  <c r="DL69" i="40" s="1"/>
  <c r="CG40" i="40"/>
  <c r="DL40" i="40" s="1"/>
  <c r="CG72" i="40"/>
  <c r="DL72" i="40" s="1"/>
  <c r="CG71" i="40"/>
  <c r="DL71" i="40" s="1"/>
  <c r="CG41" i="40"/>
  <c r="DL41" i="40" s="1"/>
  <c r="CF38" i="40"/>
  <c r="DM38" i="40" s="1"/>
  <c r="CF10" i="40"/>
  <c r="DM10" i="40" s="1"/>
  <c r="CF44" i="40"/>
  <c r="DM44" i="40" s="1"/>
  <c r="CF61" i="40"/>
  <c r="DM61" i="40" s="1"/>
  <c r="CG66" i="40"/>
  <c r="DL66" i="40" s="1"/>
  <c r="CF29" i="40"/>
  <c r="DM29" i="40" s="1"/>
  <c r="CF12" i="40"/>
  <c r="DM12" i="40" s="1"/>
  <c r="CG16" i="40"/>
  <c r="DL16" i="40" s="1"/>
  <c r="CF5" i="40"/>
  <c r="DM5" i="40" s="1"/>
  <c r="CG27" i="40"/>
  <c r="DL27" i="40" s="1"/>
  <c r="CG11" i="40"/>
  <c r="DL11" i="40" s="1"/>
  <c r="CF30" i="40"/>
  <c r="DM30" i="40" s="1"/>
  <c r="CF57" i="40"/>
  <c r="DM57" i="40" s="1"/>
  <c r="CG29" i="40"/>
  <c r="DL29" i="40" s="1"/>
  <c r="CF59" i="40"/>
  <c r="DM59" i="40" s="1"/>
  <c r="CG17" i="40"/>
  <c r="DL17" i="40" s="1"/>
  <c r="CG42" i="40"/>
  <c r="DL42" i="40" s="1"/>
  <c r="CF7" i="40"/>
  <c r="DM7" i="40" s="1"/>
  <c r="CG26" i="40"/>
  <c r="DL26" i="40" s="1"/>
  <c r="CG21" i="40"/>
  <c r="DL21" i="40" s="1"/>
  <c r="CG52" i="40"/>
  <c r="DL52" i="40" s="1"/>
  <c r="CF64" i="40"/>
  <c r="DM64" i="40" s="1"/>
  <c r="CF67" i="40"/>
  <c r="DM67" i="40" s="1"/>
  <c r="CG44" i="40"/>
  <c r="DL44" i="40" s="1"/>
  <c r="CG67" i="40"/>
  <c r="DL67" i="40" s="1"/>
  <c r="CF51" i="40"/>
  <c r="DM51" i="40" s="1"/>
  <c r="CG43" i="40"/>
  <c r="DL43" i="40" s="1"/>
  <c r="CF28" i="40"/>
  <c r="DM28" i="40" s="1"/>
  <c r="CF70" i="40"/>
  <c r="DM70" i="40" s="1"/>
  <c r="CG32" i="40"/>
  <c r="DL32" i="40" s="1"/>
  <c r="CF52" i="40"/>
  <c r="DM52" i="40" s="1"/>
  <c r="CG12" i="40"/>
  <c r="DL12" i="40" s="1"/>
  <c r="CF42" i="40"/>
  <c r="DM42" i="40" s="1"/>
  <c r="CF74" i="40"/>
  <c r="DM74" i="40" s="1"/>
  <c r="CF18" i="40"/>
  <c r="DM18" i="40" s="1"/>
  <c r="CG25" i="40"/>
  <c r="DL25" i="40" s="1"/>
  <c r="CF49" i="40"/>
  <c r="DM49" i="40" s="1"/>
  <c r="CG62" i="40"/>
  <c r="DL62" i="40" s="1"/>
  <c r="CG37" i="40"/>
  <c r="DL37" i="40" s="1"/>
  <c r="CG49" i="40"/>
  <c r="DL49" i="40" s="1"/>
  <c r="CF16" i="40"/>
  <c r="DM16" i="40" s="1"/>
  <c r="CG70" i="40"/>
  <c r="DL70" i="40" s="1"/>
  <c r="CF72" i="40"/>
  <c r="DM72" i="40" s="1"/>
  <c r="CG31" i="40"/>
  <c r="DL31" i="40" s="1"/>
  <c r="CF9" i="40"/>
  <c r="DM9" i="40" s="1"/>
  <c r="CF43" i="40"/>
  <c r="DM43" i="40" s="1"/>
  <c r="CG68" i="40"/>
  <c r="DL68" i="40" s="1"/>
  <c r="CF36" i="40"/>
  <c r="DM36" i="40" s="1"/>
  <c r="CG54" i="40"/>
  <c r="DL54" i="40" s="1"/>
  <c r="CG51" i="40"/>
  <c r="DL51" i="40" s="1"/>
  <c r="DJ12" i="40"/>
  <c r="CG4" i="40"/>
  <c r="DL4" i="40" s="1"/>
  <c r="CF50" i="40"/>
  <c r="DM50" i="40" s="1"/>
  <c r="CG56" i="40"/>
  <c r="DL56" i="40" s="1"/>
  <c r="CG14" i="40"/>
  <c r="DL14" i="40" s="1"/>
  <c r="CG60" i="40"/>
  <c r="DL60" i="40" s="1"/>
  <c r="CG58" i="40"/>
  <c r="DL58" i="40" s="1"/>
  <c r="CF40" i="40"/>
  <c r="DM40" i="40" s="1"/>
  <c r="CG38" i="40"/>
  <c r="DL38" i="40" s="1"/>
  <c r="CG10" i="40"/>
  <c r="DL10" i="40" s="1"/>
  <c r="CF54" i="40"/>
  <c r="DM54" i="40" s="1"/>
  <c r="CF73" i="40"/>
  <c r="DM73" i="40" s="1"/>
  <c r="CG57" i="40"/>
  <c r="DL57" i="40" s="1"/>
  <c r="CG20" i="40"/>
  <c r="DL20" i="40" s="1"/>
  <c r="CG47" i="40"/>
  <c r="DL47" i="40" s="1"/>
  <c r="CG24" i="40"/>
  <c r="DL24" i="40" s="1"/>
  <c r="CG39" i="40"/>
  <c r="DL39" i="40" s="1"/>
  <c r="CF20" i="40"/>
  <c r="DM20" i="40" s="1"/>
  <c r="CF6" i="40"/>
  <c r="DM6" i="40" s="1"/>
  <c r="CF45" i="40"/>
  <c r="DM45" i="40" s="1"/>
  <c r="CF33" i="40"/>
  <c r="DM33" i="40" s="1"/>
  <c r="CG19" i="40"/>
  <c r="DL19" i="40" s="1"/>
  <c r="CG7" i="40"/>
  <c r="DL7" i="40" s="1"/>
  <c r="CG45" i="40"/>
  <c r="DL45" i="40" s="1"/>
  <c r="DI13" i="40"/>
  <c r="DJ13" i="40" s="1"/>
  <c r="CG35" i="40"/>
  <c r="DL35" i="40" s="1"/>
  <c r="CF32" i="40"/>
  <c r="DM32" i="40" s="1"/>
  <c r="CG18" i="40"/>
  <c r="DL18" i="40" s="1"/>
  <c r="CF27" i="40"/>
  <c r="DM27" i="40" s="1"/>
  <c r="CF66" i="40"/>
  <c r="DM66" i="40" s="1"/>
  <c r="CF41" i="40"/>
  <c r="DM41" i="40" s="1"/>
  <c r="CF4" i="40"/>
  <c r="DM4" i="40" s="1"/>
  <c r="CG63" i="40"/>
  <c r="DL63" i="40" s="1"/>
  <c r="CF19" i="40"/>
  <c r="DM19" i="40" s="1"/>
  <c r="CG61" i="40"/>
  <c r="DL61" i="40" s="1"/>
  <c r="CF24" i="40"/>
  <c r="DM24" i="40" s="1"/>
  <c r="CF46" i="40"/>
  <c r="DM46" i="40" s="1"/>
  <c r="CG23" i="40"/>
  <c r="DL23" i="40" s="1"/>
  <c r="CF17" i="40"/>
  <c r="DM17" i="40" s="1"/>
  <c r="CG9" i="40"/>
  <c r="DL9" i="40" s="1"/>
  <c r="CG15" i="40"/>
  <c r="DL15" i="40" s="1"/>
  <c r="CF21" i="40"/>
  <c r="DM21" i="40" s="1"/>
  <c r="CF13" i="40"/>
  <c r="DM13" i="40" s="1"/>
  <c r="CG48" i="40"/>
  <c r="DL48" i="40" s="1"/>
  <c r="CF31" i="40"/>
  <c r="DM31" i="40" s="1"/>
  <c r="CF23" i="40"/>
  <c r="DM23" i="40" s="1"/>
  <c r="CF62" i="40"/>
  <c r="DM62" i="40" s="1"/>
  <c r="CF25" i="40"/>
  <c r="DM25" i="40" s="1"/>
  <c r="CF34" i="40"/>
  <c r="DM34" i="40" s="1"/>
  <c r="CF22" i="40"/>
  <c r="DM22" i="40" s="1"/>
  <c r="CF56" i="40"/>
  <c r="DM56" i="40" s="1"/>
  <c r="CF47" i="40"/>
  <c r="DM47" i="40" s="1"/>
  <c r="CG73" i="40"/>
  <c r="DL73" i="40" s="1"/>
  <c r="CG34" i="40"/>
  <c r="DL34" i="40" s="1"/>
  <c r="BA13" i="40" l="1"/>
  <c r="BB13" i="40" s="1"/>
  <c r="BA18" i="40"/>
  <c r="BA14" i="40"/>
  <c r="BB14" i="40" s="1"/>
  <c r="BA10" i="40"/>
  <c r="BB10" i="40" s="1"/>
  <c r="BB4" i="40" s="1"/>
  <c r="BB17" i="40" s="1"/>
  <c r="DP13" i="40"/>
  <c r="DQ13" i="40" s="1"/>
  <c r="DP10" i="40"/>
  <c r="DQ10" i="40" s="1"/>
  <c r="DP14" i="40"/>
  <c r="DQ14" i="40" s="1"/>
  <c r="DP18" i="40"/>
  <c r="DQ4" i="40" l="1"/>
  <c r="DQ18" i="40" s="1"/>
  <c r="BB18" i="40"/>
  <c r="DQ17" i="40" l="1"/>
</calcChain>
</file>

<file path=xl/sharedStrings.xml><?xml version="1.0" encoding="utf-8"?>
<sst xmlns="http://schemas.openxmlformats.org/spreadsheetml/2006/main" count="1179" uniqueCount="562">
  <si>
    <t>Fuel Type</t>
  </si>
  <si>
    <t>a</t>
  </si>
  <si>
    <t>b</t>
  </si>
  <si>
    <t>c</t>
  </si>
  <si>
    <t>C-1</t>
  </si>
  <si>
    <t>C-2</t>
  </si>
  <si>
    <t>C-3</t>
  </si>
  <si>
    <t>C-4</t>
  </si>
  <si>
    <t>C-5</t>
  </si>
  <si>
    <t>C-7</t>
  </si>
  <si>
    <t>D-1</t>
  </si>
  <si>
    <t>D-2</t>
  </si>
  <si>
    <t>S-1</t>
  </si>
  <si>
    <t>S-2</t>
  </si>
  <si>
    <t>S-3</t>
  </si>
  <si>
    <t>Control1</t>
  </si>
  <si>
    <t>M1</t>
  </si>
  <si>
    <t>M2</t>
  </si>
  <si>
    <t>M3</t>
  </si>
  <si>
    <t>% C, %c or %DF</t>
  </si>
  <si>
    <t>O-1a</t>
  </si>
  <si>
    <t>O-1b</t>
  </si>
  <si>
    <t>BUI</t>
  </si>
  <si>
    <t>BE</t>
  </si>
  <si>
    <t>M4</t>
  </si>
  <si>
    <t>q</t>
  </si>
  <si>
    <t>BUIo</t>
  </si>
  <si>
    <t>% Modifier:</t>
  </si>
  <si>
    <t>Index</t>
  </si>
  <si>
    <t>%C, %c or %DF</t>
  </si>
  <si>
    <t>Range -</t>
  </si>
  <si>
    <t>Index:</t>
  </si>
  <si>
    <t>SFC</t>
  </si>
  <si>
    <t>FFC</t>
  </si>
  <si>
    <t>WFC</t>
  </si>
  <si>
    <t>CSI</t>
  </si>
  <si>
    <t>CBH</t>
  </si>
  <si>
    <t>CFL</t>
  </si>
  <si>
    <t>ROS</t>
  </si>
  <si>
    <t>FFMC</t>
  </si>
  <si>
    <t>Range-</t>
  </si>
  <si>
    <t>GFL</t>
  </si>
  <si>
    <t>M-1</t>
  </si>
  <si>
    <t>M-2</t>
  </si>
  <si>
    <t>M-3</t>
  </si>
  <si>
    <t>M-4</t>
  </si>
  <si>
    <t>FMC</t>
  </si>
  <si>
    <t>FME</t>
  </si>
  <si>
    <t>RSC:</t>
  </si>
  <si>
    <t>RSS:</t>
  </si>
  <si>
    <t>C-6</t>
  </si>
  <si>
    <t>C6 CBH</t>
  </si>
  <si>
    <t>ISI</t>
  </si>
  <si>
    <t>m</t>
  </si>
  <si>
    <t>Wind Spd</t>
  </si>
  <si>
    <t>ISI/WS</t>
  </si>
  <si>
    <t>None</t>
  </si>
  <si>
    <t>Wind Speed (km/h)</t>
  </si>
  <si>
    <t>Curing factor</t>
  </si>
  <si>
    <t>#Comments</t>
  </si>
  <si>
    <t>Actual BUI</t>
  </si>
  <si>
    <t>Std/No ROS effect</t>
  </si>
  <si>
    <t>C-6 (surf)</t>
  </si>
  <si>
    <t>C-6 (crwn)</t>
  </si>
  <si>
    <t>Rsi</t>
  </si>
  <si>
    <t>CFB</t>
  </si>
  <si>
    <t>CFC</t>
  </si>
  <si>
    <t>TFC</t>
  </si>
  <si>
    <t>HFI</t>
  </si>
  <si>
    <t>Rso</t>
  </si>
  <si>
    <t>ROS output</t>
  </si>
  <si>
    <t>ROS/WS</t>
  </si>
  <si>
    <t>Control 3</t>
  </si>
  <si>
    <t>IC</t>
  </si>
  <si>
    <t>CC</t>
  </si>
  <si>
    <t>CFB0.5</t>
  </si>
  <si>
    <t>CFB50</t>
  </si>
  <si>
    <t>transition</t>
  </si>
  <si>
    <t>Fire type</t>
  </si>
  <si>
    <t>WS</t>
  </si>
  <si>
    <t>Fire Type Output3</t>
  </si>
  <si>
    <t># Comments; see also column BD</t>
  </si>
  <si>
    <t>#Modifier calculated (0-100 step 5) if Fuel Type is O- or M-type; FT from Graph control box</t>
  </si>
  <si>
    <t># %Modifier from Graph control box</t>
  </si>
  <si>
    <t>#FTs used for FT drop-down in Graph control boxes</t>
  </si>
  <si>
    <t>#Base ROS parameters, STX-3, Table 6</t>
  </si>
  <si>
    <t>β1</t>
  </si>
  <si>
    <t>β2</t>
  </si>
  <si>
    <t>β3</t>
  </si>
  <si>
    <t>β4</t>
  </si>
  <si>
    <t>CAC</t>
  </si>
  <si>
    <t>CBD</t>
  </si>
  <si>
    <t>CBD_selection</t>
  </si>
  <si>
    <t>#Calculations for when Wind Spd is selected on horizontal axis</t>
  </si>
  <si>
    <t>Ro</t>
  </si>
  <si>
    <t>MFRo</t>
  </si>
  <si>
    <t>CFI</t>
  </si>
  <si>
    <t>p-Logit1</t>
  </si>
  <si>
    <t>g(x)</t>
  </si>
  <si>
    <t>β0</t>
  </si>
  <si>
    <t>DC</t>
  </si>
  <si>
    <t>CBH_selection</t>
  </si>
  <si>
    <t>CFI1_out</t>
  </si>
  <si>
    <t>CBD_sel</t>
  </si>
  <si>
    <t>CROS_P disp1</t>
  </si>
  <si>
    <t>CROS_A disp1</t>
  </si>
  <si>
    <t>Surf_disp1</t>
  </si>
  <si>
    <t>DC_sel</t>
  </si>
  <si>
    <t>FFMC:</t>
  </si>
  <si>
    <t>BUI:</t>
  </si>
  <si>
    <t>Coeffs</t>
  </si>
  <si>
    <t>CROS_A disp2</t>
  </si>
  <si>
    <t>CROS_P disp2</t>
  </si>
  <si>
    <t>Surf_disp2</t>
  </si>
  <si>
    <t>Surface FM</t>
  </si>
  <si>
    <t>FT</t>
  </si>
  <si>
    <t>SFM_sel</t>
  </si>
  <si>
    <t>β5</t>
  </si>
  <si>
    <t>p-CFO</t>
  </si>
  <si>
    <t>CFIOccur1</t>
  </si>
  <si>
    <t>CFIOut</t>
  </si>
  <si>
    <t>FT2</t>
  </si>
  <si>
    <t>D-1/2</t>
  </si>
  <si>
    <t>O-1a/b</t>
  </si>
  <si>
    <t>M-1/2</t>
  </si>
  <si>
    <t>M-3/4</t>
  </si>
  <si>
    <t>CFIOccur2</t>
  </si>
  <si>
    <t>CFI2</t>
  </si>
  <si>
    <t>CFI2_out</t>
  </si>
  <si>
    <t>CBD_disp</t>
  </si>
  <si>
    <t>P or A</t>
  </si>
  <si>
    <t>Logit or Occur</t>
  </si>
  <si>
    <t>CFI points:</t>
  </si>
  <si>
    <t>CROS_A</t>
  </si>
  <si>
    <t>CROS_P</t>
  </si>
  <si>
    <t>CFILogit2</t>
  </si>
  <si>
    <t>Surf to PC</t>
  </si>
  <si>
    <t>PC to AC</t>
  </si>
  <si>
    <t>AC</t>
  </si>
  <si>
    <t>S to PC?</t>
  </si>
  <si>
    <t>PC to AC?</t>
  </si>
  <si>
    <t>PC shown?</t>
  </si>
  <si>
    <t>Transition lines and PCF point</t>
  </si>
  <si>
    <t>Surf to PC2</t>
  </si>
  <si>
    <t>PC to AC2</t>
  </si>
  <si>
    <t>Surf to AC (no PC)2</t>
  </si>
  <si>
    <t>Surf to PC1</t>
  </si>
  <si>
    <t>PC to AC1</t>
  </si>
  <si>
    <t>Surf to AC (no PC)1</t>
  </si>
  <si>
    <t>Settings:</t>
  </si>
  <si>
    <t>CFI1</t>
  </si>
  <si>
    <t>Conf Int1-Logit1</t>
  </si>
  <si>
    <t>p-logit1</t>
  </si>
  <si>
    <t>Logit1-low</t>
  </si>
  <si>
    <t>Logit1-high</t>
  </si>
  <si>
    <t>p-occur1</t>
  </si>
  <si>
    <t>Occur1-low</t>
  </si>
  <si>
    <t>Occur1-high</t>
  </si>
  <si>
    <t>ConfInt_select</t>
  </si>
  <si>
    <t>CFI-Act1</t>
  </si>
  <si>
    <t>CFI_PA1_out</t>
  </si>
  <si>
    <t>ConfIntervals:</t>
  </si>
  <si>
    <t>Diffs</t>
  </si>
  <si>
    <t>%</t>
  </si>
  <si>
    <t>Lower bound:</t>
  </si>
  <si>
    <t>Upper bound:</t>
  </si>
  <si>
    <t>C-7_sel</t>
  </si>
  <si>
    <t>#This column (#N/A) to make lines disappear when 'None' is selected</t>
  </si>
  <si>
    <t>CFI-Act2</t>
  </si>
  <si>
    <t>ACFI</t>
  </si>
  <si>
    <t>CFI_PA2_out</t>
  </si>
  <si>
    <t>Hide</t>
  </si>
  <si>
    <t>(conf. intervs. from ROS1 line)</t>
  </si>
  <si>
    <t>CFI conf. int.2:</t>
  </si>
  <si>
    <t>ConfInt_select1</t>
  </si>
  <si>
    <t>CFI conf. int.1:</t>
  </si>
  <si>
    <t>SFC_disp</t>
  </si>
  <si>
    <t>Show SFC:</t>
  </si>
  <si>
    <t>FuelGraph Settings</t>
  </si>
  <si>
    <t>Surface fire spread model:</t>
  </si>
  <si>
    <t>SFM_disp</t>
  </si>
  <si>
    <t>Use arrows to change</t>
  </si>
  <si>
    <t>CFI Error bars</t>
  </si>
  <si>
    <t>RSi</t>
  </si>
  <si>
    <r>
      <t>kg/m</t>
    </r>
    <r>
      <rPr>
        <vertAlign val="superscript"/>
        <sz val="11"/>
        <color theme="1"/>
        <rFont val="Calibri"/>
        <family val="2"/>
        <scheme val="minor"/>
      </rPr>
      <t>2</t>
    </r>
  </si>
  <si>
    <t>SurfMod (Ag is 1)</t>
  </si>
  <si>
    <t>Surface model</t>
  </si>
  <si>
    <t>Aggregate</t>
  </si>
  <si>
    <t>Surface Model</t>
  </si>
  <si>
    <t>% C, %c, %DF, C6CBH</t>
  </si>
  <si>
    <t>C-6 Surf.</t>
  </si>
  <si>
    <t>SurfMod (C6 is 1, D1 is2)</t>
  </si>
  <si>
    <t>Crown Fire Initiation - Confidence Interval display (%):</t>
  </si>
  <si>
    <t>Crown Fire Initiation threshold:</t>
  </si>
  <si>
    <t>Threshold:</t>
  </si>
  <si>
    <t>Surf_select:</t>
  </si>
  <si>
    <t>Calculate LATN from LON</t>
  </si>
  <si>
    <t>Do</t>
  </si>
  <si>
    <t>LATN elev</t>
  </si>
  <si>
    <t>Do elev</t>
  </si>
  <si>
    <t>Day</t>
  </si>
  <si>
    <t>Month</t>
  </si>
  <si>
    <t>Year</t>
  </si>
  <si>
    <t>Date (formatted)</t>
  </si>
  <si>
    <t>Day zero of year</t>
  </si>
  <si>
    <t>Date of Minimum FMC</t>
  </si>
  <si>
    <t>ND</t>
  </si>
  <si>
    <t>Latitude (degrees north)</t>
  </si>
  <si>
    <t>Longitude (degrees west)</t>
  </si>
  <si>
    <t>Elevation (m)</t>
  </si>
  <si>
    <t>Simulation date (today)</t>
  </si>
  <si>
    <t>Estimated FMC:</t>
  </si>
  <si>
    <t>DD-MM-YYYY</t>
  </si>
  <si>
    <t>FSG</t>
  </si>
  <si>
    <t>FSG_sel</t>
  </si>
  <si>
    <t>CCP Graph Calcs</t>
  </si>
  <si>
    <t>ControlCCP1</t>
  </si>
  <si>
    <t>ControlCCP2</t>
  </si>
  <si>
    <t>Fuel</t>
  </si>
  <si>
    <t>Density</t>
  </si>
  <si>
    <t>Season</t>
  </si>
  <si>
    <t>Spring</t>
  </si>
  <si>
    <t>mc(FFMC)</t>
  </si>
  <si>
    <t>mc(DMC)</t>
  </si>
  <si>
    <t>mc-WB</t>
  </si>
  <si>
    <t>Pine</t>
  </si>
  <si>
    <t>Spruce</t>
  </si>
  <si>
    <t>Coeff1</t>
  </si>
  <si>
    <t>Coeff2</t>
  </si>
  <si>
    <t>CoeffDMC</t>
  </si>
  <si>
    <t>Summer</t>
  </si>
  <si>
    <t>Fall</t>
  </si>
  <si>
    <t>Deciduous</t>
  </si>
  <si>
    <t>Mixedwood</t>
  </si>
  <si>
    <t>DeciduousLightSpring</t>
  </si>
  <si>
    <t>Douglas-firLightSpring</t>
  </si>
  <si>
    <t>MixedwoodLightSpring</t>
  </si>
  <si>
    <t>PineLightSpring</t>
  </si>
  <si>
    <t>SpruceLightSpring</t>
  </si>
  <si>
    <t>DeciduousModerateSpring</t>
  </si>
  <si>
    <t>Douglas-firModerateSpring</t>
  </si>
  <si>
    <t>MixedwoodModerateSpring</t>
  </si>
  <si>
    <t>PineModerateSpring</t>
  </si>
  <si>
    <t>SpruceModerateSpring</t>
  </si>
  <si>
    <t>DeciduousDenseSpring</t>
  </si>
  <si>
    <t>Douglas-firDenseSpring</t>
  </si>
  <si>
    <t>MixedwoodDenseSpring</t>
  </si>
  <si>
    <t>PineDenseSpring</t>
  </si>
  <si>
    <t>SpruceDenseSpring</t>
  </si>
  <si>
    <t>DeciduousLightSummer</t>
  </si>
  <si>
    <t>Douglas-firLightSummer</t>
  </si>
  <si>
    <t>MixedwoodLightSummer</t>
  </si>
  <si>
    <t>PineLightSummer</t>
  </si>
  <si>
    <t>SpruceLightSummer</t>
  </si>
  <si>
    <t>DeciduousModerateSummer</t>
  </si>
  <si>
    <t>Douglas-firModerateSummer</t>
  </si>
  <si>
    <t>MixedwoodModerateSummer</t>
  </si>
  <si>
    <t>PineModerateSummer</t>
  </si>
  <si>
    <t>SpruceModerateSummer</t>
  </si>
  <si>
    <t>DeciduousDenseSummer</t>
  </si>
  <si>
    <t>Douglas-firDenseSummer</t>
  </si>
  <si>
    <t>MixedwoodDenseSummer</t>
  </si>
  <si>
    <t>PineDenseSummer</t>
  </si>
  <si>
    <t>SpruceDenseSummer</t>
  </si>
  <si>
    <t>DeciduousLightFall</t>
  </si>
  <si>
    <t>Douglas-firLightFall</t>
  </si>
  <si>
    <t>MixedwoodLightFall</t>
  </si>
  <si>
    <t>PineLightFall</t>
  </si>
  <si>
    <t>SpruceLightFall</t>
  </si>
  <si>
    <t>DeciduousModerateFall</t>
  </si>
  <si>
    <t>Douglas-firModerateFall</t>
  </si>
  <si>
    <t>MixedwoodModerateFall</t>
  </si>
  <si>
    <t>PineModerateFall</t>
  </si>
  <si>
    <t>SpruceModerateFall</t>
  </si>
  <si>
    <t>DeciduousDenseFall</t>
  </si>
  <si>
    <t>Douglas-firDenseFall</t>
  </si>
  <si>
    <t>MixedwoodDenseFall</t>
  </si>
  <si>
    <t>PineDenseFall</t>
  </si>
  <si>
    <t>SpruceDenseFall</t>
  </si>
  <si>
    <t>1.Deciduous</t>
  </si>
  <si>
    <t>2.Douglas-fir</t>
  </si>
  <si>
    <t>3.Mixedwood</t>
  </si>
  <si>
    <t>4.Pine</t>
  </si>
  <si>
    <t>5.Spruce</t>
  </si>
  <si>
    <t>1.Light</t>
  </si>
  <si>
    <t>2.Moderate</t>
  </si>
  <si>
    <t>3.Dense</t>
  </si>
  <si>
    <t>1.Spring</t>
  </si>
  <si>
    <t>2.Summer</t>
  </si>
  <si>
    <t>3.Fall</t>
  </si>
  <si>
    <t>Selections</t>
  </si>
  <si>
    <t>DMC_Selection</t>
  </si>
  <si>
    <t>Select:</t>
  </si>
  <si>
    <t>Low dens.</t>
  </si>
  <si>
    <t>Mod. dens.</t>
  </si>
  <si>
    <t>High dens.</t>
  </si>
  <si>
    <t>FFMC only:</t>
  </si>
  <si>
    <t>CCP ROS line 1</t>
  </si>
  <si>
    <t>CCP ROS line 2</t>
  </si>
  <si>
    <t>DMC_disp</t>
  </si>
  <si>
    <t>Manual (Line1):</t>
  </si>
  <si>
    <t>Est. MC - ROS Line1</t>
  </si>
  <si>
    <t>Est. MC - ROS Line2</t>
  </si>
  <si>
    <t>Manual (Line2):</t>
  </si>
  <si>
    <t>const.</t>
  </si>
  <si>
    <t>CBH/FSG</t>
  </si>
  <si>
    <t>p_CCP</t>
  </si>
  <si>
    <t>CCP-occur1</t>
  </si>
  <si>
    <t>log(SFC)</t>
  </si>
  <si>
    <t>Line1:</t>
  </si>
  <si>
    <t>Line 2:</t>
  </si>
  <si>
    <t>SFC:</t>
  </si>
  <si>
    <t>3 cats:</t>
  </si>
  <si>
    <t>&lt; 1</t>
  </si>
  <si>
    <t xml:space="preserve"> 1 - 2</t>
  </si>
  <si>
    <t>&gt; 2</t>
  </si>
  <si>
    <t>Contin.</t>
  </si>
  <si>
    <t>Row:</t>
  </si>
  <si>
    <t>MC:</t>
  </si>
  <si>
    <t>EFFM_mod:</t>
  </si>
  <si>
    <t>FBP SFC</t>
  </si>
  <si>
    <t>Fuel type</t>
  </si>
  <si>
    <t>FBP Fuel Type</t>
  </si>
  <si>
    <t>At BUI</t>
  </si>
  <si>
    <t>Not used</t>
  </si>
  <si>
    <t>the FBP System predicts the following SFC values:</t>
  </si>
  <si>
    <t>Control3-controls FBPS ROS line (green) in CCP graph</t>
  </si>
  <si>
    <t>DC Calc</t>
  </si>
  <si>
    <t>BUI = (0.8 * DC * DMC) / (DMC + 0.4 * DC)</t>
  </si>
  <si>
    <t>DC=-BUIxDMC/(0.4BUI-0.8DMC)</t>
  </si>
  <si>
    <t>p</t>
  </si>
  <si>
    <t>cc</t>
  </si>
  <si>
    <t>newBUI</t>
  </si>
  <si>
    <t>DMC</t>
  </si>
  <si>
    <r>
      <t>Test</t>
    </r>
    <r>
      <rPr>
        <b/>
        <sz val="11"/>
        <color theme="1"/>
        <rFont val="Calibri"/>
        <family val="2"/>
        <scheme val="minor"/>
      </rPr>
      <t>:</t>
    </r>
  </si>
  <si>
    <t>Display:</t>
  </si>
  <si>
    <t>Advanced Settings</t>
  </si>
  <si>
    <t>Comments</t>
  </si>
  <si>
    <t>Max SFC: 1.5 kg/m^2</t>
  </si>
  <si>
    <t>Max SFC: 5.0 kg/m^2</t>
  </si>
  <si>
    <t>Max SFC: 8.0 kg/m^2</t>
  </si>
  <si>
    <t>Max SFC: 16.0 kg/m^2</t>
  </si>
  <si>
    <t>Max SFC: 32.0 kg/m^2</t>
  </si>
  <si>
    <t>C-7 fuel consumption:</t>
  </si>
  <si>
    <t>Max SFC (fine and woody fuel): 3.5 kg/m^2</t>
  </si>
  <si>
    <t>#C-6 FME calcs not corrected (not used)</t>
  </si>
  <si>
    <t>#All of these are unused in this version; controlled by ISI (see cells to the right for wind speed calculations used in FuelGraph-CCP)</t>
  </si>
  <si>
    <t>Julian Day</t>
  </si>
  <si>
    <t>ws</t>
  </si>
  <si>
    <t>MC.WB:ws</t>
  </si>
  <si>
    <t>#Used (when selected) for surface fire component of CCP ROS graphs; based on STaylor regression; other options are D1 or C6s</t>
  </si>
  <si>
    <t>RSSim (VW93)</t>
  </si>
  <si>
    <t>RSSmat (VW93)</t>
  </si>
  <si>
    <r>
      <t>SFC (kg/m</t>
    </r>
    <r>
      <rPr>
        <vertAlign val="superscript"/>
        <sz val="11"/>
        <color theme="1"/>
        <rFont val="Calibri"/>
        <family val="2"/>
        <scheme val="minor"/>
      </rPr>
      <t>2</t>
    </r>
    <r>
      <rPr>
        <sz val="11"/>
        <color theme="1"/>
        <rFont val="Calibri"/>
        <family val="2"/>
        <scheme val="minor"/>
      </rPr>
      <t>)</t>
    </r>
  </si>
  <si>
    <t>Foliar Moisture Content (FMC) Calculator</t>
  </si>
  <si>
    <t>Stand type</t>
  </si>
  <si>
    <t>mc</t>
  </si>
  <si>
    <t>FSG/CBH</t>
  </si>
  <si>
    <t>% moisture content</t>
  </si>
  <si>
    <t>km/h</t>
  </si>
  <si>
    <t>0.1 - 5.0</t>
  </si>
  <si>
    <t xml:space="preserve"> 5 - 20</t>
  </si>
  <si>
    <t>1 - 50</t>
  </si>
  <si>
    <t>Prob. CFI:</t>
  </si>
  <si>
    <t>80 - 97</t>
  </si>
  <si>
    <t>10 - 200</t>
  </si>
  <si>
    <t>Custom Calc</t>
  </si>
  <si>
    <t>mcDMC</t>
  </si>
  <si>
    <t>mcFFMC</t>
  </si>
  <si>
    <t>Stand</t>
  </si>
  <si>
    <t>mc_wb:</t>
  </si>
  <si>
    <t>intercept</t>
  </si>
  <si>
    <t>p:</t>
  </si>
  <si>
    <t>Based on FBP equations (For. Can. Fire Danger Grp. 1992)</t>
  </si>
  <si>
    <t>from FFMC alone:</t>
  </si>
  <si>
    <t>FWI:</t>
  </si>
  <si>
    <t>Modifier</t>
  </si>
  <si>
    <t>CFI:</t>
  </si>
  <si>
    <t>CP 1:</t>
  </si>
  <si>
    <t>CP 2:</t>
  </si>
  <si>
    <t>FSG:</t>
  </si>
  <si>
    <t>Stand:</t>
  </si>
  <si>
    <t>Density:</t>
  </si>
  <si>
    <t>Season:</t>
  </si>
  <si>
    <t>CBD:</t>
  </si>
  <si>
    <r>
      <t>mc</t>
    </r>
    <r>
      <rPr>
        <b/>
        <vertAlign val="subscript"/>
        <sz val="11"/>
        <color theme="1"/>
        <rFont val="Calibri"/>
        <family val="2"/>
        <scheme val="minor"/>
      </rPr>
      <t>SA</t>
    </r>
    <r>
      <rPr>
        <b/>
        <sz val="11"/>
        <color theme="1"/>
        <rFont val="Calibri"/>
        <family val="2"/>
        <scheme val="minor"/>
      </rPr>
      <t>:</t>
    </r>
  </si>
  <si>
    <t>Surface:</t>
  </si>
  <si>
    <t>FBP ROS:</t>
  </si>
  <si>
    <t>Show:</t>
  </si>
  <si>
    <t>Surf. Model:</t>
  </si>
  <si>
    <t>Agg. FBP</t>
  </si>
  <si>
    <t>C-6s</t>
  </si>
  <si>
    <r>
      <t>mc</t>
    </r>
    <r>
      <rPr>
        <vertAlign val="subscript"/>
        <sz val="11"/>
        <color theme="1"/>
        <rFont val="Calibri"/>
        <family val="2"/>
        <scheme val="minor"/>
      </rPr>
      <t>SA</t>
    </r>
    <r>
      <rPr>
        <sz val="11"/>
        <color theme="1"/>
        <rFont val="Calibri"/>
        <family val="2"/>
        <scheme val="minor"/>
      </rPr>
      <t>:</t>
    </r>
  </si>
  <si>
    <t>Used in all calculations</t>
  </si>
  <si>
    <t>→</t>
  </si>
  <si>
    <r>
      <t>Used in CP / mc</t>
    </r>
    <r>
      <rPr>
        <vertAlign val="subscript"/>
        <sz val="11"/>
        <color theme="1"/>
        <rFont val="Calibri"/>
        <family val="2"/>
        <scheme val="minor"/>
      </rPr>
      <t>SA</t>
    </r>
    <r>
      <rPr>
        <sz val="11"/>
        <color theme="1"/>
        <rFont val="Calibri"/>
        <family val="2"/>
        <scheme val="minor"/>
      </rPr>
      <t xml:space="preserve"> calcs</t>
    </r>
  </si>
  <si>
    <t>FuelGraph-Conifer Pyrometrics</t>
  </si>
  <si>
    <t>Stand-adjusted Moisture Content Estimator (Wotton &amp; Beverly 2007)</t>
  </si>
  <si>
    <r>
      <t>mc</t>
    </r>
    <r>
      <rPr>
        <vertAlign val="subscript"/>
        <sz val="11"/>
        <color theme="1"/>
        <rFont val="Calibri"/>
        <family val="2"/>
        <scheme val="minor"/>
      </rPr>
      <t>SA</t>
    </r>
  </si>
  <si>
    <t>Stand-adjusted mc:</t>
  </si>
  <si>
    <r>
      <t xml:space="preserve">Hidden columns (unused legacy ISI calcs) </t>
    </r>
    <r>
      <rPr>
        <sz val="11"/>
        <color theme="1"/>
        <rFont val="Times New Roman"/>
        <family val="1"/>
      </rPr>
      <t>→</t>
    </r>
  </si>
  <si>
    <r>
      <t xml:space="preserve">Hidden columns (legacy from FBP Graph) </t>
    </r>
    <r>
      <rPr>
        <sz val="11"/>
        <color theme="1"/>
        <rFont val="Times New Roman"/>
        <family val="1"/>
      </rPr>
      <t>→</t>
    </r>
  </si>
  <si>
    <t>% Conifer, % Cured, % Dead fir, or LCBH</t>
  </si>
  <si>
    <t>CP 1</t>
  </si>
  <si>
    <t>CP 2</t>
  </si>
  <si>
    <t>mcSA (Line1):</t>
  </si>
  <si>
    <t>mcSA (Line2):</t>
  </si>
  <si>
    <t>mc model (1 is SA)</t>
  </si>
  <si>
    <r>
      <t>mc</t>
    </r>
    <r>
      <rPr>
        <vertAlign val="subscript"/>
        <sz val="11"/>
        <color theme="1"/>
        <rFont val="Calibri"/>
        <family val="2"/>
        <scheme val="minor"/>
      </rPr>
      <t>FFMC</t>
    </r>
  </si>
  <si>
    <t>Int. Doug.-Fir</t>
  </si>
  <si>
    <t>Final mcSA</t>
  </si>
  <si>
    <t>Control2</t>
  </si>
  <si>
    <t>Lookup Cont1</t>
  </si>
  <si>
    <t>Lookup Cont2</t>
  </si>
  <si>
    <t>(M1/M2,    O-1a/b,    M3/M4,         C-6)</t>
  </si>
  <si>
    <t>FSG_disp</t>
  </si>
  <si>
    <t>Windspeed only</t>
  </si>
  <si>
    <t xml:space="preserve">CP1 ROS: </t>
  </si>
  <si>
    <t xml:space="preserve">CP2 ROS: </t>
  </si>
  <si>
    <t>4. Sp-Su trans</t>
  </si>
  <si>
    <t>Sp-Su transit.</t>
  </si>
  <si>
    <t>BUI/FMC for FBP ROS line</t>
  </si>
  <si>
    <t>Range columns for control boxes</t>
  </si>
  <si>
    <t>Display if FBP line shown</t>
  </si>
  <si>
    <t>Yellow boxes are inputs from dropdown controls</t>
  </si>
  <si>
    <t>Comments DK8 (ACF initiation pt):</t>
  </si>
  <si>
    <t>if CAC &gt;1 then CFI, else find ws where</t>
  </si>
  <si>
    <t>CAC &gt; 1</t>
  </si>
  <si>
    <t>Comments AV88 (ACF initiation pt):</t>
  </si>
  <si>
    <t>From Control3</t>
  </si>
  <si>
    <r>
      <t>mc</t>
    </r>
    <r>
      <rPr>
        <vertAlign val="subscript"/>
        <sz val="11"/>
        <color theme="1"/>
        <rFont val="Calibri"/>
        <family val="2"/>
        <scheme val="minor"/>
      </rPr>
      <t>FFMC</t>
    </r>
    <r>
      <rPr>
        <sz val="11"/>
        <color theme="1"/>
        <rFont val="Calibri"/>
        <family val="2"/>
        <scheme val="minor"/>
      </rPr>
      <t>:</t>
    </r>
  </si>
  <si>
    <t>Range (default 80%):</t>
  </si>
  <si>
    <t>"=AN3"</t>
  </si>
  <si>
    <t>mcSA tool:</t>
  </si>
  <si>
    <t xml:space="preserve"> - -</t>
  </si>
  <si>
    <t>(not affected by BUI; grass fuel load is a user input, assumed fully consumed)</t>
  </si>
  <si>
    <t>Recommended inputs:</t>
  </si>
  <si>
    <t xml:space="preserve">Max SFC: 5.0 kg/m^2; shown when M-1/2 selected in FBP ROS line </t>
  </si>
  <si>
    <t>These can be used to estimate SFC in ROS Graph worksheet.</t>
  </si>
  <si>
    <t>Based on FBPS equations (For. Can. Fire Danger Grp. 1992);</t>
  </si>
  <si>
    <t>Selected BUI:</t>
  </si>
  <si>
    <t>Forest floor load (litter + duff):</t>
  </si>
  <si>
    <t>Assumed completely consumed</t>
  </si>
  <si>
    <t>Estimated Surface Fuel Consumption:</t>
  </si>
  <si>
    <t>Based on DeGroot et al. (2009)</t>
  </si>
  <si>
    <t>Surface Fuel Consumption (SFC) Estimator: FBP Equations</t>
  </si>
  <si>
    <t>SFC Estimator: DeGroot et al. Forest Floor Equation</t>
  </si>
  <si>
    <r>
      <t>Based on fuel load, BUI in experimental burns (R</t>
    </r>
    <r>
      <rPr>
        <vertAlign val="superscript"/>
        <sz val="11"/>
        <color theme="1"/>
        <rFont val="Calibri"/>
        <family val="2"/>
        <scheme val="minor"/>
      </rPr>
      <t>2</t>
    </r>
    <r>
      <rPr>
        <sz val="11"/>
        <color theme="1"/>
        <rFont val="Calibri"/>
        <family val="2"/>
        <scheme val="minor"/>
      </rPr>
      <t>=0.787)</t>
    </r>
  </si>
  <si>
    <t>Not used in calcs; reference only</t>
  </si>
  <si>
    <t>Fine woody fuel load (&lt; 7 cm diam.)</t>
  </si>
  <si>
    <t xml:space="preserve">Note: this equation may give nonsensical results (e.g. SFC &gt; SFL) for cases of </t>
  </si>
  <si>
    <t>low surface fuel load (SFL) and high BUI.</t>
  </si>
  <si>
    <r>
      <t>1.0 - 5.0 kg/m</t>
    </r>
    <r>
      <rPr>
        <vertAlign val="superscript"/>
        <sz val="11"/>
        <color theme="1"/>
        <rFont val="Calibri"/>
        <family val="2"/>
        <scheme val="minor"/>
      </rPr>
      <t>2</t>
    </r>
  </si>
  <si>
    <t>15 - 90</t>
  </si>
  <si>
    <t>Forest floor fuel consumption:</t>
  </si>
  <si>
    <t>DeciduousLightTrans</t>
  </si>
  <si>
    <t>Douglas-firLightTrans</t>
  </si>
  <si>
    <t>MixedwoodLightTrans</t>
  </si>
  <si>
    <t>PineLightTrans</t>
  </si>
  <si>
    <t>SpruceLightTrans</t>
  </si>
  <si>
    <t>DeciduousModerateTrans</t>
  </si>
  <si>
    <t>Douglas-firModerateTrans</t>
  </si>
  <si>
    <t>MixedwoodModerateTrans</t>
  </si>
  <si>
    <t>PineModerateTrans</t>
  </si>
  <si>
    <t>SpruceModerateTrans</t>
  </si>
  <si>
    <t>DeciduousDenseTrans</t>
  </si>
  <si>
    <t>Douglas-firDenseTrans</t>
  </si>
  <si>
    <t>MixedwoodDenseTrans</t>
  </si>
  <si>
    <t>PineDenseTrans</t>
  </si>
  <si>
    <t>SpruceDenseTrans</t>
  </si>
  <si>
    <t>DMC manual entry:</t>
  </si>
  <si>
    <t xml:space="preserve">   (value between 1 and 200):</t>
  </si>
  <si>
    <t>mc manual entry:</t>
  </si>
  <si>
    <t>Fine Fuel Moisture Content (mc) Model:</t>
  </si>
  <si>
    <t>FFMC &gt; 92.9, avoid 'High' density ('Low' &amp;  'Moderate' ok)</t>
  </si>
  <si>
    <r>
      <t>See 'Advanced Settings' tab for mc</t>
    </r>
    <r>
      <rPr>
        <vertAlign val="subscript"/>
        <sz val="11"/>
        <color theme="1"/>
        <rFont val="Calibri"/>
        <family val="2"/>
        <scheme val="minor"/>
      </rPr>
      <t xml:space="preserve">SA </t>
    </r>
    <r>
      <rPr>
        <sz val="11"/>
        <color theme="1"/>
        <rFont val="Calibri"/>
        <family val="2"/>
        <scheme val="minor"/>
      </rPr>
      <t xml:space="preserve">suggestions at high FFMC levels. </t>
    </r>
  </si>
  <si>
    <t>References:</t>
  </si>
  <si>
    <t>Do not change - non-functional this version</t>
  </si>
  <si>
    <t>Version:</t>
  </si>
  <si>
    <t>is assigned as follows (Julian date):</t>
  </si>
  <si>
    <t>&lt; 153       →</t>
  </si>
  <si>
    <t>153-167   →</t>
  </si>
  <si>
    <t>&gt; 167      →</t>
  </si>
  <si>
    <t xml:space="preserve">Contact: Daniel.Perrakis@nrcan-rncan.gc.ca </t>
  </si>
  <si>
    <t>Used in FBP ROS, CP surface (C-6)</t>
  </si>
  <si>
    <t>FFMC &gt; 95.2, avoid 'Spring' and 'Spring-Summer transition' seasons</t>
  </si>
  <si>
    <t>CFI.centroid2</t>
  </si>
  <si>
    <t>CFI ~ ws + I(FSG^1.5) + I(ln(SFC)) + MC.WB:ws</t>
  </si>
  <si>
    <t>CFI ~ ws + I(FSG^1.5) + I(ln(SFC)) + MC.SA:ws</t>
  </si>
  <si>
    <t>ln(SFC)</t>
  </si>
  <si>
    <t>Aggregate surf. Model: ISI^2</t>
  </si>
  <si>
    <t>y=b1 * ISI^2</t>
  </si>
  <si>
    <t>b1</t>
  </si>
  <si>
    <t>New model, Dan's</t>
  </si>
  <si>
    <t>y=b0+ax+bx^2,</t>
  </si>
  <si>
    <t>b0=0.6308</t>
  </si>
  <si>
    <t>a=0.056</t>
  </si>
  <si>
    <t>b=0.0086</t>
  </si>
  <si>
    <t>Instead of Steve's. Old model:</t>
  </si>
  <si>
    <t>log(e)</t>
  </si>
  <si>
    <t>MC.SA:ws</t>
  </si>
  <si>
    <t>1.5 - 15</t>
  </si>
  <si>
    <t>CFI.m12</t>
  </si>
  <si>
    <t>CP Precise Probability of CFI Calculator</t>
  </si>
  <si>
    <t xml:space="preserve">Actual probability (0-1):     </t>
  </si>
  <si>
    <t>Active crown fire spread model:</t>
  </si>
  <si>
    <t>m/h</t>
  </si>
  <si>
    <t>m/min</t>
  </si>
  <si>
    <t>Active CF model:</t>
  </si>
  <si>
    <t>(Cruz 2005 is 1)</t>
  </si>
  <si>
    <t>Cruz 2005</t>
  </si>
  <si>
    <t>C &amp;A 2019</t>
  </si>
  <si>
    <t>ACF model: (1 is Cruz et al 2005)</t>
  </si>
  <si>
    <t>Active CF_select:</t>
  </si>
  <si>
    <t>1km =</t>
  </si>
  <si>
    <t>g(x)_NU</t>
  </si>
  <si>
    <t>p-Logit1_NU</t>
  </si>
  <si>
    <t>Suggested use:</t>
  </si>
  <si>
    <t>LCBH</t>
  </si>
  <si>
    <t>Ladder fuel calcs</t>
  </si>
  <si>
    <t>snag centroid</t>
  </si>
  <si>
    <t>scaled SFC</t>
  </si>
  <si>
    <t>Scaled SFC contribution, small snags:</t>
  </si>
  <si>
    <t>Note: for June fires, current CFI model assumes season factor</t>
  </si>
  <si>
    <t xml:space="preserve">Use to estimate FMC in FBP ROS line. Not recommended for conifers other than boreal pine or spruce. </t>
  </si>
  <si>
    <t>LF Multiplier:</t>
  </si>
  <si>
    <t>Overstory LCBH (from CP1)</t>
  </si>
  <si>
    <t>DeltaH</t>
  </si>
  <si>
    <t>16.52-0.057 * fmc</t>
  </si>
  <si>
    <t>Sapling FMC (converted using Babrauskas 2006):</t>
  </si>
  <si>
    <t>Ladder Fuel Consumption Contributions Calculator (Perrakis et al. in prep.)</t>
  </si>
  <si>
    <t>Caution - recommended max. dead ladder fuel contribution: 3 kg/m^2</t>
  </si>
  <si>
    <t>Live needle fuel weight:</t>
  </si>
  <si>
    <t>Crowning from midstory sapling cohort (&gt; 1.5 m height)</t>
  </si>
  <si>
    <t>Standing dead ladder fuels (midstory small snags; &lt; 5 cm DBH)</t>
  </si>
  <si>
    <r>
      <t>Mean height of snag cohort (H</t>
    </r>
    <r>
      <rPr>
        <vertAlign val="subscript"/>
        <sz val="11"/>
        <color theme="1"/>
        <rFont val="Calibri"/>
        <family val="2"/>
        <scheme val="minor"/>
      </rPr>
      <t>L</t>
    </r>
    <r>
      <rPr>
        <sz val="11"/>
        <color theme="1"/>
        <rFont val="Calibri"/>
        <family val="2"/>
        <scheme val="minor"/>
      </rPr>
      <t>/2):</t>
    </r>
  </si>
  <si>
    <r>
      <t>FSG (z</t>
    </r>
    <r>
      <rPr>
        <vertAlign val="subscript"/>
        <sz val="11"/>
        <color theme="1"/>
        <rFont val="Calibri"/>
        <family val="2"/>
        <scheme val="minor"/>
      </rPr>
      <t>L</t>
    </r>
    <r>
      <rPr>
        <sz val="11"/>
        <color theme="1"/>
        <rFont val="Calibri"/>
        <family val="2"/>
        <scheme val="minor"/>
      </rPr>
      <t>); min. 0.5 m</t>
    </r>
  </si>
  <si>
    <t xml:space="preserve">This worksheet assumes FSG represents distance from sapling crown centroid to upper LCBH, </t>
  </si>
  <si>
    <t xml:space="preserve">Figure 1. Illustration (not to scale) of a conifer overstory with high density of small diameter snag ladder fuels. The live canopy base height is z, while the mean ladder fuel height is HL. The heat flux contribution to crown fire initiation is hypothesized to originate from the centroid of the snag height layer, HL/2, and the relevant fuel strata gap between ladder fuels and canopy, zL, is therefore z-HL/2. </t>
  </si>
  <si>
    <r>
      <t xml:space="preserve">Figure 2. Illustration (not to scale) of suggested fuel metrics influencing upper canopy crown initiation in a jack pine-black spruce stand, such as at Kenshoe Lake, Ontario. Live crown base heights are </t>
    </r>
    <r>
      <rPr>
        <i/>
        <sz val="11"/>
        <color theme="1"/>
        <rFont val="Calibri"/>
        <family val="2"/>
      </rPr>
      <t>z</t>
    </r>
    <r>
      <rPr>
        <i/>
        <vertAlign val="subscript"/>
        <sz val="11"/>
        <color theme="1"/>
        <rFont val="Calibri"/>
        <family val="2"/>
      </rPr>
      <t>JP</t>
    </r>
    <r>
      <rPr>
        <sz val="11"/>
        <color theme="1"/>
        <rFont val="Calibri"/>
        <family val="2"/>
      </rPr>
      <t xml:space="preserve"> and </t>
    </r>
    <r>
      <rPr>
        <i/>
        <sz val="11"/>
        <color theme="1"/>
        <rFont val="Calibri"/>
        <family val="2"/>
      </rPr>
      <t>z</t>
    </r>
    <r>
      <rPr>
        <i/>
        <vertAlign val="subscript"/>
        <sz val="11"/>
        <color theme="1"/>
        <rFont val="Calibri"/>
        <family val="2"/>
      </rPr>
      <t>BS</t>
    </r>
    <r>
      <rPr>
        <sz val="11"/>
        <color theme="1"/>
        <rFont val="Calibri"/>
        <family val="2"/>
      </rPr>
      <t xml:space="preserve"> for jack pine and black spruce strata, respectively. Spruce crown depth is </t>
    </r>
    <r>
      <rPr>
        <i/>
        <sz val="11"/>
        <color theme="1"/>
        <rFont val="Calibri"/>
        <family val="2"/>
      </rPr>
      <t>D</t>
    </r>
    <r>
      <rPr>
        <i/>
        <vertAlign val="subscript"/>
        <sz val="11"/>
        <color theme="1"/>
        <rFont val="Calibri"/>
        <family val="2"/>
      </rPr>
      <t>BS</t>
    </r>
    <r>
      <rPr>
        <sz val="11"/>
        <color theme="1"/>
        <rFont val="Calibri"/>
        <family val="2"/>
      </rPr>
      <t xml:space="preserve">, and fuel consumption of the spruce layer originates from the spruce crown centroid, </t>
    </r>
    <r>
      <rPr>
        <i/>
        <sz val="11"/>
        <color theme="1"/>
        <rFont val="Calibri"/>
        <family val="2"/>
      </rPr>
      <t>C</t>
    </r>
    <r>
      <rPr>
        <i/>
        <vertAlign val="subscript"/>
        <sz val="11"/>
        <color theme="1"/>
        <rFont val="Calibri"/>
        <family val="2"/>
      </rPr>
      <t>BS</t>
    </r>
    <r>
      <rPr>
        <sz val="11"/>
        <color theme="1"/>
        <rFont val="Calibri"/>
        <family val="2"/>
      </rPr>
      <t xml:space="preserve">, at a height of </t>
    </r>
    <r>
      <rPr>
        <i/>
        <sz val="11"/>
        <color theme="1"/>
        <rFont val="Calibri"/>
        <family val="2"/>
      </rPr>
      <t>z</t>
    </r>
    <r>
      <rPr>
        <i/>
        <vertAlign val="subscript"/>
        <sz val="11"/>
        <color theme="1"/>
        <rFont val="Calibri"/>
        <family val="2"/>
      </rPr>
      <t>BS</t>
    </r>
    <r>
      <rPr>
        <sz val="11"/>
        <color theme="1"/>
        <rFont val="Calibri"/>
        <family val="2"/>
      </rPr>
      <t xml:space="preserve"> + </t>
    </r>
    <r>
      <rPr>
        <i/>
        <sz val="11"/>
        <color theme="1"/>
        <rFont val="Calibri"/>
        <family val="2"/>
      </rPr>
      <t>D</t>
    </r>
    <r>
      <rPr>
        <i/>
        <vertAlign val="subscript"/>
        <sz val="11"/>
        <color theme="1"/>
        <rFont val="Calibri"/>
        <family val="2"/>
      </rPr>
      <t>BS</t>
    </r>
    <r>
      <rPr>
        <i/>
        <sz val="11"/>
        <color theme="1"/>
        <rFont val="Calibri"/>
        <family val="2"/>
      </rPr>
      <t>/2</t>
    </r>
    <r>
      <rPr>
        <sz val="11"/>
        <color theme="1"/>
        <rFont val="Calibri"/>
        <family val="2"/>
      </rPr>
      <t xml:space="preserve"> (not shown); this height is also used for adding the scaled heat flux contribution from actual surface fuels. The relevant fuel strata gap (FSG) between the spruce and pine layers is assumed to be the distance from the spruce crown centroid to </t>
    </r>
    <r>
      <rPr>
        <i/>
        <sz val="11"/>
        <color theme="1"/>
        <rFont val="Calibri"/>
        <family val="2"/>
      </rPr>
      <t>z</t>
    </r>
    <r>
      <rPr>
        <i/>
        <vertAlign val="subscript"/>
        <sz val="11"/>
        <color theme="1"/>
        <rFont val="Calibri"/>
        <family val="2"/>
      </rPr>
      <t>JP</t>
    </r>
    <r>
      <rPr>
        <sz val="11"/>
        <color theme="1"/>
        <rFont val="Calibri"/>
        <family val="2"/>
      </rPr>
      <t xml:space="preserve">. </t>
    </r>
  </si>
  <si>
    <r>
      <t>Sapling height (H</t>
    </r>
    <r>
      <rPr>
        <vertAlign val="subscript"/>
        <sz val="11"/>
        <color theme="1"/>
        <rFont val="Calibri"/>
        <family val="2"/>
        <scheme val="minor"/>
      </rPr>
      <t>BS</t>
    </r>
    <r>
      <rPr>
        <sz val="11"/>
        <color theme="1"/>
        <rFont val="Calibri"/>
        <family val="2"/>
        <scheme val="minor"/>
      </rPr>
      <t>):</t>
    </r>
  </si>
  <si>
    <r>
      <t>Sapling LCBH (z</t>
    </r>
    <r>
      <rPr>
        <vertAlign val="subscript"/>
        <sz val="11"/>
        <color theme="1"/>
        <rFont val="Calibri"/>
        <family val="2"/>
        <scheme val="minor"/>
      </rPr>
      <t>BS</t>
    </r>
    <r>
      <rPr>
        <sz val="11"/>
        <color theme="1"/>
        <rFont val="Calibri"/>
        <family val="2"/>
        <scheme val="minor"/>
      </rPr>
      <t>):</t>
    </r>
  </si>
  <si>
    <r>
      <t>Sapling crown centroid (C</t>
    </r>
    <r>
      <rPr>
        <vertAlign val="subscript"/>
        <sz val="11"/>
        <color theme="1"/>
        <rFont val="Calibri"/>
        <family val="2"/>
        <scheme val="minor"/>
      </rPr>
      <t>BS</t>
    </r>
    <r>
      <rPr>
        <sz val="11"/>
        <color theme="1"/>
        <rFont val="Calibri"/>
        <family val="2"/>
        <scheme val="minor"/>
      </rPr>
      <t>):</t>
    </r>
  </si>
  <si>
    <r>
      <t>Overstory LCBH (z</t>
    </r>
    <r>
      <rPr>
        <vertAlign val="subscript"/>
        <sz val="11"/>
        <color theme="1"/>
        <rFont val="Calibri"/>
        <family val="2"/>
        <scheme val="minor"/>
      </rPr>
      <t>JP</t>
    </r>
    <r>
      <rPr>
        <sz val="11"/>
        <color theme="1"/>
        <rFont val="Calibri"/>
        <family val="2"/>
        <scheme val="minor"/>
      </rPr>
      <t>):</t>
    </r>
  </si>
  <si>
    <t>Sapling false-SFC:</t>
  </si>
  <si>
    <t>Assumes 100% consumption, full LFC calculated as 2 x needle weight x crown multiplier</t>
  </si>
  <si>
    <t>FSG (min. 0.5 m; enter in ROS Graph):</t>
  </si>
  <si>
    <t>Actual SFC:</t>
  </si>
  <si>
    <t>Total false-SFC (enter in ROS Graph):</t>
  </si>
  <si>
    <t>SFC scaled to crown centroid:</t>
  </si>
  <si>
    <t xml:space="preserve">as shown in Fig. 2. Calculate lower crowning probability to sapling cohort separately. </t>
  </si>
  <si>
    <t>Max LF</t>
  </si>
  <si>
    <t xml:space="preserve">E.g. Jack pine overstory with dense standing dead pine ladder fuels. </t>
  </si>
  <si>
    <t>E.g. Jack pine overstory with midstory live black spruce saplings.</t>
  </si>
  <si>
    <t>Consumption of fine dead elevated wood; assumes continuity with surface fuels:</t>
  </si>
  <si>
    <t xml:space="preserve">at high FFMC levels. </t>
  </si>
  <si>
    <t>Assumes complete consumption during flaming (&lt; 1 cm roundwood)</t>
  </si>
  <si>
    <r>
      <t>Note that current mc</t>
    </r>
    <r>
      <rPr>
        <vertAlign val="subscript"/>
        <sz val="11"/>
        <color theme="1"/>
        <rFont val="Calibri"/>
        <family val="2"/>
        <scheme val="minor"/>
      </rPr>
      <t>SA</t>
    </r>
    <r>
      <rPr>
        <sz val="11"/>
        <color theme="1"/>
        <rFont val="Calibri"/>
        <family val="2"/>
        <scheme val="minor"/>
      </rPr>
      <t xml:space="preserve"> model does not correct anomalous behaviour</t>
    </r>
  </si>
  <si>
    <t>FFMC &gt; 96.2, avoid 'Low' density (use 'Moderate' only)</t>
  </si>
  <si>
    <t>v1.0, CFI.m11, Aug. 2023</t>
  </si>
  <si>
    <t>Babrauskas, V. 2006. Effective heat of combustion for flaming combustion of conifers. Canadian Journal of Forest Research 36:659-663.
Cruz, M. G., M. E. Alexander, and R. H. Wakimoto. 2005. Development and testing of models for predicting crown fire rate of spread in conifer forest stands. Canadian Journal of Forest Research 35:1626-1639.
Cruz, M. G., and M. E. Alexander. 2019. The 10% wind speed rule of thumb for estimating a wildfire’s forward rate of spread in forests and shrublands. Annals of Forest Science 76:44.
De Groot, W., J. Pritchard, and T. Lynham. 2009. Forest floor fuel consumption and carbon emissions in Canadian boreal forest fires. Canadian Journal of Forest Research 39:367-382.
Forestry Canada Fire Danger Group. 1992. Development and structure of the Canadian Forest Fire Behavior Prediction System. Information Report ST-X-3, Forestry Canada, Science and Sustainable Development Directorate, Ottawa, Ontario, Canada.
Perrakis, D. D. B., M. G. Cruz, M. E. Alexander, S. W. Taylor, and J. L. Beverly. 2020. Linking Dynamic Empirical Fire Spread Models: Introducing Canadian Conifer Pyrometrics. Proceedings from the 6th Fuels and Fire Behaviour Conference, 29 April-03 May 2019, Marseille, France. International Association of Wildland Fire.
Perrakis, D. D. B., M. E. Alexander, M. G. Cruz, C. Hanes, S. W. Taylor, D. K. Thompson, and B. J. Stocks. 2022 (in prep.). Empirical reanalysis of crown fire initiation: working paper. Information Report BC-X-##, Natural Resources Canada - Canadian Forest Service, Victoria, British Columbia, Canada.
Perrakis, D. D. B., M. G. Cruz, M. E. Alexander, C. Hanes, D. K. Thompson, S. W. Taylor, and B. J. Stocks. 2023. Improved logistic models of crown fire probability in Canadian conifer forests. International Journal of Wildland Fire. https://doi.org/10.1071/WF23074.
Wotton, B. M., and J. L. Beverly. 2007. Stand-specific litter moisture content calibrations for the Canadian Fine Fuel Moisture Code. International Journal of Wildland Fire 16:463-472.</t>
  </si>
  <si>
    <t>CROS &amp; CAC: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</si>
</sst>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dd/mm/yyyy;@"/>
    <numFmt numFmtId="167" formatCode="0.0"/>
  </numFmts>
  <fonts count="26" x14ac:knownFonts="1">
    <font>
      <sz val="11"/>
      <color theme="1"/>
      <name val="Calibri"/>
      <family val="2"/>
      <scheme val="minor"/>
    </font>
    <font>
      <b/>
      <sz val="11"/>
      <color theme="1"/>
      <name val="Calibri"/>
      <family val="2"/>
      <scheme val="minor"/>
    </font>
    <font>
      <sz val="11"/>
      <color theme="1"/>
      <name val="Calibri"/>
      <family val="2"/>
    </font>
    <font>
      <sz val="11"/>
      <color theme="0"/>
      <name val="Calibri"/>
      <family val="2"/>
      <scheme val="minor"/>
    </font>
    <font>
      <sz val="8"/>
      <color theme="0"/>
      <name val="Calibri"/>
      <family val="2"/>
      <scheme val="minor"/>
    </font>
    <font>
      <b/>
      <u/>
      <sz val="11"/>
      <color theme="1"/>
      <name val="Calibri"/>
      <family val="2"/>
      <scheme val="minor"/>
    </font>
    <font>
      <sz val="18"/>
      <color theme="1"/>
      <name val="Calibri"/>
      <family val="2"/>
      <scheme val="minor"/>
    </font>
    <font>
      <sz val="8"/>
      <color rgb="FF000000"/>
      <name val="Segoe UI"/>
      <family val="2"/>
    </font>
    <font>
      <sz val="10"/>
      <color theme="1"/>
      <name val="Calibri"/>
      <family val="2"/>
      <scheme val="minor"/>
    </font>
    <font>
      <vertAlign val="superscript"/>
      <sz val="11"/>
      <color theme="1"/>
      <name val="Calibri"/>
      <family val="2"/>
      <scheme val="minor"/>
    </font>
    <font>
      <sz val="10"/>
      <name val="Arial"/>
      <family val="2"/>
    </font>
    <font>
      <b/>
      <sz val="10"/>
      <color indexed="32"/>
      <name val="Arial"/>
      <family val="2"/>
    </font>
    <font>
      <b/>
      <sz val="10"/>
      <name val="Arial"/>
      <family val="2"/>
    </font>
    <font>
      <sz val="11"/>
      <color theme="0" tint="-0.34998626667073579"/>
      <name val="Calibri"/>
      <family val="2"/>
      <scheme val="minor"/>
    </font>
    <font>
      <u/>
      <sz val="11"/>
      <color theme="1"/>
      <name val="Calibri"/>
      <family val="2"/>
      <scheme val="minor"/>
    </font>
    <font>
      <sz val="8"/>
      <color rgb="FF000000"/>
      <name val="Tahoma"/>
      <family val="2"/>
    </font>
    <font>
      <vertAlign val="subscript"/>
      <sz val="11"/>
      <color theme="1"/>
      <name val="Calibri"/>
      <family val="2"/>
      <scheme val="minor"/>
    </font>
    <font>
      <b/>
      <vertAlign val="subscript"/>
      <sz val="11"/>
      <color theme="1"/>
      <name val="Calibri"/>
      <family val="2"/>
      <scheme val="minor"/>
    </font>
    <font>
      <sz val="9"/>
      <color theme="1"/>
      <name val="Calibri"/>
      <family val="2"/>
      <scheme val="minor"/>
    </font>
    <font>
      <sz val="11"/>
      <color theme="1"/>
      <name val="Times New Roman"/>
      <family val="1"/>
    </font>
    <font>
      <b/>
      <sz val="11"/>
      <color theme="0" tint="-4.9989318521683403E-2"/>
      <name val="Calibri"/>
      <family val="2"/>
      <scheme val="minor"/>
    </font>
    <font>
      <b/>
      <sz val="11"/>
      <name val="Calibri"/>
      <family val="2"/>
      <scheme val="minor"/>
    </font>
    <font>
      <sz val="11"/>
      <color rgb="FFFF0000"/>
      <name val="Calibri"/>
      <family val="2"/>
      <scheme val="minor"/>
    </font>
    <font>
      <sz val="12"/>
      <color theme="1"/>
      <name val="Calibri"/>
      <family val="2"/>
      <scheme val="minor"/>
    </font>
    <font>
      <i/>
      <sz val="11"/>
      <color theme="1"/>
      <name val="Calibri"/>
      <family val="2"/>
    </font>
    <font>
      <i/>
      <vertAlign val="subscript"/>
      <sz val="11"/>
      <color theme="1"/>
      <name val="Calibri"/>
      <family val="2"/>
    </font>
  </fonts>
  <fills count="3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CCA14"/>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rgb="FF82CE4E"/>
        <bgColor indexed="64"/>
      </patternFill>
    </fill>
    <fill>
      <patternFill patternType="solid">
        <fgColor rgb="FF9AE575"/>
        <bgColor indexed="64"/>
      </patternFill>
    </fill>
    <fill>
      <patternFill patternType="solid">
        <fgColor theme="7" tint="0.79998168889431442"/>
        <bgColor indexed="64"/>
      </patternFill>
    </fill>
    <fill>
      <patternFill patternType="solid">
        <fgColor rgb="FFE0F468"/>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FF99"/>
        <bgColor indexed="64"/>
      </patternFill>
    </fill>
    <fill>
      <patternFill patternType="solid">
        <fgColor rgb="FFFF6600"/>
        <bgColor indexed="64"/>
      </patternFill>
    </fill>
    <fill>
      <patternFill patternType="solid">
        <fgColor rgb="FFD8E4BC"/>
        <bgColor indexed="64"/>
      </patternFill>
    </fill>
    <fill>
      <patternFill patternType="solid">
        <fgColor rgb="FFFF9966"/>
        <bgColor indexed="64"/>
      </patternFill>
    </fill>
    <fill>
      <patternFill patternType="solid">
        <fgColor rgb="FF9C5665"/>
        <bgColor indexed="64"/>
      </patternFill>
    </fill>
    <fill>
      <patternFill patternType="solid">
        <fgColor rgb="FFC0504D"/>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99FF66"/>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rgb="FFF79646"/>
        <bgColor indexed="64"/>
      </patternFill>
    </fill>
    <fill>
      <patternFill patternType="solid">
        <fgColor rgb="FF92D050"/>
        <bgColor indexed="64"/>
      </patternFill>
    </fill>
    <fill>
      <patternFill patternType="solid">
        <fgColor rgb="FFB8CCE4"/>
        <bgColor indexed="64"/>
      </patternFill>
    </fill>
    <fill>
      <patternFill patternType="solid">
        <fgColor rgb="FFFA7248"/>
        <bgColor indexed="64"/>
      </patternFill>
    </fill>
    <fill>
      <patternFill patternType="solid">
        <fgColor rgb="FFD9D9D9"/>
        <bgColor indexed="64"/>
      </patternFill>
    </fill>
    <fill>
      <patternFill patternType="solid">
        <fgColor rgb="FFE46C0A"/>
        <bgColor indexed="64"/>
      </patternFill>
    </fill>
    <fill>
      <patternFill patternType="solid">
        <fgColor theme="5" tint="0.39997558519241921"/>
        <bgColor indexed="64"/>
      </patternFill>
    </fill>
    <fill>
      <patternFill patternType="solid">
        <fgColor theme="3" tint="-0.249977111117893"/>
        <bgColor indexed="64"/>
      </patternFill>
    </fill>
    <fill>
      <patternFill patternType="solid">
        <fgColor rgb="FFDA9694"/>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3AB131"/>
      </left>
      <right style="medium">
        <color rgb="FF3AB131"/>
      </right>
      <top style="medium">
        <color rgb="FF3AB131"/>
      </top>
      <bottom style="medium">
        <color rgb="FF3AB131"/>
      </bottom>
      <diagonal/>
    </border>
    <border>
      <left style="medium">
        <color rgb="FFE46C0A"/>
      </left>
      <right style="medium">
        <color rgb="FFE46C0A"/>
      </right>
      <top style="medium">
        <color rgb="FFE46C0A"/>
      </top>
      <bottom style="medium">
        <color rgb="FFE46C0A"/>
      </bottom>
      <diagonal/>
    </border>
    <border>
      <left style="medium">
        <color rgb="FF871BA5"/>
      </left>
      <right style="medium">
        <color rgb="FF871BA5"/>
      </right>
      <top style="medium">
        <color rgb="FF871BA5"/>
      </top>
      <bottom style="medium">
        <color rgb="FF871BA5"/>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rgb="FF871BA5"/>
      </left>
      <right style="thick">
        <color rgb="FF871BA5"/>
      </right>
      <top style="thick">
        <color rgb="FF871BA5"/>
      </top>
      <bottom style="thick">
        <color rgb="FF871BA5"/>
      </bottom>
      <diagonal/>
    </border>
    <border>
      <left style="thick">
        <color rgb="FFE46C0A"/>
      </left>
      <right/>
      <top style="thick">
        <color rgb="FFE46C0A"/>
      </top>
      <bottom style="thick">
        <color rgb="FFE46C0A"/>
      </bottom>
      <diagonal/>
    </border>
  </borders>
  <cellStyleXfs count="1">
    <xf numFmtId="0" fontId="0" fillId="0" borderId="0"/>
  </cellStyleXfs>
  <cellXfs count="217">
    <xf numFmtId="0" fontId="0" fillId="0" borderId="0" xfId="0"/>
    <xf numFmtId="0" fontId="1" fillId="0" borderId="0" xfId="0" applyFont="1"/>
    <xf numFmtId="0" fontId="0" fillId="5" borderId="1" xfId="0" applyFill="1" applyBorder="1"/>
    <xf numFmtId="0" fontId="0" fillId="8" borderId="1" xfId="0" applyFill="1" applyBorder="1"/>
    <xf numFmtId="0" fontId="0" fillId="5" borderId="3" xfId="0" applyFill="1" applyBorder="1"/>
    <xf numFmtId="0" fontId="0" fillId="6" borderId="3" xfId="0" applyFill="1" applyBorder="1"/>
    <xf numFmtId="0" fontId="1" fillId="0" borderId="2" xfId="0" applyFont="1" applyBorder="1"/>
    <xf numFmtId="0" fontId="1" fillId="4" borderId="2" xfId="0" applyFont="1" applyFill="1" applyBorder="1"/>
    <xf numFmtId="0" fontId="0" fillId="3" borderId="1" xfId="0" applyFill="1" applyBorder="1"/>
    <xf numFmtId="0" fontId="0" fillId="3" borderId="7" xfId="0" applyFill="1" applyBorder="1"/>
    <xf numFmtId="0" fontId="0" fillId="8" borderId="9" xfId="0" applyFill="1" applyBorder="1"/>
    <xf numFmtId="0" fontId="0" fillId="5" borderId="7" xfId="0" applyFill="1" applyBorder="1"/>
    <xf numFmtId="0" fontId="0" fillId="5" borderId="9" xfId="0" applyFill="1" applyBorder="1"/>
    <xf numFmtId="0" fontId="0" fillId="4" borderId="1" xfId="0" applyFill="1" applyBorder="1"/>
    <xf numFmtId="0" fontId="1" fillId="3" borderId="1" xfId="0" applyFont="1" applyFill="1" applyBorder="1"/>
    <xf numFmtId="0" fontId="0" fillId="0" borderId="4"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7" borderId="1" xfId="0" applyFill="1" applyBorder="1"/>
    <xf numFmtId="0" fontId="0" fillId="2" borderId="1" xfId="0" applyFill="1" applyBorder="1"/>
    <xf numFmtId="0" fontId="0" fillId="13" borderId="1" xfId="0" applyFill="1" applyBorder="1"/>
    <xf numFmtId="0" fontId="0" fillId="14" borderId="1" xfId="0" applyFill="1" applyBorder="1"/>
    <xf numFmtId="0" fontId="0" fillId="10" borderId="9" xfId="0" applyFill="1" applyBorder="1"/>
    <xf numFmtId="0" fontId="0" fillId="11" borderId="9" xfId="0" applyFill="1" applyBorder="1"/>
    <xf numFmtId="0" fontId="0" fillId="9" borderId="9" xfId="0" applyFill="1" applyBorder="1"/>
    <xf numFmtId="0" fontId="0" fillId="12" borderId="9" xfId="0" applyFill="1" applyBorder="1"/>
    <xf numFmtId="0" fontId="0" fillId="7" borderId="9" xfId="0" applyFill="1" applyBorder="1"/>
    <xf numFmtId="0" fontId="0" fillId="2" borderId="9" xfId="0" applyFill="1" applyBorder="1"/>
    <xf numFmtId="0" fontId="0" fillId="13" borderId="9" xfId="0" applyFill="1" applyBorder="1"/>
    <xf numFmtId="0" fontId="0" fillId="14" borderId="9" xfId="0" applyFill="1" applyBorder="1"/>
    <xf numFmtId="0" fontId="0" fillId="0" borderId="0" xfId="0" applyAlignment="1">
      <alignment horizontal="right"/>
    </xf>
    <xf numFmtId="0" fontId="0" fillId="15" borderId="1" xfId="0" applyFill="1" applyBorder="1"/>
    <xf numFmtId="0" fontId="0" fillId="0" borderId="1" xfId="0" applyBorder="1"/>
    <xf numFmtId="0" fontId="0" fillId="17" borderId="1" xfId="0" applyFill="1" applyBorder="1"/>
    <xf numFmtId="0" fontId="0" fillId="18" borderId="7" xfId="0" applyFill="1" applyBorder="1"/>
    <xf numFmtId="0" fontId="0" fillId="18" borderId="1" xfId="0" applyFill="1" applyBorder="1"/>
    <xf numFmtId="0" fontId="0" fillId="16" borderId="0" xfId="0" applyFill="1"/>
    <xf numFmtId="0" fontId="0" fillId="19" borderId="0" xfId="0" applyFill="1"/>
    <xf numFmtId="0" fontId="3" fillId="20" borderId="0" xfId="0" applyFont="1" applyFill="1"/>
    <xf numFmtId="0" fontId="3" fillId="0" borderId="0" xfId="0" applyFont="1"/>
    <xf numFmtId="0" fontId="4" fillId="0" borderId="0" xfId="0" applyFont="1" applyAlignment="1">
      <alignment vertical="top" wrapText="1"/>
    </xf>
    <xf numFmtId="0" fontId="1" fillId="10" borderId="9" xfId="0" applyFont="1" applyFill="1" applyBorder="1"/>
    <xf numFmtId="0" fontId="1" fillId="11" borderId="9" xfId="0" applyFont="1" applyFill="1" applyBorder="1"/>
    <xf numFmtId="0" fontId="1" fillId="9" borderId="9" xfId="0" applyFont="1" applyFill="1" applyBorder="1"/>
    <xf numFmtId="0" fontId="1" fillId="12" borderId="9" xfId="0" applyFont="1" applyFill="1" applyBorder="1"/>
    <xf numFmtId="0" fontId="1" fillId="7" borderId="9" xfId="0" applyFont="1" applyFill="1" applyBorder="1"/>
    <xf numFmtId="0" fontId="1" fillId="2" borderId="9" xfId="0" applyFont="1" applyFill="1" applyBorder="1"/>
    <xf numFmtId="0" fontId="1" fillId="13" borderId="9" xfId="0" applyFont="1" applyFill="1" applyBorder="1"/>
    <xf numFmtId="0" fontId="1" fillId="14" borderId="9" xfId="0" applyFont="1" applyFill="1" applyBorder="1"/>
    <xf numFmtId="0" fontId="1" fillId="11" borderId="1" xfId="0" applyFont="1" applyFill="1" applyBorder="1"/>
    <xf numFmtId="0" fontId="0" fillId="21" borderId="0" xfId="0" applyFill="1"/>
    <xf numFmtId="0" fontId="5" fillId="0" borderId="0" xfId="0" applyFont="1"/>
    <xf numFmtId="0" fontId="0" fillId="2" borderId="0" xfId="0" applyFill="1"/>
    <xf numFmtId="0" fontId="4" fillId="20" borderId="1" xfId="0" applyFont="1" applyFill="1" applyBorder="1" applyAlignment="1">
      <alignment vertical="top" wrapText="1"/>
    </xf>
    <xf numFmtId="0" fontId="0" fillId="22" borderId="9" xfId="0" applyFill="1" applyBorder="1"/>
    <xf numFmtId="0" fontId="0" fillId="22" borderId="1" xfId="0" applyFill="1" applyBorder="1"/>
    <xf numFmtId="0" fontId="1" fillId="3" borderId="6" xfId="0" applyFont="1" applyFill="1" applyBorder="1"/>
    <xf numFmtId="0" fontId="0" fillId="8" borderId="6" xfId="0" applyFill="1" applyBorder="1"/>
    <xf numFmtId="0" fontId="0" fillId="0" borderId="5" xfId="0" applyBorder="1"/>
    <xf numFmtId="0" fontId="0" fillId="0" borderId="14" xfId="0" applyBorder="1"/>
    <xf numFmtId="0" fontId="0" fillId="0" borderId="2" xfId="0" applyBorder="1"/>
    <xf numFmtId="0" fontId="0" fillId="0" borderId="7" xfId="0" applyBorder="1"/>
    <xf numFmtId="0" fontId="0" fillId="0" borderId="15" xfId="0" applyBorder="1"/>
    <xf numFmtId="0" fontId="1" fillId="3" borderId="9" xfId="0" applyFont="1" applyFill="1" applyBorder="1"/>
    <xf numFmtId="0" fontId="1" fillId="3" borderId="8" xfId="0" applyFont="1" applyFill="1" applyBorder="1"/>
    <xf numFmtId="0" fontId="0" fillId="8" borderId="8" xfId="0" applyFill="1" applyBorder="1"/>
    <xf numFmtId="0" fontId="0" fillId="0" borderId="0" xfId="0" applyAlignment="1">
      <alignment horizontal="center"/>
    </xf>
    <xf numFmtId="0" fontId="6" fillId="0" borderId="0" xfId="0" applyFont="1"/>
    <xf numFmtId="0" fontId="8" fillId="0" borderId="1" xfId="0" applyFont="1" applyBorder="1"/>
    <xf numFmtId="0" fontId="5" fillId="0" borderId="11" xfId="0" applyFont="1" applyBorder="1"/>
    <xf numFmtId="0" fontId="1" fillId="0" borderId="0" xfId="0" applyFont="1" applyAlignment="1">
      <alignment horizontal="left"/>
    </xf>
    <xf numFmtId="0" fontId="0" fillId="25" borderId="0" xfId="0" applyFill="1"/>
    <xf numFmtId="0" fontId="0" fillId="4" borderId="6" xfId="0" applyFill="1" applyBorder="1"/>
    <xf numFmtId="0" fontId="0" fillId="27" borderId="1" xfId="0" applyFill="1" applyBorder="1"/>
    <xf numFmtId="0" fontId="10" fillId="0" borderId="0" xfId="0" applyFont="1" applyProtection="1">
      <protection hidden="1"/>
    </xf>
    <xf numFmtId="0" fontId="0" fillId="0" borderId="0" xfId="0" applyAlignment="1">
      <alignment vertical="center" wrapText="1"/>
    </xf>
    <xf numFmtId="1" fontId="0" fillId="0" borderId="0" xfId="0" applyNumberFormat="1"/>
    <xf numFmtId="165" fontId="10" fillId="0" borderId="0" xfId="0" applyNumberFormat="1" applyFont="1" applyProtection="1">
      <protection hidden="1"/>
    </xf>
    <xf numFmtId="0" fontId="0" fillId="25" borderId="1" xfId="0" applyFill="1" applyBorder="1"/>
    <xf numFmtId="0" fontId="0" fillId="0" borderId="0" xfId="0" applyProtection="1">
      <protection hidden="1"/>
    </xf>
    <xf numFmtId="14" fontId="0" fillId="0" borderId="0" xfId="0" applyNumberFormat="1" applyAlignment="1" applyProtection="1">
      <alignment horizontal="center"/>
      <protection hidden="1"/>
    </xf>
    <xf numFmtId="1" fontId="0" fillId="0" borderId="0" xfId="0" applyNumberFormat="1" applyAlignment="1" applyProtection="1">
      <alignment horizontal="center"/>
      <protection hidden="1"/>
    </xf>
    <xf numFmtId="0" fontId="14" fillId="0" borderId="0" xfId="0" applyFont="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6" fillId="26" borderId="0" xfId="0" applyFont="1" applyFill="1" applyProtection="1">
      <protection locked="0"/>
    </xf>
    <xf numFmtId="0" fontId="6" fillId="0" borderId="20" xfId="0" applyFont="1" applyBorder="1"/>
    <xf numFmtId="0" fontId="6" fillId="23" borderId="0" xfId="0" applyFont="1" applyFill="1" applyProtection="1">
      <protection locked="0"/>
    </xf>
    <xf numFmtId="0" fontId="6" fillId="0" borderId="0" xfId="0" applyFont="1" applyProtection="1">
      <protection locked="0"/>
    </xf>
    <xf numFmtId="0" fontId="6" fillId="24" borderId="0" xfId="0" applyFont="1" applyFill="1"/>
    <xf numFmtId="0" fontId="6" fillId="0" borderId="21" xfId="0" applyFont="1" applyBorder="1"/>
    <xf numFmtId="0" fontId="0" fillId="0" borderId="22" xfId="0" applyBorder="1"/>
    <xf numFmtId="0" fontId="0" fillId="0" borderId="23" xfId="0" applyBorder="1"/>
    <xf numFmtId="0" fontId="0" fillId="0" borderId="24" xfId="0" applyBorder="1"/>
    <xf numFmtId="0" fontId="2" fillId="5" borderId="1" xfId="0" applyFont="1" applyFill="1" applyBorder="1"/>
    <xf numFmtId="0" fontId="0" fillId="0" borderId="1" xfId="0" applyBorder="1" applyProtection="1">
      <protection locked="0"/>
    </xf>
    <xf numFmtId="0" fontId="0" fillId="28" borderId="1" xfId="0" applyFill="1" applyBorder="1"/>
    <xf numFmtId="167" fontId="0" fillId="0" borderId="1" xfId="0" applyNumberFormat="1" applyBorder="1"/>
    <xf numFmtId="0" fontId="0" fillId="29" borderId="1" xfId="0" applyFill="1" applyBorder="1" applyProtection="1">
      <protection locked="0"/>
    </xf>
    <xf numFmtId="1" fontId="0" fillId="29" borderId="1" xfId="0" applyNumberFormat="1" applyFill="1" applyBorder="1" applyAlignment="1" applyProtection="1">
      <alignment horizontal="center"/>
      <protection locked="0"/>
    </xf>
    <xf numFmtId="16" fontId="0" fillId="0" borderId="1" xfId="0" applyNumberFormat="1" applyBorder="1"/>
    <xf numFmtId="0" fontId="0" fillId="0" borderId="6" xfId="0" applyBorder="1"/>
    <xf numFmtId="0" fontId="0" fillId="0" borderId="8" xfId="0" applyBorder="1"/>
    <xf numFmtId="1" fontId="0" fillId="0" borderId="1" xfId="0" applyNumberFormat="1" applyBorder="1"/>
    <xf numFmtId="1" fontId="0" fillId="0" borderId="11" xfId="0" applyNumberFormat="1" applyBorder="1"/>
    <xf numFmtId="0" fontId="16" fillId="0" borderId="0" xfId="0" applyFont="1"/>
    <xf numFmtId="0" fontId="0" fillId="5" borderId="14" xfId="0" applyFill="1" applyBorder="1"/>
    <xf numFmtId="1" fontId="10" fillId="24" borderId="1" xfId="0" applyNumberFormat="1" applyFont="1" applyFill="1" applyBorder="1" applyAlignment="1">
      <alignment horizontal="center"/>
    </xf>
    <xf numFmtId="0" fontId="12" fillId="0" borderId="0" xfId="0" applyFont="1" applyAlignment="1">
      <alignment horizontal="center"/>
    </xf>
    <xf numFmtId="164" fontId="10" fillId="0" borderId="0" xfId="0" applyNumberFormat="1" applyFont="1"/>
    <xf numFmtId="164" fontId="11" fillId="0" borderId="0" xfId="0" applyNumberFormat="1" applyFont="1" applyAlignment="1">
      <alignment shrinkToFit="1"/>
    </xf>
    <xf numFmtId="0" fontId="10" fillId="0" borderId="0" xfId="0" applyFont="1"/>
    <xf numFmtId="166" fontId="13" fillId="0" borderId="0" xfId="0" applyNumberFormat="1" applyFont="1" applyAlignment="1">
      <alignment horizontal="center"/>
    </xf>
    <xf numFmtId="2" fontId="1" fillId="30" borderId="1" xfId="0" applyNumberFormat="1" applyFont="1" applyFill="1" applyBorder="1" applyAlignment="1">
      <alignment horizontal="center"/>
    </xf>
    <xf numFmtId="0" fontId="1" fillId="0" borderId="0" xfId="0" applyFont="1" applyAlignment="1">
      <alignment horizontal="center"/>
    </xf>
    <xf numFmtId="0" fontId="1" fillId="0" borderId="4" xfId="0" applyFont="1" applyBorder="1" applyAlignment="1">
      <alignment horizontal="left"/>
    </xf>
    <xf numFmtId="0" fontId="1" fillId="0" borderId="10" xfId="0" applyFont="1" applyBorder="1" applyAlignment="1">
      <alignment horizontal="left"/>
    </xf>
    <xf numFmtId="0" fontId="0" fillId="0" borderId="11"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7" xfId="0" applyBorder="1" applyAlignment="1">
      <alignment horizontal="center"/>
    </xf>
    <xf numFmtId="0" fontId="0" fillId="0" borderId="0" xfId="0" applyAlignment="1">
      <alignment horizontal="left"/>
    </xf>
    <xf numFmtId="0" fontId="0" fillId="0" borderId="9" xfId="0" applyBorder="1"/>
    <xf numFmtId="0" fontId="0" fillId="25" borderId="9" xfId="0" applyFill="1" applyBorder="1"/>
    <xf numFmtId="0" fontId="0" fillId="30" borderId="1" xfId="0" applyFill="1" applyBorder="1"/>
    <xf numFmtId="0" fontId="0" fillId="0" borderId="12" xfId="0" applyBorder="1" applyAlignment="1">
      <alignment vertical="center" wrapText="1"/>
    </xf>
    <xf numFmtId="164" fontId="11" fillId="0" borderId="12" xfId="0" applyNumberFormat="1" applyFont="1" applyBorder="1" applyAlignment="1" applyProtection="1">
      <alignment shrinkToFit="1"/>
      <protection hidden="1"/>
    </xf>
    <xf numFmtId="0" fontId="10" fillId="0" borderId="12" xfId="0" applyFont="1" applyBorder="1" applyProtection="1">
      <protection hidden="1"/>
    </xf>
    <xf numFmtId="0" fontId="0" fillId="32" borderId="5" xfId="0" applyFill="1" applyBorder="1"/>
    <xf numFmtId="0" fontId="1" fillId="33" borderId="1" xfId="0" applyFont="1" applyFill="1" applyBorder="1"/>
    <xf numFmtId="0" fontId="0" fillId="33" borderId="5" xfId="0" applyFill="1" applyBorder="1"/>
    <xf numFmtId="0" fontId="1" fillId="33" borderId="4" xfId="0" applyFont="1" applyFill="1" applyBorder="1"/>
    <xf numFmtId="0" fontId="1" fillId="32" borderId="4" xfId="0" applyFont="1" applyFill="1" applyBorder="1"/>
    <xf numFmtId="0" fontId="0" fillId="31" borderId="5" xfId="0" applyFill="1" applyBorder="1"/>
    <xf numFmtId="0" fontId="1" fillId="31" borderId="15" xfId="0" applyFont="1" applyFill="1" applyBorder="1"/>
    <xf numFmtId="1" fontId="10" fillId="34" borderId="1" xfId="0" applyNumberFormat="1" applyFont="1" applyFill="1" applyBorder="1" applyAlignment="1">
      <alignment horizontal="center"/>
    </xf>
    <xf numFmtId="166" fontId="0" fillId="34" borderId="1" xfId="0" applyNumberFormat="1" applyFill="1" applyBorder="1" applyAlignment="1">
      <alignment horizontal="center"/>
    </xf>
    <xf numFmtId="0" fontId="0" fillId="0" borderId="0" xfId="0" applyAlignment="1">
      <alignment wrapText="1"/>
    </xf>
    <xf numFmtId="0" fontId="0" fillId="35" borderId="1" xfId="0" applyFill="1" applyBorder="1"/>
    <xf numFmtId="0" fontId="0" fillId="15" borderId="0" xfId="0" applyFill="1"/>
    <xf numFmtId="0" fontId="1" fillId="0" borderId="4" xfId="0" applyFont="1" applyBorder="1"/>
    <xf numFmtId="0" fontId="0" fillId="0" borderId="2" xfId="0" applyBorder="1" applyAlignment="1">
      <alignment horizontal="center"/>
    </xf>
    <xf numFmtId="0" fontId="0" fillId="0" borderId="3" xfId="0" applyBorder="1"/>
    <xf numFmtId="2" fontId="0" fillId="0" borderId="0" xfId="0" applyNumberFormat="1" applyAlignment="1">
      <alignment horizontal="center"/>
    </xf>
    <xf numFmtId="2" fontId="0" fillId="0" borderId="0" xfId="0" applyNumberFormat="1" applyAlignment="1">
      <alignment horizontal="left"/>
    </xf>
    <xf numFmtId="0" fontId="10" fillId="0" borderId="2" xfId="0" applyFont="1" applyBorder="1" applyProtection="1">
      <protection hidden="1"/>
    </xf>
    <xf numFmtId="0" fontId="1" fillId="4" borderId="1" xfId="0" applyFont="1" applyFill="1" applyBorder="1" applyAlignment="1">
      <alignment horizontal="center"/>
    </xf>
    <xf numFmtId="0" fontId="0" fillId="36" borderId="5" xfId="0" applyFill="1" applyBorder="1"/>
    <xf numFmtId="0" fontId="1" fillId="30" borderId="15" xfId="0" applyFont="1" applyFill="1" applyBorder="1"/>
    <xf numFmtId="0" fontId="1" fillId="30" borderId="4" xfId="0" applyFont="1" applyFill="1" applyBorder="1"/>
    <xf numFmtId="0" fontId="0" fillId="30" borderId="5" xfId="0" applyFill="1" applyBorder="1"/>
    <xf numFmtId="0" fontId="0" fillId="0" borderId="12" xfId="0" applyBorder="1" applyAlignment="1">
      <alignment horizontal="left"/>
    </xf>
    <xf numFmtId="0" fontId="0" fillId="0" borderId="32" xfId="0" applyBorder="1" applyAlignment="1">
      <alignment horizontal="center"/>
    </xf>
    <xf numFmtId="0" fontId="0" fillId="0" borderId="31" xfId="0" applyBorder="1" applyAlignment="1">
      <alignment horizontal="center"/>
    </xf>
    <xf numFmtId="0" fontId="0" fillId="0" borderId="1" xfId="0" applyBorder="1" applyAlignment="1" applyProtection="1">
      <alignment horizontal="center"/>
      <protection locked="0"/>
    </xf>
    <xf numFmtId="0" fontId="0" fillId="4" borderId="0" xfId="0" applyFill="1"/>
    <xf numFmtId="0" fontId="1" fillId="4" borderId="16" xfId="0" applyFont="1" applyFill="1" applyBorder="1" applyAlignment="1">
      <alignment horizontal="center"/>
    </xf>
    <xf numFmtId="0" fontId="19" fillId="4" borderId="0" xfId="0" applyFont="1" applyFill="1" applyAlignment="1">
      <alignment horizontal="center"/>
    </xf>
    <xf numFmtId="0" fontId="18" fillId="4" borderId="1" xfId="0" applyFont="1" applyFill="1" applyBorder="1" applyAlignment="1">
      <alignment horizontal="left"/>
    </xf>
    <xf numFmtId="1" fontId="18" fillId="4" borderId="1" xfId="0" applyNumberFormat="1" applyFont="1" applyFill="1" applyBorder="1"/>
    <xf numFmtId="0" fontId="1" fillId="4" borderId="25" xfId="0" applyFont="1" applyFill="1" applyBorder="1"/>
    <xf numFmtId="0" fontId="1" fillId="4" borderId="26" xfId="0" applyFont="1" applyFill="1" applyBorder="1" applyAlignment="1">
      <alignment horizontal="center"/>
    </xf>
    <xf numFmtId="0" fontId="1" fillId="4" borderId="0" xfId="0" applyFont="1" applyFill="1" applyAlignment="1">
      <alignment horizontal="right"/>
    </xf>
    <xf numFmtId="0" fontId="0" fillId="4" borderId="0" xfId="0" applyFill="1" applyAlignment="1">
      <alignment horizontal="right"/>
    </xf>
    <xf numFmtId="167" fontId="0" fillId="4" borderId="1" xfId="0" applyNumberFormat="1" applyFill="1" applyBorder="1"/>
    <xf numFmtId="0" fontId="1" fillId="4" borderId="26" xfId="0" applyFont="1" applyFill="1" applyBorder="1" applyAlignment="1">
      <alignment horizontal="right"/>
    </xf>
    <xf numFmtId="0" fontId="1" fillId="4" borderId="27" xfId="0" applyFont="1" applyFill="1" applyBorder="1" applyAlignment="1">
      <alignment horizontal="right"/>
    </xf>
    <xf numFmtId="0" fontId="0" fillId="4" borderId="1" xfId="0" applyFill="1" applyBorder="1" applyAlignment="1">
      <alignment horizontal="center"/>
    </xf>
    <xf numFmtId="0" fontId="21" fillId="4" borderId="27" xfId="0" applyFont="1" applyFill="1" applyBorder="1" applyAlignment="1">
      <alignment horizontal="center"/>
    </xf>
    <xf numFmtId="0" fontId="1" fillId="34" borderId="1" xfId="0" applyFont="1" applyFill="1" applyBorder="1" applyAlignment="1">
      <alignment horizontal="center"/>
    </xf>
    <xf numFmtId="0" fontId="1" fillId="38" borderId="4" xfId="0" applyFont="1" applyFill="1" applyBorder="1"/>
    <xf numFmtId="2" fontId="1" fillId="32" borderId="1" xfId="0" applyNumberFormat="1" applyFont="1" applyFill="1" applyBorder="1"/>
    <xf numFmtId="167" fontId="0" fillId="31" borderId="16" xfId="0" applyNumberFormat="1" applyFill="1" applyBorder="1" applyAlignment="1">
      <alignment horizontal="center"/>
    </xf>
    <xf numFmtId="2" fontId="0" fillId="38" borderId="1" xfId="0" applyNumberFormat="1" applyFill="1" applyBorder="1"/>
    <xf numFmtId="2" fontId="0" fillId="34" borderId="1" xfId="0" applyNumberFormat="1" applyFill="1" applyBorder="1"/>
    <xf numFmtId="0" fontId="0" fillId="7" borderId="0" xfId="0" applyFill="1"/>
    <xf numFmtId="0" fontId="0" fillId="0" borderId="0" xfId="0" applyAlignment="1">
      <alignment vertical="top" wrapText="1"/>
    </xf>
    <xf numFmtId="0" fontId="1" fillId="14" borderId="4" xfId="0" applyFont="1" applyFill="1" applyBorder="1"/>
    <xf numFmtId="0" fontId="0" fillId="14" borderId="5" xfId="0" applyFill="1" applyBorder="1"/>
    <xf numFmtId="0" fontId="22" fillId="0" borderId="0" xfId="0" applyFont="1"/>
    <xf numFmtId="0" fontId="0" fillId="11" borderId="0" xfId="0" applyFill="1"/>
    <xf numFmtId="0" fontId="1" fillId="14" borderId="0" xfId="0" applyFont="1" applyFill="1"/>
    <xf numFmtId="0" fontId="23" fillId="0" borderId="0" xfId="0" applyFont="1"/>
    <xf numFmtId="167" fontId="1" fillId="14" borderId="0" xfId="0" applyNumberFormat="1" applyFont="1" applyFill="1"/>
    <xf numFmtId="0" fontId="1" fillId="8" borderId="0" xfId="0" applyFont="1" applyFill="1"/>
    <xf numFmtId="0" fontId="2" fillId="0" borderId="0" xfId="0" applyFont="1" applyAlignment="1">
      <alignment vertical="center" wrapText="1"/>
    </xf>
    <xf numFmtId="0" fontId="0" fillId="0" borderId="4" xfId="0" applyBorder="1" applyAlignment="1" applyProtection="1">
      <alignment horizontal="center"/>
      <protection locked="0"/>
    </xf>
    <xf numFmtId="0" fontId="0" fillId="0" borderId="15" xfId="0" applyBorder="1" applyAlignment="1" applyProtection="1">
      <alignment horizontal="center"/>
      <protection locked="0"/>
    </xf>
    <xf numFmtId="0" fontId="20" fillId="37" borderId="28" xfId="0" applyFont="1" applyFill="1" applyBorder="1" applyAlignment="1">
      <alignment horizontal="center"/>
    </xf>
    <xf numFmtId="0" fontId="20" fillId="37" borderId="29" xfId="0" applyFont="1" applyFill="1" applyBorder="1" applyAlignment="1">
      <alignment horizontal="center"/>
    </xf>
    <xf numFmtId="0" fontId="20" fillId="37" borderId="30" xfId="0" applyFont="1" applyFill="1" applyBorder="1" applyAlignment="1">
      <alignment horizontal="center"/>
    </xf>
    <xf numFmtId="0" fontId="1" fillId="0" borderId="0" xfId="0" applyFont="1" applyAlignment="1">
      <alignment horizontal="left"/>
    </xf>
    <xf numFmtId="0" fontId="0" fillId="0" borderId="0" xfId="0"/>
    <xf numFmtId="0" fontId="1" fillId="0" borderId="6"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0" fillId="0" borderId="2" xfId="0" applyBorder="1" applyAlignment="1">
      <alignment horizontal="right"/>
    </xf>
    <xf numFmtId="0" fontId="0" fillId="0" borderId="0" xfId="0" applyAlignment="1">
      <alignment horizontal="left" vertical="top" wrapText="1"/>
    </xf>
    <xf numFmtId="0" fontId="2" fillId="0" borderId="0" xfId="0" applyFont="1" applyAlignment="1">
      <alignment horizontal="left" vertical="center" wrapText="1"/>
    </xf>
    <xf numFmtId="0" fontId="22" fillId="0" borderId="0" xfId="0" applyFont="1" applyAlignment="1">
      <alignment horizontal="left" wrapText="1"/>
    </xf>
    <xf numFmtId="0" fontId="4" fillId="0" borderId="0" xfId="0" applyFont="1" applyAlignment="1">
      <alignment vertical="top" wrapText="1"/>
    </xf>
    <xf numFmtId="0" fontId="0" fillId="0" borderId="0" xfId="0" applyAlignment="1">
      <alignment vertical="top" wrapText="1"/>
    </xf>
    <xf numFmtId="0" fontId="4" fillId="20" borderId="6" xfId="0" applyFont="1" applyFill="1" applyBorder="1" applyAlignment="1">
      <alignment vertical="top" wrapText="1"/>
    </xf>
    <xf numFmtId="0" fontId="0" fillId="0" borderId="9" xfId="0" applyBorder="1" applyAlignment="1">
      <alignment vertical="top" wrapText="1"/>
    </xf>
    <xf numFmtId="0" fontId="4" fillId="20" borderId="11" xfId="0" applyFont="1" applyFill="1" applyBorder="1" applyAlignment="1">
      <alignment horizontal="center" vertical="top" wrapText="1"/>
    </xf>
    <xf numFmtId="0" fontId="4" fillId="20" borderId="0" xfId="0" applyFont="1" applyFill="1" applyAlignment="1">
      <alignment horizontal="center" vertical="top" wrapText="1"/>
    </xf>
    <xf numFmtId="0" fontId="0" fillId="0" borderId="0" xfId="0" applyAlignment="1">
      <alignment wrapText="1"/>
    </xf>
    <xf numFmtId="0" fontId="3" fillId="20" borderId="0" xfId="0" applyFont="1" applyFill="1" applyAlignment="1">
      <alignment horizontal="center"/>
    </xf>
  </cellXfs>
  <cellStyles count="1">
    <cellStyle name="Normal" xfId="0" builtinId="0"/>
  </cellStyles>
  <dxfs count="1">
    <dxf>
      <fill>
        <patternFill>
          <bgColor theme="0" tint="-0.34998626667073579"/>
        </patternFill>
      </fill>
    </dxf>
  </dxfs>
  <tableStyles count="0" defaultTableStyle="TableStyleMedium9" defaultPivotStyle="PivotStyleLight16"/>
  <colors>
    <mruColors>
      <color rgb="FFDA9694"/>
      <color rgb="FFD9D9D9"/>
      <color rgb="FF871BA5"/>
      <color rgb="FFE46C0A"/>
      <color rgb="FFF79646"/>
      <color rgb="FF3AB131"/>
      <color rgb="FF92D050"/>
      <color rgb="FFFA7248"/>
      <color rgb="FFE83C06"/>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FuelGraph</a:t>
            </a:r>
            <a:r>
              <a:rPr lang="en-US" baseline="0"/>
              <a:t> - Conifer Pyrometrics </a:t>
            </a:r>
            <a:r>
              <a:rPr lang="en-US"/>
              <a:t>Charting</a:t>
            </a:r>
            <a:r>
              <a:rPr lang="en-US" baseline="0"/>
              <a:t> Tool</a:t>
            </a:r>
          </a:p>
        </c:rich>
      </c:tx>
      <c:layout>
        <c:manualLayout>
          <c:xMode val="edge"/>
          <c:yMode val="edge"/>
          <c:x val="0.22448442294185059"/>
          <c:y val="1.4137712458272812E-2"/>
        </c:manualLayout>
      </c:layout>
      <c:overlay val="0"/>
      <c:spPr>
        <a:solidFill>
          <a:schemeClr val="bg1">
            <a:lumMod val="95000"/>
          </a:schemeClr>
        </a:solidFill>
        <a:ln>
          <a:solidFill>
            <a:sysClr val="windowText" lastClr="000000"/>
          </a:solidFill>
        </a:ln>
      </c:spPr>
    </c:title>
    <c:autoTitleDeleted val="0"/>
    <c:plotArea>
      <c:layout>
        <c:manualLayout>
          <c:layoutTarget val="inner"/>
          <c:xMode val="edge"/>
          <c:yMode val="edge"/>
          <c:x val="8.3135667297520047E-2"/>
          <c:y val="5.4009905252859737E-2"/>
          <c:w val="0.89319544631031977"/>
          <c:h val="0.81897769228011896"/>
        </c:manualLayout>
      </c:layout>
      <c:scatterChart>
        <c:scatterStyle val="smoothMarker"/>
        <c:varyColors val="0"/>
        <c:ser>
          <c:idx val="2"/>
          <c:order val="0"/>
          <c:tx>
            <c:strRef>
              <c:f>'CCP Calcs'!$AS$7</c:f>
              <c:strCache>
                <c:ptCount val="1"/>
                <c:pt idx="0">
                  <c:v>CFI1</c:v>
                </c:pt>
              </c:strCache>
            </c:strRef>
          </c:tx>
          <c:spPr>
            <a:ln>
              <a:noFill/>
            </a:ln>
          </c:spPr>
          <c:marker>
            <c:symbol val="circle"/>
            <c:size val="7"/>
            <c:spPr>
              <a:solidFill>
                <a:schemeClr val="accent6">
                  <a:lumMod val="75000"/>
                </a:schemeClr>
              </a:solidFill>
              <a:ln>
                <a:solidFill>
                  <a:schemeClr val="accent6">
                    <a:lumMod val="75000"/>
                  </a:schemeClr>
                </a:solidFill>
              </a:ln>
            </c:spPr>
          </c:marker>
          <c:dPt>
            <c:idx val="0"/>
            <c:bubble3D val="0"/>
            <c:extLst>
              <c:ext xmlns:c16="http://schemas.microsoft.com/office/drawing/2014/chart" uri="{C3380CC4-5D6E-409C-BE32-E72D297353CC}">
                <c16:uniqueId val="{00000000-5832-4F52-9F7C-131C587D4673}"/>
              </c:ext>
            </c:extLst>
          </c:dPt>
          <c:dPt>
            <c:idx val="1"/>
            <c:bubble3D val="0"/>
            <c:extLst>
              <c:ext xmlns:c16="http://schemas.microsoft.com/office/drawing/2014/chart" uri="{C3380CC4-5D6E-409C-BE32-E72D297353CC}">
                <c16:uniqueId val="{00000001-5832-4F52-9F7C-131C587D4673}"/>
              </c:ext>
            </c:extLst>
          </c:dPt>
          <c:dPt>
            <c:idx val="2"/>
            <c:bubble3D val="0"/>
            <c:extLst>
              <c:ext xmlns:c16="http://schemas.microsoft.com/office/drawing/2014/chart" uri="{C3380CC4-5D6E-409C-BE32-E72D297353CC}">
                <c16:uniqueId val="{00000002-5832-4F52-9F7C-131C587D4673}"/>
              </c:ext>
            </c:extLst>
          </c:dPt>
          <c:errBars>
            <c:errDir val="x"/>
            <c:errBarType val="both"/>
            <c:errValType val="cust"/>
            <c:noEndCap val="0"/>
            <c:plus>
              <c:numRef>
                <c:f>'CCP Calcs'!$BL$10</c:f>
                <c:numCache>
                  <c:formatCode>General</c:formatCode>
                  <c:ptCount val="1"/>
                  <c:pt idx="0">
                    <c:v>2</c:v>
                  </c:pt>
                </c:numCache>
              </c:numRef>
            </c:plus>
            <c:minus>
              <c:numRef>
                <c:f>'CCP Calcs'!$BL$9</c:f>
                <c:numCache>
                  <c:formatCode>General</c:formatCode>
                  <c:ptCount val="1"/>
                  <c:pt idx="0">
                    <c:v>3</c:v>
                  </c:pt>
                </c:numCache>
              </c:numRef>
            </c:minus>
            <c:spPr>
              <a:ln w="22225">
                <a:solidFill>
                  <a:srgbClr val="904406"/>
                </a:solidFill>
              </a:ln>
              <a:effectLst/>
            </c:spPr>
          </c:errBars>
          <c:xVal>
            <c:numRef>
              <c:f>'CCP Calcs'!$AT$12</c:f>
              <c:numCache>
                <c:formatCode>General</c:formatCode>
                <c:ptCount val="1"/>
                <c:pt idx="0">
                  <c:v>17</c:v>
                </c:pt>
              </c:numCache>
            </c:numRef>
          </c:xVal>
          <c:yVal>
            <c:numRef>
              <c:f>'CCP Calcs'!$AU$12</c:f>
              <c:numCache>
                <c:formatCode>General</c:formatCode>
                <c:ptCount val="1"/>
                <c:pt idx="0">
                  <c:v>10.756525768134679</c:v>
                </c:pt>
              </c:numCache>
            </c:numRef>
          </c:yVal>
          <c:smooth val="1"/>
          <c:extLst>
            <c:ext xmlns:c16="http://schemas.microsoft.com/office/drawing/2014/chart" uri="{C3380CC4-5D6E-409C-BE32-E72D297353CC}">
              <c16:uniqueId val="{00000003-5832-4F52-9F7C-131C587D4673}"/>
            </c:ext>
          </c:extLst>
        </c:ser>
        <c:ser>
          <c:idx val="3"/>
          <c:order val="1"/>
          <c:tx>
            <c:strRef>
              <c:f>'CCP Calcs'!$S$3</c:f>
              <c:strCache>
                <c:ptCount val="1"/>
                <c:pt idx="0">
                  <c:v>CROS_A disp1</c:v>
                </c:pt>
              </c:strCache>
            </c:strRef>
          </c:tx>
          <c:spPr>
            <a:ln>
              <a:solidFill>
                <a:srgbClr val="E46C0A"/>
              </a:solidFill>
            </a:ln>
          </c:spPr>
          <c:marker>
            <c:symbol val="none"/>
          </c:marker>
          <c:xVal>
            <c:numRef>
              <c:f>'CCP Calcs'!$J$4:$J$74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'CCP Calcs'!$S$4:$S$74</c:f>
              <c:numCache>
                <c:formatCode>General</c:formatCode>
                <c:ptCount val="7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31.115522175334807</c:v>
                </c:pt>
                <c:pt idx="24">
                  <c:v>32.330480467115514</c:v>
                </c:pt>
                <c:pt idx="25">
                  <c:v>33.540385431815956</c:v>
                </c:pt>
                <c:pt idx="26">
                  <c:v>34.745459092421783</c:v>
                </c:pt>
                <c:pt idx="27">
                  <c:v>35.945905560190674</c:v>
                </c:pt>
                <c:pt idx="28">
                  <c:v>37.14191308932137</c:v>
                </c:pt>
                <c:pt idx="29">
                  <c:v>38.333655830962506</c:v>
                </c:pt>
                <c:pt idx="30">
                  <c:v>39.521295339411687</c:v>
                </c:pt>
                <c:pt idx="31">
                  <c:v>40.704981872612152</c:v>
                </c:pt>
                <c:pt idx="32">
                  <c:v>41.884855520770429</c:v>
                </c:pt>
                <c:pt idx="33">
                  <c:v>43.061047190473829</c:v>
                </c:pt>
                <c:pt idx="34">
                  <c:v>44.233679466627287</c:v>
                </c:pt>
                <c:pt idx="35">
                  <c:v>45.402867370526103</c:v>
                </c:pt>
                <c:pt idx="36">
                  <c:v>46.568719029190852</c:v>
                </c:pt>
                <c:pt idx="37">
                  <c:v>47.731336268527293</c:v>
                </c:pt>
                <c:pt idx="38">
                  <c:v>48.89081514080614</c:v>
                </c:pt>
                <c:pt idx="39">
                  <c:v>50.04724639527123</c:v>
                </c:pt>
                <c:pt idx="40">
                  <c:v>51.200715899309493</c:v>
                </c:pt>
                <c:pt idx="41">
                  <c:v>52.35130501648181</c:v>
                </c:pt>
                <c:pt idx="42">
                  <c:v>53.49909094677772</c:v>
                </c:pt>
                <c:pt idx="43">
                  <c:v>54.644147033678536</c:v>
                </c:pt>
                <c:pt idx="44">
                  <c:v>55.786543041962695</c:v>
                </c:pt>
                <c:pt idx="45">
                  <c:v>56.926345409642934</c:v>
                </c:pt>
                <c:pt idx="46">
                  <c:v>58.063617476965021</c:v>
                </c:pt>
                <c:pt idx="47">
                  <c:v>59.198419695009726</c:v>
                </c:pt>
                <c:pt idx="48">
                  <c:v>60.330809816110218</c:v>
                </c:pt>
                <c:pt idx="49">
                  <c:v>61.460843068015251</c:v>
                </c:pt>
                <c:pt idx="50">
                  <c:v>62.588572313489585</c:v>
                </c:pt>
                <c:pt idx="51">
                  <c:v>63.714048196835719</c:v>
                </c:pt>
                <c:pt idx="52">
                  <c:v>64.837319278644117</c:v>
                </c:pt>
                <c:pt idx="53">
                  <c:v>65.958432159925778</c:v>
                </c:pt>
                <c:pt idx="54">
                  <c:v>67.077431596648537</c:v>
                </c:pt>
                <c:pt idx="55">
                  <c:v>68.194360605582318</c:v>
                </c:pt>
                <c:pt idx="56">
                  <c:v>69.309260562259283</c:v>
                </c:pt>
                <c:pt idx="57">
                  <c:v>70.422171291766261</c:v>
                </c:pt>
                <c:pt idx="58">
                  <c:v>71.533131153010629</c:v>
                </c:pt>
                <c:pt idx="59">
                  <c:v>72.642177117033199</c:v>
                </c:pt>
                <c:pt idx="60">
                  <c:v>73.749344839881928</c:v>
                </c:pt>
                <c:pt idx="61">
                  <c:v>74.85466873050953</c:v>
                </c:pt>
                <c:pt idx="62">
                  <c:v>75.958182014109667</c:v>
                </c:pt>
                <c:pt idx="63">
                  <c:v>77.059916791267469</c:v>
                </c:pt>
                <c:pt idx="64">
                  <c:v>78.159904093262782</c:v>
                </c:pt>
                <c:pt idx="65">
                  <c:v>79.258173933832779</c:v>
                </c:pt>
                <c:pt idx="66">
                  <c:v>80.354755357670854</c:v>
                </c:pt>
                <c:pt idx="67">
                  <c:v>81.44967648591529</c:v>
                </c:pt>
                <c:pt idx="68">
                  <c:v>82.542964558855019</c:v>
                </c:pt>
                <c:pt idx="69">
                  <c:v>83.634645976062217</c:v>
                </c:pt>
                <c:pt idx="70">
                  <c:v>84.724746334141784</c:v>
                </c:pt>
              </c:numCache>
            </c:numRef>
          </c:yVal>
          <c:smooth val="1"/>
          <c:extLst>
            <c:ext xmlns:c16="http://schemas.microsoft.com/office/drawing/2014/chart" uri="{C3380CC4-5D6E-409C-BE32-E72D297353CC}">
              <c16:uniqueId val="{00000004-5832-4F52-9F7C-131C587D4673}"/>
            </c:ext>
          </c:extLst>
        </c:ser>
        <c:ser>
          <c:idx val="11"/>
          <c:order val="2"/>
          <c:tx>
            <c:strRef>
              <c:f>'CCP Calcs'!$T$3</c:f>
              <c:strCache>
                <c:ptCount val="1"/>
                <c:pt idx="0">
                  <c:v>CROS_P disp1</c:v>
                </c:pt>
              </c:strCache>
            </c:strRef>
          </c:tx>
          <c:spPr>
            <a:ln>
              <a:solidFill>
                <a:srgbClr val="E46C0A">
                  <a:alpha val="80000"/>
                </a:srgbClr>
              </a:solidFill>
            </a:ln>
          </c:spPr>
          <c:marker>
            <c:symbol val="none"/>
          </c:marker>
          <c:xVal>
            <c:numRef>
              <c:f>'CCP Calcs'!$J$4:$J$74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'CCP Calcs'!$T$4:$T$74</c:f>
              <c:numCache>
                <c:formatCode>General</c:formatCode>
                <c:ptCount val="7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10.756525768134679</c:v>
                </c:pt>
                <c:pt idx="18">
                  <c:v>10.861719483248903</c:v>
                </c:pt>
                <c:pt idx="19">
                  <c:v>10.939999847731128</c:v>
                </c:pt>
                <c:pt idx="20">
                  <c:v>10.993764434283765</c:v>
                </c:pt>
                <c:pt idx="21">
                  <c:v>11.025202264618525</c:v>
                </c:pt>
                <c:pt idx="22">
                  <c:v>11.036315825454869</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numCache>
            </c:numRef>
          </c:yVal>
          <c:smooth val="1"/>
          <c:extLst>
            <c:ext xmlns:c16="http://schemas.microsoft.com/office/drawing/2014/chart" uri="{C3380CC4-5D6E-409C-BE32-E72D297353CC}">
              <c16:uniqueId val="{00000005-5832-4F52-9F7C-131C587D4673}"/>
            </c:ext>
          </c:extLst>
        </c:ser>
        <c:ser>
          <c:idx val="12"/>
          <c:order val="3"/>
          <c:tx>
            <c:strRef>
              <c:f>'CCP Calcs'!$U$3</c:f>
              <c:strCache>
                <c:ptCount val="1"/>
                <c:pt idx="0">
                  <c:v>Surf_disp1</c:v>
                </c:pt>
              </c:strCache>
            </c:strRef>
          </c:tx>
          <c:spPr>
            <a:ln>
              <a:solidFill>
                <a:srgbClr val="E46C0A"/>
              </a:solidFill>
            </a:ln>
          </c:spPr>
          <c:marker>
            <c:symbol val="none"/>
          </c:marker>
          <c:xVal>
            <c:numRef>
              <c:f>'CCP Calcs'!$J$4:$J$74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'CCP Calcs'!$U$4:$U$74</c:f>
              <c:numCache>
                <c:formatCode>General</c:formatCode>
                <c:ptCount val="71"/>
                <c:pt idx="0">
                  <c:v>0.66307660812698643</c:v>
                </c:pt>
                <c:pt idx="1">
                  <c:v>0.73338480086519997</c:v>
                </c:pt>
                <c:pt idx="2">
                  <c:v>0.81114800242973428</c:v>
                </c:pt>
                <c:pt idx="3">
                  <c:v>0.8971566919160705</c:v>
                </c:pt>
                <c:pt idx="4">
                  <c:v>0.99228516551701684</c:v>
                </c:pt>
                <c:pt idx="5">
                  <c:v>1.0975004239251065</c:v>
                </c:pt>
                <c:pt idx="6">
                  <c:v>1.2138720020954827</c:v>
                </c:pt>
                <c:pt idx="7">
                  <c:v>1.3425828412908623</c:v>
                </c:pt>
                <c:pt idx="8">
                  <c:v>1.4849413139251719</c:v>
                </c:pt>
                <c:pt idx="9">
                  <c:v>1.6423945234408863</c:v>
                </c:pt>
                <c:pt idx="10">
                  <c:v>1.8165430144160852</c:v>
                </c:pt>
                <c:pt idx="11">
                  <c:v>2.0091570424325322</c:v>
                </c:pt>
                <c:pt idx="12">
                  <c:v>2.2221945690913398</c:v>
                </c:pt>
                <c:pt idx="13">
                  <c:v>2.4578211650993307</c:v>
                </c:pt>
                <c:pt idx="14">
                  <c:v>2.7184320237450481</c:v>
                </c:pt>
                <c:pt idx="15">
                  <c:v>3.0066763085360386</c:v>
                </c:pt>
                <c:pt idx="16">
                  <c:v>3.3254840824961294</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numCache>
            </c:numRef>
          </c:yVal>
          <c:smooth val="1"/>
          <c:extLst>
            <c:ext xmlns:c16="http://schemas.microsoft.com/office/drawing/2014/chart" uri="{C3380CC4-5D6E-409C-BE32-E72D297353CC}">
              <c16:uniqueId val="{00000006-5832-4F52-9F7C-131C587D4673}"/>
            </c:ext>
          </c:extLst>
        </c:ser>
        <c:ser>
          <c:idx val="0"/>
          <c:order val="4"/>
          <c:tx>
            <c:strRef>
              <c:f>'CCP Calcs'!$CF$3</c:f>
              <c:strCache>
                <c:ptCount val="1"/>
                <c:pt idx="0">
                  <c:v>CROS_A disp2</c:v>
                </c:pt>
              </c:strCache>
            </c:strRef>
          </c:tx>
          <c:spPr>
            <a:ln>
              <a:solidFill>
                <a:srgbClr val="871BA5"/>
              </a:solidFill>
            </a:ln>
          </c:spPr>
          <c:marker>
            <c:symbol val="none"/>
          </c:marker>
          <c:xVal>
            <c:numRef>
              <c:f>'CCP Calcs'!$BW$4:$BW$74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'CCP Calcs'!$CF$4:$CF$74</c:f>
              <c:numCache>
                <c:formatCode>General</c:formatCode>
                <c:ptCount val="7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numCache>
            </c:numRef>
          </c:yVal>
          <c:smooth val="1"/>
          <c:extLst>
            <c:ext xmlns:c16="http://schemas.microsoft.com/office/drawing/2014/chart" uri="{C3380CC4-5D6E-409C-BE32-E72D297353CC}">
              <c16:uniqueId val="{00000007-5832-4F52-9F7C-131C587D4673}"/>
            </c:ext>
          </c:extLst>
        </c:ser>
        <c:ser>
          <c:idx val="13"/>
          <c:order val="5"/>
          <c:tx>
            <c:strRef>
              <c:f>'CCP Calcs'!$CG$3</c:f>
              <c:strCache>
                <c:ptCount val="1"/>
                <c:pt idx="0">
                  <c:v>CROS_P disp2</c:v>
                </c:pt>
              </c:strCache>
            </c:strRef>
          </c:tx>
          <c:spPr>
            <a:ln>
              <a:solidFill>
                <a:srgbClr val="871BA5">
                  <a:alpha val="80000"/>
                </a:srgbClr>
              </a:solidFill>
            </a:ln>
          </c:spPr>
          <c:marker>
            <c:symbol val="none"/>
          </c:marker>
          <c:xVal>
            <c:numRef>
              <c:f>'CCP Calcs'!$BW$4:$BW$74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'CCP Calcs'!$CG$4:$CG$74</c:f>
              <c:numCache>
                <c:formatCode>General</c:formatCode>
                <c:ptCount val="7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numCache>
            </c:numRef>
          </c:yVal>
          <c:smooth val="1"/>
          <c:extLst>
            <c:ext xmlns:c16="http://schemas.microsoft.com/office/drawing/2014/chart" uri="{C3380CC4-5D6E-409C-BE32-E72D297353CC}">
              <c16:uniqueId val="{00000008-5832-4F52-9F7C-131C587D4673}"/>
            </c:ext>
          </c:extLst>
        </c:ser>
        <c:ser>
          <c:idx val="14"/>
          <c:order val="6"/>
          <c:tx>
            <c:strRef>
              <c:f>'CCP Calcs'!$CH$3</c:f>
              <c:strCache>
                <c:ptCount val="1"/>
                <c:pt idx="0">
                  <c:v>Surf_disp2</c:v>
                </c:pt>
              </c:strCache>
            </c:strRef>
          </c:tx>
          <c:spPr>
            <a:ln>
              <a:solidFill>
                <a:srgbClr val="871BA5"/>
              </a:solidFill>
            </a:ln>
          </c:spPr>
          <c:marker>
            <c:symbol val="none"/>
          </c:marker>
          <c:xVal>
            <c:numRef>
              <c:f>'CCP Calcs'!$BW$4:$BW$74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'CCP Calcs'!$CH$4:$CH$74</c:f>
              <c:numCache>
                <c:formatCode>General</c:formatCode>
                <c:ptCount val="7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numCache>
            </c:numRef>
          </c:yVal>
          <c:smooth val="1"/>
          <c:extLst>
            <c:ext xmlns:c16="http://schemas.microsoft.com/office/drawing/2014/chart" uri="{C3380CC4-5D6E-409C-BE32-E72D297353CC}">
              <c16:uniqueId val="{00000009-5832-4F52-9F7C-131C587D4673}"/>
            </c:ext>
          </c:extLst>
        </c:ser>
        <c:ser>
          <c:idx val="9"/>
          <c:order val="7"/>
          <c:tx>
            <c:strRef>
              <c:f>'FBP outputs'!$F$1</c:f>
              <c:strCache>
                <c:ptCount val="1"/>
                <c:pt idx="0">
                  <c:v>Control 3</c:v>
                </c:pt>
              </c:strCache>
            </c:strRef>
          </c:tx>
          <c:spPr>
            <a:ln>
              <a:solidFill>
                <a:srgbClr val="3AB131"/>
              </a:solidFill>
              <a:prstDash val="solid"/>
            </a:ln>
            <a:effectLst/>
          </c:spPr>
          <c:marker>
            <c:symbol val="none"/>
          </c:marker>
          <c:xVal>
            <c:numRef>
              <c:f>'FBP outputs'!$E$4:$E$74</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'FBP outputs'!$M$4:$M$74</c:f>
              <c:numCache>
                <c:formatCode>General</c:formatCode>
                <c:ptCount val="71"/>
                <c:pt idx="0">
                  <c:v>0.90609661149867793</c:v>
                </c:pt>
                <c:pt idx="1">
                  <c:v>1.0368381146519314</c:v>
                </c:pt>
                <c:pt idx="2">
                  <c:v>1.1854812580348104</c:v>
                </c:pt>
                <c:pt idx="3">
                  <c:v>1.3542819326859892</c:v>
                </c:pt>
                <c:pt idx="4">
                  <c:v>1.5457412638029473</c:v>
                </c:pt>
                <c:pt idx="5">
                  <c:v>1.7626244903318573</c:v>
                </c:pt>
                <c:pt idx="6">
                  <c:v>2.0079796846016382</c:v>
                </c:pt>
                <c:pt idx="7">
                  <c:v>2.285155888460388</c:v>
                </c:pt>
                <c:pt idx="8">
                  <c:v>2.5978201499493228</c:v>
                </c:pt>
                <c:pt idx="9">
                  <c:v>2.9499728429839185</c:v>
                </c:pt>
                <c:pt idx="10">
                  <c:v>3.3459605429297077</c:v>
                </c:pt>
                <c:pt idx="11">
                  <c:v>3.7904856152055864</c:v>
                </c:pt>
                <c:pt idx="12">
                  <c:v>4.2886115548373649</c:v>
                </c:pt>
                <c:pt idx="13">
                  <c:v>4.8457629959641473</c:v>
                </c:pt>
                <c:pt idx="14">
                  <c:v>5.4677191965940048</c:v>
                </c:pt>
                <c:pt idx="15">
                  <c:v>6.160599701652254</c:v>
                </c:pt>
                <c:pt idx="16">
                  <c:v>6.9308408042144665</c:v>
                </c:pt>
                <c:pt idx="17">
                  <c:v>7.785161369876251</c:v>
                </c:pt>
                <c:pt idx="18">
                  <c:v>8.7305165730120713</c:v>
                </c:pt>
                <c:pt idx="19">
                  <c:v>9.7740381280278683</c:v>
                </c:pt>
                <c:pt idx="20">
                  <c:v>10.922959696428254</c:v>
                </c:pt>
                <c:pt idx="21">
                  <c:v>12.184526324959879</c:v>
                </c:pt>
                <c:pt idx="22">
                  <c:v>13.565887034520195</c:v>
                </c:pt>
                <c:pt idx="23">
                  <c:v>15.073970046223749</c:v>
                </c:pt>
                <c:pt idx="24">
                  <c:v>16.715340610203491</c:v>
                </c:pt>
                <c:pt idx="25">
                  <c:v>18.496042001176683</c:v>
                </c:pt>
                <c:pt idx="26">
                  <c:v>20.421420964337806</c:v>
                </c:pt>
                <c:pt idx="27">
                  <c:v>22.49593973090894</c:v>
                </c:pt>
                <c:pt idx="28">
                  <c:v>24.722977661428889</c:v>
                </c:pt>
                <c:pt idx="29">
                  <c:v>27.10462659328185</c:v>
                </c:pt>
                <c:pt idx="30">
                  <c:v>29.641485032292135</c:v>
                </c:pt>
                <c:pt idx="31">
                  <c:v>32.332457389337925</c:v>
                </c:pt>
                <c:pt idx="32">
                  <c:v>35.174565462269044</c:v>
                </c:pt>
                <c:pt idx="33">
                  <c:v>38.162780229757246</c:v>
                </c:pt>
                <c:pt idx="34">
                  <c:v>41.28988267640915</c:v>
                </c:pt>
                <c:pt idx="35">
                  <c:v>44.546362721104209</c:v>
                </c:pt>
                <c:pt idx="36">
                  <c:v>47.920365286113764</c:v>
                </c:pt>
                <c:pt idx="37">
                  <c:v>51.39769204247817</c:v>
                </c:pt>
                <c:pt idx="38">
                  <c:v>54.961866331268929</c:v>
                </c:pt>
                <c:pt idx="39">
                  <c:v>58.594267148295025</c:v>
                </c:pt>
                <c:pt idx="40">
                  <c:v>62.274335882056185</c:v>
                </c:pt>
                <c:pt idx="41">
                  <c:v>65.638880248477719</c:v>
                </c:pt>
                <c:pt idx="42">
                  <c:v>68.626539398157462</c:v>
                </c:pt>
                <c:pt idx="43">
                  <c:v>71.268198679995351</c:v>
                </c:pt>
                <c:pt idx="44">
                  <c:v>73.60703735532077</c:v>
                </c:pt>
                <c:pt idx="45">
                  <c:v>75.681188301065262</c:v>
                </c:pt>
                <c:pt idx="46">
                  <c:v>77.523995768929851</c:v>
                </c:pt>
                <c:pt idx="47">
                  <c:v>79.16444401854433</c:v>
                </c:pt>
                <c:pt idx="48">
                  <c:v>80.627644258937394</c:v>
                </c:pt>
                <c:pt idx="49">
                  <c:v>81.935319454418462</c:v>
                </c:pt>
                <c:pt idx="50">
                  <c:v>83.1062567592205</c:v>
                </c:pt>
                <c:pt idx="51">
                  <c:v>84.156714529067216</c:v>
                </c:pt>
                <c:pt idx="52">
                  <c:v>85.10078035671134</c:v>
                </c:pt>
                <c:pt idx="53">
                  <c:v>85.950681585250464</c:v>
                </c:pt>
                <c:pt idx="54">
                  <c:v>86.717052169346815</c:v>
                </c:pt>
                <c:pt idx="55">
                  <c:v>87.409160707791173</c:v>
                </c:pt>
                <c:pt idx="56">
                  <c:v>88.035104625226438</c:v>
                </c:pt>
                <c:pt idx="57">
                  <c:v>88.601975223544898</c:v>
                </c:pt>
                <c:pt idx="58">
                  <c:v>89.115997876879277</c:v>
                </c:pt>
                <c:pt idx="59">
                  <c:v>89.582651132819208</c:v>
                </c:pt>
                <c:pt idx="60">
                  <c:v>90.006767973532064</c:v>
                </c:pt>
                <c:pt idx="61">
                  <c:v>90.392622017387609</c:v>
                </c:pt>
                <c:pt idx="62">
                  <c:v>90.74400101886846</c:v>
                </c:pt>
                <c:pt idx="63">
                  <c:v>91.064269655777551</c:v>
                </c:pt>
                <c:pt idx="64">
                  <c:v>91.356423276200545</c:v>
                </c:pt>
                <c:pt idx="65">
                  <c:v>91.623134008832977</c:v>
                </c:pt>
                <c:pt idx="66">
                  <c:v>91.866790413579778</c:v>
                </c:pt>
                <c:pt idx="67">
                  <c:v>92.089531659079142</c:v>
                </c:pt>
                <c:pt idx="68">
                  <c:v>92.293277054630579</c:v>
                </c:pt>
                <c:pt idx="69">
                  <c:v>92.479751631075715</c:v>
                </c:pt>
                <c:pt idx="70">
                  <c:v>92.650508354278415</c:v>
                </c:pt>
              </c:numCache>
            </c:numRef>
          </c:yVal>
          <c:smooth val="1"/>
          <c:extLst>
            <c:ext xmlns:c16="http://schemas.microsoft.com/office/drawing/2014/chart" uri="{C3380CC4-5D6E-409C-BE32-E72D297353CC}">
              <c16:uniqueId val="{0000000A-5832-4F52-9F7C-131C587D4673}"/>
            </c:ext>
          </c:extLst>
        </c:ser>
        <c:ser>
          <c:idx val="8"/>
          <c:order val="8"/>
          <c:tx>
            <c:strRef>
              <c:f>'FBP outputs'!$D$76</c:f>
              <c:strCache>
                <c:ptCount val="1"/>
                <c:pt idx="0">
                  <c:v>Fire Type Output3</c:v>
                </c:pt>
              </c:strCache>
            </c:strRef>
          </c:tx>
          <c:spPr>
            <a:ln>
              <a:noFill/>
            </a:ln>
          </c:spPr>
          <c:marker>
            <c:symbol val="circle"/>
            <c:size val="7"/>
            <c:spPr>
              <a:solidFill>
                <a:srgbClr val="3AB131"/>
              </a:solidFill>
              <a:ln>
                <a:solidFill>
                  <a:srgbClr val="3AB131"/>
                </a:solidFill>
              </a:ln>
            </c:spPr>
          </c:marker>
          <c:dPt>
            <c:idx val="1"/>
            <c:marker>
              <c:symbol val="diamond"/>
              <c:size val="5"/>
            </c:marker>
            <c:bubble3D val="0"/>
            <c:extLst>
              <c:ext xmlns:c16="http://schemas.microsoft.com/office/drawing/2014/chart" uri="{C3380CC4-5D6E-409C-BE32-E72D297353CC}">
                <c16:uniqueId val="{0000000B-5832-4F52-9F7C-131C587D4673}"/>
              </c:ext>
            </c:extLst>
          </c:dPt>
          <c:dPt>
            <c:idx val="2"/>
            <c:marker>
              <c:symbol val="square"/>
              <c:size val="7"/>
            </c:marker>
            <c:bubble3D val="0"/>
            <c:extLst>
              <c:ext xmlns:c16="http://schemas.microsoft.com/office/drawing/2014/chart" uri="{C3380CC4-5D6E-409C-BE32-E72D297353CC}">
                <c16:uniqueId val="{0000000C-5832-4F52-9F7C-131C587D4673}"/>
              </c:ext>
            </c:extLst>
          </c:dPt>
          <c:xVal>
            <c:numRef>
              <c:f>'FBP outputs'!$F$77:$F$79</c:f>
              <c:numCache>
                <c:formatCode>General</c:formatCode>
                <c:ptCount val="3"/>
                <c:pt idx="0">
                  <c:v>13</c:v>
                </c:pt>
                <c:pt idx="1">
                  <c:v>17</c:v>
                </c:pt>
                <c:pt idx="2">
                  <c:v>22</c:v>
                </c:pt>
              </c:numCache>
            </c:numRef>
          </c:xVal>
          <c:yVal>
            <c:numRef>
              <c:f>'FBP outputs'!$E$77:$E$79</c:f>
              <c:numCache>
                <c:formatCode>General</c:formatCode>
                <c:ptCount val="3"/>
                <c:pt idx="0">
                  <c:v>4.8457629959641473</c:v>
                </c:pt>
                <c:pt idx="1">
                  <c:v>7.785161369876251</c:v>
                </c:pt>
                <c:pt idx="2">
                  <c:v>13.565887034520195</c:v>
                </c:pt>
              </c:numCache>
            </c:numRef>
          </c:yVal>
          <c:smooth val="1"/>
          <c:extLst>
            <c:ext xmlns:c16="http://schemas.microsoft.com/office/drawing/2014/chart" uri="{C3380CC4-5D6E-409C-BE32-E72D297353CC}">
              <c16:uniqueId val="{0000000D-5832-4F52-9F7C-131C587D4673}"/>
            </c:ext>
          </c:extLst>
        </c:ser>
        <c:ser>
          <c:idx val="5"/>
          <c:order val="9"/>
          <c:tx>
            <c:v>Surface/IC fire transition</c:v>
          </c:tx>
          <c:spPr>
            <a:ln>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xVal>
            <c:numRef>
              <c:f>'FBP outputs'!$A$87:$A$88</c:f>
              <c:numCache>
                <c:formatCode>General</c:formatCode>
                <c:ptCount val="2"/>
              </c:numCache>
            </c:numRef>
          </c:xVal>
          <c:yVal>
            <c:numRef>
              <c:f>'FBP outputs'!$B$87:$B$88</c:f>
              <c:numCache>
                <c:formatCode>General</c:formatCode>
                <c:ptCount val="2"/>
              </c:numCache>
            </c:numRef>
          </c:yVal>
          <c:smooth val="1"/>
          <c:extLst>
            <c:ext xmlns:c16="http://schemas.microsoft.com/office/drawing/2014/chart" uri="{C3380CC4-5D6E-409C-BE32-E72D297353CC}">
              <c16:uniqueId val="{0000000E-5832-4F52-9F7C-131C587D4673}"/>
            </c:ext>
          </c:extLst>
        </c:ser>
        <c:ser>
          <c:idx val="6"/>
          <c:order val="10"/>
          <c:tx>
            <c:v>IC fire CFB 50%</c:v>
          </c:tx>
          <c:spPr>
            <a:ln>
              <a:solidFill>
                <a:schemeClr val="bg1">
                  <a:lumMod val="50000"/>
                </a:schemeClr>
              </a:solidFill>
            </a:ln>
          </c:spPr>
          <c:marker>
            <c:symbol val="diamond"/>
            <c:size val="5"/>
            <c:spPr>
              <a:solidFill>
                <a:schemeClr val="bg1">
                  <a:lumMod val="50000"/>
                </a:schemeClr>
              </a:solidFill>
              <a:ln>
                <a:solidFill>
                  <a:schemeClr val="bg1">
                    <a:lumMod val="50000"/>
                  </a:schemeClr>
                </a:solidFill>
              </a:ln>
            </c:spPr>
          </c:marker>
          <c:xVal>
            <c:numRef>
              <c:f>'FBP outputs'!$A$90:$A$91</c:f>
              <c:numCache>
                <c:formatCode>General</c:formatCode>
                <c:ptCount val="2"/>
              </c:numCache>
            </c:numRef>
          </c:xVal>
          <c:yVal>
            <c:numRef>
              <c:f>'FBP outputs'!$B$90:$B$91</c:f>
              <c:numCache>
                <c:formatCode>General</c:formatCode>
                <c:ptCount val="2"/>
              </c:numCache>
            </c:numRef>
          </c:yVal>
          <c:smooth val="1"/>
          <c:extLst>
            <c:ext xmlns:c16="http://schemas.microsoft.com/office/drawing/2014/chart" uri="{C3380CC4-5D6E-409C-BE32-E72D297353CC}">
              <c16:uniqueId val="{0000000F-5832-4F52-9F7C-131C587D4673}"/>
            </c:ext>
          </c:extLst>
        </c:ser>
        <c:ser>
          <c:idx val="7"/>
          <c:order val="11"/>
          <c:tx>
            <c:v>CC fire transition</c:v>
          </c:tx>
          <c:spPr>
            <a:ln>
              <a:solidFill>
                <a:schemeClr val="bg1">
                  <a:lumMod val="50000"/>
                </a:schemeClr>
              </a:solidFill>
            </a:ln>
          </c:spPr>
          <c:marker>
            <c:symbol val="square"/>
            <c:size val="5"/>
            <c:spPr>
              <a:solidFill>
                <a:schemeClr val="bg1">
                  <a:lumMod val="50000"/>
                </a:schemeClr>
              </a:solidFill>
              <a:ln>
                <a:solidFill>
                  <a:schemeClr val="bg1">
                    <a:lumMod val="50000"/>
                  </a:schemeClr>
                </a:solidFill>
              </a:ln>
            </c:spPr>
          </c:marker>
          <c:xVal>
            <c:numRef>
              <c:f>'FBP outputs'!$B$97:$B$99</c:f>
              <c:numCache>
                <c:formatCode>General</c:formatCode>
                <c:ptCount val="3"/>
              </c:numCache>
            </c:numRef>
          </c:xVal>
          <c:yVal>
            <c:numRef>
              <c:f>'FBP outputs'!$C$97:$C$98</c:f>
              <c:numCache>
                <c:formatCode>General</c:formatCode>
                <c:ptCount val="2"/>
              </c:numCache>
            </c:numRef>
          </c:yVal>
          <c:smooth val="1"/>
          <c:extLst>
            <c:ext xmlns:c16="http://schemas.microsoft.com/office/drawing/2014/chart" uri="{C3380CC4-5D6E-409C-BE32-E72D297353CC}">
              <c16:uniqueId val="{00000010-5832-4F52-9F7C-131C587D4673}"/>
            </c:ext>
          </c:extLst>
        </c:ser>
        <c:ser>
          <c:idx val="16"/>
          <c:order val="12"/>
          <c:tx>
            <c:strRef>
              <c:f>'CCP Calcs'!$DP$8</c:f>
              <c:strCache>
                <c:ptCount val="1"/>
                <c:pt idx="0">
                  <c:v>Surf to PC2</c:v>
                </c:pt>
              </c:strCache>
            </c:strRef>
          </c:tx>
          <c:spPr>
            <a:ln>
              <a:solidFill>
                <a:srgbClr val="871BA5"/>
              </a:solidFill>
              <a:prstDash val="sysDot"/>
            </a:ln>
          </c:spPr>
          <c:marker>
            <c:symbol val="none"/>
          </c:marker>
          <c:xVal>
            <c:numRef>
              <c:f>'CCP Calcs'!$DQ$9:$DQ$10</c:f>
              <c:numCache>
                <c:formatCode>General</c:formatCode>
                <c:ptCount val="2"/>
                <c:pt idx="0">
                  <c:v>#N/A</c:v>
                </c:pt>
                <c:pt idx="1">
                  <c:v>#N/A</c:v>
                </c:pt>
              </c:numCache>
            </c:numRef>
          </c:xVal>
          <c:yVal>
            <c:numRef>
              <c:f>'CCP Calcs'!$DP$9:$DP$10</c:f>
              <c:numCache>
                <c:formatCode>General</c:formatCode>
                <c:ptCount val="2"/>
                <c:pt idx="0">
                  <c:v>0</c:v>
                </c:pt>
                <c:pt idx="1">
                  <c:v>0</c:v>
                </c:pt>
              </c:numCache>
            </c:numRef>
          </c:yVal>
          <c:smooth val="1"/>
          <c:extLst>
            <c:ext xmlns:c16="http://schemas.microsoft.com/office/drawing/2014/chart" uri="{C3380CC4-5D6E-409C-BE32-E72D297353CC}">
              <c16:uniqueId val="{00000011-5832-4F52-9F7C-131C587D4673}"/>
            </c:ext>
          </c:extLst>
        </c:ser>
        <c:ser>
          <c:idx val="17"/>
          <c:order val="13"/>
          <c:tx>
            <c:strRef>
              <c:f>'CCP Calcs'!$DP$12</c:f>
              <c:strCache>
                <c:ptCount val="1"/>
                <c:pt idx="0">
                  <c:v>PC to AC2</c:v>
                </c:pt>
              </c:strCache>
            </c:strRef>
          </c:tx>
          <c:spPr>
            <a:ln>
              <a:solidFill>
                <a:srgbClr val="871BA5"/>
              </a:solidFill>
              <a:prstDash val="sysDot"/>
            </a:ln>
          </c:spPr>
          <c:marker>
            <c:symbol val="none"/>
          </c:marker>
          <c:xVal>
            <c:numRef>
              <c:f>'CCP Calcs'!$DQ$13:$DQ$14</c:f>
              <c:numCache>
                <c:formatCode>General</c:formatCode>
                <c:ptCount val="2"/>
                <c:pt idx="0">
                  <c:v>#N/A</c:v>
                </c:pt>
                <c:pt idx="1">
                  <c:v>#N/A</c:v>
                </c:pt>
              </c:numCache>
            </c:numRef>
          </c:xVal>
          <c:yVal>
            <c:numRef>
              <c:f>'CCP Calcs'!$DP$13:$DP$14</c:f>
              <c:numCache>
                <c:formatCode>General</c:formatCode>
                <c:ptCount val="2"/>
                <c:pt idx="0">
                  <c:v>0</c:v>
                </c:pt>
                <c:pt idx="1">
                  <c:v>0</c:v>
                </c:pt>
              </c:numCache>
            </c:numRef>
          </c:yVal>
          <c:smooth val="1"/>
          <c:extLst>
            <c:ext xmlns:c16="http://schemas.microsoft.com/office/drawing/2014/chart" uri="{C3380CC4-5D6E-409C-BE32-E72D297353CC}">
              <c16:uniqueId val="{00000012-5832-4F52-9F7C-131C587D4673}"/>
            </c:ext>
          </c:extLst>
        </c:ser>
        <c:ser>
          <c:idx val="18"/>
          <c:order val="14"/>
          <c:tx>
            <c:strRef>
              <c:f>'CCP Calcs'!$DP$16</c:f>
              <c:strCache>
                <c:ptCount val="1"/>
                <c:pt idx="0">
                  <c:v>Surf to AC (no PC)2</c:v>
                </c:pt>
              </c:strCache>
            </c:strRef>
          </c:tx>
          <c:spPr>
            <a:ln>
              <a:solidFill>
                <a:srgbClr val="871BA5"/>
              </a:solidFill>
              <a:prstDash val="sysDot"/>
            </a:ln>
          </c:spPr>
          <c:marker>
            <c:symbol val="none"/>
          </c:marker>
          <c:xVal>
            <c:numRef>
              <c:f>'CCP Calcs'!$DQ$17:$DQ$18</c:f>
              <c:numCache>
                <c:formatCode>General</c:formatCode>
                <c:ptCount val="2"/>
                <c:pt idx="0">
                  <c:v>#N/A</c:v>
                </c:pt>
                <c:pt idx="1">
                  <c:v>#N/A</c:v>
                </c:pt>
              </c:numCache>
            </c:numRef>
          </c:xVal>
          <c:yVal>
            <c:numRef>
              <c:f>'CCP Calcs'!$DP$17:$DP$18</c:f>
              <c:numCache>
                <c:formatCode>General</c:formatCode>
                <c:ptCount val="2"/>
                <c:pt idx="0">
                  <c:v>0</c:v>
                </c:pt>
                <c:pt idx="1">
                  <c:v>0</c:v>
                </c:pt>
              </c:numCache>
            </c:numRef>
          </c:yVal>
          <c:smooth val="1"/>
          <c:extLst>
            <c:ext xmlns:c16="http://schemas.microsoft.com/office/drawing/2014/chart" uri="{C3380CC4-5D6E-409C-BE32-E72D297353CC}">
              <c16:uniqueId val="{00000013-5832-4F52-9F7C-131C587D4673}"/>
            </c:ext>
          </c:extLst>
        </c:ser>
        <c:ser>
          <c:idx val="19"/>
          <c:order val="15"/>
          <c:tx>
            <c:strRef>
              <c:f>'CCP Calcs'!$BA$8</c:f>
              <c:strCache>
                <c:ptCount val="1"/>
                <c:pt idx="0">
                  <c:v>Surf to PC1</c:v>
                </c:pt>
              </c:strCache>
            </c:strRef>
          </c:tx>
          <c:spPr>
            <a:ln>
              <a:solidFill>
                <a:srgbClr val="E46C0A"/>
              </a:solidFill>
              <a:prstDash val="sysDot"/>
            </a:ln>
          </c:spPr>
          <c:marker>
            <c:symbol val="none"/>
          </c:marker>
          <c:xVal>
            <c:numRef>
              <c:f>'CCP Calcs'!$BB$9:$BB$10</c:f>
              <c:numCache>
                <c:formatCode>General</c:formatCode>
                <c:ptCount val="2"/>
                <c:pt idx="0">
                  <c:v>16</c:v>
                </c:pt>
                <c:pt idx="1">
                  <c:v>17</c:v>
                </c:pt>
              </c:numCache>
            </c:numRef>
          </c:xVal>
          <c:yVal>
            <c:numRef>
              <c:f>'CCP Calcs'!$BA$9:$BA$10</c:f>
              <c:numCache>
                <c:formatCode>General</c:formatCode>
                <c:ptCount val="2"/>
                <c:pt idx="0">
                  <c:v>3.3254840824961294</c:v>
                </c:pt>
                <c:pt idx="1">
                  <c:v>10.756525768134679</c:v>
                </c:pt>
              </c:numCache>
            </c:numRef>
          </c:yVal>
          <c:smooth val="1"/>
          <c:extLst>
            <c:ext xmlns:c16="http://schemas.microsoft.com/office/drawing/2014/chart" uri="{C3380CC4-5D6E-409C-BE32-E72D297353CC}">
              <c16:uniqueId val="{00000014-5832-4F52-9F7C-131C587D4673}"/>
            </c:ext>
          </c:extLst>
        </c:ser>
        <c:ser>
          <c:idx val="20"/>
          <c:order val="16"/>
          <c:tx>
            <c:strRef>
              <c:f>'CCP Calcs'!$BA$12</c:f>
              <c:strCache>
                <c:ptCount val="1"/>
                <c:pt idx="0">
                  <c:v>PC to AC1</c:v>
                </c:pt>
              </c:strCache>
            </c:strRef>
          </c:tx>
          <c:spPr>
            <a:ln>
              <a:solidFill>
                <a:srgbClr val="E46C0A"/>
              </a:solidFill>
              <a:prstDash val="sysDot"/>
            </a:ln>
          </c:spPr>
          <c:marker>
            <c:symbol val="none"/>
          </c:marker>
          <c:xVal>
            <c:numRef>
              <c:f>'CCP Calcs'!$BB$13:$BB$14</c:f>
              <c:numCache>
                <c:formatCode>General</c:formatCode>
                <c:ptCount val="2"/>
                <c:pt idx="0">
                  <c:v>22</c:v>
                </c:pt>
                <c:pt idx="1">
                  <c:v>23</c:v>
                </c:pt>
              </c:numCache>
            </c:numRef>
          </c:xVal>
          <c:yVal>
            <c:numRef>
              <c:f>'CCP Calcs'!$BA$13:$BA$14</c:f>
              <c:numCache>
                <c:formatCode>General</c:formatCode>
                <c:ptCount val="2"/>
                <c:pt idx="0">
                  <c:v>11.036315825454869</c:v>
                </c:pt>
                <c:pt idx="1">
                  <c:v>31.115522175334807</c:v>
                </c:pt>
              </c:numCache>
            </c:numRef>
          </c:yVal>
          <c:smooth val="1"/>
          <c:extLst>
            <c:ext xmlns:c16="http://schemas.microsoft.com/office/drawing/2014/chart" uri="{C3380CC4-5D6E-409C-BE32-E72D297353CC}">
              <c16:uniqueId val="{00000015-5832-4F52-9F7C-131C587D4673}"/>
            </c:ext>
          </c:extLst>
        </c:ser>
        <c:ser>
          <c:idx val="21"/>
          <c:order val="17"/>
          <c:tx>
            <c:strRef>
              <c:f>'CCP Calcs'!$BA$16</c:f>
              <c:strCache>
                <c:ptCount val="1"/>
                <c:pt idx="0">
                  <c:v>Surf to AC (no PC)1</c:v>
                </c:pt>
              </c:strCache>
            </c:strRef>
          </c:tx>
          <c:spPr>
            <a:ln>
              <a:solidFill>
                <a:srgbClr val="E46C0A"/>
              </a:solidFill>
              <a:prstDash val="sysDot"/>
            </a:ln>
          </c:spPr>
          <c:marker>
            <c:symbol val="none"/>
          </c:marker>
          <c:xVal>
            <c:numRef>
              <c:f>'CCP Calcs'!$BB$17:$BB$18</c:f>
              <c:numCache>
                <c:formatCode>General</c:formatCode>
                <c:ptCount val="2"/>
                <c:pt idx="0">
                  <c:v>#N/A</c:v>
                </c:pt>
                <c:pt idx="1">
                  <c:v>#N/A</c:v>
                </c:pt>
              </c:numCache>
            </c:numRef>
          </c:xVal>
          <c:yVal>
            <c:numRef>
              <c:f>'CCP Calcs'!$BA$17:$BA$18</c:f>
              <c:numCache>
                <c:formatCode>General</c:formatCode>
                <c:ptCount val="2"/>
                <c:pt idx="0">
                  <c:v>3.3254840824961294</c:v>
                </c:pt>
                <c:pt idx="1">
                  <c:v>31.115522175334807</c:v>
                </c:pt>
              </c:numCache>
            </c:numRef>
          </c:yVal>
          <c:smooth val="1"/>
          <c:extLst>
            <c:ext xmlns:c16="http://schemas.microsoft.com/office/drawing/2014/chart" uri="{C3380CC4-5D6E-409C-BE32-E72D297353CC}">
              <c16:uniqueId val="{00000016-5832-4F52-9F7C-131C587D4673}"/>
            </c:ext>
          </c:extLst>
        </c:ser>
        <c:ser>
          <c:idx val="22"/>
          <c:order val="18"/>
          <c:tx>
            <c:strRef>
              <c:f>'CCP Calcs'!$DH$7</c:f>
              <c:strCache>
                <c:ptCount val="1"/>
                <c:pt idx="0">
                  <c:v>CFI2</c:v>
                </c:pt>
              </c:strCache>
            </c:strRef>
          </c:tx>
          <c:spPr>
            <a:ln>
              <a:noFill/>
            </a:ln>
          </c:spPr>
          <c:marker>
            <c:symbol val="square"/>
            <c:size val="5"/>
            <c:spPr>
              <a:solidFill>
                <a:srgbClr val="871BA5"/>
              </a:solidFill>
              <a:ln>
                <a:solidFill>
                  <a:srgbClr val="871BA5"/>
                </a:solidFill>
              </a:ln>
            </c:spPr>
          </c:marker>
          <c:dPt>
            <c:idx val="0"/>
            <c:marker>
              <c:symbol val="circle"/>
              <c:size val="7"/>
            </c:marker>
            <c:bubble3D val="0"/>
            <c:extLst>
              <c:ext xmlns:c16="http://schemas.microsoft.com/office/drawing/2014/chart" uri="{C3380CC4-5D6E-409C-BE32-E72D297353CC}">
                <c16:uniqueId val="{00000017-5832-4F52-9F7C-131C587D4673}"/>
              </c:ext>
            </c:extLst>
          </c:dPt>
          <c:dPt>
            <c:idx val="1"/>
            <c:marker>
              <c:symbol val="square"/>
              <c:size val="7"/>
            </c:marker>
            <c:bubble3D val="0"/>
            <c:extLst>
              <c:ext xmlns:c16="http://schemas.microsoft.com/office/drawing/2014/chart" uri="{C3380CC4-5D6E-409C-BE32-E72D297353CC}">
                <c16:uniqueId val="{00000018-5832-4F52-9F7C-131C587D4673}"/>
              </c:ext>
            </c:extLst>
          </c:dPt>
          <c:errBars>
            <c:errDir val="x"/>
            <c:errBarType val="both"/>
            <c:errValType val="cust"/>
            <c:noEndCap val="0"/>
            <c:plus>
              <c:numRef>
                <c:f>'CCP Calcs'!$EA$10</c:f>
                <c:numCache>
                  <c:formatCode>General</c:formatCode>
                  <c:ptCount val="1"/>
                  <c:pt idx="0">
                    <c:v>#N/A</c:v>
                  </c:pt>
                </c:numCache>
              </c:numRef>
            </c:plus>
            <c:minus>
              <c:numRef>
                <c:f>'CCP Calcs'!$EA$9</c:f>
                <c:numCache>
                  <c:formatCode>General</c:formatCode>
                  <c:ptCount val="1"/>
                  <c:pt idx="0">
                    <c:v>#N/A</c:v>
                  </c:pt>
                </c:numCache>
              </c:numRef>
            </c:minus>
            <c:spPr>
              <a:ln w="22225" cap="flat">
                <a:solidFill>
                  <a:srgbClr val="5E1373"/>
                </a:solidFill>
              </a:ln>
            </c:spPr>
          </c:errBars>
          <c:xVal>
            <c:numRef>
              <c:f>'CCP Calcs'!$DI$12</c:f>
              <c:numCache>
                <c:formatCode>General</c:formatCode>
                <c:ptCount val="1"/>
                <c:pt idx="0">
                  <c:v>#N/A</c:v>
                </c:pt>
              </c:numCache>
            </c:numRef>
          </c:xVal>
          <c:yVal>
            <c:numRef>
              <c:f>'CCP Calcs'!$DJ$12</c:f>
              <c:numCache>
                <c:formatCode>General</c:formatCode>
                <c:ptCount val="1"/>
                <c:pt idx="0">
                  <c:v>#N/A</c:v>
                </c:pt>
              </c:numCache>
            </c:numRef>
          </c:yVal>
          <c:smooth val="1"/>
          <c:extLst>
            <c:ext xmlns:c16="http://schemas.microsoft.com/office/drawing/2014/chart" uri="{C3380CC4-5D6E-409C-BE32-E72D297353CC}">
              <c16:uniqueId val="{00000019-5832-4F52-9F7C-131C587D4673}"/>
            </c:ext>
          </c:extLst>
        </c:ser>
        <c:ser>
          <c:idx val="1"/>
          <c:order val="19"/>
          <c:tx>
            <c:strRef>
              <c:f>'CCP Calcs'!$AS$8</c:f>
              <c:strCache>
                <c:ptCount val="1"/>
                <c:pt idx="0">
                  <c:v>CFI-Act1</c:v>
                </c:pt>
              </c:strCache>
            </c:strRef>
          </c:tx>
          <c:spPr>
            <a:ln w="28575">
              <a:noFill/>
            </a:ln>
          </c:spPr>
          <c:marker>
            <c:symbol val="plus"/>
            <c:size val="7"/>
            <c:spPr>
              <a:solidFill>
                <a:srgbClr val="E46C0A"/>
              </a:solidFill>
              <a:ln>
                <a:solidFill>
                  <a:srgbClr val="E46C0A"/>
                </a:solidFill>
              </a:ln>
            </c:spPr>
          </c:marker>
          <c:xVal>
            <c:numRef>
              <c:f>'CCP Calcs'!$AT$13</c:f>
              <c:numCache>
                <c:formatCode>General</c:formatCode>
                <c:ptCount val="1"/>
                <c:pt idx="0">
                  <c:v>23</c:v>
                </c:pt>
              </c:numCache>
            </c:numRef>
          </c:xVal>
          <c:yVal>
            <c:numRef>
              <c:f>'CCP Calcs'!$AU$13</c:f>
              <c:numCache>
                <c:formatCode>General</c:formatCode>
                <c:ptCount val="1"/>
                <c:pt idx="0">
                  <c:v>31.115522175334807</c:v>
                </c:pt>
              </c:numCache>
            </c:numRef>
          </c:yVal>
          <c:smooth val="1"/>
          <c:extLst>
            <c:ext xmlns:c16="http://schemas.microsoft.com/office/drawing/2014/chart" uri="{C3380CC4-5D6E-409C-BE32-E72D297353CC}">
              <c16:uniqueId val="{0000001A-5832-4F52-9F7C-131C587D4673}"/>
            </c:ext>
          </c:extLst>
        </c:ser>
        <c:ser>
          <c:idx val="4"/>
          <c:order val="20"/>
          <c:tx>
            <c:strRef>
              <c:f>'CCP Calcs'!$DH$8</c:f>
              <c:strCache>
                <c:ptCount val="1"/>
                <c:pt idx="0">
                  <c:v>CFI-Act2</c:v>
                </c:pt>
              </c:strCache>
            </c:strRef>
          </c:tx>
          <c:spPr>
            <a:ln w="28575">
              <a:noFill/>
            </a:ln>
          </c:spPr>
          <c:marker>
            <c:symbol val="x"/>
            <c:size val="7"/>
            <c:spPr>
              <a:solidFill>
                <a:srgbClr val="871BA5"/>
              </a:solidFill>
              <a:ln>
                <a:solidFill>
                  <a:srgbClr val="871BA5"/>
                </a:solidFill>
              </a:ln>
            </c:spPr>
          </c:marker>
          <c:xVal>
            <c:numRef>
              <c:f>'CCP Calcs'!$DI$13</c:f>
              <c:numCache>
                <c:formatCode>General</c:formatCode>
                <c:ptCount val="1"/>
                <c:pt idx="0">
                  <c:v>#N/A</c:v>
                </c:pt>
              </c:numCache>
            </c:numRef>
          </c:xVal>
          <c:yVal>
            <c:numRef>
              <c:f>'CCP Calcs'!$DJ$13</c:f>
              <c:numCache>
                <c:formatCode>General</c:formatCode>
                <c:ptCount val="1"/>
                <c:pt idx="0">
                  <c:v>#N/A</c:v>
                </c:pt>
              </c:numCache>
            </c:numRef>
          </c:yVal>
          <c:smooth val="1"/>
          <c:extLst>
            <c:ext xmlns:c16="http://schemas.microsoft.com/office/drawing/2014/chart" uri="{C3380CC4-5D6E-409C-BE32-E72D297353CC}">
              <c16:uniqueId val="{0000001B-5832-4F52-9F7C-131C587D4673}"/>
            </c:ext>
          </c:extLst>
        </c:ser>
        <c:dLbls>
          <c:showLegendKey val="0"/>
          <c:showVal val="0"/>
          <c:showCatName val="0"/>
          <c:showSerName val="0"/>
          <c:showPercent val="0"/>
          <c:showBubbleSize val="0"/>
        </c:dLbls>
        <c:axId val="121373440"/>
        <c:axId val="121375360"/>
      </c:scatterChart>
      <c:valAx>
        <c:axId val="121373440"/>
        <c:scaling>
          <c:orientation val="minMax"/>
          <c:max val="60"/>
        </c:scaling>
        <c:delete val="0"/>
        <c:axPos val="b"/>
        <c:majorGridlines/>
        <c:numFmt formatCode="General" sourceLinked="1"/>
        <c:majorTickMark val="out"/>
        <c:minorTickMark val="out"/>
        <c:tickLblPos val="nextTo"/>
        <c:crossAx val="121375360"/>
        <c:crosses val="autoZero"/>
        <c:crossBetween val="midCat"/>
        <c:majorUnit val="5"/>
      </c:valAx>
      <c:valAx>
        <c:axId val="121375360"/>
        <c:scaling>
          <c:orientation val="minMax"/>
          <c:max val="115"/>
          <c:min val="0"/>
        </c:scaling>
        <c:delete val="0"/>
        <c:axPos val="l"/>
        <c:majorGridlines/>
        <c:title>
          <c:tx>
            <c:rich>
              <a:bodyPr rot="-5400000" vert="horz"/>
              <a:lstStyle/>
              <a:p>
                <a:pPr>
                  <a:defRPr/>
                </a:pPr>
                <a:r>
                  <a:rPr lang="en-US"/>
                  <a:t>Equilibrium ROS (m/min)</a:t>
                </a:r>
              </a:p>
            </c:rich>
          </c:tx>
          <c:overlay val="0"/>
        </c:title>
        <c:numFmt formatCode="General" sourceLinked="1"/>
        <c:majorTickMark val="out"/>
        <c:minorTickMark val="out"/>
        <c:tickLblPos val="nextTo"/>
        <c:crossAx val="121373440"/>
        <c:crosses val="autoZero"/>
        <c:crossBetween val="midCat"/>
        <c:majorUnit val="10"/>
        <c:minorUnit val="5"/>
      </c:valAx>
      <c:spPr>
        <a:noFill/>
        <a:ln w="25400">
          <a:noFill/>
        </a:ln>
      </c:spPr>
    </c:plotArea>
    <c:plotVisOnly val="1"/>
    <c:dispBlanksAs val="gap"/>
    <c:showDLblsOverMax val="0"/>
  </c:chart>
  <c:spPr>
    <a:solidFill>
      <a:schemeClr val="bg2"/>
    </a:solidFill>
  </c:spPr>
  <c:txPr>
    <a:bodyPr/>
    <a:lstStyle/>
    <a:p>
      <a:pPr>
        <a:defRPr sz="900"/>
      </a:pPr>
      <a:endParaRPr lang="en-US"/>
    </a:p>
  </c:txPr>
  <c:printSettings>
    <c:headerFooter/>
    <c:pageMargins b="0.75" l="0.7" r="0.7" t="0.75" header="0.3" footer="0.3"/>
    <c:pageSetup/>
  </c:printSettings>
  <c:userShapes r:id="rId1"/>
</c:chartSpace>
</file>

<file path=xl/ctrlProps/ctrlProp1.xml><?xml version="1.0" encoding="utf-8"?>
<formControlPr xmlns="http://schemas.microsoft.com/office/spreadsheetml/2009/9/main" objectType="Drop" dropStyle="combo" dx="20" fmlaLink="Settings!$K$5" fmlaRange="Settings!$D$5:$D$35" noThreeD="1" sel="15" val="13"/>
</file>

<file path=xl/ctrlProps/ctrlProp10.xml><?xml version="1.0" encoding="utf-8"?>
<formControlPr xmlns="http://schemas.microsoft.com/office/spreadsheetml/2009/9/main" objectType="Drop" dropStyle="combo" dx="20" fmlaLink="Settings!$AP$12" fmlaRange="Settings!$AP$5:$AP$7" noThreeD="1" sel="1" val="0"/>
</file>

<file path=xl/ctrlProps/ctrlProp11.xml><?xml version="1.0" encoding="utf-8"?>
<formControlPr xmlns="http://schemas.microsoft.com/office/spreadsheetml/2009/9/main" objectType="Drop" dropStyle="combo" dx="20" fmlaLink="Settings!$AO$12" fmlaRange="Settings!$AO$5:$AO$8" noThreeD="1" sel="3" val="0"/>
</file>

<file path=xl/ctrlProps/ctrlProp12.xml><?xml version="1.0" encoding="utf-8"?>
<formControlPr xmlns="http://schemas.microsoft.com/office/spreadsheetml/2009/9/main" objectType="Drop" dropStyle="combo" dx="20" fmlaLink="'CCP Calcs'!$BS$4" fmlaRange="'CCP Calcs'!$BR$4:$BR$33" noThreeD="1" sel="16" val="14"/>
</file>

<file path=xl/ctrlProps/ctrlProp13.xml><?xml version="1.0" encoding="utf-8"?>
<formControlPr xmlns="http://schemas.microsoft.com/office/spreadsheetml/2009/9/main" objectType="Drop" dropStyle="combo" dx="20" fmlaLink="'CCP Calcs'!$CX$26" fmlaRange="'CCP Calcs'!$CW$31:$CW$70" noThreeD="1" sel="17" val="15"/>
</file>

<file path=xl/ctrlProps/ctrlProp14.xml><?xml version="1.0" encoding="utf-8"?>
<formControlPr xmlns="http://schemas.microsoft.com/office/spreadsheetml/2009/9/main" objectType="Drop" dropStyle="combo" dx="20" fmlaLink="'CCP Calcs'!$C$4" fmlaRange="'CCP Calcs'!$B$4:$B$38" noThreeD="1" sel="10" val="8"/>
</file>

<file path=xl/ctrlProps/ctrlProp15.xml><?xml version="1.0" encoding="utf-8"?>
<formControlPr xmlns="http://schemas.microsoft.com/office/spreadsheetml/2009/9/main" objectType="Drop" dropStyle="combo" dx="20" fmlaLink="'CCP Calcs'!$BP$4" fmlaRange="'CCP Calcs'!$BO$4:$BO$38" noThreeD="1" sel="7" val="5"/>
</file>

<file path=xl/ctrlProps/ctrlProp16.xml><?xml version="1.0" encoding="utf-8"?>
<formControlPr xmlns="http://schemas.microsoft.com/office/spreadsheetml/2009/9/main" objectType="Drop" dropStyle="combo" dx="20" fmlaLink="'FBP outputs'!$G$1" fmlaRange="Settings!$O$5:$O$22" noThreeD="1" sel="3" val="0"/>
</file>

<file path=xl/ctrlProps/ctrlProp17.xml><?xml version="1.0" encoding="utf-8"?>
<formControlPr xmlns="http://schemas.microsoft.com/office/spreadsheetml/2009/9/main" objectType="Drop" dropStyle="combo" dx="20" fmlaLink="'Calcs-control3'!$C$4" fmlaRange="'Calcs-control3'!$B$4:$B$24" noThreeD="1" sel="18" val="13"/>
</file>

<file path=xl/ctrlProps/ctrlProp18.xml><?xml version="1.0" encoding="utf-8"?>
<formControlPr xmlns="http://schemas.microsoft.com/office/spreadsheetml/2009/9/main" objectType="Drop" dropStyle="combo" dx="20" fmlaLink="Settings!$I$5" fmlaRange="Settings!$S$5:$S$55" noThreeD="1" sel="21" val="14"/>
</file>

<file path=xl/ctrlProps/ctrlProp19.xml><?xml version="1.0" encoding="utf-8"?>
<formControlPr xmlns="http://schemas.microsoft.com/office/spreadsheetml/2009/9/main" objectType="CheckBox" checked="Checked" fmlaLink="'CCP Calcs'!$G$2" lockText="1" noThreeD="1"/>
</file>

<file path=xl/ctrlProps/ctrlProp2.xml><?xml version="1.0" encoding="utf-8"?>
<formControlPr xmlns="http://schemas.microsoft.com/office/spreadsheetml/2009/9/main" objectType="Drop" dropStyle="combo" dx="20" fmlaLink="Settings!$J$5" fmlaRange="Settings!$R$5:$R$46" noThreeD="1" sel="19" val="17"/>
</file>

<file path=xl/ctrlProps/ctrlProp20.xml><?xml version="1.0" encoding="utf-8"?>
<formControlPr xmlns="http://schemas.microsoft.com/office/spreadsheetml/2009/9/main" objectType="CheckBox" fmlaLink="'CCP Calcs'!$BP$2" lockText="1" noThreeD="1"/>
</file>

<file path=xl/ctrlProps/ctrlProp21.xml><?xml version="1.0" encoding="utf-8"?>
<formControlPr xmlns="http://schemas.microsoft.com/office/spreadsheetml/2009/9/main" objectType="CheckBox" checked="Checked" fmlaLink="'FBP outputs'!$D$2" lockText="1" noThreeD="1"/>
</file>

<file path=xl/ctrlProps/ctrlProp22.xml><?xml version="1.0" encoding="utf-8"?>
<formControlPr xmlns="http://schemas.microsoft.com/office/spreadsheetml/2009/9/main" objectType="Spin" dx="22" fmlaLink="$M$13" inc="5" max="95" min="5" page="10" val="80"/>
</file>

<file path=xl/ctrlProps/ctrlProp23.xml><?xml version="1.0" encoding="utf-8"?>
<formControlPr xmlns="http://schemas.microsoft.com/office/spreadsheetml/2009/9/main" objectType="GBox" noThreeD="1"/>
</file>

<file path=xl/ctrlProps/ctrlProp24.xml><?xml version="1.0" encoding="utf-8"?>
<formControlPr xmlns="http://schemas.microsoft.com/office/spreadsheetml/2009/9/main" objectType="Radio" checked="Checked" firstButton="1" fmlaLink="'CCP Calcs'!$V$2"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Spin" dx="22" fmlaLink="$M$6" inc="5" max="90" min="10" page="10" val="50"/>
</file>

<file path=xl/ctrlProps/ctrlProp28.xml><?xml version="1.0" encoding="utf-8"?>
<formControlPr xmlns="http://schemas.microsoft.com/office/spreadsheetml/2009/9/main" objectType="GBox" noThreeD="1"/>
</file>

<file path=xl/ctrlProps/ctrlProp29.xml><?xml version="1.0" encoding="utf-8"?>
<formControlPr xmlns="http://schemas.microsoft.com/office/spreadsheetml/2009/9/main" objectType="Radio" checked="Checked" firstButton="1" fmlaLink="Settings!$Z$1" lockText="1" noThreeD="1"/>
</file>

<file path=xl/ctrlProps/ctrlProp3.xml><?xml version="1.0" encoding="utf-8"?>
<formControlPr xmlns="http://schemas.microsoft.com/office/spreadsheetml/2009/9/main" objectType="Spin" dx="26" fmlaLink="'Advanced Settings'!$E$7" inc="5" max="200" min="5" page="10" val="75"/>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CheckBox" checked="Checked" fmlaLink="'CCP Calcs'!$V$1" lockText="1" noThreeD="1"/>
</file>

<file path=xl/ctrlProps/ctrlProp33.xml><?xml version="1.0" encoding="utf-8"?>
<formControlPr xmlns="http://schemas.microsoft.com/office/spreadsheetml/2009/9/main" objectType="CheckBox" checked="Checked" fmlaLink="'CCP Calcs'!$CI$1" lockText="1" noThreeD="1"/>
</file>

<file path=xl/ctrlProps/ctrlProp34.xml><?xml version="1.0" encoding="utf-8"?>
<formControlPr xmlns="http://schemas.microsoft.com/office/spreadsheetml/2009/9/main" objectType="GBox" noThreeD="1"/>
</file>

<file path=xl/ctrlProps/ctrlProp35.xml><?xml version="1.0" encoding="utf-8"?>
<formControlPr xmlns="http://schemas.microsoft.com/office/spreadsheetml/2009/9/main" objectType="Radio" checked="Checked" firstButton="1" fmlaLink="'CCP Calcs'!$EP$1"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GBox" noThreeD="1"/>
</file>

<file path=xl/ctrlProps/ctrlProp38.xml><?xml version="1.0" encoding="utf-8"?>
<formControlPr xmlns="http://schemas.microsoft.com/office/spreadsheetml/2009/9/main" objectType="Radio" checked="Checked" firstButton="1" fmlaLink="'CCP Calcs'!$AK$13"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Drop" dropStyle="combo" dx="20" fmlaLink="Settings!$AQ$10" fmlaRange="Settings!$AQ$5:$AQ$9" noThreeD="1" sel="4" val="0"/>
</file>

<file path=xl/ctrlProps/ctrlProp40.xml><?xml version="1.0" encoding="utf-8"?>
<formControlPr xmlns="http://schemas.microsoft.com/office/spreadsheetml/2009/9/main" objectType="Drop" dropStyle="combo" dx="20" fmlaLink="Settings!$BE$5" fmlaRange="Settings!$AO$21:$AO$24" noThreeD="1" sel="3" val="0"/>
</file>

<file path=xl/ctrlProps/ctrlProp41.xml><?xml version="1.0" encoding="utf-8"?>
<formControlPr xmlns="http://schemas.microsoft.com/office/spreadsheetml/2009/9/main" objectType="Drop" dropStyle="combo" dx="20" fmlaLink="Settings!$BF$5" fmlaRange="Settings!$AP$21:$AP$23" noThreeD="1" sel="1" val="0"/>
</file>

<file path=xl/ctrlProps/ctrlProp42.xml><?xml version="1.0" encoding="utf-8"?>
<formControlPr xmlns="http://schemas.microsoft.com/office/spreadsheetml/2009/9/main" objectType="Drop" dropStyle="combo" dx="20" fmlaLink="Settings!$BG$5" fmlaRange="Settings!$AQ$21:$AQ$25" noThreeD="1" sel="5" val="0"/>
</file>

<file path=xl/ctrlProps/ctrlProp5.xml><?xml version="1.0" encoding="utf-8"?>
<formControlPr xmlns="http://schemas.microsoft.com/office/spreadsheetml/2009/9/main" objectType="Drop" dropStyle="combo" dx="20" fmlaLink="Settings!$AP$10" fmlaRange="Settings!$AP$5:$AP$7" noThreeD="1" sel="2" val="0"/>
</file>

<file path=xl/ctrlProps/ctrlProp6.xml><?xml version="1.0" encoding="utf-8"?>
<formControlPr xmlns="http://schemas.microsoft.com/office/spreadsheetml/2009/9/main" objectType="Drop" dropStyle="combo" dx="20" fmlaLink="Settings!$AO$10" fmlaRange="Settings!$AO$5:$AO$8" noThreeD="1" sel="3" val="0"/>
</file>

<file path=xl/ctrlProps/ctrlProp7.xml><?xml version="1.0" encoding="utf-8"?>
<formControlPr xmlns="http://schemas.microsoft.com/office/spreadsheetml/2009/9/main" objectType="Drop" dropStyle="combo" dx="20" fmlaLink="'CCP Calcs'!$F$4" fmlaRange="'CCP Calcs'!$E$4:$E$33" noThreeD="1" sel="16" val="11"/>
</file>

<file path=xl/ctrlProps/ctrlProp8.xml><?xml version="1.0" encoding="utf-8"?>
<formControlPr xmlns="http://schemas.microsoft.com/office/spreadsheetml/2009/9/main" objectType="Drop" dropStyle="combo" dx="20" fmlaLink="'CCP Calcs'!$AI$26" fmlaRange="'CCP Calcs'!$AH$31:$AH$70" noThreeD="1" sel="28" val="20"/>
</file>

<file path=xl/ctrlProps/ctrlProp9.xml><?xml version="1.0" encoding="utf-8"?>
<formControlPr xmlns="http://schemas.microsoft.com/office/spreadsheetml/2009/9/main" objectType="Drop" dropStyle="combo" dx="20" fmlaLink="Settings!$AQ$12" fmlaRange="Settings!$AQ$5:$AQ$9" noThreeD="1" sel="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5128260" y="0"/>
    <xdr:ext cx="8643471" cy="569976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0</xdr:colOff>
          <xdr:row>4</xdr:row>
          <xdr:rowOff>0</xdr:rowOff>
        </xdr:to>
        <xdr:sp macro="" textlink="">
          <xdr:nvSpPr>
            <xdr:cNvPr id="15365" name="Drop Down 5"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190500</xdr:rowOff>
        </xdr:from>
        <xdr:to>
          <xdr:col>3</xdr:col>
          <xdr:colOff>0</xdr:colOff>
          <xdr:row>7</xdr:row>
          <xdr:rowOff>7620</xdr:rowOff>
        </xdr:to>
        <xdr:sp macro="" textlink="">
          <xdr:nvSpPr>
            <xdr:cNvPr id="15368" name="Drop Down 8" hidden="1">
              <a:extLst>
                <a:ext uri="{63B3BB69-23CF-44E3-9099-C40C66FF867C}">
                  <a14:compatExt spid="_x0000_s15368"/>
                </a:ext>
                <a:ext uri="{FF2B5EF4-FFF2-40B4-BE49-F238E27FC236}">
                  <a16:creationId xmlns:a16="http://schemas.microsoft.com/office/drawing/2014/main" id="{00000000-0008-0000-0000-000008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373380</xdr:colOff>
          <xdr:row>4</xdr:row>
          <xdr:rowOff>7620</xdr:rowOff>
        </xdr:from>
        <xdr:to>
          <xdr:col>2</xdr:col>
          <xdr:colOff>830580</xdr:colOff>
          <xdr:row>4</xdr:row>
          <xdr:rowOff>175260</xdr:rowOff>
        </xdr:to>
        <xdr:sp macro="" textlink="">
          <xdr:nvSpPr>
            <xdr:cNvPr id="15369" name="Spinner 9" hidden="1">
              <a:extLst>
                <a:ext uri="{63B3BB69-23CF-44E3-9099-C40C66FF867C}">
                  <a14:compatExt spid="_x0000_s15369"/>
                </a:ext>
                <a:ext uri="{FF2B5EF4-FFF2-40B4-BE49-F238E27FC236}">
                  <a16:creationId xmlns:a16="http://schemas.microsoft.com/office/drawing/2014/main" id="{00000000-0008-0000-0000-000009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15240</xdr:rowOff>
        </xdr:from>
        <xdr:to>
          <xdr:col>3</xdr:col>
          <xdr:colOff>0</xdr:colOff>
          <xdr:row>15</xdr:row>
          <xdr:rowOff>0</xdr:rowOff>
        </xdr:to>
        <xdr:sp macro="" textlink="">
          <xdr:nvSpPr>
            <xdr:cNvPr id="15370" name="Drop Down 10" hidden="1">
              <a:extLst>
                <a:ext uri="{63B3BB69-23CF-44E3-9099-C40C66FF867C}">
                  <a14:compatExt spid="_x0000_s15370"/>
                </a:ext>
                <a:ext uri="{FF2B5EF4-FFF2-40B4-BE49-F238E27FC236}">
                  <a16:creationId xmlns:a16="http://schemas.microsoft.com/office/drawing/2014/main" id="{00000000-0008-0000-0000-00000A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0</xdr:rowOff>
        </xdr:from>
        <xdr:to>
          <xdr:col>3</xdr:col>
          <xdr:colOff>0</xdr:colOff>
          <xdr:row>16</xdr:row>
          <xdr:rowOff>0</xdr:rowOff>
        </xdr:to>
        <xdr:sp macro="" textlink="">
          <xdr:nvSpPr>
            <xdr:cNvPr id="15371" name="Drop Down 11" hidden="1">
              <a:extLst>
                <a:ext uri="{63B3BB69-23CF-44E3-9099-C40C66FF867C}">
                  <a14:compatExt spid="_x0000_s15371"/>
                </a:ext>
                <a:ext uri="{FF2B5EF4-FFF2-40B4-BE49-F238E27FC236}">
                  <a16:creationId xmlns:a16="http://schemas.microsoft.com/office/drawing/2014/main" id="{00000000-0008-0000-0000-00000B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0</xdr:rowOff>
        </xdr:from>
        <xdr:to>
          <xdr:col>3</xdr:col>
          <xdr:colOff>0</xdr:colOff>
          <xdr:row>17</xdr:row>
          <xdr:rowOff>0</xdr:rowOff>
        </xdr:to>
        <xdr:sp macro="" textlink="">
          <xdr:nvSpPr>
            <xdr:cNvPr id="15372" name="Drop Down 12" hidden="1">
              <a:extLst>
                <a:ext uri="{63B3BB69-23CF-44E3-9099-C40C66FF867C}">
                  <a14:compatExt spid="_x0000_s15372"/>
                </a:ext>
                <a:ext uri="{FF2B5EF4-FFF2-40B4-BE49-F238E27FC236}">
                  <a16:creationId xmlns:a16="http://schemas.microsoft.com/office/drawing/2014/main" id="{00000000-0008-0000-0000-00000C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23</xdr:row>
          <xdr:rowOff>0</xdr:rowOff>
        </xdr:from>
        <xdr:to>
          <xdr:col>3</xdr:col>
          <xdr:colOff>0</xdr:colOff>
          <xdr:row>24</xdr:row>
          <xdr:rowOff>0</xdr:rowOff>
        </xdr:to>
        <xdr:sp macro="" textlink="">
          <xdr:nvSpPr>
            <xdr:cNvPr id="15373" name="Drop Down 13" hidden="1">
              <a:extLst>
                <a:ext uri="{63B3BB69-23CF-44E3-9099-C40C66FF867C}">
                  <a14:compatExt spid="_x0000_s15373"/>
                </a:ext>
                <a:ext uri="{FF2B5EF4-FFF2-40B4-BE49-F238E27FC236}">
                  <a16:creationId xmlns:a16="http://schemas.microsoft.com/office/drawing/2014/main" id="{00000000-0008-0000-0000-00000D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0</xdr:rowOff>
        </xdr:from>
        <xdr:to>
          <xdr:col>3</xdr:col>
          <xdr:colOff>0</xdr:colOff>
          <xdr:row>25</xdr:row>
          <xdr:rowOff>0</xdr:rowOff>
        </xdr:to>
        <xdr:sp macro="" textlink="">
          <xdr:nvSpPr>
            <xdr:cNvPr id="15374" name="Drop Down 14" hidden="1">
              <a:extLst>
                <a:ext uri="{63B3BB69-23CF-44E3-9099-C40C66FF867C}">
                  <a14:compatExt spid="_x0000_s15374"/>
                </a:ext>
                <a:ext uri="{FF2B5EF4-FFF2-40B4-BE49-F238E27FC236}">
                  <a16:creationId xmlns:a16="http://schemas.microsoft.com/office/drawing/2014/main" id="{00000000-0008-0000-0000-00000E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15240</xdr:rowOff>
        </xdr:from>
        <xdr:to>
          <xdr:col>7</xdr:col>
          <xdr:colOff>0</xdr:colOff>
          <xdr:row>15</xdr:row>
          <xdr:rowOff>0</xdr:rowOff>
        </xdr:to>
        <xdr:sp macro="" textlink="">
          <xdr:nvSpPr>
            <xdr:cNvPr id="15375" name="Drop Down 15" hidden="1">
              <a:extLst>
                <a:ext uri="{63B3BB69-23CF-44E3-9099-C40C66FF867C}">
                  <a14:compatExt spid="_x0000_s15375"/>
                </a:ext>
                <a:ext uri="{FF2B5EF4-FFF2-40B4-BE49-F238E27FC236}">
                  <a16:creationId xmlns:a16="http://schemas.microsoft.com/office/drawing/2014/main" id="{00000000-0008-0000-0000-00000F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0</xdr:colOff>
          <xdr:row>16</xdr:row>
          <xdr:rowOff>0</xdr:rowOff>
        </xdr:to>
        <xdr:sp macro="" textlink="">
          <xdr:nvSpPr>
            <xdr:cNvPr id="15376" name="Drop Down 16" hidden="1">
              <a:extLst>
                <a:ext uri="{63B3BB69-23CF-44E3-9099-C40C66FF867C}">
                  <a14:compatExt spid="_x0000_s15376"/>
                </a:ext>
                <a:ext uri="{FF2B5EF4-FFF2-40B4-BE49-F238E27FC236}">
                  <a16:creationId xmlns:a16="http://schemas.microsoft.com/office/drawing/2014/main" id="{00000000-0008-0000-0000-000010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0</xdr:colOff>
          <xdr:row>17</xdr:row>
          <xdr:rowOff>0</xdr:rowOff>
        </xdr:to>
        <xdr:sp macro="" textlink="">
          <xdr:nvSpPr>
            <xdr:cNvPr id="15377" name="Drop Down 17" hidden="1">
              <a:extLst>
                <a:ext uri="{63B3BB69-23CF-44E3-9099-C40C66FF867C}">
                  <a14:compatExt spid="_x0000_s15377"/>
                </a:ext>
                <a:ext uri="{FF2B5EF4-FFF2-40B4-BE49-F238E27FC236}">
                  <a16:creationId xmlns:a16="http://schemas.microsoft.com/office/drawing/2014/main" id="{00000000-0008-0000-0000-000011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0</xdr:colOff>
          <xdr:row>24</xdr:row>
          <xdr:rowOff>0</xdr:rowOff>
        </xdr:to>
        <xdr:sp macro="" textlink="">
          <xdr:nvSpPr>
            <xdr:cNvPr id="15378" name="Drop Down 18" hidden="1">
              <a:extLst>
                <a:ext uri="{63B3BB69-23CF-44E3-9099-C40C66FF867C}">
                  <a14:compatExt spid="_x0000_s15378"/>
                </a:ext>
                <a:ext uri="{FF2B5EF4-FFF2-40B4-BE49-F238E27FC236}">
                  <a16:creationId xmlns:a16="http://schemas.microsoft.com/office/drawing/2014/main" id="{00000000-0008-0000-0000-00001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0</xdr:colOff>
          <xdr:row>25</xdr:row>
          <xdr:rowOff>0</xdr:rowOff>
        </xdr:to>
        <xdr:sp macro="" textlink="">
          <xdr:nvSpPr>
            <xdr:cNvPr id="15379" name="Drop Down 19" hidden="1">
              <a:extLst>
                <a:ext uri="{63B3BB69-23CF-44E3-9099-C40C66FF867C}">
                  <a14:compatExt spid="_x0000_s15379"/>
                </a:ext>
                <a:ext uri="{FF2B5EF4-FFF2-40B4-BE49-F238E27FC236}">
                  <a16:creationId xmlns:a16="http://schemas.microsoft.com/office/drawing/2014/main" id="{00000000-0008-0000-0000-000013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3</xdr:col>
          <xdr:colOff>0</xdr:colOff>
          <xdr:row>28</xdr:row>
          <xdr:rowOff>0</xdr:rowOff>
        </xdr:to>
        <xdr:sp macro="" textlink="">
          <xdr:nvSpPr>
            <xdr:cNvPr id="15380" name="Drop Down 20" hidden="1">
              <a:extLst>
                <a:ext uri="{63B3BB69-23CF-44E3-9099-C40C66FF867C}">
                  <a14:compatExt spid="_x0000_s15380"/>
                </a:ext>
                <a:ext uri="{FF2B5EF4-FFF2-40B4-BE49-F238E27FC236}">
                  <a16:creationId xmlns:a16="http://schemas.microsoft.com/office/drawing/2014/main" id="{00000000-0008-0000-0000-00001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0</xdr:colOff>
          <xdr:row>28</xdr:row>
          <xdr:rowOff>0</xdr:rowOff>
        </xdr:to>
        <xdr:sp macro="" textlink="">
          <xdr:nvSpPr>
            <xdr:cNvPr id="15381" name="Drop Down 21" hidden="1">
              <a:extLst>
                <a:ext uri="{63B3BB69-23CF-44E3-9099-C40C66FF867C}">
                  <a14:compatExt spid="_x0000_s15381"/>
                </a:ext>
                <a:ext uri="{FF2B5EF4-FFF2-40B4-BE49-F238E27FC236}">
                  <a16:creationId xmlns:a16="http://schemas.microsoft.com/office/drawing/2014/main" id="{00000000-0008-0000-0000-00001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0</xdr:colOff>
          <xdr:row>10</xdr:row>
          <xdr:rowOff>0</xdr:rowOff>
        </xdr:to>
        <xdr:sp macro="" textlink="">
          <xdr:nvSpPr>
            <xdr:cNvPr id="15382" name="Drop Down 22" hidden="1">
              <a:extLst>
                <a:ext uri="{63B3BB69-23CF-44E3-9099-C40C66FF867C}">
                  <a14:compatExt spid="_x0000_s15382"/>
                </a:ext>
                <a:ext uri="{FF2B5EF4-FFF2-40B4-BE49-F238E27FC236}">
                  <a16:creationId xmlns:a16="http://schemas.microsoft.com/office/drawing/2014/main" id="{00000000-0008-0000-0000-000016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0</xdr:colOff>
          <xdr:row>11</xdr:row>
          <xdr:rowOff>0</xdr:rowOff>
        </xdr:to>
        <xdr:sp macro="" textlink="">
          <xdr:nvSpPr>
            <xdr:cNvPr id="15383" name="Drop Down 23" hidden="1">
              <a:extLst>
                <a:ext uri="{63B3BB69-23CF-44E3-9099-C40C66FF867C}">
                  <a14:compatExt spid="_x0000_s15383"/>
                </a:ext>
                <a:ext uri="{FF2B5EF4-FFF2-40B4-BE49-F238E27FC236}">
                  <a16:creationId xmlns:a16="http://schemas.microsoft.com/office/drawing/2014/main" id="{00000000-0008-0000-0000-000017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0</xdr:colOff>
          <xdr:row>12</xdr:row>
          <xdr:rowOff>0</xdr:rowOff>
        </xdr:to>
        <xdr:sp macro="" textlink="">
          <xdr:nvSpPr>
            <xdr:cNvPr id="15384" name="Drop Down 24" hidden="1">
              <a:extLst>
                <a:ext uri="{63B3BB69-23CF-44E3-9099-C40C66FF867C}">
                  <a14:compatExt spid="_x0000_s15384"/>
                </a:ext>
                <a:ext uri="{FF2B5EF4-FFF2-40B4-BE49-F238E27FC236}">
                  <a16:creationId xmlns:a16="http://schemas.microsoft.com/office/drawing/2014/main" id="{00000000-0008-0000-0000-000018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586740</xdr:colOff>
          <xdr:row>18</xdr:row>
          <xdr:rowOff>182880</xdr:rowOff>
        </xdr:from>
        <xdr:to>
          <xdr:col>3</xdr:col>
          <xdr:colOff>30480</xdr:colOff>
          <xdr:row>20</xdr:row>
          <xdr:rowOff>22860</xdr:rowOff>
        </xdr:to>
        <xdr:sp macro="" textlink="">
          <xdr:nvSpPr>
            <xdr:cNvPr id="15385" name="Check Box 25" hidden="1">
              <a:extLst>
                <a:ext uri="{63B3BB69-23CF-44E3-9099-C40C66FF867C}">
                  <a14:compatExt spid="_x0000_s15385"/>
                </a:ext>
                <a:ext uri="{FF2B5EF4-FFF2-40B4-BE49-F238E27FC236}">
                  <a16:creationId xmlns:a16="http://schemas.microsoft.com/office/drawing/2014/main" id="{00000000-0008-0000-0000-00001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586740</xdr:colOff>
          <xdr:row>18</xdr:row>
          <xdr:rowOff>182880</xdr:rowOff>
        </xdr:from>
        <xdr:to>
          <xdr:col>7</xdr:col>
          <xdr:colOff>30480</xdr:colOff>
          <xdr:row>20</xdr:row>
          <xdr:rowOff>22860</xdr:rowOff>
        </xdr:to>
        <xdr:sp macro="" textlink="">
          <xdr:nvSpPr>
            <xdr:cNvPr id="15386" name="Check Box 26" hidden="1">
              <a:extLst>
                <a:ext uri="{63B3BB69-23CF-44E3-9099-C40C66FF867C}">
                  <a14:compatExt spid="_x0000_s15386"/>
                </a:ext>
                <a:ext uri="{FF2B5EF4-FFF2-40B4-BE49-F238E27FC236}">
                  <a16:creationId xmlns:a16="http://schemas.microsoft.com/office/drawing/2014/main" id="{00000000-0008-0000-0000-00001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586740</xdr:colOff>
          <xdr:row>7</xdr:row>
          <xdr:rowOff>182880</xdr:rowOff>
        </xdr:from>
        <xdr:to>
          <xdr:col>3</xdr:col>
          <xdr:colOff>30480</xdr:colOff>
          <xdr:row>9</xdr:row>
          <xdr:rowOff>22860</xdr:rowOff>
        </xdr:to>
        <xdr:sp macro="" textlink="">
          <xdr:nvSpPr>
            <xdr:cNvPr id="15388" name="Check Box 28" hidden="1">
              <a:extLst>
                <a:ext uri="{63B3BB69-23CF-44E3-9099-C40C66FF867C}">
                  <a14:compatExt spid="_x0000_s15388"/>
                </a:ext>
                <a:ext uri="{FF2B5EF4-FFF2-40B4-BE49-F238E27FC236}">
                  <a16:creationId xmlns:a16="http://schemas.microsoft.com/office/drawing/2014/main" id="{00000000-0008-0000-0000-00001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0.37358</cdr:x>
      <cdr:y>0.92661</cdr:y>
    </cdr:from>
    <cdr:to>
      <cdr:x>0.56294</cdr:x>
      <cdr:y>0.95645</cdr:y>
    </cdr:to>
    <cdr:grpSp>
      <cdr:nvGrpSpPr>
        <cdr:cNvPr id="40" name="Group 39">
          <a:extLst xmlns:a="http://schemas.openxmlformats.org/drawingml/2006/main">
            <a:ext uri="{FF2B5EF4-FFF2-40B4-BE49-F238E27FC236}">
              <a16:creationId xmlns:a16="http://schemas.microsoft.com/office/drawing/2014/main" id="{1D31FB03-ACA2-4A42-9234-4DB22566D9B8}"/>
            </a:ext>
          </a:extLst>
        </cdr:cNvPr>
        <cdr:cNvGrpSpPr/>
      </cdr:nvGrpSpPr>
      <cdr:grpSpPr>
        <a:xfrm xmlns:a="http://schemas.openxmlformats.org/drawingml/2006/main">
          <a:off x="3229028" y="5281455"/>
          <a:ext cx="1636728" cy="170080"/>
          <a:chOff x="0" y="0"/>
          <a:chExt cx="1640004" cy="187801"/>
        </a:xfrm>
      </cdr:grpSpPr>
      <cdr:sp macro="" textlink="">
        <cdr:nvSpPr>
          <cdr:cNvPr id="41" name="TextBox 1">
            <a:extLst xmlns:a="http://schemas.openxmlformats.org/drawingml/2006/main">
              <a:ext uri="{FF2B5EF4-FFF2-40B4-BE49-F238E27FC236}">
                <a16:creationId xmlns:a16="http://schemas.microsoft.com/office/drawing/2014/main" id="{C9159A41-DDDA-4A62-929E-BD42A36FDE77}"/>
              </a:ext>
            </a:extLst>
          </cdr:cNvPr>
          <cdr:cNvSpPr txBox="1"/>
        </cdr:nvSpPr>
        <cdr:spPr>
          <a:xfrm xmlns:a="http://schemas.openxmlformats.org/drawingml/2006/main">
            <a:off x="0" y="0"/>
            <a:ext cx="1640004" cy="187801"/>
          </a:xfrm>
          <a:prstGeom xmlns:a="http://schemas.openxmlformats.org/drawingml/2006/main" prst="rect">
            <a:avLst/>
          </a:prstGeom>
        </cdr:spPr>
        <cdr:txBody>
          <a:bodyPr xmlns:a="http://schemas.openxmlformats.org/drawingml/2006/main" wrap="non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900" baseline="0"/>
              <a:t>X- Axis:  </a:t>
            </a:r>
            <a:r>
              <a:rPr lang="en-CA" sz="1200" b="1" baseline="0"/>
              <a:t>Wind Speed (km/h)</a:t>
            </a:r>
            <a:endParaRPr lang="en-CA" sz="1200" b="1"/>
          </a:p>
        </cdr:txBody>
      </cdr:sp>
    </cdr:grpSp>
  </cdr:relSizeAnchor>
  <cdr:relSizeAnchor xmlns:cdr="http://schemas.openxmlformats.org/drawingml/2006/chartDrawing">
    <cdr:from>
      <cdr:x>0.56427</cdr:x>
      <cdr:y>0.96567</cdr:y>
    </cdr:from>
    <cdr:to>
      <cdr:x>0.63405</cdr:x>
      <cdr:y>1</cdr:y>
    </cdr:to>
    <cdr:sp macro="" textlink="'CCP Calcs'!$DA$4">
      <cdr:nvSpPr>
        <cdr:cNvPr id="63" name="TextBox 1"/>
        <cdr:cNvSpPr txBox="1"/>
      </cdr:nvSpPr>
      <cdr:spPr>
        <a:xfrm xmlns:a="http://schemas.openxmlformats.org/drawingml/2006/main">
          <a:off x="4891854" y="6072243"/>
          <a:ext cx="604948" cy="215871"/>
        </a:xfrm>
        <a:prstGeom xmlns:a="http://schemas.openxmlformats.org/drawingml/2006/main" prst="rect">
          <a:avLst/>
        </a:prstGeom>
        <a:ln xmlns:a="http://schemas.openxmlformats.org/drawingml/2006/main">
          <a:noFill/>
        </a:ln>
      </cdr:spPr>
      <cdr:txBody>
        <a:bodyPr xmlns:a="http://schemas.openxmlformats.org/drawingml/2006/main" wrap="none" lIns="54000" tIns="36000" rIns="36000" bIns="36000" rtlCol="0" anchor="ctr" anchorCtr="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019B1E7-4649-4E1A-A3BA-A2C5ACFD6AD9}" type="TxLink">
            <a:rPr lang="en-US" sz="800" b="0" i="0" u="none" strike="noStrike">
              <a:solidFill>
                <a:srgbClr val="000000"/>
              </a:solidFill>
              <a:latin typeface="Calibri"/>
              <a:cs typeface="Calibri"/>
            </a:rPr>
            <a:pPr/>
            <a:t> </a:t>
          </a:fld>
          <a:endParaRPr lang="en-CA" sz="800"/>
        </a:p>
      </cdr:txBody>
    </cdr:sp>
  </cdr:relSizeAnchor>
  <cdr:relSizeAnchor xmlns:cdr="http://schemas.openxmlformats.org/drawingml/2006/chartDrawing">
    <cdr:from>
      <cdr:x>0.89453</cdr:x>
      <cdr:y>0.85458</cdr:y>
    </cdr:from>
    <cdr:to>
      <cdr:x>1</cdr:x>
      <cdr:y>1</cdr:y>
    </cdr:to>
    <cdr:sp macro="" textlink="">
      <cdr:nvSpPr>
        <cdr:cNvPr id="2" name="TextBox 1"/>
        <cdr:cNvSpPr txBox="1"/>
      </cdr:nvSpPr>
      <cdr:spPr>
        <a:xfrm xmlns:a="http://schemas.openxmlformats.org/drawingml/2006/main">
          <a:off x="8181975" y="543401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dr:relSizeAnchor xmlns:cdr="http://schemas.openxmlformats.org/drawingml/2006/chartDrawing">
    <cdr:from>
      <cdr:x>0.78571</cdr:x>
      <cdr:y>0.73808</cdr:y>
    </cdr:from>
    <cdr:to>
      <cdr:x>0.99359</cdr:x>
      <cdr:y>0.75953</cdr:y>
    </cdr:to>
    <cdr:sp macro="" textlink="">
      <cdr:nvSpPr>
        <cdr:cNvPr id="6" name="TextBox 5"/>
        <cdr:cNvSpPr txBox="1"/>
      </cdr:nvSpPr>
      <cdr:spPr>
        <a:xfrm xmlns:a="http://schemas.openxmlformats.org/drawingml/2006/main">
          <a:off x="6810375" y="4643438"/>
          <a:ext cx="1801813" cy="1349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a:p>
      </cdr:txBody>
    </cdr:sp>
  </cdr:relSizeAnchor>
</c:userShapes>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30480</xdr:colOff>
          <xdr:row>11</xdr:row>
          <xdr:rowOff>22860</xdr:rowOff>
        </xdr:from>
        <xdr:to>
          <xdr:col>11</xdr:col>
          <xdr:colOff>495300</xdr:colOff>
          <xdr:row>13</xdr:row>
          <xdr:rowOff>175260</xdr:rowOff>
        </xdr:to>
        <xdr:sp macro="" textlink="">
          <xdr:nvSpPr>
            <xdr:cNvPr id="24580" name="Spinner 4" hidden="1">
              <a:extLst>
                <a:ext uri="{63B3BB69-23CF-44E3-9099-C40C66FF867C}">
                  <a14:compatExt spid="_x0000_s24580"/>
                </a:ext>
                <a:ext uri="{FF2B5EF4-FFF2-40B4-BE49-F238E27FC236}">
                  <a16:creationId xmlns:a16="http://schemas.microsoft.com/office/drawing/2014/main" id="{00000000-0008-0000-0100-00000460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21</xdr:row>
          <xdr:rowOff>22860</xdr:rowOff>
        </xdr:from>
        <xdr:to>
          <xdr:col>6</xdr:col>
          <xdr:colOff>76200</xdr:colOff>
          <xdr:row>25</xdr:row>
          <xdr:rowOff>106680</xdr:rowOff>
        </xdr:to>
        <xdr:sp macro="" textlink="">
          <xdr:nvSpPr>
            <xdr:cNvPr id="24587" name="Group Box 11" hidden="1">
              <a:extLst>
                <a:ext uri="{63B3BB69-23CF-44E3-9099-C40C66FF867C}">
                  <a14:compatExt spid="_x0000_s24587"/>
                </a:ext>
                <a:ext uri="{FF2B5EF4-FFF2-40B4-BE49-F238E27FC236}">
                  <a16:creationId xmlns:a16="http://schemas.microsoft.com/office/drawing/2014/main" id="{00000000-0008-0000-0100-00000B6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21</xdr:row>
          <xdr:rowOff>30480</xdr:rowOff>
        </xdr:from>
        <xdr:to>
          <xdr:col>6</xdr:col>
          <xdr:colOff>53340</xdr:colOff>
          <xdr:row>22</xdr:row>
          <xdr:rowOff>60960</xdr:rowOff>
        </xdr:to>
        <xdr:sp macro="" textlink="">
          <xdr:nvSpPr>
            <xdr:cNvPr id="24588" name="Option Button 12" hidden="1">
              <a:extLst>
                <a:ext uri="{63B3BB69-23CF-44E3-9099-C40C66FF867C}">
                  <a14:compatExt spid="_x0000_s24588"/>
                </a:ext>
                <a:ext uri="{FF2B5EF4-FFF2-40B4-BE49-F238E27FC236}">
                  <a16:creationId xmlns:a16="http://schemas.microsoft.com/office/drawing/2014/main" id="{00000000-0008-0000-0100-00000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CA" sz="800" b="0" i="0" u="none" strike="noStrike" baseline="0">
                  <a:solidFill>
                    <a:srgbClr val="000000"/>
                  </a:solidFill>
                  <a:latin typeface="Segoe UI"/>
                  <a:cs typeface="Segoe UI"/>
                </a:rPr>
                <a:t>Aggregated FBPS surf. model  V2 (default)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22</xdr:row>
          <xdr:rowOff>99060</xdr:rowOff>
        </xdr:from>
        <xdr:to>
          <xdr:col>6</xdr:col>
          <xdr:colOff>0</xdr:colOff>
          <xdr:row>23</xdr:row>
          <xdr:rowOff>121920</xdr:rowOff>
        </xdr:to>
        <xdr:sp macro="" textlink="">
          <xdr:nvSpPr>
            <xdr:cNvPr id="24589" name="Option Button 13" hidden="1">
              <a:extLst>
                <a:ext uri="{63B3BB69-23CF-44E3-9099-C40C66FF867C}">
                  <a14:compatExt spid="_x0000_s24589"/>
                </a:ext>
                <a:ext uri="{FF2B5EF4-FFF2-40B4-BE49-F238E27FC236}">
                  <a16:creationId xmlns:a16="http://schemas.microsoft.com/office/drawing/2014/main" id="{00000000-0008-0000-0100-00000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CA" sz="800" b="0" i="0" u="none" strike="noStrike" baseline="0">
                  <a:solidFill>
                    <a:srgbClr val="000000"/>
                  </a:solidFill>
                  <a:latin typeface="Segoe UI"/>
                  <a:cs typeface="Segoe UI"/>
                </a:rPr>
                <a:t>D-1 FBPS model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23</xdr:row>
          <xdr:rowOff>160020</xdr:rowOff>
        </xdr:from>
        <xdr:to>
          <xdr:col>6</xdr:col>
          <xdr:colOff>30480</xdr:colOff>
          <xdr:row>25</xdr:row>
          <xdr:rowOff>7620</xdr:rowOff>
        </xdr:to>
        <xdr:sp macro="" textlink="">
          <xdr:nvSpPr>
            <xdr:cNvPr id="24590" name="Option Button 14" hidden="1">
              <a:extLst>
                <a:ext uri="{63B3BB69-23CF-44E3-9099-C40C66FF867C}">
                  <a14:compatExt spid="_x0000_s24590"/>
                </a:ext>
                <a:ext uri="{FF2B5EF4-FFF2-40B4-BE49-F238E27FC236}">
                  <a16:creationId xmlns:a16="http://schemas.microsoft.com/office/drawing/2014/main" id="{00000000-0008-0000-0100-00000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CA" sz="800" b="0" i="0" u="none" strike="noStrike" baseline="0">
                  <a:solidFill>
                    <a:srgbClr val="000000"/>
                  </a:solidFill>
                  <a:latin typeface="Segoe UI"/>
                  <a:cs typeface="Segoe UI"/>
                </a:rPr>
                <a:t>C-6 (surface only) FBPS model</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30480</xdr:colOff>
          <xdr:row>4</xdr:row>
          <xdr:rowOff>22860</xdr:rowOff>
        </xdr:from>
        <xdr:to>
          <xdr:col>11</xdr:col>
          <xdr:colOff>487680</xdr:colOff>
          <xdr:row>6</xdr:row>
          <xdr:rowOff>175260</xdr:rowOff>
        </xdr:to>
        <xdr:sp macro="" textlink="">
          <xdr:nvSpPr>
            <xdr:cNvPr id="24591" name="Spinner 15" hidden="1">
              <a:extLst>
                <a:ext uri="{63B3BB69-23CF-44E3-9099-C40C66FF867C}">
                  <a14:compatExt spid="_x0000_s24591"/>
                </a:ext>
                <a:ext uri="{FF2B5EF4-FFF2-40B4-BE49-F238E27FC236}">
                  <a16:creationId xmlns:a16="http://schemas.microsoft.com/office/drawing/2014/main" id="{00000000-0008-0000-0100-00000F60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3</xdr:row>
          <xdr:rowOff>22860</xdr:rowOff>
        </xdr:from>
        <xdr:to>
          <xdr:col>8</xdr:col>
          <xdr:colOff>182880</xdr:colOff>
          <xdr:row>5</xdr:row>
          <xdr:rowOff>251460</xdr:rowOff>
        </xdr:to>
        <xdr:sp macro="" textlink="">
          <xdr:nvSpPr>
            <xdr:cNvPr id="24600" name="Group Box 24" hidden="1">
              <a:extLst>
                <a:ext uri="{63B3BB69-23CF-44E3-9099-C40C66FF867C}">
                  <a14:compatExt spid="_x0000_s24600"/>
                </a:ext>
                <a:ext uri="{FF2B5EF4-FFF2-40B4-BE49-F238E27FC236}">
                  <a16:creationId xmlns:a16="http://schemas.microsoft.com/office/drawing/2014/main" id="{00000000-0008-0000-0100-0000186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xdr:row>
          <xdr:rowOff>22860</xdr:rowOff>
        </xdr:from>
        <xdr:to>
          <xdr:col>7</xdr:col>
          <xdr:colOff>571500</xdr:colOff>
          <xdr:row>4</xdr:row>
          <xdr:rowOff>45720</xdr:rowOff>
        </xdr:to>
        <xdr:sp macro="" textlink="">
          <xdr:nvSpPr>
            <xdr:cNvPr id="24602" name="Option Button 26" hidden="1">
              <a:extLst>
                <a:ext uri="{63B3BB69-23CF-44E3-9099-C40C66FF867C}">
                  <a14:compatExt spid="_x0000_s24602"/>
                </a:ext>
                <a:ext uri="{FF2B5EF4-FFF2-40B4-BE49-F238E27FC236}">
                  <a16:creationId xmlns:a16="http://schemas.microsoft.com/office/drawing/2014/main" id="{00000000-0008-0000-0100-00001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CA" sz="800" b="0" i="0" u="none" strike="noStrike" baseline="0">
                  <a:solidFill>
                    <a:srgbClr val="000000"/>
                  </a:solidFill>
                  <a:latin typeface="Segoe UI"/>
                  <a:cs typeface="Segoe UI"/>
                </a:rPr>
                <a:t>Stand-adjusted (mcSA: Wotton &amp; Beverly 2007; default)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4</xdr:row>
          <xdr:rowOff>7620</xdr:rowOff>
        </xdr:from>
        <xdr:to>
          <xdr:col>7</xdr:col>
          <xdr:colOff>601980</xdr:colOff>
          <xdr:row>5</xdr:row>
          <xdr:rowOff>38100</xdr:rowOff>
        </xdr:to>
        <xdr:sp macro="" textlink="">
          <xdr:nvSpPr>
            <xdr:cNvPr id="24606" name="Option Button 30" hidden="1">
              <a:extLst>
                <a:ext uri="{63B3BB69-23CF-44E3-9099-C40C66FF867C}">
                  <a14:compatExt spid="_x0000_s24606"/>
                </a:ext>
                <a:ext uri="{FF2B5EF4-FFF2-40B4-BE49-F238E27FC236}">
                  <a16:creationId xmlns:a16="http://schemas.microsoft.com/office/drawing/2014/main" id="{00000000-0008-0000-0100-00001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CA" sz="800" b="0" i="0" u="none" strike="noStrike" baseline="0">
                  <a:solidFill>
                    <a:srgbClr val="000000"/>
                  </a:solidFill>
                  <a:latin typeface="Segoe UI"/>
                  <a:cs typeface="Segoe UI"/>
                </a:rPr>
                <a:t>Manual entry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5</xdr:row>
          <xdr:rowOff>0</xdr:rowOff>
        </xdr:from>
        <xdr:to>
          <xdr:col>7</xdr:col>
          <xdr:colOff>883920</xdr:colOff>
          <xdr:row>5</xdr:row>
          <xdr:rowOff>220980</xdr:rowOff>
        </xdr:to>
        <xdr:sp macro="" textlink="">
          <xdr:nvSpPr>
            <xdr:cNvPr id="24607" name="Option Button 31" hidden="1">
              <a:extLst>
                <a:ext uri="{63B3BB69-23CF-44E3-9099-C40C66FF867C}">
                  <a14:compatExt spid="_x0000_s24607"/>
                </a:ext>
                <a:ext uri="{FF2B5EF4-FFF2-40B4-BE49-F238E27FC236}">
                  <a16:creationId xmlns:a16="http://schemas.microsoft.com/office/drawing/2014/main" id="{00000000-0008-0000-0100-00001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CA" sz="800" b="0" i="0" u="none" strike="noStrike" baseline="0">
                  <a:solidFill>
                    <a:srgbClr val="000000"/>
                  </a:solidFill>
                  <a:latin typeface="Segoe UI"/>
                  <a:cs typeface="Segoe UI"/>
                </a:rPr>
                <a:t>FFMC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17</xdr:row>
          <xdr:rowOff>0</xdr:rowOff>
        </xdr:from>
        <xdr:to>
          <xdr:col>13</xdr:col>
          <xdr:colOff>563880</xdr:colOff>
          <xdr:row>18</xdr:row>
          <xdr:rowOff>106680</xdr:rowOff>
        </xdr:to>
        <xdr:sp macro="" textlink="">
          <xdr:nvSpPr>
            <xdr:cNvPr id="24608" name="Check Box 32" hidden="1">
              <a:extLst>
                <a:ext uri="{63B3BB69-23CF-44E3-9099-C40C66FF867C}">
                  <a14:compatExt spid="_x0000_s24608"/>
                </a:ext>
                <a:ext uri="{FF2B5EF4-FFF2-40B4-BE49-F238E27FC236}">
                  <a16:creationId xmlns:a16="http://schemas.microsoft.com/office/drawing/2014/main" id="{00000000-0008-0000-0100-00002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22860" rIns="0" bIns="22860" anchor="ctr" upright="1"/>
            <a:lstStyle/>
            <a:p>
              <a:pPr algn="l" rtl="0">
                <a:defRPr sz="1000"/>
              </a:pPr>
              <a:r>
                <a:rPr lang="en-CA" sz="800" b="0" i="0" u="none" strike="noStrike" baseline="0">
                  <a:solidFill>
                    <a:srgbClr val="000000"/>
                  </a:solidFill>
                  <a:latin typeface="Tahoma"/>
                  <a:ea typeface="Tahoma"/>
                  <a:cs typeface="Tahoma"/>
                </a:rPr>
                <a:t>Show CFI confidence interval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17</xdr:row>
          <xdr:rowOff>0</xdr:rowOff>
        </xdr:from>
        <xdr:to>
          <xdr:col>18</xdr:col>
          <xdr:colOff>121920</xdr:colOff>
          <xdr:row>18</xdr:row>
          <xdr:rowOff>106680</xdr:rowOff>
        </xdr:to>
        <xdr:sp macro="" textlink="">
          <xdr:nvSpPr>
            <xdr:cNvPr id="24609" name="Check Box 33" hidden="1">
              <a:extLst>
                <a:ext uri="{63B3BB69-23CF-44E3-9099-C40C66FF867C}">
                  <a14:compatExt spid="_x0000_s24609"/>
                </a:ext>
                <a:ext uri="{FF2B5EF4-FFF2-40B4-BE49-F238E27FC236}">
                  <a16:creationId xmlns:a16="http://schemas.microsoft.com/office/drawing/2014/main" id="{00000000-0008-0000-0100-00002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CA" sz="800" b="0" i="0" u="none" strike="noStrike" baseline="0">
                  <a:solidFill>
                    <a:srgbClr val="000000"/>
                  </a:solidFill>
                  <a:latin typeface="Tahoma"/>
                  <a:ea typeface="Tahoma"/>
                  <a:cs typeface="Tahoma"/>
                </a:rPr>
                <a:t>Show CFI confidence  interval</a:t>
              </a:r>
            </a:p>
          </xdr:txBody>
        </xdr:sp>
        <xdr:clientData/>
      </xdr:twoCellAnchor>
    </mc:Choice>
    <mc:Fallback/>
  </mc:AlternateContent>
  <xdr:twoCellAnchor>
    <xdr:from>
      <xdr:col>11</xdr:col>
      <xdr:colOff>238125</xdr:colOff>
      <xdr:row>16</xdr:row>
      <xdr:rowOff>85725</xdr:rowOff>
    </xdr:from>
    <xdr:to>
      <xdr:col>12</xdr:col>
      <xdr:colOff>343528</xdr:colOff>
      <xdr:row>16</xdr:row>
      <xdr:rowOff>131399</xdr:rowOff>
    </xdr:to>
    <xdr:sp macro="" textlink="">
      <xdr:nvSpPr>
        <xdr:cNvPr id="34" name="Minus 33">
          <a:extLst>
            <a:ext uri="{FF2B5EF4-FFF2-40B4-BE49-F238E27FC236}">
              <a16:creationId xmlns:a16="http://schemas.microsoft.com/office/drawing/2014/main" id="{00000000-0008-0000-0100-000022000000}"/>
            </a:ext>
          </a:extLst>
        </xdr:cNvPr>
        <xdr:cNvSpPr/>
      </xdr:nvSpPr>
      <xdr:spPr>
        <a:xfrm>
          <a:off x="6219825" y="3238500"/>
          <a:ext cx="715003" cy="45674"/>
        </a:xfrm>
        <a:prstGeom prst="mathMinus">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15</xdr:col>
      <xdr:colOff>190500</xdr:colOff>
      <xdr:row>16</xdr:row>
      <xdr:rowOff>104775</xdr:rowOff>
    </xdr:from>
    <xdr:to>
      <xdr:col>16</xdr:col>
      <xdr:colOff>295902</xdr:colOff>
      <xdr:row>16</xdr:row>
      <xdr:rowOff>152652</xdr:rowOff>
    </xdr:to>
    <xdr:sp macro="" textlink="">
      <xdr:nvSpPr>
        <xdr:cNvPr id="35" name="Minus 34">
          <a:extLst>
            <a:ext uri="{FF2B5EF4-FFF2-40B4-BE49-F238E27FC236}">
              <a16:creationId xmlns:a16="http://schemas.microsoft.com/office/drawing/2014/main" id="{00000000-0008-0000-0100-000023000000}"/>
            </a:ext>
          </a:extLst>
        </xdr:cNvPr>
        <xdr:cNvSpPr/>
      </xdr:nvSpPr>
      <xdr:spPr>
        <a:xfrm>
          <a:off x="8610600" y="3248025"/>
          <a:ext cx="715002" cy="47877"/>
        </a:xfrm>
        <a:prstGeom prst="mathMinus">
          <a:avLst/>
        </a:prstGeom>
        <a:solidFill>
          <a:srgbClr val="871BA5"/>
        </a:solidFill>
        <a:ln>
          <a:solidFill>
            <a:srgbClr val="871BA5"/>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mc:AlternateContent xmlns:mc="http://schemas.openxmlformats.org/markup-compatibility/2006">
    <mc:Choice xmlns:a14="http://schemas.microsoft.com/office/drawing/2010/main" Requires="a14">
      <xdr:twoCellAnchor editAs="oneCell">
        <xdr:from>
          <xdr:col>10</xdr:col>
          <xdr:colOff>53340</xdr:colOff>
          <xdr:row>21</xdr:row>
          <xdr:rowOff>7620</xdr:rowOff>
        </xdr:from>
        <xdr:to>
          <xdr:col>15</xdr:col>
          <xdr:colOff>411480</xdr:colOff>
          <xdr:row>24</xdr:row>
          <xdr:rowOff>0</xdr:rowOff>
        </xdr:to>
        <xdr:sp macro="" textlink="">
          <xdr:nvSpPr>
            <xdr:cNvPr id="24617" name="Group Box 41" hidden="1">
              <a:extLst>
                <a:ext uri="{63B3BB69-23CF-44E3-9099-C40C66FF867C}">
                  <a14:compatExt spid="_x0000_s24617"/>
                </a:ext>
                <a:ext uri="{FF2B5EF4-FFF2-40B4-BE49-F238E27FC236}">
                  <a16:creationId xmlns:a16="http://schemas.microsoft.com/office/drawing/2014/main" id="{00000000-0008-0000-0100-0000296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91440</xdr:colOff>
          <xdr:row>21</xdr:row>
          <xdr:rowOff>45720</xdr:rowOff>
        </xdr:from>
        <xdr:to>
          <xdr:col>15</xdr:col>
          <xdr:colOff>266700</xdr:colOff>
          <xdr:row>22</xdr:row>
          <xdr:rowOff>83820</xdr:rowOff>
        </xdr:to>
        <xdr:sp macro="" textlink="">
          <xdr:nvSpPr>
            <xdr:cNvPr id="24619" name="Option Button 43" hidden="1">
              <a:extLst>
                <a:ext uri="{63B3BB69-23CF-44E3-9099-C40C66FF867C}">
                  <a14:compatExt spid="_x0000_s24619"/>
                </a:ext>
                <a:ext uri="{FF2B5EF4-FFF2-40B4-BE49-F238E27FC236}">
                  <a16:creationId xmlns:a16="http://schemas.microsoft.com/office/drawing/2014/main" id="{00000000-0008-0000-0100-00002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CA" sz="800" b="0" i="0" u="none" strike="noStrike" baseline="0">
                  <a:solidFill>
                    <a:srgbClr val="000000"/>
                  </a:solidFill>
                  <a:latin typeface="Segoe UI"/>
                  <a:cs typeface="Segoe UI"/>
                </a:rPr>
                <a:t>Adapted Cruz et al. (2005): ws, mc, CBD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99060</xdr:colOff>
          <xdr:row>22</xdr:row>
          <xdr:rowOff>137160</xdr:rowOff>
        </xdr:from>
        <xdr:to>
          <xdr:col>15</xdr:col>
          <xdr:colOff>274320</xdr:colOff>
          <xdr:row>23</xdr:row>
          <xdr:rowOff>175260</xdr:rowOff>
        </xdr:to>
        <xdr:sp macro="" textlink="">
          <xdr:nvSpPr>
            <xdr:cNvPr id="24620" name="Option Button 44" hidden="1">
              <a:extLst>
                <a:ext uri="{63B3BB69-23CF-44E3-9099-C40C66FF867C}">
                  <a14:compatExt spid="_x0000_s24620"/>
                </a:ext>
                <a:ext uri="{FF2B5EF4-FFF2-40B4-BE49-F238E27FC236}">
                  <a16:creationId xmlns:a16="http://schemas.microsoft.com/office/drawing/2014/main" id="{00000000-0008-0000-0100-00002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CA" sz="800" b="0" i="0" u="none" strike="noStrike" baseline="0">
                  <a:solidFill>
                    <a:srgbClr val="000000"/>
                  </a:solidFill>
                  <a:latin typeface="Segoe UI"/>
                  <a:cs typeface="Segoe UI"/>
                </a:rPr>
                <a:t>Adapted Cruz and Alexander (2019): ws only</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38100</xdr:colOff>
          <xdr:row>20</xdr:row>
          <xdr:rowOff>22860</xdr:rowOff>
        </xdr:from>
        <xdr:to>
          <xdr:col>10</xdr:col>
          <xdr:colOff>228600</xdr:colOff>
          <xdr:row>22</xdr:row>
          <xdr:rowOff>160020</xdr:rowOff>
        </xdr:to>
        <xdr:sp macro="" textlink="">
          <xdr:nvSpPr>
            <xdr:cNvPr id="25601" name="Group Box 1" hidden="1">
              <a:extLst>
                <a:ext uri="{63B3BB69-23CF-44E3-9099-C40C66FF867C}">
                  <a14:compatExt spid="_x0000_s25601"/>
                </a:ext>
                <a:ext uri="{FF2B5EF4-FFF2-40B4-BE49-F238E27FC236}">
                  <a16:creationId xmlns:a16="http://schemas.microsoft.com/office/drawing/2014/main" id="{00000000-0008-0000-0200-000001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9</xdr:col>
          <xdr:colOff>57151</xdr:colOff>
          <xdr:row>20</xdr:row>
          <xdr:rowOff>38100</xdr:rowOff>
        </xdr:from>
        <xdr:to>
          <xdr:col>13</xdr:col>
          <xdr:colOff>0</xdr:colOff>
          <xdr:row>22</xdr:row>
          <xdr:rowOff>114300</xdr:rowOff>
        </xdr:to>
        <xdr:grpSp>
          <xdr:nvGrpSpPr>
            <xdr:cNvPr id="3" name="Group 2">
              <a:extLst>
                <a:ext uri="{FF2B5EF4-FFF2-40B4-BE49-F238E27FC236}">
                  <a16:creationId xmlns:a16="http://schemas.microsoft.com/office/drawing/2014/main" id="{00000000-0008-0000-0200-000003000000}"/>
                </a:ext>
              </a:extLst>
            </xdr:cNvPr>
            <xdr:cNvGrpSpPr/>
          </xdr:nvGrpSpPr>
          <xdr:grpSpPr>
            <a:xfrm>
              <a:off x="6396991" y="3771900"/>
              <a:ext cx="3333749" cy="457200"/>
              <a:chOff x="666751" y="2076463"/>
              <a:chExt cx="1786270" cy="457200"/>
            </a:xfrm>
          </xdr:grpSpPr>
          <xdr:sp macro="" textlink="">
            <xdr:nvSpPr>
              <xdr:cNvPr id="25602" name="Option Button 2" hidden="1">
                <a:extLst>
                  <a:ext uri="{63B3BB69-23CF-44E3-9099-C40C66FF867C}">
                    <a14:compatExt spid="_x0000_s25602"/>
                  </a:ext>
                  <a:ext uri="{FF2B5EF4-FFF2-40B4-BE49-F238E27FC236}">
                    <a16:creationId xmlns:a16="http://schemas.microsoft.com/office/drawing/2014/main" id="{00000000-0008-0000-0200-000002640000}"/>
                  </a:ext>
                </a:extLst>
              </xdr:cNvPr>
              <xdr:cNvSpPr/>
            </xdr:nvSpPr>
            <xdr:spPr bwMode="auto">
              <a:xfrm>
                <a:off x="666751" y="2076463"/>
                <a:ext cx="1786270" cy="2476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CA" sz="800" b="0" i="0" u="none" strike="noStrike" baseline="0">
                    <a:solidFill>
                      <a:srgbClr val="000000"/>
                    </a:solidFill>
                    <a:latin typeface="Segoe UI"/>
                    <a:cs typeface="Segoe UI"/>
                  </a:rPr>
                  <a:t>Use fine fuel consumption only (deflt.)</a:t>
                </a:r>
              </a:p>
            </xdr:txBody>
          </xdr:sp>
          <xdr:sp macro="" textlink="">
            <xdr:nvSpPr>
              <xdr:cNvPr id="25603" name="Option Button 3" hidden="1">
                <a:extLst>
                  <a:ext uri="{63B3BB69-23CF-44E3-9099-C40C66FF867C}">
                    <a14:compatExt spid="_x0000_s25603"/>
                  </a:ext>
                  <a:ext uri="{FF2B5EF4-FFF2-40B4-BE49-F238E27FC236}">
                    <a16:creationId xmlns:a16="http://schemas.microsoft.com/office/drawing/2014/main" id="{00000000-0008-0000-0200-000003640000}"/>
                  </a:ext>
                </a:extLst>
              </xdr:cNvPr>
              <xdr:cNvSpPr/>
            </xdr:nvSpPr>
            <xdr:spPr bwMode="auto">
              <a:xfrm>
                <a:off x="666751" y="2314590"/>
                <a:ext cx="1770321" cy="21907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CA" sz="800" b="0" i="0" u="none" strike="noStrike" baseline="0">
                    <a:solidFill>
                      <a:srgbClr val="000000"/>
                    </a:solidFill>
                    <a:latin typeface="Segoe UI"/>
                    <a:cs typeface="Segoe UI"/>
                  </a:rPr>
                  <a:t>Use fine + woody fuel consumption</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7620</xdr:rowOff>
        </xdr:from>
        <xdr:to>
          <xdr:col>2</xdr:col>
          <xdr:colOff>922020</xdr:colOff>
          <xdr:row>15</xdr:row>
          <xdr:rowOff>0</xdr:rowOff>
        </xdr:to>
        <xdr:sp macro="" textlink="">
          <xdr:nvSpPr>
            <xdr:cNvPr id="25604" name="Drop Down 4" hidden="1">
              <a:extLst>
                <a:ext uri="{63B3BB69-23CF-44E3-9099-C40C66FF867C}">
                  <a14:compatExt spid="_x0000_s25604"/>
                </a:ext>
                <a:ext uri="{FF2B5EF4-FFF2-40B4-BE49-F238E27FC236}">
                  <a16:creationId xmlns:a16="http://schemas.microsoft.com/office/drawing/2014/main" id="{00000000-0008-0000-0200-000004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7620</xdr:rowOff>
        </xdr:from>
        <xdr:to>
          <xdr:col>2</xdr:col>
          <xdr:colOff>922020</xdr:colOff>
          <xdr:row>16</xdr:row>
          <xdr:rowOff>0</xdr:rowOff>
        </xdr:to>
        <xdr:sp macro="" textlink="">
          <xdr:nvSpPr>
            <xdr:cNvPr id="25605" name="Drop Down 5" hidden="1">
              <a:extLst>
                <a:ext uri="{63B3BB69-23CF-44E3-9099-C40C66FF867C}">
                  <a14:compatExt spid="_x0000_s25605"/>
                </a:ext>
                <a:ext uri="{FF2B5EF4-FFF2-40B4-BE49-F238E27FC236}">
                  <a16:creationId xmlns:a16="http://schemas.microsoft.com/office/drawing/2014/main" id="{00000000-0008-0000-0200-000005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7620</xdr:rowOff>
        </xdr:from>
        <xdr:to>
          <xdr:col>2</xdr:col>
          <xdr:colOff>922020</xdr:colOff>
          <xdr:row>17</xdr:row>
          <xdr:rowOff>0</xdr:rowOff>
        </xdr:to>
        <xdr:sp macro="" textlink="">
          <xdr:nvSpPr>
            <xdr:cNvPr id="25606" name="Drop Down 6" hidden="1">
              <a:extLst>
                <a:ext uri="{63B3BB69-23CF-44E3-9099-C40C66FF867C}">
                  <a14:compatExt spid="_x0000_s25606"/>
                </a:ext>
                <a:ext uri="{FF2B5EF4-FFF2-40B4-BE49-F238E27FC236}">
                  <a16:creationId xmlns:a16="http://schemas.microsoft.com/office/drawing/2014/main" id="{00000000-0008-0000-0200-000006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6</xdr:col>
      <xdr:colOff>384175</xdr:colOff>
      <xdr:row>2</xdr:row>
      <xdr:rowOff>104775</xdr:rowOff>
    </xdr:from>
    <xdr:to>
      <xdr:col>13</xdr:col>
      <xdr:colOff>37465</xdr:colOff>
      <xdr:row>18</xdr:row>
      <xdr:rowOff>133985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733" t="8890" r="6223"/>
        <a:stretch/>
      </xdr:blipFill>
      <xdr:spPr bwMode="auto">
        <a:xfrm>
          <a:off x="7287895" y="470535"/>
          <a:ext cx="3920490" cy="3008630"/>
        </a:xfrm>
        <a:prstGeom prst="rect">
          <a:avLst/>
        </a:prstGeom>
        <a:ln>
          <a:noFill/>
        </a:ln>
        <a:extLst>
          <a:ext uri="{53640926-AAD7-44D8-BBD7-CCE9431645EC}">
            <a14:shadowObscured xmlns:a14="http://schemas.microsoft.com/office/drawing/2010/main"/>
          </a:ext>
        </a:extLst>
      </xdr:spPr>
    </xdr:pic>
    <xdr:clientData/>
  </xdr:twoCellAnchor>
  <xdr:twoCellAnchor>
    <xdr:from>
      <xdr:col>6</xdr:col>
      <xdr:colOff>304800</xdr:colOff>
      <xdr:row>2</xdr:row>
      <xdr:rowOff>91440</xdr:rowOff>
    </xdr:from>
    <xdr:to>
      <xdr:col>15</xdr:col>
      <xdr:colOff>542926</xdr:colOff>
      <xdr:row>19</xdr:row>
      <xdr:rowOff>4444</xdr:rowOff>
    </xdr:to>
    <xdr:grpSp>
      <xdr:nvGrpSpPr>
        <xdr:cNvPr id="3" name="Group 2">
          <a:extLst>
            <a:ext uri="{FF2B5EF4-FFF2-40B4-BE49-F238E27FC236}">
              <a16:creationId xmlns:a16="http://schemas.microsoft.com/office/drawing/2014/main" id="{00000000-0008-0000-0300-000003000000}"/>
            </a:ext>
          </a:extLst>
        </xdr:cNvPr>
        <xdr:cNvGrpSpPr/>
      </xdr:nvGrpSpPr>
      <xdr:grpSpPr>
        <a:xfrm>
          <a:off x="6156960" y="457200"/>
          <a:ext cx="5724526" cy="3075304"/>
          <a:chOff x="1" y="0"/>
          <a:chExt cx="6029325" cy="3067684"/>
        </a:xfrm>
      </xdr:grpSpPr>
      <xdr:sp macro="" textlink="">
        <xdr:nvSpPr>
          <xdr:cNvPr id="4" name="Text Box 2">
            <a:extLst>
              <a:ext uri="{FF2B5EF4-FFF2-40B4-BE49-F238E27FC236}">
                <a16:creationId xmlns:a16="http://schemas.microsoft.com/office/drawing/2014/main" id="{00000000-0008-0000-0300-000004000000}"/>
              </a:ext>
            </a:extLst>
          </xdr:cNvPr>
          <xdr:cNvSpPr txBox="1">
            <a:spLocks noChangeArrowheads="1"/>
          </xdr:cNvSpPr>
        </xdr:nvSpPr>
        <xdr:spPr bwMode="auto">
          <a:xfrm>
            <a:off x="4759254" y="2140527"/>
            <a:ext cx="1185731" cy="457200"/>
          </a:xfrm>
          <a:prstGeom prst="rect">
            <a:avLst/>
          </a:prstGeom>
          <a:solidFill>
            <a:srgbClr val="FFFFFF"/>
          </a:solidFill>
          <a:ln w="9525">
            <a:solidFill>
              <a:srgbClr val="000000"/>
            </a:solidFill>
            <a:miter lim="800000"/>
            <a:headEnd/>
            <a:tailEnd/>
          </a:ln>
        </xdr:spPr>
        <xdr:txBody>
          <a:bodyPr rot="0" vert="horz" wrap="square" lIns="36000" tIns="36000" rIns="36000" bIns="36000" anchor="t" anchorCtr="0">
            <a:noAutofit/>
          </a:bodyPr>
          <a:lstStyle/>
          <a:p>
            <a:r>
              <a:rPr lang="en-CA" sz="1200">
                <a:effectLst/>
                <a:latin typeface="Arial" panose="020B0604020202020204" pitchFamily="34" charset="0"/>
                <a:ea typeface="Cambria" panose="02040503050406030204" pitchFamily="18" charset="0"/>
                <a:cs typeface="Times New Roman" panose="02020603050405020304" pitchFamily="18" charset="0"/>
              </a:rPr>
              <a:t>Standing dead ladder fuels</a:t>
            </a:r>
          </a:p>
        </xdr:txBody>
      </xdr:sp>
      <xdr:cxnSp macro="">
        <xdr:nvCxnSpPr>
          <xdr:cNvPr id="5" name="Straight Arrow Connector 4">
            <a:extLst>
              <a:ext uri="{FF2B5EF4-FFF2-40B4-BE49-F238E27FC236}">
                <a16:creationId xmlns:a16="http://schemas.microsoft.com/office/drawing/2014/main" id="{00000000-0008-0000-0300-000005000000}"/>
              </a:ext>
            </a:extLst>
          </xdr:cNvPr>
          <xdr:cNvCxnSpPr>
            <a:stCxn id="4" idx="1"/>
          </xdr:cNvCxnSpPr>
        </xdr:nvCxnSpPr>
        <xdr:spPr>
          <a:xfrm flipH="1">
            <a:off x="4405744" y="2369127"/>
            <a:ext cx="353510" cy="171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 name="Straight Arrow Connector 5">
            <a:extLst>
              <a:ext uri="{FF2B5EF4-FFF2-40B4-BE49-F238E27FC236}">
                <a16:creationId xmlns:a16="http://schemas.microsoft.com/office/drawing/2014/main" id="{00000000-0008-0000-0300-000006000000}"/>
              </a:ext>
            </a:extLst>
          </xdr:cNvPr>
          <xdr:cNvCxnSpPr>
            <a:stCxn id="4" idx="1"/>
          </xdr:cNvCxnSpPr>
        </xdr:nvCxnSpPr>
        <xdr:spPr>
          <a:xfrm flipH="1" flipV="1">
            <a:off x="4267200" y="2209800"/>
            <a:ext cx="492055" cy="1593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nvGrpSpPr>
          <xdr:cNvPr id="7" name="Group 6">
            <a:extLst>
              <a:ext uri="{FF2B5EF4-FFF2-40B4-BE49-F238E27FC236}">
                <a16:creationId xmlns:a16="http://schemas.microsoft.com/office/drawing/2014/main" id="{00000000-0008-0000-0300-000007000000}"/>
              </a:ext>
            </a:extLst>
          </xdr:cNvPr>
          <xdr:cNvGrpSpPr/>
        </xdr:nvGrpSpPr>
        <xdr:grpSpPr>
          <a:xfrm>
            <a:off x="1" y="0"/>
            <a:ext cx="6029325" cy="3067684"/>
            <a:chOff x="0" y="0"/>
            <a:chExt cx="6029739" cy="3067879"/>
          </a:xfrm>
        </xdr:grpSpPr>
        <xdr:sp macro="" textlink="">
          <xdr:nvSpPr>
            <xdr:cNvPr id="8" name="Text Box 2">
              <a:extLst>
                <a:ext uri="{FF2B5EF4-FFF2-40B4-BE49-F238E27FC236}">
                  <a16:creationId xmlns:a16="http://schemas.microsoft.com/office/drawing/2014/main" id="{00000000-0008-0000-0300-000008000000}"/>
                </a:ext>
              </a:extLst>
            </xdr:cNvPr>
            <xdr:cNvSpPr txBox="1">
              <a:spLocks noChangeArrowheads="1"/>
            </xdr:cNvSpPr>
          </xdr:nvSpPr>
          <xdr:spPr bwMode="auto">
            <a:xfrm>
              <a:off x="4759034" y="588818"/>
              <a:ext cx="1082040" cy="457200"/>
            </a:xfrm>
            <a:prstGeom prst="rect">
              <a:avLst/>
            </a:prstGeom>
            <a:solidFill>
              <a:srgbClr val="FFFFFF"/>
            </a:solidFill>
            <a:ln w="9525">
              <a:solidFill>
                <a:srgbClr val="000000"/>
              </a:solidFill>
              <a:miter lim="800000"/>
              <a:headEnd/>
              <a:tailEnd/>
            </a:ln>
          </xdr:spPr>
          <xdr:txBody>
            <a:bodyPr rot="0" vert="horz" wrap="square" lIns="36000" tIns="36000" rIns="36000" bIns="36000" anchor="t" anchorCtr="0">
              <a:noAutofit/>
            </a:bodyPr>
            <a:lstStyle/>
            <a:p>
              <a:r>
                <a:rPr lang="en-CA" sz="1200">
                  <a:effectLst/>
                  <a:latin typeface="Arial" panose="020B0604020202020204" pitchFamily="34" charset="0"/>
                  <a:ea typeface="Cambria" panose="02040503050406030204" pitchFamily="18" charset="0"/>
                  <a:cs typeface="Times New Roman" panose="02020603050405020304" pitchFamily="18" charset="0"/>
                </a:rPr>
                <a:t>Live jack pine overstory</a:t>
              </a:r>
            </a:p>
          </xdr:txBody>
        </xdr:sp>
        <xdr:cxnSp macro="">
          <xdr:nvCxnSpPr>
            <xdr:cNvPr id="9" name="Straight Arrow Connector 8">
              <a:extLst>
                <a:ext uri="{FF2B5EF4-FFF2-40B4-BE49-F238E27FC236}">
                  <a16:creationId xmlns:a16="http://schemas.microsoft.com/office/drawing/2014/main" id="{00000000-0008-0000-0300-000009000000}"/>
                </a:ext>
              </a:extLst>
            </xdr:cNvPr>
            <xdr:cNvCxnSpPr/>
          </xdr:nvCxnSpPr>
          <xdr:spPr>
            <a:xfrm flipH="1" flipV="1">
              <a:off x="4398816" y="782782"/>
              <a:ext cx="357809" cy="457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Rectangle 9">
              <a:extLst>
                <a:ext uri="{FF2B5EF4-FFF2-40B4-BE49-F238E27FC236}">
                  <a16:creationId xmlns:a16="http://schemas.microsoft.com/office/drawing/2014/main" id="{00000000-0008-0000-0300-00000A000000}"/>
                </a:ext>
              </a:extLst>
            </xdr:cNvPr>
            <xdr:cNvSpPr/>
          </xdr:nvSpPr>
          <xdr:spPr>
            <a:xfrm>
              <a:off x="0" y="0"/>
              <a:ext cx="6029739" cy="3067879"/>
            </a:xfrm>
            <a:prstGeom prst="rect">
              <a:avLst/>
            </a:prstGeom>
            <a:no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grpSp>
    </xdr:grpSp>
    <xdr:clientData/>
  </xdr:twoCellAnchor>
  <xdr:twoCellAnchor editAs="oneCell">
    <xdr:from>
      <xdr:col>6</xdr:col>
      <xdr:colOff>228600</xdr:colOff>
      <xdr:row>23</xdr:row>
      <xdr:rowOff>45720</xdr:rowOff>
    </xdr:from>
    <xdr:to>
      <xdr:col>13</xdr:col>
      <xdr:colOff>227965</xdr:colOff>
      <xdr:row>39</xdr:row>
      <xdr:rowOff>183515</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7616" r="34709" b="-1"/>
        <a:stretch/>
      </xdr:blipFill>
      <xdr:spPr bwMode="auto">
        <a:xfrm>
          <a:off x="7132320" y="4305300"/>
          <a:ext cx="4266565" cy="3155315"/>
        </a:xfrm>
        <a:prstGeom prst="rect">
          <a:avLst/>
        </a:prstGeom>
        <a:noFill/>
        <a:ln>
          <a:noFill/>
        </a:ln>
        <a:extLst>
          <a:ext uri="{53640926-AAD7-44D8-BBD7-CCE9431645EC}">
            <a14:shadowObscured xmlns:a14="http://schemas.microsoft.com/office/drawing/2010/main"/>
          </a:ext>
        </a:extLst>
      </xdr:spPr>
    </xdr:pic>
    <xdr:clientData/>
  </xdr:twoCellAnchor>
  <xdr:twoCellAnchor>
    <xdr:from>
      <xdr:col>6</xdr:col>
      <xdr:colOff>236220</xdr:colOff>
      <xdr:row>23</xdr:row>
      <xdr:rowOff>38100</xdr:rowOff>
    </xdr:from>
    <xdr:to>
      <xdr:col>15</xdr:col>
      <xdr:colOff>494030</xdr:colOff>
      <xdr:row>39</xdr:row>
      <xdr:rowOff>167640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6088380" y="4297680"/>
          <a:ext cx="5744210" cy="3147060"/>
          <a:chOff x="0" y="0"/>
          <a:chExt cx="5744817" cy="3259676"/>
        </a:xfrm>
      </xdr:grpSpPr>
      <xdr:sp macro="" textlink="">
        <xdr:nvSpPr>
          <xdr:cNvPr id="13" name="Rectangle 12">
            <a:extLst>
              <a:ext uri="{FF2B5EF4-FFF2-40B4-BE49-F238E27FC236}">
                <a16:creationId xmlns:a16="http://schemas.microsoft.com/office/drawing/2014/main" id="{00000000-0008-0000-0300-00000D000000}"/>
              </a:ext>
            </a:extLst>
          </xdr:cNvPr>
          <xdr:cNvSpPr/>
        </xdr:nvSpPr>
        <xdr:spPr>
          <a:xfrm>
            <a:off x="0" y="0"/>
            <a:ext cx="5744817" cy="3259676"/>
          </a:xfrm>
          <a:prstGeom prst="rect">
            <a:avLst/>
          </a:prstGeom>
          <a:no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grpSp>
        <xdr:nvGrpSpPr>
          <xdr:cNvPr id="14" name="Group 13">
            <a:extLst>
              <a:ext uri="{FF2B5EF4-FFF2-40B4-BE49-F238E27FC236}">
                <a16:creationId xmlns:a16="http://schemas.microsoft.com/office/drawing/2014/main" id="{00000000-0008-0000-0300-00000E000000}"/>
              </a:ext>
            </a:extLst>
          </xdr:cNvPr>
          <xdr:cNvGrpSpPr/>
        </xdr:nvGrpSpPr>
        <xdr:grpSpPr>
          <a:xfrm>
            <a:off x="4266507" y="540328"/>
            <a:ext cx="1442258" cy="2466109"/>
            <a:chOff x="68580" y="0"/>
            <a:chExt cx="1442258" cy="2466109"/>
          </a:xfrm>
        </xdr:grpSpPr>
        <xdr:sp macro="" textlink="">
          <xdr:nvSpPr>
            <xdr:cNvPr id="16" name="Text Box 2">
              <a:extLst>
                <a:ext uri="{FF2B5EF4-FFF2-40B4-BE49-F238E27FC236}">
                  <a16:creationId xmlns:a16="http://schemas.microsoft.com/office/drawing/2014/main" id="{00000000-0008-0000-0300-000010000000}"/>
                </a:ext>
              </a:extLst>
            </xdr:cNvPr>
            <xdr:cNvSpPr txBox="1">
              <a:spLocks noChangeArrowheads="1"/>
            </xdr:cNvSpPr>
          </xdr:nvSpPr>
          <xdr:spPr bwMode="auto">
            <a:xfrm>
              <a:off x="428798" y="0"/>
              <a:ext cx="1082040" cy="457200"/>
            </a:xfrm>
            <a:prstGeom prst="rect">
              <a:avLst/>
            </a:prstGeom>
            <a:solidFill>
              <a:srgbClr val="FFFFFF"/>
            </a:solidFill>
            <a:ln w="9525">
              <a:solidFill>
                <a:srgbClr val="000000"/>
              </a:solidFill>
              <a:miter lim="800000"/>
              <a:headEnd/>
              <a:tailEnd/>
            </a:ln>
          </xdr:spPr>
          <xdr:txBody>
            <a:bodyPr rot="0" vert="horz" wrap="square" lIns="36000" tIns="36000" rIns="36000" bIns="36000" anchor="t" anchorCtr="0">
              <a:noAutofit/>
            </a:bodyPr>
            <a:lstStyle/>
            <a:p>
              <a:r>
                <a:rPr lang="en-CA" sz="1200">
                  <a:effectLst/>
                  <a:latin typeface="Arial" panose="020B0604020202020204" pitchFamily="34" charset="0"/>
                  <a:ea typeface="Cambria" panose="02040503050406030204" pitchFamily="18" charset="0"/>
                  <a:cs typeface="Times New Roman" panose="02020603050405020304" pitchFamily="18" charset="0"/>
                </a:rPr>
                <a:t>Live jack pine overstory</a:t>
              </a:r>
            </a:p>
          </xdr:txBody>
        </xdr:sp>
        <xdr:sp macro="" textlink="">
          <xdr:nvSpPr>
            <xdr:cNvPr id="17" name="Text Box 2">
              <a:extLst>
                <a:ext uri="{FF2B5EF4-FFF2-40B4-BE49-F238E27FC236}">
                  <a16:creationId xmlns:a16="http://schemas.microsoft.com/office/drawing/2014/main" id="{00000000-0008-0000-0300-000011000000}"/>
                </a:ext>
              </a:extLst>
            </xdr:cNvPr>
            <xdr:cNvSpPr txBox="1">
              <a:spLocks noChangeArrowheads="1"/>
            </xdr:cNvSpPr>
          </xdr:nvSpPr>
          <xdr:spPr bwMode="auto">
            <a:xfrm>
              <a:off x="435725" y="2008909"/>
              <a:ext cx="986790" cy="457200"/>
            </a:xfrm>
            <a:prstGeom prst="rect">
              <a:avLst/>
            </a:prstGeom>
            <a:solidFill>
              <a:srgbClr val="FFFFFF"/>
            </a:solidFill>
            <a:ln w="9525">
              <a:solidFill>
                <a:srgbClr val="000000"/>
              </a:solidFill>
              <a:miter lim="800000"/>
              <a:headEnd/>
              <a:tailEnd/>
            </a:ln>
          </xdr:spPr>
          <xdr:txBody>
            <a:bodyPr rot="0" vert="horz" wrap="square" lIns="36000" tIns="36000" rIns="36000" bIns="36000" anchor="t" anchorCtr="0">
              <a:noAutofit/>
            </a:bodyPr>
            <a:lstStyle/>
            <a:p>
              <a:r>
                <a:rPr lang="en-CA" sz="1200">
                  <a:effectLst/>
                  <a:latin typeface="Arial" panose="020B0604020202020204" pitchFamily="34" charset="0"/>
                  <a:ea typeface="Cambria" panose="02040503050406030204" pitchFamily="18" charset="0"/>
                  <a:cs typeface="Times New Roman" panose="02020603050405020304" pitchFamily="18" charset="0"/>
                </a:rPr>
                <a:t>Mid-story black spruce</a:t>
              </a:r>
            </a:p>
          </xdr:txBody>
        </xdr:sp>
        <xdr:cxnSp macro="">
          <xdr:nvCxnSpPr>
            <xdr:cNvPr id="18" name="Straight Arrow Connector 17">
              <a:extLst>
                <a:ext uri="{FF2B5EF4-FFF2-40B4-BE49-F238E27FC236}">
                  <a16:creationId xmlns:a16="http://schemas.microsoft.com/office/drawing/2014/main" id="{00000000-0008-0000-0300-000012000000}"/>
                </a:ext>
              </a:extLst>
            </xdr:cNvPr>
            <xdr:cNvCxnSpPr/>
          </xdr:nvCxnSpPr>
          <xdr:spPr>
            <a:xfrm flipH="1" flipV="1">
              <a:off x="68580" y="166254"/>
              <a:ext cx="357809" cy="457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5" name="Straight Arrow Connector 14">
            <a:extLst>
              <a:ext uri="{FF2B5EF4-FFF2-40B4-BE49-F238E27FC236}">
                <a16:creationId xmlns:a16="http://schemas.microsoft.com/office/drawing/2014/main" id="{00000000-0008-0000-0300-00000F000000}"/>
              </a:ext>
            </a:extLst>
          </xdr:cNvPr>
          <xdr:cNvCxnSpPr/>
        </xdr:nvCxnSpPr>
        <xdr:spPr>
          <a:xfrm flipH="1">
            <a:off x="4297680" y="2770909"/>
            <a:ext cx="3354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6.xml"/><Relationship Id="rId13" Type="http://schemas.openxmlformats.org/officeDocument/2006/relationships/ctrlProp" Target="../ctrlProps/ctrlProp31.xml"/><Relationship Id="rId18" Type="http://schemas.openxmlformats.org/officeDocument/2006/relationships/ctrlProp" Target="../ctrlProps/ctrlProp36.xml"/><Relationship Id="rId3" Type="http://schemas.openxmlformats.org/officeDocument/2006/relationships/vmlDrawing" Target="../drawings/vmlDrawing2.vml"/><Relationship Id="rId7" Type="http://schemas.openxmlformats.org/officeDocument/2006/relationships/ctrlProp" Target="../ctrlProps/ctrlProp25.xml"/><Relationship Id="rId12" Type="http://schemas.openxmlformats.org/officeDocument/2006/relationships/ctrlProp" Target="../ctrlProps/ctrlProp30.xml"/><Relationship Id="rId17" Type="http://schemas.openxmlformats.org/officeDocument/2006/relationships/ctrlProp" Target="../ctrlProps/ctrlProp35.xml"/><Relationship Id="rId2" Type="http://schemas.openxmlformats.org/officeDocument/2006/relationships/drawing" Target="../drawings/drawing3.xml"/><Relationship Id="rId16" Type="http://schemas.openxmlformats.org/officeDocument/2006/relationships/ctrlProp" Target="../ctrlProps/ctrlProp34.xml"/><Relationship Id="rId1" Type="http://schemas.openxmlformats.org/officeDocument/2006/relationships/printerSettings" Target="../printerSettings/printerSettings2.bin"/><Relationship Id="rId6" Type="http://schemas.openxmlformats.org/officeDocument/2006/relationships/ctrlProp" Target="../ctrlProps/ctrlProp24.xml"/><Relationship Id="rId11" Type="http://schemas.openxmlformats.org/officeDocument/2006/relationships/ctrlProp" Target="../ctrlProps/ctrlProp29.xml"/><Relationship Id="rId5" Type="http://schemas.openxmlformats.org/officeDocument/2006/relationships/ctrlProp" Target="../ctrlProps/ctrlProp23.xml"/><Relationship Id="rId15" Type="http://schemas.openxmlformats.org/officeDocument/2006/relationships/ctrlProp" Target="../ctrlProps/ctrlProp33.xml"/><Relationship Id="rId10" Type="http://schemas.openxmlformats.org/officeDocument/2006/relationships/ctrlProp" Target="../ctrlProps/ctrlProp28.xml"/><Relationship Id="rId4" Type="http://schemas.openxmlformats.org/officeDocument/2006/relationships/ctrlProp" Target="../ctrlProps/ctrlProp22.xml"/><Relationship Id="rId9" Type="http://schemas.openxmlformats.org/officeDocument/2006/relationships/ctrlProp" Target="../ctrlProps/ctrlProp27.xml"/><Relationship Id="rId14" Type="http://schemas.openxmlformats.org/officeDocument/2006/relationships/ctrlProp" Target="../ctrlProps/ctrlProp3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1.xml"/><Relationship Id="rId3" Type="http://schemas.openxmlformats.org/officeDocument/2006/relationships/vmlDrawing" Target="../drawings/vmlDrawing3.vml"/><Relationship Id="rId7" Type="http://schemas.openxmlformats.org/officeDocument/2006/relationships/ctrlProp" Target="../ctrlProps/ctrlProp40.x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trlProp" Target="../ctrlProps/ctrlProp39.xml"/><Relationship Id="rId5" Type="http://schemas.openxmlformats.org/officeDocument/2006/relationships/ctrlProp" Target="../ctrlProps/ctrlProp38.xml"/><Relationship Id="rId4" Type="http://schemas.openxmlformats.org/officeDocument/2006/relationships/ctrlProp" Target="../ctrlProps/ctrlProp37.xml"/><Relationship Id="rId9" Type="http://schemas.openxmlformats.org/officeDocument/2006/relationships/ctrlProp" Target="../ctrlProps/ctrlProp4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28"/>
  <sheetViews>
    <sheetView showGridLines="0" showRowColHeaders="0" tabSelected="1" zoomScaleNormal="100" workbookViewId="0">
      <selection sqref="A1:C1"/>
    </sheetView>
  </sheetViews>
  <sheetFormatPr defaultRowHeight="14.4" x14ac:dyDescent="0.3"/>
  <cols>
    <col min="1" max="1" width="12.33203125" style="164" customWidth="1"/>
    <col min="2" max="2" width="10.6640625" style="164" customWidth="1"/>
    <col min="3" max="3" width="12" style="164" customWidth="1"/>
    <col min="4" max="4" width="6.5546875" style="164" customWidth="1"/>
    <col min="5" max="5" width="8.88671875" style="164"/>
    <col min="6" max="6" width="10.6640625" style="164" customWidth="1"/>
    <col min="7" max="7" width="12" style="164" customWidth="1"/>
    <col min="8" max="26" width="8.88671875" style="164"/>
  </cols>
  <sheetData>
    <row r="1" spans="1:6" ht="15" thickBot="1" x14ac:dyDescent="0.35">
      <c r="A1" s="197" t="s">
        <v>396</v>
      </c>
      <c r="B1" s="198"/>
      <c r="C1" s="199"/>
      <c r="F1" s="164" t="s">
        <v>559</v>
      </c>
    </row>
    <row r="2" spans="1:6" ht="15" thickBot="1" x14ac:dyDescent="0.35"/>
    <row r="3" spans="1:6" ht="15" thickBot="1" x14ac:dyDescent="0.35">
      <c r="A3" s="165" t="s">
        <v>375</v>
      </c>
    </row>
    <row r="4" spans="1:6" x14ac:dyDescent="0.3">
      <c r="B4" s="164" t="s">
        <v>39</v>
      </c>
      <c r="D4" s="166" t="s">
        <v>394</v>
      </c>
      <c r="E4" s="164" t="s">
        <v>393</v>
      </c>
    </row>
    <row r="5" spans="1:6" ht="15.6" x14ac:dyDescent="0.35">
      <c r="B5" s="164" t="s">
        <v>333</v>
      </c>
      <c r="C5" s="167" t="str">
        <f>CONCATENATE(" ",'Advanced Settings'!E7)</f>
        <v xml:space="preserve"> 75</v>
      </c>
      <c r="D5" s="166" t="s">
        <v>394</v>
      </c>
      <c r="E5" s="164" t="s">
        <v>395</v>
      </c>
    </row>
    <row r="6" spans="1:6" x14ac:dyDescent="0.3">
      <c r="B6" s="164" t="s">
        <v>100</v>
      </c>
      <c r="C6" s="168">
        <f>Settings!$T$7</f>
        <v>281.25</v>
      </c>
      <c r="D6" s="166" t="s">
        <v>394</v>
      </c>
      <c r="E6" s="164" t="s">
        <v>448</v>
      </c>
    </row>
    <row r="7" spans="1:6" x14ac:dyDescent="0.3">
      <c r="B7" s="164" t="s">
        <v>22</v>
      </c>
      <c r="D7" s="166" t="s">
        <v>394</v>
      </c>
      <c r="E7" s="164" t="s">
        <v>484</v>
      </c>
    </row>
    <row r="8" spans="1:6" ht="15" thickBot="1" x14ac:dyDescent="0.35"/>
    <row r="9" spans="1:6" ht="15" thickBot="1" x14ac:dyDescent="0.35">
      <c r="A9" s="169" t="s">
        <v>387</v>
      </c>
      <c r="C9" s="164" t="s">
        <v>335</v>
      </c>
    </row>
    <row r="10" spans="1:6" x14ac:dyDescent="0.3">
      <c r="B10" s="164" t="s">
        <v>0</v>
      </c>
    </row>
    <row r="11" spans="1:6" x14ac:dyDescent="0.3">
      <c r="B11" s="164" t="s">
        <v>376</v>
      </c>
      <c r="D11" s="166" t="s">
        <v>394</v>
      </c>
      <c r="E11" s="164" t="s">
        <v>402</v>
      </c>
    </row>
    <row r="12" spans="1:6" x14ac:dyDescent="0.3">
      <c r="B12" s="164" t="s">
        <v>46</v>
      </c>
      <c r="E12" s="164" t="s">
        <v>414</v>
      </c>
    </row>
    <row r="13" spans="1:6" ht="15" thickBot="1" x14ac:dyDescent="0.35"/>
    <row r="14" spans="1:6" ht="15" thickBot="1" x14ac:dyDescent="0.35">
      <c r="A14" s="170" t="s">
        <v>378</v>
      </c>
      <c r="E14" s="177" t="s">
        <v>379</v>
      </c>
    </row>
    <row r="15" spans="1:6" ht="15.6" x14ac:dyDescent="0.35">
      <c r="A15" s="171" t="s">
        <v>385</v>
      </c>
      <c r="B15" s="164" t="s">
        <v>381</v>
      </c>
      <c r="E15" s="171" t="s">
        <v>385</v>
      </c>
      <c r="F15" s="164" t="s">
        <v>381</v>
      </c>
    </row>
    <row r="16" spans="1:6" x14ac:dyDescent="0.3">
      <c r="B16" s="164" t="s">
        <v>382</v>
      </c>
      <c r="F16" s="164" t="s">
        <v>382</v>
      </c>
    </row>
    <row r="17" spans="1:7" x14ac:dyDescent="0.3">
      <c r="B17" s="164" t="s">
        <v>383</v>
      </c>
      <c r="F17" s="164" t="s">
        <v>383</v>
      </c>
    </row>
    <row r="18" spans="1:7" ht="15.6" x14ac:dyDescent="0.35">
      <c r="B18" s="172" t="s">
        <v>392</v>
      </c>
      <c r="C18" s="173">
        <f>IF('CCP Calcs'!G2=TRUE, ROUND(Settings!$Y$5, 1), "")</f>
        <v>9</v>
      </c>
      <c r="F18" s="172" t="s">
        <v>392</v>
      </c>
      <c r="G18" s="173" t="str">
        <f>IF('CCP Calcs'!BP2=TRUE, ROUND(Settings!$Z$5, 1), "")</f>
        <v/>
      </c>
    </row>
    <row r="19" spans="1:7" ht="15" thickBot="1" x14ac:dyDescent="0.35">
      <c r="B19" s="172"/>
      <c r="F19" s="172"/>
    </row>
    <row r="20" spans="1:7" ht="15" thickBot="1" x14ac:dyDescent="0.35">
      <c r="B20" s="174" t="s">
        <v>417</v>
      </c>
      <c r="C20" s="164" t="s">
        <v>335</v>
      </c>
      <c r="F20" s="175" t="s">
        <v>418</v>
      </c>
      <c r="G20" s="164" t="s">
        <v>335</v>
      </c>
    </row>
    <row r="21" spans="1:7" x14ac:dyDescent="0.3">
      <c r="A21" s="171" t="s">
        <v>386</v>
      </c>
      <c r="E21" s="171" t="s">
        <v>386</v>
      </c>
    </row>
    <row r="22" spans="1:7" x14ac:dyDescent="0.3">
      <c r="B22" s="164" t="s">
        <v>389</v>
      </c>
      <c r="C22" s="176" t="str">
        <f>IF('CCP Calcs'!$G$2=TRUE, IF('CCP Calcs'!$EF$1=1, 'CCP Calcs'!EJ2, IF('CCP Calcs'!$EF$1=2, 'CCP Calcs'!EK2, 'CCP Calcs'!EL2)), "")</f>
        <v>Agg. FBP</v>
      </c>
      <c r="F22" s="164" t="s">
        <v>389</v>
      </c>
      <c r="G22" s="176" t="str">
        <f>IF('CCP Calcs'!$BP$2=TRUE, IF('CCP Calcs'!$EF$1=1, 'CCP Calcs'!EJ2, IF('CCP Calcs'!$EF$1=2, 'CCP Calcs'!EK2, 'CCP Calcs'!EL2)), "")</f>
        <v/>
      </c>
    </row>
    <row r="24" spans="1:7" x14ac:dyDescent="0.3">
      <c r="A24" s="171" t="s">
        <v>377</v>
      </c>
      <c r="B24" s="164" t="s">
        <v>380</v>
      </c>
      <c r="E24" s="171" t="s">
        <v>377</v>
      </c>
      <c r="F24" s="164" t="s">
        <v>380</v>
      </c>
    </row>
    <row r="25" spans="1:7" x14ac:dyDescent="0.3">
      <c r="B25" s="164" t="s">
        <v>311</v>
      </c>
      <c r="F25" s="164" t="s">
        <v>311</v>
      </c>
    </row>
    <row r="27" spans="1:7" x14ac:dyDescent="0.3">
      <c r="A27" s="171" t="s">
        <v>561</v>
      </c>
      <c r="E27" s="171" t="s">
        <v>561</v>
      </c>
    </row>
    <row r="28" spans="1:7" x14ac:dyDescent="0.3">
      <c r="B28" s="164" t="s">
        <v>384</v>
      </c>
      <c r="F28" s="164" t="s">
        <v>384</v>
      </c>
    </row>
  </sheetData>
  <sheetProtection sheet="1" selectLockedCells="1"/>
  <mergeCells count="1">
    <mergeCell ref="A1:C1"/>
  </mergeCells>
  <pageMargins left="0.7" right="0.7" top="0.75" bottom="0.75" header="0.3" footer="0.3"/>
  <pageSetup orientation="portrait" r:id="rId1"/>
  <headerFooter>
    <oddHeader>&amp;R&amp;"Calibri"&amp;12&amp;K000000 UNCLASSIFIED - NON CLASSIFIÉ&amp;1#_x000D_</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5" r:id="rId4" name="Drop Down 5">
              <controlPr defaultSize="0" autoLine="0" autoPict="0">
                <anchor moveWithCells="1">
                  <from>
                    <xdr:col>2</xdr:col>
                    <xdr:colOff>0</xdr:colOff>
                    <xdr:row>3</xdr:row>
                    <xdr:rowOff>0</xdr:rowOff>
                  </from>
                  <to>
                    <xdr:col>3</xdr:col>
                    <xdr:colOff>0</xdr:colOff>
                    <xdr:row>4</xdr:row>
                    <xdr:rowOff>0</xdr:rowOff>
                  </to>
                </anchor>
              </controlPr>
            </control>
          </mc:Choice>
        </mc:AlternateContent>
        <mc:AlternateContent xmlns:mc="http://schemas.openxmlformats.org/markup-compatibility/2006">
          <mc:Choice Requires="x14">
            <control shapeId="15368" r:id="rId5" name="Drop Down 8">
              <controlPr defaultSize="0" autoLine="0" autoPict="0">
                <anchor moveWithCells="1">
                  <from>
                    <xdr:col>2</xdr:col>
                    <xdr:colOff>0</xdr:colOff>
                    <xdr:row>5</xdr:row>
                    <xdr:rowOff>190500</xdr:rowOff>
                  </from>
                  <to>
                    <xdr:col>3</xdr:col>
                    <xdr:colOff>0</xdr:colOff>
                    <xdr:row>7</xdr:row>
                    <xdr:rowOff>7620</xdr:rowOff>
                  </to>
                </anchor>
              </controlPr>
            </control>
          </mc:Choice>
        </mc:AlternateContent>
        <mc:AlternateContent xmlns:mc="http://schemas.openxmlformats.org/markup-compatibility/2006">
          <mc:Choice Requires="x14">
            <control shapeId="15369" r:id="rId6" name="Spinner 9">
              <controlPr defaultSize="0" autoPict="0">
                <anchor moveWithCells="1" sizeWithCells="1">
                  <from>
                    <xdr:col>2</xdr:col>
                    <xdr:colOff>373380</xdr:colOff>
                    <xdr:row>4</xdr:row>
                    <xdr:rowOff>7620</xdr:rowOff>
                  </from>
                  <to>
                    <xdr:col>2</xdr:col>
                    <xdr:colOff>830580</xdr:colOff>
                    <xdr:row>4</xdr:row>
                    <xdr:rowOff>175260</xdr:rowOff>
                  </to>
                </anchor>
              </controlPr>
            </control>
          </mc:Choice>
        </mc:AlternateContent>
        <mc:AlternateContent xmlns:mc="http://schemas.openxmlformats.org/markup-compatibility/2006">
          <mc:Choice Requires="x14">
            <control shapeId="15370" r:id="rId7" name="Drop Down 10">
              <controlPr defaultSize="0" autoLine="0" autoPict="0">
                <anchor moveWithCells="1">
                  <from>
                    <xdr:col>2</xdr:col>
                    <xdr:colOff>0</xdr:colOff>
                    <xdr:row>14</xdr:row>
                    <xdr:rowOff>15240</xdr:rowOff>
                  </from>
                  <to>
                    <xdr:col>3</xdr:col>
                    <xdr:colOff>0</xdr:colOff>
                    <xdr:row>14</xdr:row>
                    <xdr:rowOff>198120</xdr:rowOff>
                  </to>
                </anchor>
              </controlPr>
            </control>
          </mc:Choice>
        </mc:AlternateContent>
        <mc:AlternateContent xmlns:mc="http://schemas.openxmlformats.org/markup-compatibility/2006">
          <mc:Choice Requires="x14">
            <control shapeId="15371" r:id="rId8" name="Drop Down 11">
              <controlPr defaultSize="0" autoLine="0" autoPict="0">
                <anchor moveWithCells="1">
                  <from>
                    <xdr:col>2</xdr:col>
                    <xdr:colOff>0</xdr:colOff>
                    <xdr:row>15</xdr:row>
                    <xdr:rowOff>0</xdr:rowOff>
                  </from>
                  <to>
                    <xdr:col>3</xdr:col>
                    <xdr:colOff>0</xdr:colOff>
                    <xdr:row>16</xdr:row>
                    <xdr:rowOff>0</xdr:rowOff>
                  </to>
                </anchor>
              </controlPr>
            </control>
          </mc:Choice>
        </mc:AlternateContent>
        <mc:AlternateContent xmlns:mc="http://schemas.openxmlformats.org/markup-compatibility/2006">
          <mc:Choice Requires="x14">
            <control shapeId="15372" r:id="rId9" name="Drop Down 12">
              <controlPr defaultSize="0" autoLine="0" autoPict="0">
                <anchor moveWithCells="1">
                  <from>
                    <xdr:col>2</xdr:col>
                    <xdr:colOff>0</xdr:colOff>
                    <xdr:row>16</xdr:row>
                    <xdr:rowOff>0</xdr:rowOff>
                  </from>
                  <to>
                    <xdr:col>3</xdr:col>
                    <xdr:colOff>0</xdr:colOff>
                    <xdr:row>17</xdr:row>
                    <xdr:rowOff>0</xdr:rowOff>
                  </to>
                </anchor>
              </controlPr>
            </control>
          </mc:Choice>
        </mc:AlternateContent>
        <mc:AlternateContent xmlns:mc="http://schemas.openxmlformats.org/markup-compatibility/2006">
          <mc:Choice Requires="x14">
            <control shapeId="15373" r:id="rId10" name="Drop Down 13">
              <controlPr defaultSize="0" autoLine="0" autoPict="0">
                <anchor moveWithCells="1">
                  <from>
                    <xdr:col>2</xdr:col>
                    <xdr:colOff>0</xdr:colOff>
                    <xdr:row>23</xdr:row>
                    <xdr:rowOff>0</xdr:rowOff>
                  </from>
                  <to>
                    <xdr:col>3</xdr:col>
                    <xdr:colOff>0</xdr:colOff>
                    <xdr:row>24</xdr:row>
                    <xdr:rowOff>0</xdr:rowOff>
                  </to>
                </anchor>
              </controlPr>
            </control>
          </mc:Choice>
        </mc:AlternateContent>
        <mc:AlternateContent xmlns:mc="http://schemas.openxmlformats.org/markup-compatibility/2006">
          <mc:Choice Requires="x14">
            <control shapeId="15374" r:id="rId11" name="Drop Down 14">
              <controlPr defaultSize="0" autoLine="0" autoPict="0">
                <anchor moveWithCells="1">
                  <from>
                    <xdr:col>2</xdr:col>
                    <xdr:colOff>0</xdr:colOff>
                    <xdr:row>24</xdr:row>
                    <xdr:rowOff>0</xdr:rowOff>
                  </from>
                  <to>
                    <xdr:col>3</xdr:col>
                    <xdr:colOff>0</xdr:colOff>
                    <xdr:row>25</xdr:row>
                    <xdr:rowOff>0</xdr:rowOff>
                  </to>
                </anchor>
              </controlPr>
            </control>
          </mc:Choice>
        </mc:AlternateContent>
        <mc:AlternateContent xmlns:mc="http://schemas.openxmlformats.org/markup-compatibility/2006">
          <mc:Choice Requires="x14">
            <control shapeId="15375" r:id="rId12" name="Drop Down 15">
              <controlPr defaultSize="0" autoLine="0" autoPict="0">
                <anchor moveWithCells="1">
                  <from>
                    <xdr:col>6</xdr:col>
                    <xdr:colOff>0</xdr:colOff>
                    <xdr:row>14</xdr:row>
                    <xdr:rowOff>15240</xdr:rowOff>
                  </from>
                  <to>
                    <xdr:col>7</xdr:col>
                    <xdr:colOff>0</xdr:colOff>
                    <xdr:row>14</xdr:row>
                    <xdr:rowOff>198120</xdr:rowOff>
                  </to>
                </anchor>
              </controlPr>
            </control>
          </mc:Choice>
        </mc:AlternateContent>
        <mc:AlternateContent xmlns:mc="http://schemas.openxmlformats.org/markup-compatibility/2006">
          <mc:Choice Requires="x14">
            <control shapeId="15376" r:id="rId13" name="Drop Down 16">
              <controlPr defaultSize="0" autoLine="0" autoPict="0">
                <anchor moveWithCells="1">
                  <from>
                    <xdr:col>6</xdr:col>
                    <xdr:colOff>0</xdr:colOff>
                    <xdr:row>15</xdr:row>
                    <xdr:rowOff>0</xdr:rowOff>
                  </from>
                  <to>
                    <xdr:col>7</xdr:col>
                    <xdr:colOff>0</xdr:colOff>
                    <xdr:row>16</xdr:row>
                    <xdr:rowOff>0</xdr:rowOff>
                  </to>
                </anchor>
              </controlPr>
            </control>
          </mc:Choice>
        </mc:AlternateContent>
        <mc:AlternateContent xmlns:mc="http://schemas.openxmlformats.org/markup-compatibility/2006">
          <mc:Choice Requires="x14">
            <control shapeId="15377" r:id="rId14" name="Drop Down 17">
              <controlPr defaultSize="0" autoLine="0" autoPict="0">
                <anchor moveWithCells="1">
                  <from>
                    <xdr:col>6</xdr:col>
                    <xdr:colOff>0</xdr:colOff>
                    <xdr:row>16</xdr:row>
                    <xdr:rowOff>0</xdr:rowOff>
                  </from>
                  <to>
                    <xdr:col>7</xdr:col>
                    <xdr:colOff>0</xdr:colOff>
                    <xdr:row>17</xdr:row>
                    <xdr:rowOff>0</xdr:rowOff>
                  </to>
                </anchor>
              </controlPr>
            </control>
          </mc:Choice>
        </mc:AlternateContent>
        <mc:AlternateContent xmlns:mc="http://schemas.openxmlformats.org/markup-compatibility/2006">
          <mc:Choice Requires="x14">
            <control shapeId="15378" r:id="rId15" name="Drop Down 18">
              <controlPr defaultSize="0" autoLine="0" autoPict="0">
                <anchor moveWithCells="1">
                  <from>
                    <xdr:col>6</xdr:col>
                    <xdr:colOff>0</xdr:colOff>
                    <xdr:row>23</xdr:row>
                    <xdr:rowOff>0</xdr:rowOff>
                  </from>
                  <to>
                    <xdr:col>7</xdr:col>
                    <xdr:colOff>0</xdr:colOff>
                    <xdr:row>24</xdr:row>
                    <xdr:rowOff>0</xdr:rowOff>
                  </to>
                </anchor>
              </controlPr>
            </control>
          </mc:Choice>
        </mc:AlternateContent>
        <mc:AlternateContent xmlns:mc="http://schemas.openxmlformats.org/markup-compatibility/2006">
          <mc:Choice Requires="x14">
            <control shapeId="15379" r:id="rId16" name="Drop Down 19">
              <controlPr defaultSize="0" autoLine="0" autoPict="0">
                <anchor moveWithCells="1">
                  <from>
                    <xdr:col>6</xdr:col>
                    <xdr:colOff>0</xdr:colOff>
                    <xdr:row>24</xdr:row>
                    <xdr:rowOff>0</xdr:rowOff>
                  </from>
                  <to>
                    <xdr:col>7</xdr:col>
                    <xdr:colOff>0</xdr:colOff>
                    <xdr:row>25</xdr:row>
                    <xdr:rowOff>0</xdr:rowOff>
                  </to>
                </anchor>
              </controlPr>
            </control>
          </mc:Choice>
        </mc:AlternateContent>
        <mc:AlternateContent xmlns:mc="http://schemas.openxmlformats.org/markup-compatibility/2006">
          <mc:Choice Requires="x14">
            <control shapeId="15380" r:id="rId17" name="Drop Down 20">
              <controlPr defaultSize="0" autoLine="0" autoPict="0">
                <anchor moveWithCells="1">
                  <from>
                    <xdr:col>2</xdr:col>
                    <xdr:colOff>0</xdr:colOff>
                    <xdr:row>27</xdr:row>
                    <xdr:rowOff>0</xdr:rowOff>
                  </from>
                  <to>
                    <xdr:col>3</xdr:col>
                    <xdr:colOff>0</xdr:colOff>
                    <xdr:row>28</xdr:row>
                    <xdr:rowOff>0</xdr:rowOff>
                  </to>
                </anchor>
              </controlPr>
            </control>
          </mc:Choice>
        </mc:AlternateContent>
        <mc:AlternateContent xmlns:mc="http://schemas.openxmlformats.org/markup-compatibility/2006">
          <mc:Choice Requires="x14">
            <control shapeId="15381" r:id="rId18" name="Drop Down 21">
              <controlPr defaultSize="0" autoLine="0" autoPict="0">
                <anchor moveWithCells="1">
                  <from>
                    <xdr:col>6</xdr:col>
                    <xdr:colOff>0</xdr:colOff>
                    <xdr:row>27</xdr:row>
                    <xdr:rowOff>0</xdr:rowOff>
                  </from>
                  <to>
                    <xdr:col>7</xdr:col>
                    <xdr:colOff>0</xdr:colOff>
                    <xdr:row>28</xdr:row>
                    <xdr:rowOff>0</xdr:rowOff>
                  </to>
                </anchor>
              </controlPr>
            </control>
          </mc:Choice>
        </mc:AlternateContent>
        <mc:AlternateContent xmlns:mc="http://schemas.openxmlformats.org/markup-compatibility/2006">
          <mc:Choice Requires="x14">
            <control shapeId="15382" r:id="rId19" name="Drop Down 22">
              <controlPr defaultSize="0" autoLine="0" autoPict="0">
                <anchor moveWithCells="1">
                  <from>
                    <xdr:col>2</xdr:col>
                    <xdr:colOff>0</xdr:colOff>
                    <xdr:row>9</xdr:row>
                    <xdr:rowOff>0</xdr:rowOff>
                  </from>
                  <to>
                    <xdr:col>3</xdr:col>
                    <xdr:colOff>0</xdr:colOff>
                    <xdr:row>10</xdr:row>
                    <xdr:rowOff>0</xdr:rowOff>
                  </to>
                </anchor>
              </controlPr>
            </control>
          </mc:Choice>
        </mc:AlternateContent>
        <mc:AlternateContent xmlns:mc="http://schemas.openxmlformats.org/markup-compatibility/2006">
          <mc:Choice Requires="x14">
            <control shapeId="15383" r:id="rId20" name="Drop Down 23">
              <controlPr defaultSize="0" autoLine="0" autoPict="0">
                <anchor moveWithCells="1">
                  <from>
                    <xdr:col>2</xdr:col>
                    <xdr:colOff>0</xdr:colOff>
                    <xdr:row>10</xdr:row>
                    <xdr:rowOff>0</xdr:rowOff>
                  </from>
                  <to>
                    <xdr:col>3</xdr:col>
                    <xdr:colOff>0</xdr:colOff>
                    <xdr:row>11</xdr:row>
                    <xdr:rowOff>0</xdr:rowOff>
                  </to>
                </anchor>
              </controlPr>
            </control>
          </mc:Choice>
        </mc:AlternateContent>
        <mc:AlternateContent xmlns:mc="http://schemas.openxmlformats.org/markup-compatibility/2006">
          <mc:Choice Requires="x14">
            <control shapeId="15384" r:id="rId21" name="Drop Down 24">
              <controlPr defaultSize="0" autoLine="0" autoPict="0">
                <anchor moveWithCells="1">
                  <from>
                    <xdr:col>2</xdr:col>
                    <xdr:colOff>0</xdr:colOff>
                    <xdr:row>11</xdr:row>
                    <xdr:rowOff>0</xdr:rowOff>
                  </from>
                  <to>
                    <xdr:col>3</xdr:col>
                    <xdr:colOff>0</xdr:colOff>
                    <xdr:row>12</xdr:row>
                    <xdr:rowOff>0</xdr:rowOff>
                  </to>
                </anchor>
              </controlPr>
            </control>
          </mc:Choice>
        </mc:AlternateContent>
        <mc:AlternateContent xmlns:mc="http://schemas.openxmlformats.org/markup-compatibility/2006">
          <mc:Choice Requires="x14">
            <control shapeId="15385" r:id="rId22" name="Check Box 25">
              <controlPr defaultSize="0" autoFill="0" autoLine="0" autoPict="0">
                <anchor moveWithCells="1">
                  <from>
                    <xdr:col>2</xdr:col>
                    <xdr:colOff>586740</xdr:colOff>
                    <xdr:row>18</xdr:row>
                    <xdr:rowOff>182880</xdr:rowOff>
                  </from>
                  <to>
                    <xdr:col>3</xdr:col>
                    <xdr:colOff>30480</xdr:colOff>
                    <xdr:row>20</xdr:row>
                    <xdr:rowOff>22860</xdr:rowOff>
                  </to>
                </anchor>
              </controlPr>
            </control>
          </mc:Choice>
        </mc:AlternateContent>
        <mc:AlternateContent xmlns:mc="http://schemas.openxmlformats.org/markup-compatibility/2006">
          <mc:Choice Requires="x14">
            <control shapeId="15386" r:id="rId23" name="Check Box 26">
              <controlPr defaultSize="0" autoFill="0" autoLine="0" autoPict="0">
                <anchor moveWithCells="1">
                  <from>
                    <xdr:col>6</xdr:col>
                    <xdr:colOff>586740</xdr:colOff>
                    <xdr:row>18</xdr:row>
                    <xdr:rowOff>182880</xdr:rowOff>
                  </from>
                  <to>
                    <xdr:col>7</xdr:col>
                    <xdr:colOff>30480</xdr:colOff>
                    <xdr:row>20</xdr:row>
                    <xdr:rowOff>22860</xdr:rowOff>
                  </to>
                </anchor>
              </controlPr>
            </control>
          </mc:Choice>
        </mc:AlternateContent>
        <mc:AlternateContent xmlns:mc="http://schemas.openxmlformats.org/markup-compatibility/2006">
          <mc:Choice Requires="x14">
            <control shapeId="15388" r:id="rId24" name="Check Box 28">
              <controlPr defaultSize="0" autoFill="0" autoLine="0" autoPict="0">
                <anchor moveWithCells="1">
                  <from>
                    <xdr:col>2</xdr:col>
                    <xdr:colOff>586740</xdr:colOff>
                    <xdr:row>7</xdr:row>
                    <xdr:rowOff>182880</xdr:rowOff>
                  </from>
                  <to>
                    <xdr:col>3</xdr:col>
                    <xdr:colOff>30480</xdr:colOff>
                    <xdr:row>9</xdr:row>
                    <xdr:rowOff>22860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dimension ref="A1:S33"/>
  <sheetViews>
    <sheetView showGridLines="0" topLeftCell="A2" zoomScaleNormal="100" workbookViewId="0">
      <selection activeCell="E7" sqref="E7"/>
    </sheetView>
  </sheetViews>
  <sheetFormatPr defaultRowHeight="14.4" x14ac:dyDescent="0.3"/>
  <cols>
    <col min="2" max="2" width="7.6640625" customWidth="1"/>
    <col min="3" max="3" width="6.109375" customWidth="1"/>
    <col min="4" max="4" width="3.109375" customWidth="1"/>
    <col min="5" max="6" width="7.6640625" customWidth="1"/>
    <col min="7" max="7" width="3.6640625" customWidth="1"/>
    <col min="8" max="8" width="13" customWidth="1"/>
    <col min="11" max="11" width="3.5546875" customWidth="1"/>
  </cols>
  <sheetData>
    <row r="1" spans="1:19" ht="15" thickBot="1" x14ac:dyDescent="0.35">
      <c r="B1" s="202" t="s">
        <v>336</v>
      </c>
      <c r="C1" s="203"/>
      <c r="D1" s="203"/>
      <c r="E1" s="203"/>
      <c r="F1" s="203"/>
      <c r="G1" s="203"/>
      <c r="H1" s="203"/>
      <c r="I1" s="204"/>
    </row>
    <row r="2" spans="1:19" x14ac:dyDescent="0.3">
      <c r="B2" s="76"/>
      <c r="C2" s="76"/>
      <c r="D2" s="76"/>
      <c r="E2" s="76"/>
      <c r="F2" s="76"/>
      <c r="G2" s="76"/>
      <c r="H2" s="76"/>
      <c r="K2" s="89"/>
      <c r="L2" s="90"/>
      <c r="M2" s="90"/>
      <c r="N2" s="90"/>
      <c r="O2" s="90"/>
      <c r="P2" s="90"/>
      <c r="Q2" s="90"/>
      <c r="R2" s="90"/>
      <c r="S2" s="91"/>
    </row>
    <row r="3" spans="1:19" x14ac:dyDescent="0.3">
      <c r="B3" s="15" t="s">
        <v>473</v>
      </c>
      <c r="C3" s="64"/>
      <c r="D3" s="64"/>
      <c r="E3" s="64"/>
      <c r="F3" s="64"/>
      <c r="G3" s="64"/>
      <c r="H3" s="64"/>
      <c r="I3" s="16"/>
      <c r="K3" s="92"/>
      <c r="L3" s="200" t="s">
        <v>193</v>
      </c>
      <c r="M3" s="200"/>
      <c r="N3" s="200"/>
      <c r="O3" s="200"/>
      <c r="P3" s="200"/>
      <c r="Q3" s="200"/>
      <c r="R3" s="200"/>
      <c r="S3" s="93"/>
    </row>
    <row r="4" spans="1:19" x14ac:dyDescent="0.3">
      <c r="B4" s="17"/>
      <c r="I4" s="18"/>
      <c r="K4" s="92"/>
      <c r="L4" t="s">
        <v>477</v>
      </c>
      <c r="M4" s="76"/>
      <c r="N4" s="76"/>
      <c r="O4" s="76"/>
      <c r="P4" s="76"/>
      <c r="Q4" s="76"/>
      <c r="R4" s="76"/>
      <c r="S4" s="93"/>
    </row>
    <row r="5" spans="1:19" x14ac:dyDescent="0.3">
      <c r="B5" s="17"/>
      <c r="I5" s="18"/>
      <c r="K5" s="92"/>
      <c r="M5" s="200"/>
      <c r="N5" s="200"/>
      <c r="O5" s="200"/>
      <c r="P5" s="200"/>
      <c r="Q5" s="200"/>
      <c r="R5" s="1"/>
      <c r="S5" s="93"/>
    </row>
    <row r="6" spans="1:19" ht="25.5" customHeight="1" x14ac:dyDescent="0.45">
      <c r="B6" s="17"/>
      <c r="I6" s="18"/>
      <c r="K6" s="92"/>
      <c r="M6" s="94">
        <v>50</v>
      </c>
      <c r="N6" s="94" t="s">
        <v>163</v>
      </c>
      <c r="O6" s="76"/>
      <c r="P6" s="76"/>
      <c r="Q6" s="76"/>
      <c r="R6" s="76"/>
      <c r="S6" s="93"/>
    </row>
    <row r="7" spans="1:19" x14ac:dyDescent="0.3">
      <c r="B7" s="17" t="s">
        <v>470</v>
      </c>
      <c r="E7" s="104">
        <v>75</v>
      </c>
      <c r="F7" t="s">
        <v>471</v>
      </c>
      <c r="I7" s="18"/>
      <c r="K7" s="92"/>
      <c r="M7" s="76"/>
      <c r="N7" s="76"/>
      <c r="O7" s="76"/>
      <c r="P7" s="76"/>
      <c r="Q7" s="76"/>
      <c r="R7" s="76"/>
      <c r="S7" s="93"/>
    </row>
    <row r="8" spans="1:19" ht="9" customHeight="1" thickBot="1" x14ac:dyDescent="0.35">
      <c r="B8" s="17"/>
      <c r="I8" s="18"/>
      <c r="K8" s="92"/>
      <c r="M8" s="76"/>
      <c r="N8" s="76"/>
      <c r="O8" s="76"/>
      <c r="P8" s="76"/>
      <c r="Q8" s="76"/>
      <c r="R8" s="76"/>
      <c r="S8" s="93"/>
    </row>
    <row r="9" spans="1:19" ht="15.6" thickTop="1" thickBot="1" x14ac:dyDescent="0.35">
      <c r="B9" s="17"/>
      <c r="E9" s="161" t="s">
        <v>403</v>
      </c>
      <c r="F9" s="162" t="s">
        <v>404</v>
      </c>
      <c r="I9" s="18"/>
      <c r="K9" s="92"/>
      <c r="S9" s="93"/>
    </row>
    <row r="10" spans="1:19" ht="15" thickTop="1" x14ac:dyDescent="0.3">
      <c r="B10" s="17" t="s">
        <v>472</v>
      </c>
      <c r="E10" s="195">
        <v>10.73</v>
      </c>
      <c r="F10" s="196">
        <v>7</v>
      </c>
      <c r="G10" t="s">
        <v>163</v>
      </c>
      <c r="I10" s="18"/>
      <c r="K10" s="92"/>
      <c r="L10" s="200" t="s">
        <v>192</v>
      </c>
      <c r="M10" s="200"/>
      <c r="N10" s="200"/>
      <c r="O10" s="200"/>
      <c r="P10" s="200"/>
      <c r="Q10" s="200"/>
      <c r="R10" s="200"/>
      <c r="S10" s="93"/>
    </row>
    <row r="11" spans="1:19" x14ac:dyDescent="0.3">
      <c r="B11" s="17"/>
      <c r="E11" s="64"/>
      <c r="F11" s="64"/>
      <c r="I11" s="18"/>
      <c r="K11" s="92"/>
      <c r="L11" t="s">
        <v>181</v>
      </c>
      <c r="S11" s="93"/>
    </row>
    <row r="12" spans="1:19" ht="15.6" x14ac:dyDescent="0.35">
      <c r="B12" s="17" t="s">
        <v>557</v>
      </c>
      <c r="I12" s="18"/>
      <c r="K12" s="92"/>
      <c r="M12" s="200" t="s">
        <v>431</v>
      </c>
      <c r="N12" s="200"/>
      <c r="O12" s="200"/>
      <c r="P12" s="76" t="s">
        <v>164</v>
      </c>
      <c r="Q12" s="1"/>
      <c r="R12" s="1" t="s">
        <v>165</v>
      </c>
      <c r="S12" s="93"/>
    </row>
    <row r="13" spans="1:19" s="73" customFormat="1" ht="25.5" customHeight="1" x14ac:dyDescent="0.45">
      <c r="A13"/>
      <c r="B13" s="17" t="s">
        <v>555</v>
      </c>
      <c r="I13" s="18"/>
      <c r="J13"/>
      <c r="K13" s="95"/>
      <c r="M13" s="96">
        <v>80</v>
      </c>
      <c r="N13" s="96" t="s">
        <v>163</v>
      </c>
      <c r="O13" s="97"/>
      <c r="P13" s="98">
        <f>M6-M13/2</f>
        <v>10</v>
      </c>
      <c r="Q13" s="97"/>
      <c r="R13" s="98">
        <f>M6+M13/2</f>
        <v>90</v>
      </c>
      <c r="S13" s="99"/>
    </row>
    <row r="14" spans="1:19" ht="23.4" x14ac:dyDescent="0.45">
      <c r="A14" s="73"/>
      <c r="B14" s="17" t="s">
        <v>517</v>
      </c>
      <c r="I14" s="18"/>
      <c r="K14" s="92"/>
      <c r="M14" s="201"/>
      <c r="N14" s="201"/>
      <c r="S14" s="93"/>
    </row>
    <row r="15" spans="1:19" x14ac:dyDescent="0.3">
      <c r="B15" s="17" t="s">
        <v>474</v>
      </c>
      <c r="I15" s="18"/>
      <c r="K15" s="92"/>
      <c r="S15" s="93"/>
    </row>
    <row r="16" spans="1:19" x14ac:dyDescent="0.3">
      <c r="B16" s="17" t="s">
        <v>485</v>
      </c>
      <c r="I16" s="18"/>
      <c r="K16" s="92"/>
      <c r="L16" t="s">
        <v>297</v>
      </c>
      <c r="P16" t="s">
        <v>298</v>
      </c>
      <c r="S16" s="93"/>
    </row>
    <row r="17" spans="2:19" x14ac:dyDescent="0.3">
      <c r="B17" s="65" t="s">
        <v>558</v>
      </c>
      <c r="C17" s="66"/>
      <c r="D17" s="66"/>
      <c r="E17" s="66"/>
      <c r="F17" s="66"/>
      <c r="G17" s="66"/>
      <c r="H17" s="66"/>
      <c r="I17" s="67"/>
      <c r="K17" s="92"/>
      <c r="S17" s="93"/>
    </row>
    <row r="18" spans="2:19" x14ac:dyDescent="0.3">
      <c r="K18" s="92"/>
      <c r="S18" s="93"/>
    </row>
    <row r="19" spans="2:19" ht="15" thickBot="1" x14ac:dyDescent="0.35">
      <c r="K19" s="100"/>
      <c r="L19" s="101"/>
      <c r="M19" s="101"/>
      <c r="N19" s="101"/>
      <c r="O19" s="101"/>
      <c r="P19" s="101"/>
      <c r="Q19" s="101"/>
      <c r="R19" s="101"/>
      <c r="S19" s="102"/>
    </row>
    <row r="21" spans="2:19" x14ac:dyDescent="0.3">
      <c r="B21" s="149" t="s">
        <v>179</v>
      </c>
      <c r="C21" s="64"/>
      <c r="D21" s="64"/>
      <c r="E21" s="64"/>
      <c r="F21" s="64"/>
      <c r="G21" s="16"/>
      <c r="K21" s="149" t="s">
        <v>505</v>
      </c>
      <c r="L21" s="64"/>
      <c r="M21" s="64"/>
      <c r="N21" s="64"/>
      <c r="O21" s="64"/>
      <c r="P21" s="64"/>
      <c r="Q21" s="16"/>
    </row>
    <row r="22" spans="2:19" x14ac:dyDescent="0.3">
      <c r="B22" s="126"/>
      <c r="C22" s="72"/>
      <c r="D22" s="72"/>
      <c r="E22" s="72"/>
      <c r="G22" s="18"/>
      <c r="K22" s="126"/>
      <c r="L22" s="72"/>
      <c r="M22" s="72"/>
      <c r="N22" s="72"/>
      <c r="Q22" s="18"/>
    </row>
    <row r="23" spans="2:19" x14ac:dyDescent="0.3">
      <c r="B23" s="126"/>
      <c r="C23" s="72"/>
      <c r="D23" s="72"/>
      <c r="E23" s="72"/>
      <c r="G23" s="18"/>
      <c r="K23" s="126"/>
      <c r="L23" s="72"/>
      <c r="M23" s="72"/>
      <c r="N23" s="72"/>
      <c r="Q23" s="18"/>
    </row>
    <row r="24" spans="2:19" x14ac:dyDescent="0.3">
      <c r="B24" s="126"/>
      <c r="C24" s="72"/>
      <c r="D24" s="72"/>
      <c r="E24" s="72"/>
      <c r="G24" s="18"/>
      <c r="K24" s="126"/>
      <c r="L24" s="72"/>
      <c r="M24" s="72"/>
      <c r="N24" s="72"/>
      <c r="Q24" s="18"/>
    </row>
    <row r="25" spans="2:19" x14ac:dyDescent="0.3">
      <c r="B25" s="126"/>
      <c r="C25" s="72"/>
      <c r="D25" s="72"/>
      <c r="E25" s="72"/>
      <c r="G25" s="18"/>
      <c r="K25" s="128"/>
      <c r="L25" s="150"/>
      <c r="M25" s="150"/>
      <c r="N25" s="150"/>
      <c r="O25" s="66"/>
      <c r="P25" s="66"/>
      <c r="Q25" s="67"/>
    </row>
    <row r="26" spans="2:19" x14ac:dyDescent="0.3">
      <c r="B26" s="128"/>
      <c r="C26" s="150"/>
      <c r="D26" s="150"/>
      <c r="E26" s="150"/>
      <c r="F26" s="66"/>
      <c r="G26" s="67"/>
    </row>
    <row r="28" spans="2:19" x14ac:dyDescent="0.3">
      <c r="M28" s="72"/>
    </row>
    <row r="33" spans="2:5" x14ac:dyDescent="0.3">
      <c r="B33" s="72"/>
      <c r="C33" s="72"/>
      <c r="D33" s="72"/>
      <c r="E33" s="72"/>
    </row>
  </sheetData>
  <sheetProtection sheet="1" selectLockedCells="1"/>
  <mergeCells count="6">
    <mergeCell ref="L10:R10"/>
    <mergeCell ref="M14:N14"/>
    <mergeCell ref="L3:R3"/>
    <mergeCell ref="B1:I1"/>
    <mergeCell ref="M5:Q5"/>
    <mergeCell ref="M12:O12"/>
  </mergeCells>
  <pageMargins left="0.7" right="0.7" top="0.75" bottom="0.75" header="0.3" footer="0.3"/>
  <pageSetup orientation="portrait" r:id="rId1"/>
  <headerFooter>
    <oddHeader>&amp;R&amp;"Calibri"&amp;12&amp;K000000 UNCLASSIFIED - NON CLASSIFIÉ&amp;1#_x000D_</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4580" r:id="rId4" name="Spinner 4">
              <controlPr locked="0" defaultSize="0" autoPict="0">
                <anchor moveWithCells="1" sizeWithCells="1">
                  <from>
                    <xdr:col>11</xdr:col>
                    <xdr:colOff>30480</xdr:colOff>
                    <xdr:row>11</xdr:row>
                    <xdr:rowOff>22860</xdr:rowOff>
                  </from>
                  <to>
                    <xdr:col>11</xdr:col>
                    <xdr:colOff>495300</xdr:colOff>
                    <xdr:row>13</xdr:row>
                    <xdr:rowOff>175260</xdr:rowOff>
                  </to>
                </anchor>
              </controlPr>
            </control>
          </mc:Choice>
        </mc:AlternateContent>
        <mc:AlternateContent xmlns:mc="http://schemas.openxmlformats.org/markup-compatibility/2006">
          <mc:Choice Requires="x14">
            <control shapeId="24587" r:id="rId5" name="Group Box 11">
              <controlPr locked="0" defaultSize="0" autoFill="0" autoPict="0">
                <anchor moveWithCells="1">
                  <from>
                    <xdr:col>1</xdr:col>
                    <xdr:colOff>30480</xdr:colOff>
                    <xdr:row>21</xdr:row>
                    <xdr:rowOff>22860</xdr:rowOff>
                  </from>
                  <to>
                    <xdr:col>6</xdr:col>
                    <xdr:colOff>76200</xdr:colOff>
                    <xdr:row>25</xdr:row>
                    <xdr:rowOff>106680</xdr:rowOff>
                  </to>
                </anchor>
              </controlPr>
            </control>
          </mc:Choice>
        </mc:AlternateContent>
        <mc:AlternateContent xmlns:mc="http://schemas.openxmlformats.org/markup-compatibility/2006">
          <mc:Choice Requires="x14">
            <control shapeId="24588" r:id="rId6" name="Option Button 12">
              <controlPr defaultSize="0" autoFill="0" autoLine="0" autoPict="0">
                <anchor moveWithCells="1">
                  <from>
                    <xdr:col>1</xdr:col>
                    <xdr:colOff>60960</xdr:colOff>
                    <xdr:row>21</xdr:row>
                    <xdr:rowOff>30480</xdr:rowOff>
                  </from>
                  <to>
                    <xdr:col>6</xdr:col>
                    <xdr:colOff>53340</xdr:colOff>
                    <xdr:row>22</xdr:row>
                    <xdr:rowOff>60960</xdr:rowOff>
                  </to>
                </anchor>
              </controlPr>
            </control>
          </mc:Choice>
        </mc:AlternateContent>
        <mc:AlternateContent xmlns:mc="http://schemas.openxmlformats.org/markup-compatibility/2006">
          <mc:Choice Requires="x14">
            <control shapeId="24589" r:id="rId7" name="Option Button 13">
              <controlPr defaultSize="0" autoFill="0" autoLine="0" autoPict="0">
                <anchor moveWithCells="1">
                  <from>
                    <xdr:col>1</xdr:col>
                    <xdr:colOff>60960</xdr:colOff>
                    <xdr:row>22</xdr:row>
                    <xdr:rowOff>99060</xdr:rowOff>
                  </from>
                  <to>
                    <xdr:col>6</xdr:col>
                    <xdr:colOff>0</xdr:colOff>
                    <xdr:row>23</xdr:row>
                    <xdr:rowOff>121920</xdr:rowOff>
                  </to>
                </anchor>
              </controlPr>
            </control>
          </mc:Choice>
        </mc:AlternateContent>
        <mc:AlternateContent xmlns:mc="http://schemas.openxmlformats.org/markup-compatibility/2006">
          <mc:Choice Requires="x14">
            <control shapeId="24590" r:id="rId8" name="Option Button 14">
              <controlPr defaultSize="0" autoFill="0" autoLine="0" autoPict="0">
                <anchor moveWithCells="1">
                  <from>
                    <xdr:col>1</xdr:col>
                    <xdr:colOff>60960</xdr:colOff>
                    <xdr:row>23</xdr:row>
                    <xdr:rowOff>160020</xdr:rowOff>
                  </from>
                  <to>
                    <xdr:col>6</xdr:col>
                    <xdr:colOff>30480</xdr:colOff>
                    <xdr:row>25</xdr:row>
                    <xdr:rowOff>7620</xdr:rowOff>
                  </to>
                </anchor>
              </controlPr>
            </control>
          </mc:Choice>
        </mc:AlternateContent>
        <mc:AlternateContent xmlns:mc="http://schemas.openxmlformats.org/markup-compatibility/2006">
          <mc:Choice Requires="x14">
            <control shapeId="24591" r:id="rId9" name="Spinner 15">
              <controlPr locked="0" defaultSize="0" autoPict="0">
                <anchor moveWithCells="1" sizeWithCells="1">
                  <from>
                    <xdr:col>11</xdr:col>
                    <xdr:colOff>30480</xdr:colOff>
                    <xdr:row>4</xdr:row>
                    <xdr:rowOff>22860</xdr:rowOff>
                  </from>
                  <to>
                    <xdr:col>11</xdr:col>
                    <xdr:colOff>487680</xdr:colOff>
                    <xdr:row>6</xdr:row>
                    <xdr:rowOff>175260</xdr:rowOff>
                  </to>
                </anchor>
              </controlPr>
            </control>
          </mc:Choice>
        </mc:AlternateContent>
        <mc:AlternateContent xmlns:mc="http://schemas.openxmlformats.org/markup-compatibility/2006">
          <mc:Choice Requires="x14">
            <control shapeId="24600" r:id="rId10" name="Group Box 24">
              <controlPr defaultSize="0" autoFill="0" autoPict="0">
                <anchor moveWithCells="1">
                  <from>
                    <xdr:col>1</xdr:col>
                    <xdr:colOff>30480</xdr:colOff>
                    <xdr:row>3</xdr:row>
                    <xdr:rowOff>22860</xdr:rowOff>
                  </from>
                  <to>
                    <xdr:col>8</xdr:col>
                    <xdr:colOff>182880</xdr:colOff>
                    <xdr:row>5</xdr:row>
                    <xdr:rowOff>251460</xdr:rowOff>
                  </to>
                </anchor>
              </controlPr>
            </control>
          </mc:Choice>
        </mc:AlternateContent>
        <mc:AlternateContent xmlns:mc="http://schemas.openxmlformats.org/markup-compatibility/2006">
          <mc:Choice Requires="x14">
            <control shapeId="24602" r:id="rId11" name="Option Button 26">
              <controlPr defaultSize="0" autoFill="0" autoLine="0" autoPict="0">
                <anchor moveWithCells="1">
                  <from>
                    <xdr:col>1</xdr:col>
                    <xdr:colOff>76200</xdr:colOff>
                    <xdr:row>3</xdr:row>
                    <xdr:rowOff>22860</xdr:rowOff>
                  </from>
                  <to>
                    <xdr:col>7</xdr:col>
                    <xdr:colOff>571500</xdr:colOff>
                    <xdr:row>4</xdr:row>
                    <xdr:rowOff>45720</xdr:rowOff>
                  </to>
                </anchor>
              </controlPr>
            </control>
          </mc:Choice>
        </mc:AlternateContent>
        <mc:AlternateContent xmlns:mc="http://schemas.openxmlformats.org/markup-compatibility/2006">
          <mc:Choice Requires="x14">
            <control shapeId="24606" r:id="rId12" name="Option Button 30">
              <controlPr defaultSize="0" autoFill="0" autoLine="0" autoPict="0">
                <anchor moveWithCells="1">
                  <from>
                    <xdr:col>1</xdr:col>
                    <xdr:colOff>76200</xdr:colOff>
                    <xdr:row>4</xdr:row>
                    <xdr:rowOff>7620</xdr:rowOff>
                  </from>
                  <to>
                    <xdr:col>7</xdr:col>
                    <xdr:colOff>601980</xdr:colOff>
                    <xdr:row>5</xdr:row>
                    <xdr:rowOff>38100</xdr:rowOff>
                  </to>
                </anchor>
              </controlPr>
            </control>
          </mc:Choice>
        </mc:AlternateContent>
        <mc:AlternateContent xmlns:mc="http://schemas.openxmlformats.org/markup-compatibility/2006">
          <mc:Choice Requires="x14">
            <control shapeId="24607" r:id="rId13" name="Option Button 31">
              <controlPr defaultSize="0" autoFill="0" autoLine="0" autoPict="0">
                <anchor moveWithCells="1">
                  <from>
                    <xdr:col>1</xdr:col>
                    <xdr:colOff>76200</xdr:colOff>
                    <xdr:row>5</xdr:row>
                    <xdr:rowOff>0</xdr:rowOff>
                  </from>
                  <to>
                    <xdr:col>7</xdr:col>
                    <xdr:colOff>883920</xdr:colOff>
                    <xdr:row>5</xdr:row>
                    <xdr:rowOff>220980</xdr:rowOff>
                  </to>
                </anchor>
              </controlPr>
            </control>
          </mc:Choice>
        </mc:AlternateContent>
        <mc:AlternateContent xmlns:mc="http://schemas.openxmlformats.org/markup-compatibility/2006">
          <mc:Choice Requires="x14">
            <control shapeId="24608" r:id="rId14" name="Check Box 32">
              <controlPr defaultSize="0" autoFill="0" autoLine="0" autoPict="0">
                <anchor moveWithCells="1">
                  <from>
                    <xdr:col>11</xdr:col>
                    <xdr:colOff>7620</xdr:colOff>
                    <xdr:row>17</xdr:row>
                    <xdr:rowOff>0</xdr:rowOff>
                  </from>
                  <to>
                    <xdr:col>13</xdr:col>
                    <xdr:colOff>563880</xdr:colOff>
                    <xdr:row>18</xdr:row>
                    <xdr:rowOff>106680</xdr:rowOff>
                  </to>
                </anchor>
              </controlPr>
            </control>
          </mc:Choice>
        </mc:AlternateContent>
        <mc:AlternateContent xmlns:mc="http://schemas.openxmlformats.org/markup-compatibility/2006">
          <mc:Choice Requires="x14">
            <control shapeId="24609" r:id="rId15" name="Check Box 33">
              <controlPr defaultSize="0" autoFill="0" autoLine="0" autoPict="0">
                <anchor moveWithCells="1">
                  <from>
                    <xdr:col>15</xdr:col>
                    <xdr:colOff>22860</xdr:colOff>
                    <xdr:row>17</xdr:row>
                    <xdr:rowOff>0</xdr:rowOff>
                  </from>
                  <to>
                    <xdr:col>18</xdr:col>
                    <xdr:colOff>121920</xdr:colOff>
                    <xdr:row>18</xdr:row>
                    <xdr:rowOff>106680</xdr:rowOff>
                  </to>
                </anchor>
              </controlPr>
            </control>
          </mc:Choice>
        </mc:AlternateContent>
        <mc:AlternateContent xmlns:mc="http://schemas.openxmlformats.org/markup-compatibility/2006">
          <mc:Choice Requires="x14">
            <control shapeId="24617" r:id="rId16" name="Group Box 41">
              <controlPr defaultSize="0" autoFill="0" autoPict="0">
                <anchor moveWithCells="1">
                  <from>
                    <xdr:col>10</xdr:col>
                    <xdr:colOff>53340</xdr:colOff>
                    <xdr:row>21</xdr:row>
                    <xdr:rowOff>7620</xdr:rowOff>
                  </from>
                  <to>
                    <xdr:col>15</xdr:col>
                    <xdr:colOff>411480</xdr:colOff>
                    <xdr:row>24</xdr:row>
                    <xdr:rowOff>0</xdr:rowOff>
                  </to>
                </anchor>
              </controlPr>
            </control>
          </mc:Choice>
        </mc:AlternateContent>
        <mc:AlternateContent xmlns:mc="http://schemas.openxmlformats.org/markup-compatibility/2006">
          <mc:Choice Requires="x14">
            <control shapeId="24619" r:id="rId17" name="Option Button 43">
              <controlPr defaultSize="0" autoFill="0" autoLine="0" autoPict="0">
                <anchor moveWithCells="1">
                  <from>
                    <xdr:col>10</xdr:col>
                    <xdr:colOff>91440</xdr:colOff>
                    <xdr:row>21</xdr:row>
                    <xdr:rowOff>45720</xdr:rowOff>
                  </from>
                  <to>
                    <xdr:col>15</xdr:col>
                    <xdr:colOff>266700</xdr:colOff>
                    <xdr:row>22</xdr:row>
                    <xdr:rowOff>83820</xdr:rowOff>
                  </to>
                </anchor>
              </controlPr>
            </control>
          </mc:Choice>
        </mc:AlternateContent>
        <mc:AlternateContent xmlns:mc="http://schemas.openxmlformats.org/markup-compatibility/2006">
          <mc:Choice Requires="x14">
            <control shapeId="24620" r:id="rId18" name="Option Button 44">
              <controlPr defaultSize="0" autoFill="0" autoLine="0" autoPict="0">
                <anchor moveWithCells="1">
                  <from>
                    <xdr:col>10</xdr:col>
                    <xdr:colOff>99060</xdr:colOff>
                    <xdr:row>22</xdr:row>
                    <xdr:rowOff>137160</xdr:rowOff>
                  </from>
                  <to>
                    <xdr:col>15</xdr:col>
                    <xdr:colOff>274320</xdr:colOff>
                    <xdr:row>23</xdr:row>
                    <xdr:rowOff>175260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 id="{1C801C60-5418-4807-A4A1-4E7A340D7D30}">
            <xm:f>Settings!$Z$1&lt;&gt;2</xm:f>
            <x14:dxf>
              <fill>
                <patternFill>
                  <bgColor theme="0" tint="-0.34998626667073579"/>
                </patternFill>
              </fill>
            </x14:dxf>
          </x14:cfRule>
          <xm:sqref>E10:F10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S66"/>
  <sheetViews>
    <sheetView showGridLines="0" workbookViewId="0">
      <selection activeCell="C5" sqref="C5"/>
    </sheetView>
  </sheetViews>
  <sheetFormatPr defaultRowHeight="14.4" x14ac:dyDescent="0.3"/>
  <cols>
    <col min="1" max="1" width="20.88671875" customWidth="1"/>
    <col min="2" max="2" width="11.33203125" customWidth="1"/>
    <col min="3" max="3" width="13.5546875" customWidth="1"/>
    <col min="4" max="4" width="6.33203125" customWidth="1"/>
    <col min="5" max="5" width="10.44140625" customWidth="1"/>
    <col min="6" max="6" width="8.88671875" customWidth="1"/>
    <col min="7" max="7" width="12.5546875" customWidth="1"/>
    <col min="8" max="8" width="4.33203125" customWidth="1"/>
    <col min="9" max="9" width="4.109375" customWidth="1"/>
    <col min="10" max="10" width="26.33203125" customWidth="1"/>
    <col min="11" max="11" width="7.88671875" customWidth="1"/>
    <col min="12" max="12" width="8.88671875" customWidth="1"/>
    <col min="13" max="13" width="6.33203125" customWidth="1"/>
    <col min="14" max="14" width="63.5546875" customWidth="1"/>
    <col min="15" max="15" width="1.21875" customWidth="1"/>
    <col min="16" max="16" width="21.44140625" customWidth="1"/>
    <col min="17" max="17" width="3.88671875" customWidth="1"/>
    <col min="18" max="18" width="8.88671875" customWidth="1"/>
    <col min="19" max="19" width="12.44140625" customWidth="1"/>
    <col min="20" max="25" width="8.88671875" customWidth="1"/>
  </cols>
  <sheetData>
    <row r="1" spans="1:19" x14ac:dyDescent="0.3">
      <c r="A1" s="140" t="s">
        <v>503</v>
      </c>
      <c r="B1" s="139"/>
      <c r="C1" s="139"/>
      <c r="D1" s="139"/>
      <c r="E1" s="139"/>
      <c r="F1" s="64"/>
      <c r="G1" s="16"/>
      <c r="J1" s="157" t="s">
        <v>445</v>
      </c>
      <c r="K1" s="157"/>
      <c r="L1" s="158"/>
      <c r="M1" s="159"/>
      <c r="N1" s="64"/>
      <c r="O1" s="16"/>
    </row>
    <row r="2" spans="1:19" x14ac:dyDescent="0.3">
      <c r="A2" s="17"/>
      <c r="E2" t="s">
        <v>436</v>
      </c>
      <c r="G2" s="18"/>
      <c r="J2" s="17"/>
      <c r="O2" s="18"/>
    </row>
    <row r="3" spans="1:19" x14ac:dyDescent="0.3">
      <c r="A3" s="17"/>
      <c r="B3" t="s">
        <v>356</v>
      </c>
      <c r="C3" s="104">
        <v>10</v>
      </c>
      <c r="E3" t="s">
        <v>361</v>
      </c>
      <c r="F3" t="s">
        <v>358</v>
      </c>
      <c r="G3" s="18"/>
      <c r="J3" s="17"/>
      <c r="K3" t="s">
        <v>323</v>
      </c>
      <c r="L3" s="155">
        <f>Settings!$J$6</f>
        <v>90</v>
      </c>
      <c r="M3" t="s">
        <v>325</v>
      </c>
      <c r="O3" s="18"/>
    </row>
    <row r="4" spans="1:19" ht="16.2" x14ac:dyDescent="0.3">
      <c r="A4" s="17"/>
      <c r="B4" t="s">
        <v>348</v>
      </c>
      <c r="C4" s="104">
        <v>20</v>
      </c>
      <c r="E4" t="s">
        <v>362</v>
      </c>
      <c r="F4" t="s">
        <v>359</v>
      </c>
      <c r="G4" s="18"/>
      <c r="J4" s="110" t="s">
        <v>322</v>
      </c>
      <c r="K4" s="111"/>
      <c r="L4" s="111" t="s">
        <v>353</v>
      </c>
      <c r="M4" s="111"/>
      <c r="N4" s="38" t="s">
        <v>337</v>
      </c>
      <c r="O4" s="18"/>
    </row>
    <row r="5" spans="1:19" x14ac:dyDescent="0.3">
      <c r="A5" s="17"/>
      <c r="B5" t="s">
        <v>357</v>
      </c>
      <c r="C5" s="104">
        <v>5</v>
      </c>
      <c r="E5" t="s">
        <v>501</v>
      </c>
      <c r="F5" t="s">
        <v>53</v>
      </c>
      <c r="G5" s="18"/>
      <c r="J5" s="15" t="s">
        <v>4</v>
      </c>
      <c r="K5" s="64"/>
      <c r="L5" s="122">
        <f>'CCP Calcs'!AJ7</f>
        <v>1.4208675108266395</v>
      </c>
      <c r="M5" s="64"/>
      <c r="N5" s="18" t="s">
        <v>338</v>
      </c>
      <c r="O5" s="18"/>
    </row>
    <row r="6" spans="1:19" ht="16.2" x14ac:dyDescent="0.3">
      <c r="A6" s="17"/>
      <c r="B6" t="s">
        <v>32</v>
      </c>
      <c r="C6" s="104">
        <v>1</v>
      </c>
      <c r="E6" t="s">
        <v>360</v>
      </c>
      <c r="F6" t="s">
        <v>184</v>
      </c>
      <c r="G6" s="18"/>
      <c r="J6" s="17" t="s">
        <v>5</v>
      </c>
      <c r="L6" s="122">
        <f>'CCP Calcs'!AJ8</f>
        <v>3.2238680953752423</v>
      </c>
      <c r="N6" s="18" t="s">
        <v>339</v>
      </c>
      <c r="O6" s="18"/>
    </row>
    <row r="7" spans="1:19" x14ac:dyDescent="0.3">
      <c r="A7" s="17"/>
      <c r="G7" s="18"/>
      <c r="J7" s="17" t="s">
        <v>6</v>
      </c>
      <c r="L7" s="122">
        <f>'CCP Calcs'!AJ9</f>
        <v>2.7960141186210832</v>
      </c>
      <c r="N7" s="18" t="s">
        <v>339</v>
      </c>
      <c r="O7" s="18"/>
      <c r="P7" t="s">
        <v>98</v>
      </c>
    </row>
    <row r="8" spans="1:19" x14ac:dyDescent="0.3">
      <c r="A8" s="17"/>
      <c r="B8" t="s">
        <v>363</v>
      </c>
      <c r="C8" s="138">
        <f>ROUND(P11, 3) * 100</f>
        <v>99.5</v>
      </c>
      <c r="E8" t="s">
        <v>163</v>
      </c>
      <c r="G8" s="18"/>
      <c r="J8" s="17" t="s">
        <v>7</v>
      </c>
      <c r="L8" s="122">
        <f>'CCP Calcs'!AJ10</f>
        <v>2.7960141186210832</v>
      </c>
      <c r="N8" s="18" t="s">
        <v>339</v>
      </c>
      <c r="O8" s="18"/>
      <c r="P8">
        <f>$R$8+$R$9*C4+$R$10*$C$5^1.5+$R$11*LN($C$6)+$R$13*$C$3*$C$4</f>
        <v>5.2718293424629366</v>
      </c>
      <c r="Q8" s="1" t="s">
        <v>99</v>
      </c>
      <c r="R8">
        <f>'CCP Calcs'!AN3</f>
        <v>-3.5550000000000002</v>
      </c>
      <c r="S8" t="s">
        <v>371</v>
      </c>
    </row>
    <row r="9" spans="1:19" x14ac:dyDescent="0.3">
      <c r="A9" s="205" t="s">
        <v>504</v>
      </c>
      <c r="B9" s="205"/>
      <c r="C9" s="66">
        <f>P11</f>
        <v>0.99489201571363994</v>
      </c>
      <c r="D9" s="66"/>
      <c r="E9" s="66"/>
      <c r="F9" s="66"/>
      <c r="G9" s="67"/>
      <c r="J9" s="17" t="s">
        <v>8</v>
      </c>
      <c r="L9" s="122">
        <f>'CCP Calcs'!AJ11</f>
        <v>2.3569848759726133</v>
      </c>
      <c r="N9" s="18" t="s">
        <v>339</v>
      </c>
      <c r="O9" s="18"/>
      <c r="Q9" s="1" t="s">
        <v>86</v>
      </c>
      <c r="R9">
        <f>'CCP Calcs'!AN4</f>
        <v>1.4407000000000001</v>
      </c>
      <c r="S9" t="s">
        <v>348</v>
      </c>
    </row>
    <row r="10" spans="1:19" x14ac:dyDescent="0.3">
      <c r="J10" s="17" t="s">
        <v>50</v>
      </c>
      <c r="L10" s="122">
        <f>'CCP Calcs'!AJ12</f>
        <v>2.3569848759726133</v>
      </c>
      <c r="N10" s="18" t="s">
        <v>339</v>
      </c>
      <c r="O10" s="18"/>
      <c r="P10" t="s">
        <v>372</v>
      </c>
      <c r="Q10" s="1" t="s">
        <v>87</v>
      </c>
      <c r="R10">
        <f>'CCP Calcs'!AN5</f>
        <v>-0.53210999999999997</v>
      </c>
      <c r="S10" t="s">
        <v>213</v>
      </c>
    </row>
    <row r="11" spans="1:19" x14ac:dyDescent="0.3">
      <c r="J11" s="17" t="s">
        <v>9</v>
      </c>
      <c r="L11" s="122">
        <f>'CCP Calcs'!AJ13</f>
        <v>1.7748194647088766</v>
      </c>
      <c r="N11" s="18" t="s">
        <v>344</v>
      </c>
      <c r="O11" s="18"/>
      <c r="P11" s="38">
        <f>EXP(P8)/(1+EXP(P8))</f>
        <v>0.99489201571363994</v>
      </c>
      <c r="Q11" s="1" t="s">
        <v>88</v>
      </c>
      <c r="R11">
        <f>'CCP Calcs'!AN6</f>
        <v>2.4897</v>
      </c>
      <c r="S11" t="s">
        <v>32</v>
      </c>
    </row>
    <row r="12" spans="1:19" x14ac:dyDescent="0.3">
      <c r="A12" s="141" t="s">
        <v>397</v>
      </c>
      <c r="B12" s="137"/>
      <c r="C12" s="137"/>
      <c r="D12" s="137"/>
      <c r="E12" s="137"/>
      <c r="F12" s="16"/>
      <c r="J12" s="17" t="s">
        <v>122</v>
      </c>
      <c r="L12" s="122">
        <f>'CCP Calcs'!AJ14</f>
        <v>1.2110596148458825</v>
      </c>
      <c r="N12" s="18" t="s">
        <v>338</v>
      </c>
      <c r="O12" s="18"/>
      <c r="Q12" s="1" t="s">
        <v>89</v>
      </c>
      <c r="R12">
        <f>'CCP Calcs'!AN7</f>
        <v>0</v>
      </c>
    </row>
    <row r="13" spans="1:19" x14ac:dyDescent="0.3">
      <c r="A13" s="17"/>
      <c r="B13" t="s">
        <v>39</v>
      </c>
      <c r="C13" s="104">
        <v>91.2</v>
      </c>
      <c r="E13" t="s">
        <v>364</v>
      </c>
      <c r="F13" s="18"/>
      <c r="J13" s="17" t="s">
        <v>12</v>
      </c>
      <c r="L13" s="122">
        <f>'CCP Calcs'!AJ15</f>
        <v>7.3908523208725887</v>
      </c>
      <c r="N13" s="18" t="s">
        <v>340</v>
      </c>
      <c r="O13" s="18"/>
      <c r="Q13" s="1" t="s">
        <v>117</v>
      </c>
      <c r="R13">
        <f>'CCP Calcs'!AN8</f>
        <v>-7.0190000000000002E-2</v>
      </c>
      <c r="S13" t="s">
        <v>356</v>
      </c>
    </row>
    <row r="14" spans="1:19" x14ac:dyDescent="0.3">
      <c r="A14" s="17"/>
      <c r="B14" t="s">
        <v>333</v>
      </c>
      <c r="C14" s="104">
        <v>49</v>
      </c>
      <c r="E14" t="s">
        <v>365</v>
      </c>
      <c r="F14" s="18"/>
      <c r="J14" s="17" t="s">
        <v>13</v>
      </c>
      <c r="L14" s="122">
        <f>'CCP Calcs'!AJ16</f>
        <v>12.869231101689474</v>
      </c>
      <c r="N14" s="18" t="s">
        <v>341</v>
      </c>
      <c r="O14" s="18"/>
    </row>
    <row r="15" spans="1:19" x14ac:dyDescent="0.3">
      <c r="A15" s="17"/>
      <c r="B15" t="s">
        <v>220</v>
      </c>
      <c r="C15" s="104">
        <v>65</v>
      </c>
      <c r="F15" s="18"/>
      <c r="J15" s="17" t="s">
        <v>14</v>
      </c>
      <c r="L15" s="122">
        <f>'CCP Calcs'!AJ17</f>
        <v>26.284888237309154</v>
      </c>
      <c r="N15" s="18" t="s">
        <v>342</v>
      </c>
      <c r="O15" s="18"/>
    </row>
    <row r="16" spans="1:19" x14ac:dyDescent="0.3">
      <c r="A16" s="17"/>
      <c r="B16" t="s">
        <v>219</v>
      </c>
      <c r="C16" s="104" t="s">
        <v>53</v>
      </c>
      <c r="F16" s="18"/>
      <c r="J16" s="17" t="s">
        <v>123</v>
      </c>
      <c r="L16" s="122" t="s">
        <v>434</v>
      </c>
      <c r="N16" s="18" t="s">
        <v>435</v>
      </c>
      <c r="O16" s="18"/>
    </row>
    <row r="17" spans="1:17" x14ac:dyDescent="0.3">
      <c r="A17" s="17"/>
      <c r="B17" t="s">
        <v>355</v>
      </c>
      <c r="C17" s="104"/>
      <c r="F17" s="18"/>
      <c r="J17" s="17" t="s">
        <v>124</v>
      </c>
      <c r="L17" s="122" t="e">
        <f>IF(OR('FBP outputs'!G1=15, 'FBP outputs'!G1=16), 'CCP Calcs'!AJ19, NA())</f>
        <v>#N/A</v>
      </c>
      <c r="N17" s="18" t="s">
        <v>437</v>
      </c>
      <c r="O17" s="18"/>
    </row>
    <row r="18" spans="1:17" x14ac:dyDescent="0.3">
      <c r="A18" s="17"/>
      <c r="F18" s="18"/>
      <c r="J18" s="65" t="s">
        <v>125</v>
      </c>
      <c r="K18" s="66"/>
      <c r="L18" s="122" t="e">
        <f>IF(OR('FBP outputs'!G1=17, 'FBP outputs'!G1=18), 'CCP Calcs'!AJ20, NA())</f>
        <v>#N/A</v>
      </c>
      <c r="M18" s="66"/>
      <c r="N18" s="67" t="s">
        <v>437</v>
      </c>
      <c r="O18" s="18"/>
    </row>
    <row r="19" spans="1:17" ht="15.6" x14ac:dyDescent="0.35">
      <c r="A19" s="17" t="s">
        <v>399</v>
      </c>
      <c r="B19" t="s">
        <v>392</v>
      </c>
      <c r="C19" s="180">
        <f>ROUND(Settings!$BE$9, 2)</f>
        <v>8.52</v>
      </c>
      <c r="E19" t="s">
        <v>163</v>
      </c>
      <c r="F19" s="18"/>
      <c r="J19" s="17"/>
      <c r="O19" s="18"/>
    </row>
    <row r="20" spans="1:17" ht="15.6" x14ac:dyDescent="0.35">
      <c r="A20" s="17" t="s">
        <v>475</v>
      </c>
      <c r="C20" s="1"/>
      <c r="F20" s="18"/>
      <c r="J20" s="124" t="s">
        <v>343</v>
      </c>
      <c r="K20" s="125"/>
      <c r="L20" s="76"/>
      <c r="M20" s="76"/>
      <c r="N20" s="130" t="s">
        <v>439</v>
      </c>
      <c r="O20" s="18"/>
    </row>
    <row r="21" spans="1:17" x14ac:dyDescent="0.3">
      <c r="F21" s="18"/>
      <c r="J21" s="126"/>
      <c r="K21" s="127"/>
      <c r="L21" s="72"/>
      <c r="M21" s="72"/>
      <c r="N21" t="s">
        <v>438</v>
      </c>
      <c r="O21" s="18"/>
    </row>
    <row r="22" spans="1:17" ht="15.6" x14ac:dyDescent="0.35">
      <c r="A22" s="65" t="s">
        <v>374</v>
      </c>
      <c r="B22" s="66" t="s">
        <v>430</v>
      </c>
      <c r="C22" s="66">
        <f>ROUND(Settings!BC5, 3)</f>
        <v>9.5719999999999992</v>
      </c>
      <c r="D22" s="66"/>
      <c r="E22" s="66" t="s">
        <v>163</v>
      </c>
      <c r="F22" s="67"/>
      <c r="J22" s="126"/>
      <c r="K22" s="127"/>
      <c r="L22" s="72"/>
      <c r="M22" s="72"/>
      <c r="O22" s="18"/>
    </row>
    <row r="23" spans="1:17" x14ac:dyDescent="0.3">
      <c r="J23" s="128"/>
      <c r="K23" s="129"/>
      <c r="L23" s="72"/>
      <c r="M23" s="72"/>
      <c r="O23" s="18"/>
    </row>
    <row r="24" spans="1:17" x14ac:dyDescent="0.3">
      <c r="J24" s="65"/>
      <c r="K24" s="66"/>
      <c r="L24" s="66"/>
      <c r="M24" s="66"/>
      <c r="N24" s="66"/>
      <c r="O24" s="67"/>
    </row>
    <row r="25" spans="1:17" x14ac:dyDescent="0.3">
      <c r="A25" s="143" t="s">
        <v>354</v>
      </c>
      <c r="B25" s="143"/>
      <c r="C25" s="142"/>
      <c r="D25" s="142"/>
      <c r="E25" s="142"/>
      <c r="F25" s="64"/>
      <c r="G25" s="16"/>
    </row>
    <row r="26" spans="1:17" x14ac:dyDescent="0.3">
      <c r="A26" s="17"/>
      <c r="B26" s="123"/>
      <c r="G26" s="18"/>
      <c r="P26" s="85" t="s">
        <v>196</v>
      </c>
      <c r="Q26" s="85">
        <f>46+23.4*EXP(-0.036*(150-'Calculation Tools'!B31))</f>
        <v>48.120254274648779</v>
      </c>
    </row>
    <row r="27" spans="1:17" ht="16.2" x14ac:dyDescent="0.3">
      <c r="A27" s="130" t="s">
        <v>373</v>
      </c>
      <c r="B27" s="123"/>
      <c r="G27" s="18"/>
      <c r="J27" s="179" t="s">
        <v>446</v>
      </c>
      <c r="K27" s="156"/>
      <c r="L27" s="156"/>
      <c r="M27" s="64"/>
      <c r="N27" s="16" t="s">
        <v>447</v>
      </c>
      <c r="P27" s="85"/>
      <c r="Q27" s="85"/>
    </row>
    <row r="28" spans="1:17" x14ac:dyDescent="0.3">
      <c r="A28" t="s">
        <v>524</v>
      </c>
      <c r="B28" s="123"/>
      <c r="G28" s="18"/>
      <c r="J28" s="17"/>
      <c r="N28" s="18"/>
      <c r="P28" s="85"/>
      <c r="Q28" s="85"/>
    </row>
    <row r="29" spans="1:17" x14ac:dyDescent="0.3">
      <c r="A29" s="17"/>
      <c r="B29" s="123"/>
      <c r="G29" s="18"/>
      <c r="J29" s="17" t="s">
        <v>440</v>
      </c>
      <c r="L29" s="178">
        <f>Settings!$J$6</f>
        <v>90</v>
      </c>
      <c r="N29" s="160" t="s">
        <v>453</v>
      </c>
      <c r="P29" s="85"/>
      <c r="Q29" s="85"/>
    </row>
    <row r="30" spans="1:17" ht="16.2" x14ac:dyDescent="0.3">
      <c r="A30" s="17" t="s">
        <v>207</v>
      </c>
      <c r="B30" s="107">
        <v>48</v>
      </c>
      <c r="D30" s="81"/>
      <c r="E30" s="81"/>
      <c r="F30" s="81"/>
      <c r="G30" s="134"/>
      <c r="J30" s="17" t="s">
        <v>441</v>
      </c>
      <c r="L30" s="163">
        <v>5</v>
      </c>
      <c r="N30" s="160" t="s">
        <v>452</v>
      </c>
      <c r="P30" s="85" t="s">
        <v>197</v>
      </c>
      <c r="Q30" s="85">
        <f>151*('Calculation Tools'!B30/Q26)</f>
        <v>150.62264547962846</v>
      </c>
    </row>
    <row r="31" spans="1:17" x14ac:dyDescent="0.3">
      <c r="A31" s="17" t="s">
        <v>208</v>
      </c>
      <c r="B31" s="107">
        <v>83.3</v>
      </c>
      <c r="D31" s="81"/>
      <c r="E31" s="81"/>
      <c r="F31" s="81"/>
      <c r="G31" s="134"/>
      <c r="J31" s="17" t="s">
        <v>449</v>
      </c>
      <c r="L31" s="163">
        <v>0.2</v>
      </c>
      <c r="N31" s="160" t="s">
        <v>442</v>
      </c>
      <c r="P31" s="85" t="s">
        <v>198</v>
      </c>
      <c r="Q31" s="85">
        <f>IF('Calculation Tools'!B32&gt;0,43+33.7*EXP(-0.0351*(150-'Calculation Tools'!B31)),"")</f>
        <v>46.24244552694347</v>
      </c>
    </row>
    <row r="32" spans="1:17" x14ac:dyDescent="0.3">
      <c r="A32" s="17" t="s">
        <v>209</v>
      </c>
      <c r="B32" s="107">
        <v>100</v>
      </c>
      <c r="E32" s="82"/>
      <c r="F32" s="82"/>
      <c r="G32" s="18"/>
      <c r="J32" s="17"/>
      <c r="N32" s="18"/>
      <c r="P32" s="85" t="s">
        <v>199</v>
      </c>
      <c r="Q32" s="85">
        <f>IF('Calculation Tools'!B32&gt;0,142.1*('Calculation Tools'!B30/Q31)+0.0172*'Calculation Tools'!B32,"")</f>
        <v>149.22084953932236</v>
      </c>
    </row>
    <row r="33" spans="1:17" x14ac:dyDescent="0.3">
      <c r="A33" s="17"/>
      <c r="G33" s="18"/>
      <c r="J33" s="17" t="s">
        <v>454</v>
      </c>
      <c r="L33" s="183">
        <f>-0.176+0.156*L30+0.015*L29</f>
        <v>1.954</v>
      </c>
      <c r="N33" s="18" t="s">
        <v>444</v>
      </c>
    </row>
    <row r="34" spans="1:17" x14ac:dyDescent="0.3">
      <c r="A34" s="17"/>
      <c r="B34" s="117" t="s">
        <v>200</v>
      </c>
      <c r="C34" s="117" t="s">
        <v>201</v>
      </c>
      <c r="D34" s="117" t="s">
        <v>202</v>
      </c>
      <c r="E34" s="118"/>
      <c r="F34" s="119" t="s">
        <v>347</v>
      </c>
      <c r="G34" s="18"/>
      <c r="J34" s="17"/>
      <c r="N34" s="18" t="s">
        <v>450</v>
      </c>
      <c r="P34" s="85"/>
      <c r="Q34" s="85"/>
    </row>
    <row r="35" spans="1:17" x14ac:dyDescent="0.3">
      <c r="A35" s="17" t="s">
        <v>210</v>
      </c>
      <c r="B35" s="108">
        <v>15</v>
      </c>
      <c r="C35" s="108">
        <v>6</v>
      </c>
      <c r="D35" s="108">
        <v>2020</v>
      </c>
      <c r="E35" s="120"/>
      <c r="F35" s="116">
        <f>_xlfn.DAYS('Calculation Tools'!Q35,'Calculation Tools'!Q36)</f>
        <v>167</v>
      </c>
      <c r="G35" s="18"/>
      <c r="J35" s="65" t="s">
        <v>443</v>
      </c>
      <c r="K35" s="66"/>
      <c r="L35" s="182">
        <f>L33+L31</f>
        <v>2.1539999999999999</v>
      </c>
      <c r="M35" s="66"/>
      <c r="N35" s="67" t="s">
        <v>451</v>
      </c>
      <c r="P35" s="80" t="s">
        <v>203</v>
      </c>
      <c r="Q35" s="86">
        <f>DATE('Calculation Tools'!D35,'Calculation Tools'!C35,'Calculation Tools'!B35)</f>
        <v>43997</v>
      </c>
    </row>
    <row r="36" spans="1:17" x14ac:dyDescent="0.3">
      <c r="A36" s="17" t="s">
        <v>205</v>
      </c>
      <c r="B36" s="145">
        <f>IF(B32&gt;0,ROUND('Calculation Tools'!Q32,0)+'Calculation Tools'!Q36, ROUND('Calculation Tools'!Q30,0)+'Calculation Tools'!Q36)</f>
        <v>43979</v>
      </c>
      <c r="E36" s="83"/>
      <c r="F36" s="144">
        <f>_xlfn.DAYS(B36, 'Calculation Tools'!Q36)</f>
        <v>149</v>
      </c>
      <c r="G36" s="18"/>
      <c r="P36" s="80" t="s">
        <v>204</v>
      </c>
      <c r="Q36" s="86">
        <f>DATE('Calculation Tools'!D35,1,1)-1</f>
        <v>43830</v>
      </c>
    </row>
    <row r="37" spans="1:17" x14ac:dyDescent="0.3">
      <c r="A37" s="17"/>
      <c r="B37" s="121" t="s">
        <v>212</v>
      </c>
      <c r="E37" s="83"/>
      <c r="F37" s="83"/>
      <c r="G37" s="135"/>
      <c r="P37" s="85"/>
      <c r="Q37" s="85"/>
    </row>
    <row r="38" spans="1:17" ht="15" thickBot="1" x14ac:dyDescent="0.35">
      <c r="A38" s="17"/>
      <c r="E38" s="80"/>
      <c r="F38" s="80"/>
      <c r="G38" s="136"/>
      <c r="J38" s="1" t="s">
        <v>476</v>
      </c>
      <c r="P38" s="85" t="s">
        <v>206</v>
      </c>
      <c r="Q38" s="87">
        <f>ABS(Q35-'Calculation Tools'!B36)</f>
        <v>18</v>
      </c>
    </row>
    <row r="39" spans="1:17" ht="14.4" customHeight="1" thickBot="1" x14ac:dyDescent="0.35">
      <c r="A39" s="17" t="s">
        <v>211</v>
      </c>
      <c r="B39" s="181">
        <f>IF('Calculation Tools'!Q38&lt;30,85+0.0189*'Calculation Tools'!Q38^2,IF('Calculation Tools'!Q38&lt;50,32.9+3.17*'Calculation Tools'!Q38-0.0288*'Calculation Tools'!Q38^2,120))</f>
        <v>91.123599999999996</v>
      </c>
      <c r="E39" s="80"/>
      <c r="F39" s="80"/>
      <c r="G39" s="136"/>
      <c r="J39" s="206" t="s">
        <v>560</v>
      </c>
      <c r="K39" s="206"/>
      <c r="L39" s="206"/>
      <c r="M39" s="206"/>
      <c r="N39" s="206"/>
      <c r="P39" s="85"/>
      <c r="Q39" s="85"/>
    </row>
    <row r="40" spans="1:17" x14ac:dyDescent="0.3">
      <c r="A40" s="17"/>
      <c r="B40" s="152"/>
      <c r="E40" s="80"/>
      <c r="F40" s="80"/>
      <c r="G40" s="136"/>
      <c r="J40" s="206"/>
      <c r="K40" s="206"/>
      <c r="L40" s="206"/>
      <c r="M40" s="206"/>
      <c r="N40" s="206"/>
    </row>
    <row r="41" spans="1:17" x14ac:dyDescent="0.3">
      <c r="A41" s="17"/>
      <c r="B41" t="s">
        <v>523</v>
      </c>
      <c r="E41" s="80"/>
      <c r="F41" s="80"/>
      <c r="G41" s="136"/>
      <c r="J41" s="206"/>
      <c r="K41" s="206"/>
      <c r="L41" s="206"/>
      <c r="M41" s="206"/>
      <c r="N41" s="206"/>
    </row>
    <row r="42" spans="1:17" x14ac:dyDescent="0.3">
      <c r="A42" s="17"/>
      <c r="B42" s="153" t="s">
        <v>479</v>
      </c>
      <c r="E42" s="80" t="s">
        <v>480</v>
      </c>
      <c r="G42" s="136" t="s">
        <v>221</v>
      </c>
      <c r="J42" s="206"/>
      <c r="K42" s="206"/>
      <c r="L42" s="206"/>
      <c r="M42" s="206"/>
      <c r="N42" s="206"/>
    </row>
    <row r="43" spans="1:17" x14ac:dyDescent="0.3">
      <c r="A43" s="17"/>
      <c r="E43" s="80" t="s">
        <v>481</v>
      </c>
      <c r="F43" s="80"/>
      <c r="G43" s="136" t="s">
        <v>420</v>
      </c>
      <c r="J43" s="206"/>
      <c r="K43" s="206"/>
      <c r="L43" s="206"/>
      <c r="M43" s="206"/>
      <c r="N43" s="206"/>
    </row>
    <row r="44" spans="1:17" x14ac:dyDescent="0.3">
      <c r="A44" s="65"/>
      <c r="B44" s="66"/>
      <c r="C44" s="66"/>
      <c r="D44" s="66"/>
      <c r="E44" s="154" t="s">
        <v>482</v>
      </c>
      <c r="F44" s="66"/>
      <c r="G44" s="67" t="s">
        <v>230</v>
      </c>
      <c r="J44" s="206"/>
      <c r="K44" s="206"/>
      <c r="L44" s="206"/>
      <c r="M44" s="206"/>
      <c r="N44" s="206"/>
    </row>
    <row r="45" spans="1:17" x14ac:dyDescent="0.3">
      <c r="J45" s="206"/>
      <c r="K45" s="206"/>
      <c r="L45" s="206"/>
      <c r="M45" s="206"/>
      <c r="N45" s="206"/>
    </row>
    <row r="46" spans="1:17" x14ac:dyDescent="0.3">
      <c r="J46" s="206"/>
      <c r="K46" s="206"/>
      <c r="L46" s="206"/>
      <c r="M46" s="206"/>
      <c r="N46" s="206"/>
    </row>
    <row r="47" spans="1:17" x14ac:dyDescent="0.3">
      <c r="J47" s="206"/>
      <c r="K47" s="206"/>
      <c r="L47" s="206"/>
      <c r="M47" s="206"/>
      <c r="N47" s="206"/>
    </row>
    <row r="48" spans="1:17" x14ac:dyDescent="0.3">
      <c r="J48" s="206"/>
      <c r="K48" s="206"/>
      <c r="L48" s="206"/>
      <c r="M48" s="206"/>
      <c r="N48" s="206"/>
    </row>
    <row r="49" spans="10:14" x14ac:dyDescent="0.3">
      <c r="J49" s="206"/>
      <c r="K49" s="206"/>
      <c r="L49" s="206"/>
      <c r="M49" s="206"/>
      <c r="N49" s="206"/>
    </row>
    <row r="50" spans="10:14" x14ac:dyDescent="0.3">
      <c r="J50" s="206"/>
      <c r="K50" s="206"/>
      <c r="L50" s="206"/>
      <c r="M50" s="206"/>
      <c r="N50" s="206"/>
    </row>
    <row r="51" spans="10:14" x14ac:dyDescent="0.3">
      <c r="J51" s="206"/>
      <c r="K51" s="206"/>
      <c r="L51" s="206"/>
      <c r="M51" s="206"/>
      <c r="N51" s="206"/>
    </row>
    <row r="52" spans="10:14" x14ac:dyDescent="0.3">
      <c r="J52" s="206"/>
      <c r="K52" s="206"/>
      <c r="L52" s="206"/>
      <c r="M52" s="206"/>
      <c r="N52" s="206"/>
    </row>
    <row r="53" spans="10:14" x14ac:dyDescent="0.3">
      <c r="J53" s="206"/>
      <c r="K53" s="206"/>
      <c r="L53" s="206"/>
      <c r="M53" s="206"/>
      <c r="N53" s="206"/>
    </row>
    <row r="54" spans="10:14" x14ac:dyDescent="0.3">
      <c r="J54" s="206"/>
      <c r="K54" s="206"/>
      <c r="L54" s="206"/>
      <c r="M54" s="206"/>
      <c r="N54" s="206"/>
    </row>
    <row r="55" spans="10:14" x14ac:dyDescent="0.3">
      <c r="J55" s="206"/>
      <c r="K55" s="206"/>
      <c r="L55" s="206"/>
      <c r="M55" s="206"/>
      <c r="N55" s="206"/>
    </row>
    <row r="56" spans="10:14" x14ac:dyDescent="0.3">
      <c r="J56" s="206"/>
      <c r="K56" s="206"/>
      <c r="L56" s="206"/>
      <c r="M56" s="206"/>
      <c r="N56" s="206"/>
    </row>
    <row r="58" spans="10:14" x14ac:dyDescent="0.3">
      <c r="J58" t="s">
        <v>483</v>
      </c>
    </row>
    <row r="65" spans="16:17" x14ac:dyDescent="0.3">
      <c r="P65" s="85"/>
      <c r="Q65" s="85"/>
    </row>
    <row r="66" spans="16:17" x14ac:dyDescent="0.3">
      <c r="P66" s="85"/>
      <c r="Q66" s="85"/>
    </row>
  </sheetData>
  <sheetProtection sheet="1" selectLockedCells="1"/>
  <mergeCells count="2">
    <mergeCell ref="A9:B9"/>
    <mergeCell ref="J39:N56"/>
  </mergeCells>
  <pageMargins left="0.7" right="0.7" top="0.75" bottom="0.75" header="0.3" footer="0.3"/>
  <pageSetup orientation="portrait" r:id="rId1"/>
  <headerFooter>
    <oddHeader>&amp;R&amp;"Calibri"&amp;12&amp;K000000 UNCLASSIFIED - NON CLASSIFIÉ&amp;1#_x000D_</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5601" r:id="rId4" name="Group Box 1">
              <controlPr locked="0" defaultSize="0" autoFill="0" autoPict="0">
                <anchor moveWithCells="1">
                  <from>
                    <xdr:col>9</xdr:col>
                    <xdr:colOff>38100</xdr:colOff>
                    <xdr:row>20</xdr:row>
                    <xdr:rowOff>22860</xdr:rowOff>
                  </from>
                  <to>
                    <xdr:col>10</xdr:col>
                    <xdr:colOff>228600</xdr:colOff>
                    <xdr:row>22</xdr:row>
                    <xdr:rowOff>160020</xdr:rowOff>
                  </to>
                </anchor>
              </controlPr>
            </control>
          </mc:Choice>
        </mc:AlternateContent>
        <mc:AlternateContent xmlns:mc="http://schemas.openxmlformats.org/markup-compatibility/2006">
          <mc:Choice Requires="x14">
            <control shapeId="25602" r:id="rId5" name="Option Button 2">
              <controlPr defaultSize="0" autoFill="0" autoLine="0" autoPict="0">
                <anchor moveWithCells="1">
                  <from>
                    <xdr:col>9</xdr:col>
                    <xdr:colOff>60960</xdr:colOff>
                    <xdr:row>20</xdr:row>
                    <xdr:rowOff>38100</xdr:rowOff>
                  </from>
                  <to>
                    <xdr:col>13</xdr:col>
                    <xdr:colOff>0</xdr:colOff>
                    <xdr:row>21</xdr:row>
                    <xdr:rowOff>99060</xdr:rowOff>
                  </to>
                </anchor>
              </controlPr>
            </control>
          </mc:Choice>
        </mc:AlternateContent>
        <mc:AlternateContent xmlns:mc="http://schemas.openxmlformats.org/markup-compatibility/2006">
          <mc:Choice Requires="x14">
            <control shapeId="25603" r:id="rId6" name="Option Button 3">
              <controlPr defaultSize="0" autoFill="0" autoLine="0" autoPict="0">
                <anchor moveWithCells="1">
                  <from>
                    <xdr:col>9</xdr:col>
                    <xdr:colOff>60960</xdr:colOff>
                    <xdr:row>21</xdr:row>
                    <xdr:rowOff>91440</xdr:rowOff>
                  </from>
                  <to>
                    <xdr:col>12</xdr:col>
                    <xdr:colOff>403860</xdr:colOff>
                    <xdr:row>22</xdr:row>
                    <xdr:rowOff>114300</xdr:rowOff>
                  </to>
                </anchor>
              </controlPr>
            </control>
          </mc:Choice>
        </mc:AlternateContent>
        <mc:AlternateContent xmlns:mc="http://schemas.openxmlformats.org/markup-compatibility/2006">
          <mc:Choice Requires="x14">
            <control shapeId="25604" r:id="rId7" name="Drop Down 4">
              <controlPr defaultSize="0" autoLine="0" autoPict="0">
                <anchor moveWithCells="1">
                  <from>
                    <xdr:col>2</xdr:col>
                    <xdr:colOff>0</xdr:colOff>
                    <xdr:row>14</xdr:row>
                    <xdr:rowOff>7620</xdr:rowOff>
                  </from>
                  <to>
                    <xdr:col>2</xdr:col>
                    <xdr:colOff>922020</xdr:colOff>
                    <xdr:row>15</xdr:row>
                    <xdr:rowOff>0</xdr:rowOff>
                  </to>
                </anchor>
              </controlPr>
            </control>
          </mc:Choice>
        </mc:AlternateContent>
        <mc:AlternateContent xmlns:mc="http://schemas.openxmlformats.org/markup-compatibility/2006">
          <mc:Choice Requires="x14">
            <control shapeId="25605" r:id="rId8" name="Drop Down 5">
              <controlPr defaultSize="0" autoLine="0" autoPict="0">
                <anchor moveWithCells="1">
                  <from>
                    <xdr:col>2</xdr:col>
                    <xdr:colOff>0</xdr:colOff>
                    <xdr:row>15</xdr:row>
                    <xdr:rowOff>7620</xdr:rowOff>
                  </from>
                  <to>
                    <xdr:col>2</xdr:col>
                    <xdr:colOff>922020</xdr:colOff>
                    <xdr:row>16</xdr:row>
                    <xdr:rowOff>0</xdr:rowOff>
                  </to>
                </anchor>
              </controlPr>
            </control>
          </mc:Choice>
        </mc:AlternateContent>
        <mc:AlternateContent xmlns:mc="http://schemas.openxmlformats.org/markup-compatibility/2006">
          <mc:Choice Requires="x14">
            <control shapeId="25606" r:id="rId9" name="Drop Down 6">
              <controlPr defaultSize="0" autoLine="0" autoPict="0">
                <anchor moveWithCells="1">
                  <from>
                    <xdr:col>2</xdr:col>
                    <xdr:colOff>0</xdr:colOff>
                    <xdr:row>16</xdr:row>
                    <xdr:rowOff>7620</xdr:rowOff>
                  </from>
                  <to>
                    <xdr:col>2</xdr:col>
                    <xdr:colOff>922020</xdr:colOff>
                    <xdr:row>17</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A3F35-8561-4460-B1FA-A6642ADF9859}">
  <dimension ref="A1:W41"/>
  <sheetViews>
    <sheetView showGridLines="0" showRowColHeaders="0" workbookViewId="0">
      <selection activeCell="E26" sqref="E26"/>
    </sheetView>
  </sheetViews>
  <sheetFormatPr defaultRowHeight="14.4" x14ac:dyDescent="0.3"/>
  <cols>
    <col min="1" max="1" width="40.88671875" customWidth="1"/>
    <col min="22" max="22" width="17.33203125" customWidth="1"/>
    <col min="23" max="24" width="8.88671875" customWidth="1"/>
  </cols>
  <sheetData>
    <row r="1" spans="1:23" x14ac:dyDescent="0.3">
      <c r="A1" s="186" t="s">
        <v>530</v>
      </c>
      <c r="B1" s="187"/>
      <c r="C1" s="187"/>
      <c r="D1" s="187"/>
      <c r="E1" s="187"/>
    </row>
    <row r="2" spans="1:23" ht="14.4" customHeight="1" x14ac:dyDescent="0.3">
      <c r="G2" t="s">
        <v>552</v>
      </c>
      <c r="R2" s="185"/>
      <c r="S2" s="185"/>
    </row>
    <row r="3" spans="1:23" ht="14.4" customHeight="1" x14ac:dyDescent="0.3">
      <c r="A3" s="1" t="s">
        <v>534</v>
      </c>
      <c r="Q3" s="206" t="s">
        <v>538</v>
      </c>
      <c r="R3" s="206"/>
      <c r="S3" s="206"/>
      <c r="T3" s="206"/>
      <c r="V3" t="s">
        <v>519</v>
      </c>
    </row>
    <row r="4" spans="1:23" ht="14.4" customHeight="1" x14ac:dyDescent="0.3">
      <c r="A4" t="s">
        <v>554</v>
      </c>
      <c r="E4" s="104">
        <v>0.2</v>
      </c>
      <c r="F4" t="s">
        <v>184</v>
      </c>
      <c r="Q4" s="206"/>
      <c r="R4" s="206"/>
      <c r="S4" s="206"/>
      <c r="T4" s="206"/>
      <c r="V4" t="s">
        <v>520</v>
      </c>
      <c r="W4">
        <f>IF('Ladder Fuels'!E6/2 &gt;=W5, W5-0.5, 'Ladder Fuels'!E6/2)</f>
        <v>1.5</v>
      </c>
    </row>
    <row r="5" spans="1:23" x14ac:dyDescent="0.3">
      <c r="A5" t="s">
        <v>556</v>
      </c>
      <c r="Q5" s="206"/>
      <c r="R5" s="206"/>
      <c r="S5" s="206"/>
      <c r="T5" s="206"/>
      <c r="V5" t="s">
        <v>518</v>
      </c>
      <c r="W5">
        <f>'CCP Calcs'!F5</f>
        <v>8</v>
      </c>
    </row>
    <row r="6" spans="1:23" ht="14.4" customHeight="1" x14ac:dyDescent="0.35">
      <c r="A6" t="s">
        <v>535</v>
      </c>
      <c r="E6" s="104">
        <v>3</v>
      </c>
      <c r="F6" t="s">
        <v>53</v>
      </c>
      <c r="Q6" s="206"/>
      <c r="R6" s="206"/>
      <c r="S6" s="206"/>
      <c r="T6" s="206"/>
      <c r="V6" t="s">
        <v>213</v>
      </c>
      <c r="W6">
        <f>W5-W4</f>
        <v>6.5</v>
      </c>
    </row>
    <row r="7" spans="1:23" ht="15.6" customHeight="1" x14ac:dyDescent="0.3">
      <c r="A7" t="s">
        <v>526</v>
      </c>
      <c r="E7">
        <f>'Ladder Fuels'!W5</f>
        <v>8</v>
      </c>
      <c r="F7" t="s">
        <v>53</v>
      </c>
      <c r="Q7" s="206"/>
      <c r="R7" s="206"/>
      <c r="S7" s="206"/>
      <c r="T7" s="206"/>
      <c r="V7" t="s">
        <v>521</v>
      </c>
      <c r="W7">
        <f>ROUND((W5/W6)^1.5 *'Ladder Fuels'!E4 *W27, 3)</f>
        <v>0.70699999999999996</v>
      </c>
    </row>
    <row r="8" spans="1:23" ht="14.4" customHeight="1" x14ac:dyDescent="0.35">
      <c r="A8" t="s">
        <v>536</v>
      </c>
      <c r="E8">
        <f>W6</f>
        <v>6.5</v>
      </c>
      <c r="F8" t="s">
        <v>53</v>
      </c>
      <c r="Q8" s="206"/>
      <c r="R8" s="206"/>
      <c r="S8" s="206"/>
      <c r="T8" s="206"/>
      <c r="V8" t="s">
        <v>531</v>
      </c>
    </row>
    <row r="9" spans="1:23" ht="15.6" customHeight="1" x14ac:dyDescent="0.3">
      <c r="Q9" s="206"/>
      <c r="R9" s="206"/>
      <c r="S9" s="206"/>
      <c r="T9" s="206"/>
    </row>
    <row r="10" spans="1:23" ht="16.2" x14ac:dyDescent="0.3">
      <c r="A10" t="s">
        <v>522</v>
      </c>
      <c r="E10" s="193">
        <f>ROUND(W7, 3)</f>
        <v>0.70699999999999996</v>
      </c>
      <c r="F10" t="s">
        <v>184</v>
      </c>
      <c r="Q10" s="206"/>
      <c r="R10" s="206"/>
      <c r="S10" s="206"/>
      <c r="T10" s="206"/>
      <c r="V10" t="s">
        <v>551</v>
      </c>
      <c r="W10">
        <v>3</v>
      </c>
    </row>
    <row r="11" spans="1:23" ht="14.4" customHeight="1" x14ac:dyDescent="0.3">
      <c r="B11" s="208" t="str">
        <f>IF(E10 &gt; W10, V8, "")</f>
        <v/>
      </c>
      <c r="C11" s="208"/>
      <c r="D11" s="208"/>
      <c r="E11" s="208"/>
      <c r="F11" s="208"/>
      <c r="Q11" s="206"/>
      <c r="R11" s="206"/>
      <c r="S11" s="206"/>
      <c r="T11" s="206"/>
    </row>
    <row r="12" spans="1:23" ht="14.4" customHeight="1" x14ac:dyDescent="0.3">
      <c r="B12" s="208"/>
      <c r="C12" s="208"/>
      <c r="D12" s="208"/>
      <c r="E12" s="208"/>
      <c r="F12" s="208"/>
      <c r="Q12" s="206"/>
      <c r="R12" s="206"/>
      <c r="S12" s="206"/>
      <c r="T12" s="206"/>
    </row>
    <row r="13" spans="1:23" ht="14.4" customHeight="1" x14ac:dyDescent="0.3">
      <c r="Q13" s="206"/>
      <c r="R13" s="206"/>
      <c r="S13" s="206"/>
      <c r="T13" s="206"/>
    </row>
    <row r="14" spans="1:23" ht="14.4" customHeight="1" x14ac:dyDescent="0.3">
      <c r="Q14" s="185"/>
      <c r="R14" s="185"/>
      <c r="S14" s="185"/>
    </row>
    <row r="15" spans="1:23" ht="14.4" customHeight="1" x14ac:dyDescent="0.3">
      <c r="Q15" s="185"/>
      <c r="R15" s="185"/>
      <c r="S15" s="185"/>
    </row>
    <row r="16" spans="1:23" ht="14.4" customHeight="1" x14ac:dyDescent="0.3">
      <c r="Q16" s="185"/>
      <c r="R16" s="185"/>
      <c r="S16" s="185"/>
    </row>
    <row r="17" spans="1:23" ht="14.4" customHeight="1" x14ac:dyDescent="0.3">
      <c r="Q17" s="185"/>
      <c r="R17" s="185"/>
      <c r="S17" s="185"/>
    </row>
    <row r="19" spans="1:23" ht="14.4" customHeight="1" x14ac:dyDescent="0.3">
      <c r="G19" s="191"/>
      <c r="H19" s="191"/>
      <c r="I19" s="191"/>
      <c r="J19" s="191"/>
      <c r="K19" s="191"/>
      <c r="L19" s="191"/>
      <c r="M19" s="191"/>
      <c r="N19" s="191"/>
      <c r="O19" s="191"/>
      <c r="P19" s="191"/>
    </row>
    <row r="20" spans="1:23" ht="14.4" customHeight="1" x14ac:dyDescent="0.3">
      <c r="G20" s="191"/>
      <c r="H20" s="191"/>
      <c r="I20" s="191"/>
      <c r="J20" s="191"/>
      <c r="K20" s="191"/>
      <c r="L20" s="191"/>
      <c r="M20" s="191"/>
      <c r="N20" s="191"/>
      <c r="O20" s="191"/>
      <c r="P20" s="191"/>
    </row>
    <row r="21" spans="1:23" ht="14.4" customHeight="1" x14ac:dyDescent="0.3">
      <c r="A21" s="1" t="s">
        <v>533</v>
      </c>
      <c r="G21" s="191"/>
      <c r="H21" s="191"/>
      <c r="I21" s="191"/>
      <c r="J21" s="191"/>
      <c r="K21" s="191"/>
      <c r="L21" s="191"/>
      <c r="M21" s="191"/>
      <c r="N21" s="191"/>
      <c r="O21" s="191"/>
      <c r="P21" s="191"/>
      <c r="R21" s="194"/>
      <c r="S21" s="194"/>
      <c r="T21" s="194"/>
      <c r="V21" t="s">
        <v>213</v>
      </c>
      <c r="W21">
        <f>E29-(E27+(E26-E27)/2)</f>
        <v>2</v>
      </c>
    </row>
    <row r="22" spans="1:23" ht="14.4" customHeight="1" x14ac:dyDescent="0.3">
      <c r="A22" t="s">
        <v>537</v>
      </c>
      <c r="G22" s="191"/>
      <c r="H22" s="191"/>
      <c r="I22" s="191"/>
      <c r="J22" s="191"/>
      <c r="K22" s="191"/>
      <c r="L22" s="191"/>
      <c r="M22" s="191"/>
      <c r="N22" s="191"/>
      <c r="O22" s="191"/>
      <c r="P22" s="191"/>
      <c r="Q22" s="194"/>
      <c r="R22" s="194"/>
      <c r="S22" s="194"/>
      <c r="T22" s="194"/>
    </row>
    <row r="23" spans="1:23" ht="14.4" customHeight="1" x14ac:dyDescent="0.3">
      <c r="A23" t="s">
        <v>550</v>
      </c>
      <c r="G23" t="s">
        <v>553</v>
      </c>
      <c r="H23" s="191"/>
      <c r="I23" s="191"/>
      <c r="J23" s="191"/>
      <c r="K23" s="191"/>
      <c r="L23" s="191"/>
      <c r="M23" s="191"/>
      <c r="N23" s="191"/>
      <c r="O23" s="191"/>
      <c r="P23" s="191"/>
      <c r="Q23" s="194"/>
      <c r="R23" s="194"/>
      <c r="S23" s="194"/>
      <c r="T23" s="194"/>
    </row>
    <row r="24" spans="1:23" ht="14.4" customHeight="1" x14ac:dyDescent="0.3">
      <c r="G24" s="191"/>
      <c r="H24" s="191"/>
      <c r="I24" s="191"/>
      <c r="J24" s="191"/>
      <c r="K24" s="191"/>
      <c r="L24" s="191"/>
      <c r="M24" s="191"/>
      <c r="N24" s="191"/>
      <c r="O24" s="191"/>
      <c r="P24" s="191"/>
      <c r="Q24" s="207" t="s">
        <v>539</v>
      </c>
      <c r="R24" s="207"/>
      <c r="S24" s="207"/>
      <c r="T24" s="207"/>
    </row>
    <row r="25" spans="1:23" ht="14.4" customHeight="1" x14ac:dyDescent="0.3">
      <c r="G25" s="191"/>
      <c r="H25" s="191"/>
      <c r="I25" s="191"/>
      <c r="J25" s="191"/>
      <c r="K25" s="191"/>
      <c r="L25" s="191"/>
      <c r="M25" s="191"/>
      <c r="N25" s="191"/>
      <c r="O25" s="191"/>
      <c r="P25" s="191"/>
      <c r="Q25" s="207"/>
      <c r="R25" s="207"/>
      <c r="S25" s="207"/>
      <c r="T25" s="207"/>
    </row>
    <row r="26" spans="1:23" ht="14.4" customHeight="1" x14ac:dyDescent="0.35">
      <c r="A26" t="s">
        <v>540</v>
      </c>
      <c r="E26" s="104">
        <v>5</v>
      </c>
      <c r="F26" t="s">
        <v>53</v>
      </c>
      <c r="G26" s="191"/>
      <c r="H26" s="191"/>
      <c r="I26" s="191"/>
      <c r="J26" s="191"/>
      <c r="K26" s="191"/>
      <c r="L26" s="191"/>
      <c r="M26" s="191"/>
      <c r="N26" s="191"/>
      <c r="O26" s="191"/>
      <c r="P26" s="191"/>
      <c r="Q26" s="207"/>
      <c r="R26" s="207"/>
      <c r="S26" s="207"/>
      <c r="T26" s="207"/>
    </row>
    <row r="27" spans="1:23" ht="15.6" x14ac:dyDescent="0.35">
      <c r="A27" t="s">
        <v>541</v>
      </c>
      <c r="E27" s="104">
        <v>1</v>
      </c>
      <c r="F27" t="s">
        <v>53</v>
      </c>
      <c r="Q27" s="207"/>
      <c r="R27" s="207"/>
      <c r="S27" s="207"/>
      <c r="T27" s="207"/>
      <c r="V27" t="s">
        <v>525</v>
      </c>
      <c r="W27">
        <v>2.59</v>
      </c>
    </row>
    <row r="28" spans="1:23" ht="15.6" x14ac:dyDescent="0.35">
      <c r="A28" t="s">
        <v>542</v>
      </c>
      <c r="E28">
        <f>E27+(E26-E27)/2</f>
        <v>3</v>
      </c>
      <c r="F28" t="s">
        <v>53</v>
      </c>
      <c r="Q28" s="207"/>
      <c r="R28" s="207"/>
      <c r="S28" s="207"/>
      <c r="T28" s="207"/>
      <c r="V28" t="s">
        <v>527</v>
      </c>
      <c r="W28" t="s">
        <v>528</v>
      </c>
    </row>
    <row r="29" spans="1:23" ht="15.6" x14ac:dyDescent="0.35">
      <c r="A29" t="s">
        <v>543</v>
      </c>
      <c r="E29" s="104">
        <v>5</v>
      </c>
      <c r="F29" t="s">
        <v>53</v>
      </c>
      <c r="Q29" s="207"/>
      <c r="R29" s="207"/>
      <c r="S29" s="207"/>
      <c r="T29" s="207"/>
      <c r="W29">
        <f>(16.52-0.057*E34)/16</f>
        <v>0.71187500000000004</v>
      </c>
    </row>
    <row r="30" spans="1:23" x14ac:dyDescent="0.3">
      <c r="A30" t="s">
        <v>546</v>
      </c>
      <c r="E30" s="192">
        <f>IF(W21&lt;0.5, 0.5, W21)</f>
        <v>2</v>
      </c>
      <c r="F30" t="s">
        <v>53</v>
      </c>
      <c r="Q30" s="207"/>
      <c r="R30" s="207"/>
      <c r="S30" s="207"/>
      <c r="T30" s="207"/>
    </row>
    <row r="31" spans="1:23" x14ac:dyDescent="0.3">
      <c r="Q31" s="207"/>
      <c r="R31" s="207"/>
      <c r="S31" s="207"/>
      <c r="T31" s="207"/>
    </row>
    <row r="32" spans="1:23" ht="16.2" x14ac:dyDescent="0.3">
      <c r="A32" t="s">
        <v>532</v>
      </c>
      <c r="E32" s="104">
        <v>0.5</v>
      </c>
      <c r="F32" t="s">
        <v>184</v>
      </c>
      <c r="Q32" s="207"/>
      <c r="R32" s="207"/>
      <c r="S32" s="207"/>
      <c r="T32" s="207"/>
    </row>
    <row r="33" spans="1:20" x14ac:dyDescent="0.3">
      <c r="A33" t="s">
        <v>545</v>
      </c>
      <c r="Q33" s="207"/>
      <c r="R33" s="207"/>
      <c r="S33" s="207"/>
      <c r="T33" s="207"/>
    </row>
    <row r="34" spans="1:20" x14ac:dyDescent="0.3">
      <c r="A34" t="s">
        <v>529</v>
      </c>
      <c r="E34" s="104">
        <v>90</v>
      </c>
      <c r="F34" t="s">
        <v>163</v>
      </c>
      <c r="Q34" s="207"/>
      <c r="R34" s="207"/>
      <c r="S34" s="207"/>
      <c r="T34" s="207"/>
    </row>
    <row r="35" spans="1:20" x14ac:dyDescent="0.3">
      <c r="A35" t="s">
        <v>544</v>
      </c>
      <c r="E35" s="189">
        <f>ROUND(W29 *E32*2*W27, 3)</f>
        <v>1.8440000000000001</v>
      </c>
      <c r="Q35" s="207"/>
      <c r="R35" s="207"/>
      <c r="S35" s="207"/>
      <c r="T35" s="207"/>
    </row>
    <row r="36" spans="1:20" x14ac:dyDescent="0.3">
      <c r="Q36" s="207"/>
      <c r="R36" s="207"/>
      <c r="S36" s="207"/>
      <c r="T36" s="207"/>
    </row>
    <row r="37" spans="1:20" ht="16.2" x14ac:dyDescent="0.3">
      <c r="A37" t="s">
        <v>547</v>
      </c>
      <c r="E37" s="104">
        <v>2.7</v>
      </c>
      <c r="F37" t="s">
        <v>184</v>
      </c>
      <c r="Q37" s="207"/>
      <c r="R37" s="207"/>
      <c r="S37" s="207"/>
      <c r="T37" s="207"/>
    </row>
    <row r="38" spans="1:20" x14ac:dyDescent="0.3">
      <c r="A38" t="s">
        <v>549</v>
      </c>
      <c r="E38" s="189">
        <f>ROUND((E30/E29)^1.5 *E37, 3)</f>
        <v>0.68300000000000005</v>
      </c>
      <c r="Q38" s="207"/>
      <c r="R38" s="207"/>
      <c r="S38" s="207"/>
      <c r="T38" s="207"/>
    </row>
    <row r="39" spans="1:20" x14ac:dyDescent="0.3">
      <c r="Q39" s="207"/>
      <c r="R39" s="207"/>
      <c r="S39" s="207"/>
      <c r="T39" s="207"/>
    </row>
    <row r="40" spans="1:20" ht="16.2" x14ac:dyDescent="0.3">
      <c r="A40" t="s">
        <v>548</v>
      </c>
      <c r="E40" s="190">
        <f>ROUND(E35+E38, 3)</f>
        <v>2.5270000000000001</v>
      </c>
      <c r="F40" t="s">
        <v>184</v>
      </c>
      <c r="Q40" s="207"/>
      <c r="R40" s="207"/>
      <c r="S40" s="207"/>
      <c r="T40" s="207"/>
    </row>
    <row r="41" spans="1:20" x14ac:dyDescent="0.3">
      <c r="A41" s="188" t="str">
        <f>IF(E40&gt;5, 'Ladder Fuels'!V32, "")</f>
        <v/>
      </c>
    </row>
  </sheetData>
  <sheetProtection sheet="1" objects="1" scenarios="1" selectLockedCells="1"/>
  <mergeCells count="3">
    <mergeCell ref="Q24:T40"/>
    <mergeCell ref="Q3:T13"/>
    <mergeCell ref="B11:F12"/>
  </mergeCells>
  <pageMargins left="0.7" right="0.7" top="0.75" bottom="0.75" header="0.3" footer="0.3"/>
  <pageSetup orientation="portrait" r:id="rId1"/>
  <headerFooter>
    <oddHeader>&amp;R&amp;"Calibri"&amp;12&amp;K000000 UNCLASSIFIED - NON CLASSIFIÉ&amp;1#_x000D_</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1"/>
  <dimension ref="A1:BG64"/>
  <sheetViews>
    <sheetView workbookViewId="0"/>
  </sheetViews>
  <sheetFormatPr defaultRowHeight="14.4" x14ac:dyDescent="0.3"/>
  <cols>
    <col min="1" max="1" width="23.33203125" customWidth="1"/>
    <col min="3" max="3" width="18" customWidth="1"/>
    <col min="5" max="5" width="13.109375" customWidth="1"/>
    <col min="18" max="18" width="19.109375" customWidth="1"/>
    <col min="20" max="20" width="9.5546875" bestFit="1" customWidth="1"/>
    <col min="21" max="21" width="9.109375"/>
    <col min="23" max="23" width="13.88671875" customWidth="1"/>
    <col min="24" max="24" width="14.109375" customWidth="1"/>
    <col min="25" max="25" width="18" customWidth="1"/>
    <col min="26" max="26" width="18.44140625" customWidth="1"/>
    <col min="27" max="27" width="23.33203125" customWidth="1"/>
    <col min="31" max="31" width="11.6640625" customWidth="1"/>
    <col min="32" max="32" width="12.33203125" customWidth="1"/>
    <col min="33" max="33" width="15" customWidth="1"/>
    <col min="34" max="34" width="12.109375" customWidth="1"/>
    <col min="41" max="41" width="11.44140625" customWidth="1"/>
    <col min="42" max="42" width="14.33203125" customWidth="1"/>
    <col min="43" max="43" width="12.33203125" customWidth="1"/>
    <col min="44" max="44" width="22.33203125" customWidth="1"/>
    <col min="46" max="46" width="26.6640625" customWidth="1"/>
    <col min="48" max="48" width="14.44140625" customWidth="1"/>
  </cols>
  <sheetData>
    <row r="1" spans="1:59" x14ac:dyDescent="0.3">
      <c r="A1" t="s">
        <v>178</v>
      </c>
      <c r="F1" s="44" t="s">
        <v>423</v>
      </c>
      <c r="G1" s="44"/>
      <c r="H1" s="44"/>
      <c r="O1" s="44"/>
      <c r="Y1" t="s">
        <v>407</v>
      </c>
      <c r="Z1" s="105">
        <v>1</v>
      </c>
    </row>
    <row r="2" spans="1:59" ht="15.6" x14ac:dyDescent="0.35">
      <c r="A2" s="44" t="s">
        <v>59</v>
      </c>
      <c r="C2" s="44" t="s">
        <v>422</v>
      </c>
      <c r="D2" s="44"/>
      <c r="I2" s="44" t="s">
        <v>424</v>
      </c>
      <c r="J2" s="44"/>
      <c r="K2" s="44"/>
      <c r="L2" s="44"/>
      <c r="M2" s="44"/>
      <c r="N2" s="45"/>
      <c r="O2" s="45"/>
      <c r="P2" s="45"/>
      <c r="Q2" s="45"/>
      <c r="T2" t="s">
        <v>328</v>
      </c>
      <c r="Z2" t="s">
        <v>292</v>
      </c>
      <c r="AA2" s="38" t="str">
        <f>IF($Z$1=1, $Z$8, IF($Z$1=2, $Z$9, $Z$10))</f>
        <v>mcSA</v>
      </c>
      <c r="AD2" s="114"/>
    </row>
    <row r="3" spans="1:59" x14ac:dyDescent="0.3">
      <c r="A3" s="1" t="s">
        <v>416</v>
      </c>
      <c r="B3" s="1" t="s">
        <v>30</v>
      </c>
      <c r="C3" s="1" t="s">
        <v>30</v>
      </c>
      <c r="D3" s="1"/>
      <c r="E3" s="1"/>
      <c r="F3" s="1" t="s">
        <v>40</v>
      </c>
      <c r="G3" s="1"/>
      <c r="H3" s="1" t="s">
        <v>40</v>
      </c>
      <c r="R3" t="s">
        <v>421</v>
      </c>
      <c r="T3" t="s">
        <v>329</v>
      </c>
      <c r="BE3" t="s">
        <v>433</v>
      </c>
    </row>
    <row r="4" spans="1:59" x14ac:dyDescent="0.3">
      <c r="A4" s="6"/>
      <c r="B4" s="6" t="s">
        <v>46</v>
      </c>
      <c r="C4" s="6" t="s">
        <v>22</v>
      </c>
      <c r="D4" s="6" t="s">
        <v>39</v>
      </c>
      <c r="E4" s="6"/>
      <c r="F4" s="6" t="s">
        <v>41</v>
      </c>
      <c r="G4" s="6"/>
      <c r="H4" s="6" t="s">
        <v>36</v>
      </c>
      <c r="I4" s="6" t="s">
        <v>46</v>
      </c>
      <c r="J4" s="6" t="s">
        <v>22</v>
      </c>
      <c r="K4" s="6" t="s">
        <v>39</v>
      </c>
      <c r="L4" s="6" t="s">
        <v>41</v>
      </c>
      <c r="M4" s="1"/>
      <c r="N4" s="1"/>
      <c r="O4" s="1" t="s">
        <v>115</v>
      </c>
      <c r="P4" s="1" t="s">
        <v>121</v>
      </c>
      <c r="Q4" s="1"/>
      <c r="R4" s="1" t="s">
        <v>22</v>
      </c>
      <c r="S4" s="1" t="s">
        <v>46</v>
      </c>
      <c r="T4" s="1" t="s">
        <v>327</v>
      </c>
      <c r="V4" t="s">
        <v>91</v>
      </c>
      <c r="W4" t="s">
        <v>92</v>
      </c>
      <c r="X4" t="s">
        <v>101</v>
      </c>
      <c r="Y4" t="s">
        <v>301</v>
      </c>
      <c r="Z4" t="s">
        <v>302</v>
      </c>
      <c r="AA4" t="s">
        <v>291</v>
      </c>
      <c r="AB4" s="88" t="s">
        <v>299</v>
      </c>
      <c r="AC4" s="88" t="s">
        <v>222</v>
      </c>
      <c r="AD4" s="88" t="s">
        <v>223</v>
      </c>
      <c r="AE4" s="88" t="s">
        <v>220</v>
      </c>
      <c r="AF4" s="88" t="s">
        <v>219</v>
      </c>
      <c r="AG4" s="88" t="s">
        <v>218</v>
      </c>
      <c r="AH4" s="88"/>
      <c r="AI4" s="88" t="s">
        <v>227</v>
      </c>
      <c r="AJ4" s="88" t="s">
        <v>228</v>
      </c>
      <c r="AK4" s="88" t="s">
        <v>229</v>
      </c>
      <c r="AL4" s="88" t="s">
        <v>224</v>
      </c>
      <c r="AN4" s="88" t="s">
        <v>28</v>
      </c>
      <c r="AO4" s="88" t="s">
        <v>290</v>
      </c>
      <c r="AR4" s="88" t="s">
        <v>410</v>
      </c>
      <c r="AV4" t="s">
        <v>366</v>
      </c>
      <c r="AW4" s="88" t="s">
        <v>227</v>
      </c>
      <c r="AX4" s="88" t="s">
        <v>228</v>
      </c>
      <c r="AY4" s="88" t="s">
        <v>229</v>
      </c>
      <c r="AZ4" s="88" t="s">
        <v>356</v>
      </c>
      <c r="BB4" t="s">
        <v>39</v>
      </c>
      <c r="BC4" t="s">
        <v>368</v>
      </c>
      <c r="BE4" t="s">
        <v>220</v>
      </c>
      <c r="BF4" t="s">
        <v>219</v>
      </c>
      <c r="BG4" t="s">
        <v>369</v>
      </c>
    </row>
    <row r="5" spans="1:59" x14ac:dyDescent="0.3">
      <c r="A5" s="41"/>
      <c r="B5" s="40">
        <v>80</v>
      </c>
      <c r="C5" s="4">
        <v>0</v>
      </c>
      <c r="D5" s="4">
        <v>80</v>
      </c>
      <c r="E5" s="38">
        <v>0.5</v>
      </c>
      <c r="F5" s="2">
        <f>IF('FBP outputs'!$D$2=TRUE, Settings!E5, "")</f>
        <v>0.5</v>
      </c>
      <c r="G5" s="67">
        <v>0.5</v>
      </c>
      <c r="H5" s="60">
        <f>IF('FBP outputs'!$D$2=TRUE, Settings!G5, "")</f>
        <v>0.5</v>
      </c>
      <c r="I5" s="9">
        <v>21</v>
      </c>
      <c r="J5" s="5">
        <v>19</v>
      </c>
      <c r="K5" s="5">
        <v>15</v>
      </c>
      <c r="L5" s="14">
        <v>13</v>
      </c>
      <c r="M5" s="1"/>
      <c r="N5" t="s">
        <v>4</v>
      </c>
      <c r="O5" s="38" t="str">
        <f>IF('FBP outputs'!$D$2=TRUE, Settings!N5, "")</f>
        <v>C-1</v>
      </c>
      <c r="P5" s="38" t="s">
        <v>4</v>
      </c>
      <c r="R5" s="103">
        <f>IF(OR('FBP outputs'!$G$1&lt;&gt;19, 'CCP Calcs'!$Z$1=2), Settings!C5, "")</f>
        <v>0</v>
      </c>
      <c r="S5" s="103">
        <f>IF('FBP outputs'!$D$2=FALSE, "", Settings!B5)</f>
        <v>80</v>
      </c>
      <c r="T5" s="82">
        <f>-J6*AB5/(0.4*J6-0.8*AB5)</f>
        <v>281.25</v>
      </c>
      <c r="V5" s="38">
        <v>0.01</v>
      </c>
      <c r="W5" s="69">
        <v>13</v>
      </c>
      <c r="X5" s="14">
        <v>18</v>
      </c>
      <c r="Y5" s="39">
        <f>IF($Z$1=1, $Y$8, IF($Z$1=2, $Y$9, $Y$10))</f>
        <v>8.9737633318988639</v>
      </c>
      <c r="Z5" s="39">
        <f>IF($Z$1=1, $Y$12, IF($Z$1=2, $Y$13, $Y$10))</f>
        <v>7.7639399948290446</v>
      </c>
      <c r="AA5" s="115">
        <v>0</v>
      </c>
      <c r="AB5">
        <f>'Advanced Settings'!$E$7</f>
        <v>75</v>
      </c>
      <c r="AC5">
        <f>Y10</f>
        <v>9.7807308970099669</v>
      </c>
      <c r="AD5">
        <f>20+EXP(-(AB5-244.72)/43.43)</f>
        <v>69.794162910124754</v>
      </c>
      <c r="AE5" t="s">
        <v>287</v>
      </c>
      <c r="AF5" t="s">
        <v>284</v>
      </c>
      <c r="AG5" t="s">
        <v>279</v>
      </c>
      <c r="AH5">
        <f>_xlfn.NUMBERVALUE(CONCATENATE(LEFT(AE5,1), LEFT(AF5,1), LEFT(AG5, 1)))</f>
        <v>111</v>
      </c>
      <c r="AI5">
        <v>0.72989999999999999</v>
      </c>
      <c r="AJ5">
        <v>0.52210000000000001</v>
      </c>
      <c r="AK5">
        <v>2.232E-3</v>
      </c>
      <c r="AL5">
        <f t="shared" ref="AL5:AL49" si="0">EXP(AI5+AJ5*LN($AC$5)+$AK$5*$AD$5)</f>
        <v>7.9747861504361826</v>
      </c>
      <c r="AN5" s="38">
        <v>1</v>
      </c>
      <c r="AO5" t="str">
        <f t="shared" ref="AO5:AQ6" si="1">IF($Z$1=1, AO21, "")</f>
        <v>Spring</v>
      </c>
      <c r="AP5" t="str">
        <f t="shared" si="1"/>
        <v>Low dens.</v>
      </c>
      <c r="AQ5" t="str">
        <f t="shared" si="1"/>
        <v>Deciduous</v>
      </c>
      <c r="AT5" t="s">
        <v>234</v>
      </c>
      <c r="AV5">
        <v>111</v>
      </c>
      <c r="AW5">
        <v>0.72989999999999999</v>
      </c>
      <c r="AX5">
        <v>0.52210000000000001</v>
      </c>
      <c r="AY5">
        <v>2.232E-3</v>
      </c>
      <c r="AZ5">
        <f>EXP(AW5+AX5*LN($BC$5)+$AK$5*$BC$7)</f>
        <v>8.6377671996095238</v>
      </c>
      <c r="BB5">
        <f>'Calculation Tools'!$C$13</f>
        <v>91.2</v>
      </c>
      <c r="BC5" s="38">
        <f>147.2*(101-BB5)/(59.5+BB5)</f>
        <v>9.5723954877239521</v>
      </c>
      <c r="BE5" s="38">
        <v>3</v>
      </c>
      <c r="BF5" s="38">
        <v>1</v>
      </c>
      <c r="BG5" s="38">
        <v>5</v>
      </c>
    </row>
    <row r="6" spans="1:59" x14ac:dyDescent="0.3">
      <c r="A6" s="41" t="s">
        <v>57</v>
      </c>
      <c r="B6" s="12">
        <v>81</v>
      </c>
      <c r="C6" s="2">
        <v>5</v>
      </c>
      <c r="D6" s="2">
        <v>81</v>
      </c>
      <c r="E6" s="38">
        <v>0.75</v>
      </c>
      <c r="F6" s="2">
        <f>IF('FBP outputs'!$D$2=TRUE, Settings!E6, "")</f>
        <v>0.75</v>
      </c>
      <c r="G6" s="131">
        <v>1</v>
      </c>
      <c r="H6" s="60">
        <f>IF('FBP outputs'!$D$2=TRUE, Settings!G6, "")</f>
        <v>1</v>
      </c>
      <c r="I6" s="10">
        <f>79+I5</f>
        <v>100</v>
      </c>
      <c r="J6" s="3">
        <f>INDEX(C5:C46, J5)</f>
        <v>90</v>
      </c>
      <c r="K6" s="3">
        <f>INDEX(Settings!$D$5:$D$44, K5)</f>
        <v>91</v>
      </c>
      <c r="L6" s="3">
        <f>INDEX(Settings!$F$5:$F$43, L5)</f>
        <v>3.5</v>
      </c>
      <c r="N6" t="s">
        <v>5</v>
      </c>
      <c r="O6" s="38" t="str">
        <f>IF('FBP outputs'!$D$2=TRUE, Settings!N6, "")</f>
        <v>C-2</v>
      </c>
      <c r="P6" s="38" t="s">
        <v>5</v>
      </c>
      <c r="R6" s="103">
        <f>IF(OR('FBP outputs'!$G$1&lt;&gt;19, 'CCP Calcs'!$Z$1=2), Settings!C6, "")</f>
        <v>5</v>
      </c>
      <c r="S6" s="103">
        <f>IF('FBP outputs'!$D$2=FALSE, "", Settings!B6)</f>
        <v>81</v>
      </c>
      <c r="T6" t="s">
        <v>335</v>
      </c>
      <c r="V6" s="38">
        <v>0.02</v>
      </c>
      <c r="W6" s="10">
        <f>W5*V5</f>
        <v>0.13</v>
      </c>
      <c r="X6" s="3">
        <f>X5*H5</f>
        <v>9</v>
      </c>
      <c r="Y6" s="106"/>
      <c r="Z6" s="106"/>
      <c r="AA6" s="2">
        <v>5</v>
      </c>
      <c r="AE6" t="s">
        <v>287</v>
      </c>
      <c r="AF6" t="s">
        <v>284</v>
      </c>
      <c r="AG6" t="s">
        <v>280</v>
      </c>
      <c r="AH6">
        <f t="shared" ref="AH6:AH49" si="2">_xlfn.NUMBERVALUE(CONCATENATE(LEFT(AE6,1), LEFT(AF6,1), LEFT(AG6, 1)))</f>
        <v>112</v>
      </c>
      <c r="AI6">
        <v>2.0199999999999999E-2</v>
      </c>
      <c r="AJ6">
        <v>0.62639999999999996</v>
      </c>
      <c r="AL6">
        <f t="shared" si="0"/>
        <v>4.9750331601939966</v>
      </c>
      <c r="AN6" s="38">
        <v>4</v>
      </c>
      <c r="AO6" t="str">
        <f t="shared" si="1"/>
        <v>Sp-Su transit.</v>
      </c>
      <c r="AP6" t="str">
        <f t="shared" si="1"/>
        <v>Mod. dens.</v>
      </c>
      <c r="AQ6" t="str">
        <f t="shared" si="1"/>
        <v>Int. Doug.-Fir</v>
      </c>
      <c r="AT6" t="s">
        <v>235</v>
      </c>
      <c r="AV6">
        <v>112</v>
      </c>
      <c r="AW6">
        <v>2.0199999999999999E-2</v>
      </c>
      <c r="AX6">
        <v>0.62639999999999996</v>
      </c>
      <c r="AZ6">
        <f t="shared" ref="AZ6:AZ49" si="3">EXP(AW6+AX6*LN($BC$5)+$AK$5*$BC$7)</f>
        <v>5.3765433682271544</v>
      </c>
      <c r="BB6" t="s">
        <v>333</v>
      </c>
      <c r="BC6" t="s">
        <v>367</v>
      </c>
    </row>
    <row r="7" spans="1:59" x14ac:dyDescent="0.3">
      <c r="B7" s="12">
        <v>82</v>
      </c>
      <c r="C7" s="2">
        <v>10</v>
      </c>
      <c r="D7" s="2">
        <v>82</v>
      </c>
      <c r="E7" s="38">
        <v>1</v>
      </c>
      <c r="F7" s="2">
        <f>IF('FBP outputs'!$D$2=TRUE, Settings!E7, "")</f>
        <v>1</v>
      </c>
      <c r="G7" s="67">
        <v>1.5</v>
      </c>
      <c r="H7" s="60">
        <f>IF('FBP outputs'!$D$2=TRUE, Settings!G7, "")</f>
        <v>1.5</v>
      </c>
      <c r="N7" t="s">
        <v>6</v>
      </c>
      <c r="O7" s="38" t="str">
        <f>IF('FBP outputs'!$D$2=TRUE, Settings!N7, "")</f>
        <v>C-3</v>
      </c>
      <c r="P7" s="38" t="s">
        <v>6</v>
      </c>
      <c r="R7" s="103">
        <f>IF(OR('FBP outputs'!$G$1&lt;&gt;19, 'CCP Calcs'!$Z$1=2), Settings!C7, "")</f>
        <v>10</v>
      </c>
      <c r="S7" s="103">
        <f>IF('FBP outputs'!$D$2=FALSE, "", Settings!B7)</f>
        <v>82</v>
      </c>
      <c r="T7" s="112">
        <f>IF(T5="", "", IF(J6&lt;AB5, "Error!", IF(T5&lt;=0, "Error!", T5)))</f>
        <v>281.25</v>
      </c>
      <c r="V7" s="38">
        <v>0.03</v>
      </c>
      <c r="AA7" s="2">
        <v>10</v>
      </c>
      <c r="AB7" s="38">
        <f>IF($Z$1=1, AB5, "")</f>
        <v>75</v>
      </c>
      <c r="AE7" t="s">
        <v>287</v>
      </c>
      <c r="AF7" t="s">
        <v>284</v>
      </c>
      <c r="AG7" t="s">
        <v>281</v>
      </c>
      <c r="AH7">
        <f t="shared" si="2"/>
        <v>113</v>
      </c>
      <c r="AI7">
        <v>0.79769999999999996</v>
      </c>
      <c r="AJ7">
        <v>0.50419999999999998</v>
      </c>
      <c r="AL7">
        <f t="shared" si="0"/>
        <v>8.1928794630872304</v>
      </c>
      <c r="AN7" s="38">
        <v>2</v>
      </c>
      <c r="AO7" t="str">
        <f>IF($Z$1=1,AO23, "")</f>
        <v>Summer</v>
      </c>
      <c r="AP7" t="str">
        <f>IF($Z$1=1,AP23, "")</f>
        <v>High dens.</v>
      </c>
      <c r="AQ7" t="str">
        <f>IF($Z$1=1,AQ23, "")</f>
        <v>Mixedwood</v>
      </c>
      <c r="AT7" t="s">
        <v>236</v>
      </c>
      <c r="AV7">
        <v>113</v>
      </c>
      <c r="AW7">
        <v>0.79769999999999996</v>
      </c>
      <c r="AX7">
        <v>0.50419999999999998</v>
      </c>
      <c r="AZ7">
        <f t="shared" si="3"/>
        <v>8.8774123191989531</v>
      </c>
      <c r="BB7">
        <f>'Calculation Tools'!$C$14</f>
        <v>49</v>
      </c>
      <c r="BC7">
        <f>20+EXP(-(BB7-244.72)/43.43)</f>
        <v>110.60979176952705</v>
      </c>
      <c r="BE7" s="38">
        <f>100*INDEX($AN$5:$AN$8, $BE$5)+10*$BF$5+$BG$5</f>
        <v>215</v>
      </c>
    </row>
    <row r="8" spans="1:59" ht="15.6" x14ac:dyDescent="0.35">
      <c r="B8" s="11">
        <v>83</v>
      </c>
      <c r="C8" s="2">
        <v>15</v>
      </c>
      <c r="D8" s="2">
        <v>83</v>
      </c>
      <c r="E8" s="38">
        <v>1.25</v>
      </c>
      <c r="F8" s="2">
        <f>IF('FBP outputs'!$D$2=TRUE, Settings!E8, "")</f>
        <v>1.25</v>
      </c>
      <c r="G8" s="131">
        <v>2</v>
      </c>
      <c r="H8" s="60">
        <f>IF('FBP outputs'!$D$2=TRUE, Settings!G8, "")</f>
        <v>2</v>
      </c>
      <c r="N8" t="s">
        <v>7</v>
      </c>
      <c r="O8" s="38" t="str">
        <f>IF('FBP outputs'!$D$2=TRUE, Settings!N8, "")</f>
        <v>C-4</v>
      </c>
      <c r="P8" s="38" t="s">
        <v>7</v>
      </c>
      <c r="R8" s="103">
        <f>IF(OR('FBP outputs'!$G$1&lt;&gt;19, 'CCP Calcs'!$Z$1=2), Settings!C8, "")</f>
        <v>15</v>
      </c>
      <c r="S8" s="103">
        <f>IF('FBP outputs'!$D$2=FALSE, "", Settings!B8)</f>
        <v>83</v>
      </c>
      <c r="T8" s="113"/>
      <c r="V8" s="38">
        <v>0.04</v>
      </c>
      <c r="X8" t="s">
        <v>405</v>
      </c>
      <c r="Y8" s="38">
        <f>$AR$10</f>
        <v>8.9737633318988639</v>
      </c>
      <c r="Z8" t="s">
        <v>398</v>
      </c>
      <c r="AA8" s="2">
        <v>15</v>
      </c>
      <c r="AE8" t="s">
        <v>287</v>
      </c>
      <c r="AF8" t="s">
        <v>284</v>
      </c>
      <c r="AG8" t="s">
        <v>282</v>
      </c>
      <c r="AH8">
        <f t="shared" si="2"/>
        <v>114</v>
      </c>
      <c r="AI8">
        <v>0.85170000000000001</v>
      </c>
      <c r="AJ8">
        <v>0.37090000000000001</v>
      </c>
      <c r="AL8">
        <f t="shared" si="0"/>
        <v>6.3807535648580433</v>
      </c>
      <c r="AN8" s="38">
        <v>3</v>
      </c>
      <c r="AO8" t="str">
        <f>IF($Z$1=1,AO24, "")</f>
        <v>Fall</v>
      </c>
      <c r="AQ8" t="str">
        <f>IF($Z$1=1,AQ24, "")</f>
        <v>Pine</v>
      </c>
      <c r="AT8" t="s">
        <v>237</v>
      </c>
      <c r="AV8">
        <v>114</v>
      </c>
      <c r="AW8">
        <v>0.85170000000000001</v>
      </c>
      <c r="AX8">
        <v>0.37090000000000001</v>
      </c>
      <c r="AZ8">
        <f t="shared" si="3"/>
        <v>6.9337510256775223</v>
      </c>
    </row>
    <row r="9" spans="1:59" x14ac:dyDescent="0.3">
      <c r="B9" s="12">
        <v>84</v>
      </c>
      <c r="C9" s="2">
        <v>20</v>
      </c>
      <c r="D9" s="2">
        <v>84</v>
      </c>
      <c r="E9" s="38">
        <v>1.5</v>
      </c>
      <c r="F9" s="2">
        <f>IF('FBP outputs'!$D$2=TRUE, Settings!E9, "")</f>
        <v>1.5</v>
      </c>
      <c r="G9" s="67">
        <v>2.5</v>
      </c>
      <c r="H9" s="60">
        <f>IF('FBP outputs'!$D$2=TRUE, Settings!G9, "")</f>
        <v>2.5</v>
      </c>
      <c r="N9" t="s">
        <v>8</v>
      </c>
      <c r="O9" s="38" t="str">
        <f>IF('FBP outputs'!$D$2=TRUE, Settings!N9, "")</f>
        <v>C-5</v>
      </c>
      <c r="P9" s="38" t="s">
        <v>8</v>
      </c>
      <c r="R9" s="103">
        <f>IF(OR('FBP outputs'!$G$1&lt;&gt;19, 'CCP Calcs'!$Z$1=2), Settings!C9, "")</f>
        <v>20</v>
      </c>
      <c r="S9" s="103">
        <f>IF('FBP outputs'!$D$2=FALSE, "", Settings!B9)</f>
        <v>84</v>
      </c>
      <c r="V9" s="38">
        <v>0.05</v>
      </c>
      <c r="X9" t="s">
        <v>300</v>
      </c>
      <c r="Y9" s="38">
        <f>'Advanced Settings'!$E$10</f>
        <v>10.73</v>
      </c>
      <c r="Z9" t="s">
        <v>356</v>
      </c>
      <c r="AA9" s="2">
        <v>20</v>
      </c>
      <c r="AE9" t="s">
        <v>287</v>
      </c>
      <c r="AF9" t="s">
        <v>284</v>
      </c>
      <c r="AG9" t="s">
        <v>283</v>
      </c>
      <c r="AH9">
        <f t="shared" si="2"/>
        <v>115</v>
      </c>
      <c r="AI9">
        <v>0.73909999999999998</v>
      </c>
      <c r="AJ9">
        <v>0.42849999999999999</v>
      </c>
      <c r="AL9">
        <f t="shared" si="0"/>
        <v>6.5015334390979245</v>
      </c>
      <c r="AQ9" t="str">
        <f>IF($Z$1=1,AQ25, "")</f>
        <v>Spruce</v>
      </c>
      <c r="AT9" t="s">
        <v>238</v>
      </c>
      <c r="AV9">
        <v>115</v>
      </c>
      <c r="AW9">
        <v>0.73909999999999998</v>
      </c>
      <c r="AX9">
        <v>0.42849999999999999</v>
      </c>
      <c r="AZ9">
        <f t="shared" si="3"/>
        <v>7.0562420984858631</v>
      </c>
      <c r="BD9" t="s">
        <v>370</v>
      </c>
      <c r="BE9" s="38">
        <f>VLOOKUP(BE7, $AV$5:$AZ$64, 5)</f>
        <v>8.5219500936748709</v>
      </c>
    </row>
    <row r="10" spans="1:59" ht="15.6" x14ac:dyDescent="0.35">
      <c r="B10" s="12">
        <v>85</v>
      </c>
      <c r="C10" s="2">
        <v>25</v>
      </c>
      <c r="D10" s="2">
        <v>85</v>
      </c>
      <c r="E10" s="38">
        <v>1.75</v>
      </c>
      <c r="F10" s="2">
        <f>IF('FBP outputs'!$D$2=TRUE, Settings!E10, "")</f>
        <v>1.75</v>
      </c>
      <c r="G10" s="131">
        <v>3</v>
      </c>
      <c r="H10" s="60">
        <f>IF('FBP outputs'!$D$2=TRUE, Settings!G10, "")</f>
        <v>3</v>
      </c>
      <c r="N10" t="s">
        <v>50</v>
      </c>
      <c r="O10" s="38" t="str">
        <f>IF('FBP outputs'!$D$2=TRUE, Settings!N10, "")</f>
        <v>C-6</v>
      </c>
      <c r="P10" s="38" t="s">
        <v>50</v>
      </c>
      <c r="R10" s="103">
        <f>IF(OR('FBP outputs'!$G$1&lt;&gt;19, 'CCP Calcs'!$Z$1=2), Settings!C10, "")</f>
        <v>25</v>
      </c>
      <c r="S10" s="103">
        <f>IF('FBP outputs'!$D$2=FALSE, "", Settings!B10)</f>
        <v>85</v>
      </c>
      <c r="V10" s="38">
        <v>0.06</v>
      </c>
      <c r="X10" t="s">
        <v>296</v>
      </c>
      <c r="Y10" s="38">
        <f>147.2*(101-$K$6)/(59.5+$K$6)</f>
        <v>9.7807308970099669</v>
      </c>
      <c r="Z10" t="s">
        <v>408</v>
      </c>
      <c r="AA10" s="2">
        <v>25</v>
      </c>
      <c r="AE10" t="s">
        <v>287</v>
      </c>
      <c r="AF10" t="s">
        <v>285</v>
      </c>
      <c r="AG10" t="s">
        <v>279</v>
      </c>
      <c r="AH10">
        <f t="shared" si="2"/>
        <v>121</v>
      </c>
      <c r="AI10">
        <v>0.43869999999999998</v>
      </c>
      <c r="AJ10">
        <v>0.71330000000000005</v>
      </c>
      <c r="AL10">
        <f t="shared" si="0"/>
        <v>9.2174647903232412</v>
      </c>
      <c r="AN10" t="s">
        <v>15</v>
      </c>
      <c r="AO10" s="38">
        <v>3</v>
      </c>
      <c r="AP10" s="38">
        <v>2</v>
      </c>
      <c r="AQ10" s="38">
        <v>4</v>
      </c>
      <c r="AR10" s="38">
        <f>VLOOKUP(AO15, $AH$5:$AL$64, 5)</f>
        <v>8.9737633318988639</v>
      </c>
      <c r="AT10" t="s">
        <v>239</v>
      </c>
      <c r="AV10">
        <v>121</v>
      </c>
      <c r="AW10">
        <v>0.43869999999999998</v>
      </c>
      <c r="AX10">
        <v>0.71330000000000005</v>
      </c>
      <c r="AZ10">
        <f t="shared" si="3"/>
        <v>9.9427400937463766</v>
      </c>
    </row>
    <row r="11" spans="1:59" x14ac:dyDescent="0.3">
      <c r="B11" s="11">
        <v>86</v>
      </c>
      <c r="C11" s="2">
        <v>30</v>
      </c>
      <c r="D11" s="2">
        <v>86</v>
      </c>
      <c r="E11" s="38">
        <v>2</v>
      </c>
      <c r="F11" s="2">
        <f>IF('FBP outputs'!$D$2=TRUE, Settings!E11, "")</f>
        <v>2</v>
      </c>
      <c r="G11" s="67">
        <v>3.5</v>
      </c>
      <c r="H11" s="60">
        <f>IF('FBP outputs'!$D$2=TRUE, Settings!G11, "")</f>
        <v>3.5</v>
      </c>
      <c r="N11" t="s">
        <v>9</v>
      </c>
      <c r="O11" s="38" t="str">
        <f>IF('FBP outputs'!$D$2=TRUE, Settings!N11, "")</f>
        <v>C-7</v>
      </c>
      <c r="P11" s="38" t="s">
        <v>9</v>
      </c>
      <c r="R11" s="103">
        <f>IF(OR('FBP outputs'!$G$1&lt;&gt;19, 'CCP Calcs'!$Z$1=2), Settings!C11, "")</f>
        <v>30</v>
      </c>
      <c r="S11" s="103">
        <f>IF('FBP outputs'!$D$2=FALSE, "", Settings!B11)</f>
        <v>86</v>
      </c>
      <c r="V11" s="38">
        <v>7.0000000000000007E-2</v>
      </c>
      <c r="AA11" s="2">
        <v>30</v>
      </c>
      <c r="AE11" t="s">
        <v>287</v>
      </c>
      <c r="AF11" t="s">
        <v>285</v>
      </c>
      <c r="AG11" t="s">
        <v>280</v>
      </c>
      <c r="AH11">
        <f t="shared" si="2"/>
        <v>122</v>
      </c>
      <c r="AI11">
        <v>-0.27100000000000002</v>
      </c>
      <c r="AJ11">
        <v>0.81759999999999999</v>
      </c>
      <c r="AL11">
        <f t="shared" si="0"/>
        <v>5.7502724361167434</v>
      </c>
      <c r="AT11" t="s">
        <v>240</v>
      </c>
      <c r="AV11">
        <v>122</v>
      </c>
      <c r="AW11">
        <v>-0.27100000000000002</v>
      </c>
      <c r="AX11">
        <v>0.81759999999999999</v>
      </c>
      <c r="AZ11">
        <f t="shared" si="3"/>
        <v>6.1888184848805485</v>
      </c>
    </row>
    <row r="12" spans="1:59" x14ac:dyDescent="0.3">
      <c r="B12" s="12">
        <v>87</v>
      </c>
      <c r="C12" s="2">
        <v>35</v>
      </c>
      <c r="D12" s="2">
        <v>87</v>
      </c>
      <c r="E12" s="38">
        <v>2.25</v>
      </c>
      <c r="F12" s="2">
        <f>IF('FBP outputs'!$D$2=TRUE, Settings!E12, "")</f>
        <v>2.25</v>
      </c>
      <c r="G12" s="131">
        <v>4</v>
      </c>
      <c r="H12" s="60">
        <f>IF('FBP outputs'!$D$2=TRUE, Settings!G12, "")</f>
        <v>4</v>
      </c>
      <c r="N12" t="s">
        <v>10</v>
      </c>
      <c r="O12" s="38" t="str">
        <f>IF('FBP outputs'!$D$2=TRUE, Settings!N12, "")</f>
        <v>D-1</v>
      </c>
      <c r="P12" s="38" t="s">
        <v>122</v>
      </c>
      <c r="R12" s="103">
        <f>IF(OR('FBP outputs'!$G$1&lt;&gt;19, 'CCP Calcs'!$Z$1=2), Settings!C12, "")</f>
        <v>35</v>
      </c>
      <c r="S12" s="103">
        <f>IF('FBP outputs'!$D$2=FALSE, "", Settings!B12)</f>
        <v>87</v>
      </c>
      <c r="T12" t="s">
        <v>330</v>
      </c>
      <c r="V12" s="38">
        <v>0.08</v>
      </c>
      <c r="X12" t="s">
        <v>406</v>
      </c>
      <c r="Y12" s="38">
        <f>$AR$12</f>
        <v>7.7639399948290446</v>
      </c>
      <c r="AA12" s="2">
        <v>35</v>
      </c>
      <c r="AE12" t="s">
        <v>287</v>
      </c>
      <c r="AF12" t="s">
        <v>285</v>
      </c>
      <c r="AG12" t="s">
        <v>281</v>
      </c>
      <c r="AH12">
        <f t="shared" si="2"/>
        <v>123</v>
      </c>
      <c r="AI12">
        <v>0.50649999999999995</v>
      </c>
      <c r="AJ12">
        <v>0.69540000000000002</v>
      </c>
      <c r="AL12">
        <f t="shared" si="0"/>
        <v>9.4695427009335553</v>
      </c>
      <c r="AN12" t="s">
        <v>411</v>
      </c>
      <c r="AO12" s="38">
        <v>3</v>
      </c>
      <c r="AP12" s="38">
        <v>1</v>
      </c>
      <c r="AQ12" s="38">
        <v>4</v>
      </c>
      <c r="AR12" s="38">
        <f>VLOOKUP(AO18, $AH$5:$AL$64, 5)</f>
        <v>7.7639399948290446</v>
      </c>
      <c r="AT12" t="s">
        <v>241</v>
      </c>
      <c r="AV12">
        <v>123</v>
      </c>
      <c r="AW12">
        <v>0.50649999999999995</v>
      </c>
      <c r="AX12">
        <v>0.69540000000000002</v>
      </c>
      <c r="AZ12">
        <f t="shared" si="3"/>
        <v>10.218590216092828</v>
      </c>
    </row>
    <row r="13" spans="1:59" x14ac:dyDescent="0.3">
      <c r="B13" s="12">
        <v>88</v>
      </c>
      <c r="C13" s="2">
        <v>40</v>
      </c>
      <c r="D13" s="2">
        <v>88</v>
      </c>
      <c r="E13" s="38">
        <v>2.5</v>
      </c>
      <c r="F13" s="2">
        <f>IF('FBP outputs'!$D$2=TRUE, Settings!E13, "")</f>
        <v>2.5</v>
      </c>
      <c r="G13" s="67">
        <v>4.5</v>
      </c>
      <c r="H13" s="60">
        <f>IF('FBP outputs'!$D$2=TRUE, Settings!G13, "")</f>
        <v>4.5</v>
      </c>
      <c r="N13" t="s">
        <v>11</v>
      </c>
      <c r="O13" s="38" t="str">
        <f>IF('FBP outputs'!$D$2=TRUE, Settings!N13, "")</f>
        <v>D-2</v>
      </c>
      <c r="P13" s="38" t="s">
        <v>12</v>
      </c>
      <c r="R13" s="103">
        <f>IF(OR('FBP outputs'!$G$1&lt;&gt;19, 'CCP Calcs'!$Z$1=2), Settings!C13, "")</f>
        <v>40</v>
      </c>
      <c r="S13" s="103">
        <f>IF('FBP outputs'!$D$2=FALSE, "", Settings!B13)</f>
        <v>88</v>
      </c>
      <c r="T13">
        <f>(AB5-J6)/AB5</f>
        <v>-0.2</v>
      </c>
      <c r="V13" s="38">
        <v>0.09</v>
      </c>
      <c r="X13" t="s">
        <v>303</v>
      </c>
      <c r="Y13" s="38">
        <f>'Advanced Settings'!$F$10</f>
        <v>7</v>
      </c>
      <c r="AA13" s="2">
        <v>40</v>
      </c>
      <c r="AE13" t="s">
        <v>287</v>
      </c>
      <c r="AF13" t="s">
        <v>285</v>
      </c>
      <c r="AG13" t="s">
        <v>282</v>
      </c>
      <c r="AH13">
        <f t="shared" si="2"/>
        <v>124</v>
      </c>
      <c r="AI13">
        <v>0.5605</v>
      </c>
      <c r="AJ13">
        <v>0.56210000000000004</v>
      </c>
      <c r="AL13">
        <f t="shared" si="0"/>
        <v>7.3750405603781184</v>
      </c>
      <c r="AP13" s="64"/>
      <c r="AT13" t="s">
        <v>242</v>
      </c>
      <c r="AV13">
        <v>124</v>
      </c>
      <c r="AW13">
        <v>0.5605</v>
      </c>
      <c r="AX13">
        <v>0.56210000000000004</v>
      </c>
      <c r="AZ13">
        <f t="shared" si="3"/>
        <v>7.9812852939791536</v>
      </c>
    </row>
    <row r="14" spans="1:59" x14ac:dyDescent="0.3">
      <c r="B14" s="11">
        <v>89</v>
      </c>
      <c r="C14" s="2">
        <v>45</v>
      </c>
      <c r="D14" s="2">
        <v>88.5</v>
      </c>
      <c r="E14" s="38">
        <v>2.75</v>
      </c>
      <c r="F14" s="2">
        <f>IF('FBP outputs'!$D$2=TRUE, Settings!E14, "")</f>
        <v>2.75</v>
      </c>
      <c r="G14" s="131">
        <v>5</v>
      </c>
      <c r="H14" s="60">
        <f>IF('FBP outputs'!$D$2=TRUE, Settings!G14, "")</f>
        <v>5</v>
      </c>
      <c r="N14" t="s">
        <v>12</v>
      </c>
      <c r="O14" s="38" t="str">
        <f>IF('FBP outputs'!$D$2=TRUE, Settings!N14, "")</f>
        <v>S-1</v>
      </c>
      <c r="P14" s="38" t="s">
        <v>13</v>
      </c>
      <c r="R14" s="103">
        <f>IF(OR('FBP outputs'!$G$1&lt;&gt;19, 'CCP Calcs'!$Z$1=2), Settings!C14, "")</f>
        <v>45</v>
      </c>
      <c r="S14" s="103">
        <f>IF('FBP outputs'!$D$2=FALSE, "", Settings!B14)</f>
        <v>89</v>
      </c>
      <c r="V14" s="38">
        <v>0.1</v>
      </c>
      <c r="AA14" s="2">
        <v>45</v>
      </c>
      <c r="AE14" t="s">
        <v>287</v>
      </c>
      <c r="AF14" t="s">
        <v>285</v>
      </c>
      <c r="AG14" t="s">
        <v>283</v>
      </c>
      <c r="AH14">
        <f t="shared" si="2"/>
        <v>125</v>
      </c>
      <c r="AI14">
        <v>0.44790000000000002</v>
      </c>
      <c r="AJ14">
        <v>0.61970000000000003</v>
      </c>
      <c r="AL14">
        <f t="shared" si="0"/>
        <v>7.5146410734432729</v>
      </c>
      <c r="AO14" t="s">
        <v>412</v>
      </c>
      <c r="AT14" t="s">
        <v>243</v>
      </c>
      <c r="AV14">
        <v>125</v>
      </c>
      <c r="AW14">
        <v>0.44790000000000002</v>
      </c>
      <c r="AX14">
        <v>0.61970000000000003</v>
      </c>
      <c r="AZ14">
        <f t="shared" si="3"/>
        <v>8.1222820206323725</v>
      </c>
    </row>
    <row r="15" spans="1:59" x14ac:dyDescent="0.3">
      <c r="B15" s="12">
        <v>90</v>
      </c>
      <c r="C15" s="2">
        <v>50</v>
      </c>
      <c r="D15" s="2">
        <v>89</v>
      </c>
      <c r="E15" s="38">
        <v>3</v>
      </c>
      <c r="F15" s="2">
        <f>IF('FBP outputs'!$D$2=TRUE, Settings!E15, "")</f>
        <v>3</v>
      </c>
      <c r="G15" s="67">
        <v>5.5</v>
      </c>
      <c r="H15" s="60">
        <f>IF('FBP outputs'!$D$2=TRUE, Settings!G15, "")</f>
        <v>5.5</v>
      </c>
      <c r="N15" t="s">
        <v>13</v>
      </c>
      <c r="O15" s="38" t="str">
        <f>IF('FBP outputs'!$D$2=TRUE, Settings!N15, "")</f>
        <v>S-2</v>
      </c>
      <c r="P15" s="38" t="s">
        <v>14</v>
      </c>
      <c r="R15" s="103">
        <f>IF(OR('FBP outputs'!$G$1&lt;&gt;19, 'CCP Calcs'!$Z$1=2), Settings!C15, "")</f>
        <v>50</v>
      </c>
      <c r="S15" s="103">
        <f>IF('FBP outputs'!$D$2=FALSE, "", Settings!B15)</f>
        <v>90</v>
      </c>
      <c r="T15" t="s">
        <v>331</v>
      </c>
      <c r="V15" s="38">
        <v>0.11</v>
      </c>
      <c r="AA15" s="2">
        <v>50</v>
      </c>
      <c r="AE15" t="s">
        <v>287</v>
      </c>
      <c r="AF15" t="s">
        <v>286</v>
      </c>
      <c r="AG15" t="s">
        <v>279</v>
      </c>
      <c r="AH15">
        <f t="shared" si="2"/>
        <v>131</v>
      </c>
      <c r="AI15">
        <v>-0.24490000000000001</v>
      </c>
      <c r="AJ15">
        <v>1.0462</v>
      </c>
      <c r="AL15">
        <f t="shared" si="0"/>
        <v>9.9408240878362708</v>
      </c>
      <c r="AO15" s="38">
        <f>100*INDEX($AN$5:$AN$8, $AO$10)+10*$AP$10+$AQ$10</f>
        <v>224</v>
      </c>
      <c r="AT15" t="s">
        <v>244</v>
      </c>
      <c r="AV15">
        <v>131</v>
      </c>
      <c r="AW15">
        <v>-0.24490000000000001</v>
      </c>
      <c r="AX15">
        <v>1.0462</v>
      </c>
      <c r="AZ15">
        <f t="shared" si="3"/>
        <v>10.646433555326047</v>
      </c>
    </row>
    <row r="16" spans="1:59" x14ac:dyDescent="0.3">
      <c r="B16" s="12">
        <v>91</v>
      </c>
      <c r="C16" s="2">
        <v>55</v>
      </c>
      <c r="D16" s="2">
        <v>89.5</v>
      </c>
      <c r="E16" s="38">
        <v>3.25</v>
      </c>
      <c r="F16" s="2">
        <f>IF('FBP outputs'!$D$2=TRUE, Settings!E16, "")</f>
        <v>3.25</v>
      </c>
      <c r="G16" s="131">
        <v>6</v>
      </c>
      <c r="H16" s="60">
        <f>IF('FBP outputs'!$D$2=TRUE, Settings!G16, "")</f>
        <v>6</v>
      </c>
      <c r="N16" t="s">
        <v>14</v>
      </c>
      <c r="O16" s="38" t="str">
        <f>IF('FBP outputs'!$D$2=TRUE, Settings!N16, "")</f>
        <v>S-3</v>
      </c>
      <c r="P16" s="38" t="s">
        <v>123</v>
      </c>
      <c r="R16" s="103">
        <f>IF(OR('FBP outputs'!$G$1&lt;&gt;19, 'CCP Calcs'!$Z$1=2), Settings!C16, "")</f>
        <v>55</v>
      </c>
      <c r="S16" s="103">
        <f>IF('FBP outputs'!$D$2=FALSE, "", Settings!B16)</f>
        <v>91</v>
      </c>
      <c r="T16">
        <f>0.92+(0.0114*AB5)^1.7</f>
        <v>1.686200436457103</v>
      </c>
      <c r="V16" s="38">
        <v>0.12</v>
      </c>
      <c r="AA16" s="2">
        <v>55</v>
      </c>
      <c r="AE16" t="s">
        <v>287</v>
      </c>
      <c r="AF16" t="s">
        <v>286</v>
      </c>
      <c r="AG16" t="s">
        <v>280</v>
      </c>
      <c r="AH16">
        <f t="shared" si="2"/>
        <v>132</v>
      </c>
      <c r="AI16">
        <v>-0.9546</v>
      </c>
      <c r="AJ16">
        <v>1.1505000000000001</v>
      </c>
      <c r="AL16">
        <f t="shared" si="0"/>
        <v>6.2015367614510515</v>
      </c>
      <c r="AT16" t="s">
        <v>245</v>
      </c>
      <c r="AV16">
        <v>132</v>
      </c>
      <c r="AW16">
        <v>-0.9546</v>
      </c>
      <c r="AX16">
        <v>1.1505000000000001</v>
      </c>
      <c r="AZ16">
        <f t="shared" si="3"/>
        <v>6.6268296429367695</v>
      </c>
    </row>
    <row r="17" spans="2:52" x14ac:dyDescent="0.3">
      <c r="B17" s="11">
        <v>92</v>
      </c>
      <c r="C17" s="2">
        <v>60</v>
      </c>
      <c r="D17" s="2">
        <v>90</v>
      </c>
      <c r="E17" s="38">
        <v>3.5</v>
      </c>
      <c r="F17" s="2">
        <f>IF('FBP outputs'!$D$2=TRUE, Settings!E17, "")</f>
        <v>3.5</v>
      </c>
      <c r="G17" s="67">
        <v>7</v>
      </c>
      <c r="H17" s="60">
        <f>IF('FBP outputs'!$D$2=TRUE, Settings!G17, "")</f>
        <v>7</v>
      </c>
      <c r="N17" t="s">
        <v>20</v>
      </c>
      <c r="O17" s="38" t="str">
        <f>IF('FBP outputs'!$D$2=TRUE, Settings!N17, "")</f>
        <v>O-1a</v>
      </c>
      <c r="P17" s="38" t="s">
        <v>124</v>
      </c>
      <c r="R17" s="103">
        <f>IF(OR('FBP outputs'!$G$1&lt;&gt;19, 'CCP Calcs'!$Z$1=2), Settings!C17, "")</f>
        <v>60</v>
      </c>
      <c r="S17" s="103">
        <f>IF('FBP outputs'!$D$2=FALSE, "", Settings!B17)</f>
        <v>92</v>
      </c>
      <c r="V17" s="38">
        <v>0.13</v>
      </c>
      <c r="AA17" s="2">
        <v>60</v>
      </c>
      <c r="AE17" t="s">
        <v>287</v>
      </c>
      <c r="AF17" t="s">
        <v>286</v>
      </c>
      <c r="AG17" t="s">
        <v>281</v>
      </c>
      <c r="AH17">
        <f t="shared" si="2"/>
        <v>133</v>
      </c>
      <c r="AI17">
        <v>-0.17710000000000001</v>
      </c>
      <c r="AJ17">
        <v>1.0283</v>
      </c>
      <c r="AL17">
        <f t="shared" si="0"/>
        <v>10.212684325201884</v>
      </c>
      <c r="AO17" t="s">
        <v>413</v>
      </c>
      <c r="AT17" t="s">
        <v>246</v>
      </c>
      <c r="AV17">
        <v>133</v>
      </c>
      <c r="AW17">
        <v>-0.17710000000000001</v>
      </c>
      <c r="AX17">
        <v>1.0283</v>
      </c>
      <c r="AZ17">
        <f t="shared" si="3"/>
        <v>10.941806859978485</v>
      </c>
    </row>
    <row r="18" spans="2:52" x14ac:dyDescent="0.3">
      <c r="B18" s="12">
        <v>93</v>
      </c>
      <c r="C18" s="2">
        <v>65</v>
      </c>
      <c r="D18" s="2">
        <v>90.5</v>
      </c>
      <c r="E18" s="38">
        <v>3.75</v>
      </c>
      <c r="F18" s="2">
        <f>IF('FBP outputs'!$D$2=TRUE, Settings!E18, "")</f>
        <v>3.75</v>
      </c>
      <c r="G18" s="131">
        <v>8</v>
      </c>
      <c r="H18" s="60">
        <f>IF('FBP outputs'!$D$2=TRUE, Settings!G18, "")</f>
        <v>8</v>
      </c>
      <c r="N18" t="s">
        <v>21</v>
      </c>
      <c r="O18" s="38" t="str">
        <f>IF('FBP outputs'!$D$2=TRUE, Settings!N18, "")</f>
        <v>O-1b</v>
      </c>
      <c r="P18" s="38" t="s">
        <v>125</v>
      </c>
      <c r="R18" s="103">
        <f>IF(OR('FBP outputs'!$G$1&lt;&gt;19, 'CCP Calcs'!$Z$1=2), Settings!C18, "")</f>
        <v>65</v>
      </c>
      <c r="S18" s="103">
        <f>IF('FBP outputs'!$D$2=FALSE, "", Settings!B18)</f>
        <v>93</v>
      </c>
      <c r="T18" t="s">
        <v>332</v>
      </c>
      <c r="V18" s="38">
        <v>0.14000000000000001</v>
      </c>
      <c r="AA18" s="2">
        <v>65</v>
      </c>
      <c r="AE18" t="s">
        <v>287</v>
      </c>
      <c r="AF18" t="s">
        <v>286</v>
      </c>
      <c r="AG18" t="s">
        <v>282</v>
      </c>
      <c r="AH18">
        <f t="shared" si="2"/>
        <v>134</v>
      </c>
      <c r="AI18">
        <v>-0.1231</v>
      </c>
      <c r="AJ18">
        <v>0.89500000000000002</v>
      </c>
      <c r="AL18">
        <f t="shared" si="0"/>
        <v>7.9538118690014894</v>
      </c>
      <c r="AO18" s="38">
        <f>100*INDEX($AN$5:$AN$8, $AO$12)+10*$AP$12+$AQ$12</f>
        <v>214</v>
      </c>
      <c r="AT18" t="s">
        <v>247</v>
      </c>
      <c r="AV18">
        <v>134</v>
      </c>
      <c r="AW18">
        <v>-0.1231</v>
      </c>
      <c r="AX18">
        <v>0.89500000000000002</v>
      </c>
      <c r="AZ18">
        <f t="shared" si="3"/>
        <v>8.5461575750023293</v>
      </c>
    </row>
    <row r="19" spans="2:52" x14ac:dyDescent="0.3">
      <c r="B19" s="12">
        <v>94</v>
      </c>
      <c r="C19" s="2">
        <v>70</v>
      </c>
      <c r="D19" s="2">
        <v>91</v>
      </c>
      <c r="E19" s="38">
        <v>4</v>
      </c>
      <c r="F19" s="2">
        <f>IF('FBP outputs'!$D$2=TRUE, Settings!E19, "")</f>
        <v>4</v>
      </c>
      <c r="G19" s="67">
        <v>9</v>
      </c>
      <c r="H19" s="60">
        <f>IF('FBP outputs'!$D$2=TRUE, Settings!G19, "")</f>
        <v>9</v>
      </c>
      <c r="N19" t="s">
        <v>42</v>
      </c>
      <c r="O19" s="38" t="str">
        <f>IF('FBP outputs'!$D$2=TRUE, Settings!N19, "")</f>
        <v>M-1</v>
      </c>
      <c r="P19" s="38" t="s">
        <v>56</v>
      </c>
      <c r="R19" s="103">
        <f>IF(OR('FBP outputs'!$G$1&lt;&gt;19, 'CCP Calcs'!$Z$1=2), Settings!C19, "")</f>
        <v>70</v>
      </c>
      <c r="S19" s="103">
        <f>IF('FBP outputs'!$D$2=FALSE, "", Settings!B19)</f>
        <v>94</v>
      </c>
      <c r="T19">
        <f>AB5-(T16*T13)</f>
        <v>75.33724008729142</v>
      </c>
      <c r="V19" s="38">
        <v>0.15</v>
      </c>
      <c r="AA19" s="2">
        <v>70</v>
      </c>
      <c r="AE19" t="s">
        <v>287</v>
      </c>
      <c r="AF19" t="s">
        <v>286</v>
      </c>
      <c r="AG19" t="s">
        <v>283</v>
      </c>
      <c r="AH19">
        <f t="shared" si="2"/>
        <v>135</v>
      </c>
      <c r="AI19">
        <v>-0.23569999999999999</v>
      </c>
      <c r="AJ19">
        <v>0.9526</v>
      </c>
      <c r="AL19">
        <f t="shared" si="0"/>
        <v>8.1043678162733777</v>
      </c>
      <c r="AT19" t="s">
        <v>248</v>
      </c>
      <c r="AV19">
        <v>135</v>
      </c>
      <c r="AW19">
        <v>-0.23569999999999999</v>
      </c>
      <c r="AX19">
        <v>0.9526</v>
      </c>
      <c r="AZ19">
        <f t="shared" si="3"/>
        <v>8.6971332887068549</v>
      </c>
    </row>
    <row r="20" spans="2:52" x14ac:dyDescent="0.3">
      <c r="B20" s="11">
        <v>95</v>
      </c>
      <c r="C20" s="2">
        <v>75</v>
      </c>
      <c r="D20" s="2">
        <v>91.5</v>
      </c>
      <c r="E20" s="38">
        <v>4.25</v>
      </c>
      <c r="F20" s="2">
        <f>IF('FBP outputs'!$D$2=TRUE, Settings!E20, "")</f>
        <v>4.25</v>
      </c>
      <c r="G20" s="131">
        <v>10</v>
      </c>
      <c r="H20" s="60">
        <f>IF('FBP outputs'!$D$2=TRUE, Settings!G20, "")</f>
        <v>10</v>
      </c>
      <c r="N20" t="s">
        <v>43</v>
      </c>
      <c r="O20" s="38" t="str">
        <f>IF('FBP outputs'!$D$2=TRUE, Settings!N20, "")</f>
        <v>M-2</v>
      </c>
      <c r="R20" s="103">
        <f>IF(OR('FBP outputs'!$G$1&lt;&gt;19, 'CCP Calcs'!$Z$1=2), Settings!C20, "")</f>
        <v>75</v>
      </c>
      <c r="S20" s="103">
        <f>IF('FBP outputs'!$D$2=FALSE, "", Settings!B20)</f>
        <v>95</v>
      </c>
      <c r="V20" s="38">
        <v>0.16</v>
      </c>
      <c r="AA20" s="2">
        <v>75</v>
      </c>
      <c r="AE20" t="s">
        <v>288</v>
      </c>
      <c r="AF20" t="s">
        <v>284</v>
      </c>
      <c r="AG20" t="s">
        <v>279</v>
      </c>
      <c r="AH20">
        <f t="shared" si="2"/>
        <v>211</v>
      </c>
      <c r="AI20">
        <v>0.1348</v>
      </c>
      <c r="AJ20">
        <v>0.86909999999999998</v>
      </c>
      <c r="AL20">
        <f t="shared" si="0"/>
        <v>9.7035186383910599</v>
      </c>
      <c r="AT20" t="s">
        <v>249</v>
      </c>
      <c r="AV20">
        <v>211</v>
      </c>
      <c r="AW20">
        <v>0.1348</v>
      </c>
      <c r="AX20">
        <v>0.86909999999999998</v>
      </c>
      <c r="AZ20">
        <f t="shared" si="3"/>
        <v>10.431986313458484</v>
      </c>
    </row>
    <row r="21" spans="2:52" x14ac:dyDescent="0.3">
      <c r="B21" s="12">
        <v>96</v>
      </c>
      <c r="C21" s="2">
        <v>80</v>
      </c>
      <c r="D21" s="2">
        <v>92</v>
      </c>
      <c r="E21" s="38">
        <v>4.5</v>
      </c>
      <c r="F21" s="2">
        <f>IF('FBP outputs'!$D$2=TRUE, Settings!E21, "")</f>
        <v>4.5</v>
      </c>
      <c r="G21" s="67">
        <v>11</v>
      </c>
      <c r="H21" s="60">
        <f>IF('FBP outputs'!$D$2=TRUE, Settings!G21, "")</f>
        <v>11</v>
      </c>
      <c r="N21" t="s">
        <v>44</v>
      </c>
      <c r="O21" s="38" t="str">
        <f>IF('FBP outputs'!$D$2=TRUE, Settings!N21, "")</f>
        <v>M-3</v>
      </c>
      <c r="R21" s="103">
        <f>IF(OR('FBP outputs'!$G$1&lt;&gt;19, 'CCP Calcs'!$Z$1=2), Settings!C21, "")</f>
        <v>80</v>
      </c>
      <c r="S21" s="103">
        <f>IF('FBP outputs'!$D$2=FALSE, "", Settings!B21)</f>
        <v>96</v>
      </c>
      <c r="V21" s="38">
        <v>0.17</v>
      </c>
      <c r="AA21" s="2">
        <v>80</v>
      </c>
      <c r="AE21" t="s">
        <v>288</v>
      </c>
      <c r="AF21" t="s">
        <v>284</v>
      </c>
      <c r="AG21" t="s">
        <v>280</v>
      </c>
      <c r="AH21">
        <f t="shared" si="2"/>
        <v>212</v>
      </c>
      <c r="AI21">
        <v>-0.57489999999999997</v>
      </c>
      <c r="AJ21">
        <v>0.97340000000000004</v>
      </c>
      <c r="AL21">
        <f t="shared" si="0"/>
        <v>6.0534948631714247</v>
      </c>
      <c r="AO21" s="68" t="s">
        <v>221</v>
      </c>
      <c r="AP21" s="15" t="s">
        <v>293</v>
      </c>
      <c r="AQ21" s="68" t="s">
        <v>232</v>
      </c>
      <c r="AT21" t="s">
        <v>250</v>
      </c>
      <c r="AV21">
        <v>212</v>
      </c>
      <c r="AW21">
        <v>-0.57489999999999997</v>
      </c>
      <c r="AX21">
        <v>0.97340000000000004</v>
      </c>
      <c r="AZ21">
        <f t="shared" si="3"/>
        <v>6.4933478218302927</v>
      </c>
    </row>
    <row r="22" spans="2:52" x14ac:dyDescent="0.3">
      <c r="B22" s="12">
        <v>97</v>
      </c>
      <c r="C22" s="2">
        <v>85</v>
      </c>
      <c r="D22" s="2">
        <v>92.5</v>
      </c>
      <c r="E22" s="38">
        <v>4.75</v>
      </c>
      <c r="F22" s="2">
        <f>IF('FBP outputs'!$D$2=TRUE, Settings!E22, "")</f>
        <v>4.75</v>
      </c>
      <c r="G22" s="131">
        <v>12</v>
      </c>
      <c r="H22" s="60">
        <f>IF('FBP outputs'!$D$2=TRUE, Settings!G22, "")</f>
        <v>12</v>
      </c>
      <c r="N22" t="s">
        <v>45</v>
      </c>
      <c r="O22" s="38" t="str">
        <f>IF('FBP outputs'!$D$2=TRUE, Settings!N22, "")</f>
        <v>M-4</v>
      </c>
      <c r="R22" s="103">
        <f>IF(OR('FBP outputs'!$G$1&lt;&gt;19, 'CCP Calcs'!$Z$1=2), Settings!C22, "")</f>
        <v>85</v>
      </c>
      <c r="S22" s="103">
        <f>IF('FBP outputs'!$D$2=FALSE, "", Settings!B22)</f>
        <v>97</v>
      </c>
      <c r="T22" t="s">
        <v>334</v>
      </c>
      <c r="V22" s="38">
        <v>0.18</v>
      </c>
      <c r="AA22" s="2">
        <v>85</v>
      </c>
      <c r="AE22" t="s">
        <v>288</v>
      </c>
      <c r="AF22" t="s">
        <v>284</v>
      </c>
      <c r="AG22" t="s">
        <v>281</v>
      </c>
      <c r="AH22">
        <f t="shared" si="2"/>
        <v>213</v>
      </c>
      <c r="AI22">
        <v>0.2026</v>
      </c>
      <c r="AJ22">
        <v>0.85119999999999996</v>
      </c>
      <c r="AL22">
        <f t="shared" si="0"/>
        <v>9.9688890802181653</v>
      </c>
      <c r="AO22" s="19" t="s">
        <v>420</v>
      </c>
      <c r="AP22" s="17" t="s">
        <v>294</v>
      </c>
      <c r="AQ22" s="19" t="s">
        <v>409</v>
      </c>
      <c r="AT22" t="s">
        <v>251</v>
      </c>
      <c r="AV22">
        <v>213</v>
      </c>
      <c r="AW22">
        <v>0.2026</v>
      </c>
      <c r="AX22">
        <v>0.85119999999999996</v>
      </c>
      <c r="AZ22">
        <f t="shared" si="3"/>
        <v>10.72141002098293</v>
      </c>
    </row>
    <row r="23" spans="2:52" x14ac:dyDescent="0.3">
      <c r="B23" s="11">
        <v>98</v>
      </c>
      <c r="C23" s="2">
        <v>90</v>
      </c>
      <c r="D23" s="2">
        <v>93</v>
      </c>
      <c r="E23" s="38">
        <v>5</v>
      </c>
      <c r="F23" s="2">
        <f>IF('FBP outputs'!$D$2=TRUE, Settings!E23, "")</f>
        <v>5</v>
      </c>
      <c r="G23" s="67">
        <v>14</v>
      </c>
      <c r="H23" s="60">
        <f>IF('FBP outputs'!$D$2=TRUE, Settings!G23, "")</f>
        <v>14</v>
      </c>
      <c r="O23" s="38" t="s">
        <v>171</v>
      </c>
      <c r="R23" s="103">
        <f>IF(OR('FBP outputs'!$G$1&lt;&gt;19, 'CCP Calcs'!$Z$1=2), Settings!C23, "")</f>
        <v>90</v>
      </c>
      <c r="S23" s="103">
        <f>IF('FBP outputs'!$D$2=FALSE, "", Settings!B23)</f>
        <v>98</v>
      </c>
      <c r="T23" t="s">
        <v>333</v>
      </c>
      <c r="V23" s="38">
        <v>0.19</v>
      </c>
      <c r="AA23" s="2">
        <v>90</v>
      </c>
      <c r="AE23" t="s">
        <v>288</v>
      </c>
      <c r="AF23" t="s">
        <v>284</v>
      </c>
      <c r="AG23" t="s">
        <v>282</v>
      </c>
      <c r="AH23">
        <f t="shared" si="2"/>
        <v>214</v>
      </c>
      <c r="AI23">
        <v>0.25659999999999999</v>
      </c>
      <c r="AJ23">
        <v>0.71789999999999998</v>
      </c>
      <c r="AL23">
        <f t="shared" si="0"/>
        <v>7.7639399948290446</v>
      </c>
      <c r="AO23" s="19" t="s">
        <v>230</v>
      </c>
      <c r="AP23" s="65" t="s">
        <v>295</v>
      </c>
      <c r="AQ23" s="19" t="s">
        <v>233</v>
      </c>
      <c r="AT23" t="s">
        <v>252</v>
      </c>
      <c r="AV23">
        <v>214</v>
      </c>
      <c r="AW23">
        <v>0.25659999999999999</v>
      </c>
      <c r="AX23">
        <v>0.71789999999999998</v>
      </c>
      <c r="AZ23">
        <f t="shared" si="3"/>
        <v>8.374015428902327</v>
      </c>
    </row>
    <row r="24" spans="2:52" x14ac:dyDescent="0.3">
      <c r="B24" s="12">
        <v>99</v>
      </c>
      <c r="C24" s="2">
        <v>95</v>
      </c>
      <c r="D24" s="2">
        <v>93.5</v>
      </c>
      <c r="E24" s="38">
        <v>5.25</v>
      </c>
      <c r="F24" s="2">
        <f>IF('FBP outputs'!$D$2=TRUE, Settings!E24, "")</f>
        <v>5.25</v>
      </c>
      <c r="G24" s="131">
        <v>16</v>
      </c>
      <c r="H24" s="60">
        <f>IF('FBP outputs'!$D$2=TRUE, Settings!G24, "")</f>
        <v>16</v>
      </c>
      <c r="R24" s="103">
        <f>IF(OR('FBP outputs'!$G$1&lt;&gt;19, 'CCP Calcs'!$Z$1=2), Settings!C24, "")</f>
        <v>95</v>
      </c>
      <c r="S24" s="103">
        <f>IF('FBP outputs'!$D$2=FALSE, "", Settings!B24)</f>
        <v>99</v>
      </c>
      <c r="T24">
        <v>6</v>
      </c>
      <c r="V24" s="38">
        <v>0.2</v>
      </c>
      <c r="AA24" s="2">
        <v>95</v>
      </c>
      <c r="AE24" t="s">
        <v>288</v>
      </c>
      <c r="AF24" t="s">
        <v>284</v>
      </c>
      <c r="AG24" t="s">
        <v>283</v>
      </c>
      <c r="AH24">
        <f t="shared" si="2"/>
        <v>215</v>
      </c>
      <c r="AI24">
        <v>0.14399999999999999</v>
      </c>
      <c r="AJ24">
        <v>0.77549999999999997</v>
      </c>
      <c r="AL24">
        <f t="shared" si="0"/>
        <v>7.9109018993517282</v>
      </c>
      <c r="AO24" s="151" t="s">
        <v>231</v>
      </c>
      <c r="AQ24" s="19" t="s">
        <v>225</v>
      </c>
      <c r="AT24" t="s">
        <v>253</v>
      </c>
      <c r="AV24">
        <v>215</v>
      </c>
      <c r="AW24">
        <v>0.14399999999999999</v>
      </c>
      <c r="AX24">
        <v>0.77549999999999997</v>
      </c>
      <c r="AZ24">
        <f t="shared" si="3"/>
        <v>8.5219500936748709</v>
      </c>
    </row>
    <row r="25" spans="2:52" x14ac:dyDescent="0.3">
      <c r="B25" s="12">
        <v>100</v>
      </c>
      <c r="C25" s="2">
        <v>100</v>
      </c>
      <c r="D25" s="2">
        <v>94</v>
      </c>
      <c r="E25" s="38">
        <v>5.5</v>
      </c>
      <c r="F25" s="2">
        <f>IF('FBP outputs'!$D$2=TRUE, Settings!E25, "")</f>
        <v>5.5</v>
      </c>
      <c r="G25" s="38">
        <v>18</v>
      </c>
      <c r="H25" s="60">
        <f>IF('FBP outputs'!$D$2=TRUE, Settings!G25, "")</f>
        <v>18</v>
      </c>
      <c r="R25" s="103">
        <f>IF(OR('FBP outputs'!$G$1&lt;&gt;19, 'CCP Calcs'!$Z$1=2), Settings!C25, "")</f>
        <v>100</v>
      </c>
      <c r="S25" s="103">
        <f>IF('FBP outputs'!$D$2=FALSE, "", Settings!B25)</f>
        <v>100</v>
      </c>
      <c r="V25" s="38">
        <v>0.21</v>
      </c>
      <c r="AA25" s="2">
        <v>100</v>
      </c>
      <c r="AE25" t="s">
        <v>288</v>
      </c>
      <c r="AF25" t="s">
        <v>285</v>
      </c>
      <c r="AG25" t="s">
        <v>279</v>
      </c>
      <c r="AH25">
        <f t="shared" si="2"/>
        <v>221</v>
      </c>
      <c r="AI25">
        <v>-0.15640000000000001</v>
      </c>
      <c r="AJ25">
        <v>1.0603</v>
      </c>
      <c r="AL25">
        <f t="shared" si="0"/>
        <v>11.215578663099688</v>
      </c>
      <c r="AQ25" s="151" t="s">
        <v>226</v>
      </c>
      <c r="AT25" t="s">
        <v>254</v>
      </c>
      <c r="AV25">
        <v>221</v>
      </c>
      <c r="AW25">
        <v>-0.15640000000000001</v>
      </c>
      <c r="AX25">
        <v>1.0603</v>
      </c>
      <c r="AZ25">
        <f t="shared" si="3"/>
        <v>12.00802547456083</v>
      </c>
    </row>
    <row r="26" spans="2:52" x14ac:dyDescent="0.3">
      <c r="B26" s="11">
        <v>101</v>
      </c>
      <c r="C26" s="2">
        <v>105</v>
      </c>
      <c r="D26" s="2">
        <v>94.5</v>
      </c>
      <c r="E26" s="110">
        <v>5.75</v>
      </c>
      <c r="F26" s="2">
        <f>IF('FBP outputs'!$D$2=TRUE, Settings!E26, "")</f>
        <v>5.75</v>
      </c>
      <c r="R26" s="103">
        <f>IF(OR('FBP outputs'!$G$1&lt;&gt;19, 'CCP Calcs'!$Z$1=2), Settings!C26, "")</f>
        <v>105</v>
      </c>
      <c r="S26" s="103">
        <f>IF('FBP outputs'!$D$2=FALSE, "", Settings!B26)</f>
        <v>101</v>
      </c>
      <c r="T26" t="s">
        <v>100</v>
      </c>
      <c r="V26" s="38">
        <v>0.22</v>
      </c>
      <c r="AA26" s="2">
        <v>105</v>
      </c>
      <c r="AE26" t="s">
        <v>288</v>
      </c>
      <c r="AF26" t="s">
        <v>285</v>
      </c>
      <c r="AG26" t="s">
        <v>280</v>
      </c>
      <c r="AH26">
        <f t="shared" si="2"/>
        <v>222</v>
      </c>
      <c r="AI26">
        <v>-0.86609999999999998</v>
      </c>
      <c r="AJ26">
        <v>1.1646000000000001</v>
      </c>
      <c r="AL26">
        <f t="shared" si="0"/>
        <v>6.9967864601150884</v>
      </c>
      <c r="AT26" t="s">
        <v>255</v>
      </c>
      <c r="AV26">
        <v>222</v>
      </c>
      <c r="AW26">
        <v>-0.86609999999999998</v>
      </c>
      <c r="AX26">
        <v>1.1646000000000001</v>
      </c>
      <c r="AZ26">
        <f t="shared" si="3"/>
        <v>7.4743470434895896</v>
      </c>
    </row>
    <row r="27" spans="2:52" x14ac:dyDescent="0.3">
      <c r="B27" s="12">
        <v>102</v>
      </c>
      <c r="C27" s="2">
        <v>110</v>
      </c>
      <c r="D27" s="2">
        <v>95</v>
      </c>
      <c r="E27" s="110">
        <v>6</v>
      </c>
      <c r="F27" s="2">
        <f>IF('FBP outputs'!$D$2=TRUE, Settings!E27, "")</f>
        <v>6</v>
      </c>
      <c r="R27" s="103">
        <f>IF(OR('FBP outputs'!$G$1&lt;&gt;19, 'CCP Calcs'!$Z$1=2), Settings!C27, "")</f>
        <v>110</v>
      </c>
      <c r="S27" s="103">
        <f>IF('FBP outputs'!$D$2=FALSE, "", Settings!B27)</f>
        <v>102</v>
      </c>
      <c r="T27">
        <v>15</v>
      </c>
      <c r="V27" s="38">
        <v>0.23</v>
      </c>
      <c r="AA27" s="2">
        <v>110</v>
      </c>
      <c r="AE27" t="s">
        <v>288</v>
      </c>
      <c r="AF27" t="s">
        <v>285</v>
      </c>
      <c r="AG27" t="s">
        <v>281</v>
      </c>
      <c r="AH27">
        <f t="shared" si="2"/>
        <v>223</v>
      </c>
      <c r="AI27">
        <v>-8.8599999999999998E-2</v>
      </c>
      <c r="AJ27">
        <v>1.0424</v>
      </c>
      <c r="AL27">
        <f t="shared" si="0"/>
        <v>11.522300706524016</v>
      </c>
      <c r="AT27" t="s">
        <v>256</v>
      </c>
      <c r="AV27">
        <v>223</v>
      </c>
      <c r="AW27">
        <v>-8.8599999999999998E-2</v>
      </c>
      <c r="AX27">
        <v>1.0424</v>
      </c>
      <c r="AZ27">
        <f t="shared" si="3"/>
        <v>12.341174613034267</v>
      </c>
    </row>
    <row r="28" spans="2:52" x14ac:dyDescent="0.3">
      <c r="B28" s="12">
        <v>103</v>
      </c>
      <c r="C28" s="2">
        <v>115</v>
      </c>
      <c r="D28" s="2">
        <v>95.5</v>
      </c>
      <c r="E28" s="110">
        <v>6.25</v>
      </c>
      <c r="F28" s="2">
        <f>IF('FBP outputs'!$D$2=TRUE, Settings!E28, "")</f>
        <v>6.25</v>
      </c>
      <c r="R28" s="103">
        <f>IF(OR('FBP outputs'!$G$1&lt;&gt;19, 'CCP Calcs'!$Z$1=2), Settings!C28, "")</f>
        <v>115</v>
      </c>
      <c r="S28" s="103">
        <f>IF('FBP outputs'!$D$2=FALSE, "", Settings!B28)</f>
        <v>103</v>
      </c>
      <c r="V28" s="38">
        <v>0.24</v>
      </c>
      <c r="AA28" s="2">
        <v>115</v>
      </c>
      <c r="AE28" t="s">
        <v>288</v>
      </c>
      <c r="AF28" t="s">
        <v>285</v>
      </c>
      <c r="AG28" t="s">
        <v>282</v>
      </c>
      <c r="AH28">
        <f t="shared" si="2"/>
        <v>224</v>
      </c>
      <c r="AI28">
        <v>-3.4599999999999999E-2</v>
      </c>
      <c r="AJ28">
        <v>0.90910000000000002</v>
      </c>
      <c r="AL28">
        <f>EXP(AI28+AJ28*LN($AC$5)+$AK$5*$AD$5)</f>
        <v>8.9737633318988639</v>
      </c>
      <c r="AT28" t="s">
        <v>257</v>
      </c>
      <c r="AV28">
        <v>224</v>
      </c>
      <c r="AW28">
        <v>-3.4599999999999999E-2</v>
      </c>
      <c r="AX28">
        <v>0.90910000000000002</v>
      </c>
      <c r="AZ28">
        <f t="shared" si="3"/>
        <v>9.6391413459674826</v>
      </c>
    </row>
    <row r="29" spans="2:52" x14ac:dyDescent="0.3">
      <c r="B29" s="11">
        <v>104</v>
      </c>
      <c r="C29" s="2">
        <v>120</v>
      </c>
      <c r="D29" s="2">
        <v>96</v>
      </c>
      <c r="E29" s="110">
        <v>6.5</v>
      </c>
      <c r="F29" s="2">
        <f>IF('FBP outputs'!$D$2=TRUE, Settings!E29, "")</f>
        <v>6.5</v>
      </c>
      <c r="R29" s="103">
        <f>IF(OR('FBP outputs'!$G$1&lt;&gt;19, 'CCP Calcs'!$Z$1=2), Settings!C29, "")</f>
        <v>120</v>
      </c>
      <c r="S29" s="103">
        <f>IF('FBP outputs'!$D$2=FALSE, "", Settings!B29)</f>
        <v>104</v>
      </c>
      <c r="T29" t="s">
        <v>22</v>
      </c>
      <c r="V29" s="38">
        <v>0.25</v>
      </c>
      <c r="AA29" s="2">
        <v>120</v>
      </c>
      <c r="AE29" t="s">
        <v>288</v>
      </c>
      <c r="AF29" t="s">
        <v>285</v>
      </c>
      <c r="AG29" t="s">
        <v>283</v>
      </c>
      <c r="AH29">
        <f t="shared" si="2"/>
        <v>225</v>
      </c>
      <c r="AI29">
        <v>-0.1472</v>
      </c>
      <c r="AJ29">
        <v>0.9667</v>
      </c>
      <c r="AL29">
        <f t="shared" si="0"/>
        <v>9.1436257150277989</v>
      </c>
      <c r="AT29" t="s">
        <v>258</v>
      </c>
      <c r="AV29">
        <v>225</v>
      </c>
      <c r="AW29">
        <v>-0.1472</v>
      </c>
      <c r="AX29">
        <v>0.9667</v>
      </c>
      <c r="AZ29">
        <f t="shared" si="3"/>
        <v>9.8094256206762758</v>
      </c>
    </row>
    <row r="30" spans="2:52" x14ac:dyDescent="0.3">
      <c r="B30" s="12">
        <v>105</v>
      </c>
      <c r="C30" s="2">
        <v>125</v>
      </c>
      <c r="D30" s="2">
        <v>96.5</v>
      </c>
      <c r="E30" s="110">
        <v>6.75</v>
      </c>
      <c r="F30" s="2">
        <f>IF('FBP outputs'!$D$2=TRUE, Settings!E30, "")</f>
        <v>6.75</v>
      </c>
      <c r="R30" s="103">
        <f>IF(OR('FBP outputs'!$G$1&lt;&gt;19, 'CCP Calcs'!$Z$1=2), Settings!C30, "")</f>
        <v>125</v>
      </c>
      <c r="S30" s="103">
        <f>IF('FBP outputs'!$D$2=FALSE, "", Settings!B30)</f>
        <v>105</v>
      </c>
      <c r="T30">
        <f>(0.8*T27*T24)/(T24+0.4*T27)</f>
        <v>6</v>
      </c>
      <c r="V30" s="38">
        <v>0.26</v>
      </c>
      <c r="AA30" s="2">
        <v>125</v>
      </c>
      <c r="AE30" t="s">
        <v>288</v>
      </c>
      <c r="AF30" t="s">
        <v>286</v>
      </c>
      <c r="AG30" t="s">
        <v>279</v>
      </c>
      <c r="AH30">
        <f t="shared" si="2"/>
        <v>231</v>
      </c>
      <c r="AI30">
        <v>-0.84</v>
      </c>
      <c r="AJ30">
        <v>1.3932</v>
      </c>
      <c r="AL30">
        <f t="shared" si="0"/>
        <v>12.0957440108924</v>
      </c>
      <c r="AT30" t="s">
        <v>259</v>
      </c>
      <c r="AV30">
        <v>231</v>
      </c>
      <c r="AW30">
        <v>-0.84</v>
      </c>
      <c r="AX30">
        <v>1.3932</v>
      </c>
      <c r="AZ30">
        <f t="shared" si="3"/>
        <v>12.857888684627568</v>
      </c>
    </row>
    <row r="31" spans="2:52" x14ac:dyDescent="0.3">
      <c r="B31" s="12">
        <v>106</v>
      </c>
      <c r="C31" s="2">
        <v>130</v>
      </c>
      <c r="D31" s="2">
        <v>97</v>
      </c>
      <c r="E31" s="110">
        <v>7</v>
      </c>
      <c r="F31" s="2">
        <f>IF('FBP outputs'!$D$2=TRUE, Settings!E31, "")</f>
        <v>7</v>
      </c>
      <c r="R31" s="103">
        <f>IF(OR('FBP outputs'!$G$1&lt;&gt;19, 'CCP Calcs'!$Z$1=2), Settings!C31, "")</f>
        <v>130</v>
      </c>
      <c r="S31" s="103">
        <f>IF('FBP outputs'!$D$2=FALSE, "", Settings!B31)</f>
        <v>106</v>
      </c>
      <c r="V31" s="38">
        <v>0.27</v>
      </c>
      <c r="AA31" s="2">
        <v>130</v>
      </c>
      <c r="AE31" t="s">
        <v>288</v>
      </c>
      <c r="AF31" t="s">
        <v>286</v>
      </c>
      <c r="AG31" t="s">
        <v>280</v>
      </c>
      <c r="AH31">
        <f t="shared" si="2"/>
        <v>232</v>
      </c>
      <c r="AI31">
        <v>-1.5497000000000001</v>
      </c>
      <c r="AJ31">
        <v>1.4975000000000001</v>
      </c>
      <c r="AL31">
        <f t="shared" si="0"/>
        <v>7.5458735088609545</v>
      </c>
      <c r="AT31" t="s">
        <v>260</v>
      </c>
      <c r="AV31">
        <v>232</v>
      </c>
      <c r="AW31">
        <v>-1.5497000000000001</v>
      </c>
      <c r="AX31">
        <v>1.4975000000000001</v>
      </c>
      <c r="AZ31">
        <f t="shared" si="3"/>
        <v>8.0033409721742075</v>
      </c>
    </row>
    <row r="32" spans="2:52" x14ac:dyDescent="0.3">
      <c r="B32" s="11">
        <v>107</v>
      </c>
      <c r="C32" s="2">
        <v>135</v>
      </c>
      <c r="D32" s="2">
        <v>97.5</v>
      </c>
      <c r="E32" s="110">
        <v>7.25</v>
      </c>
      <c r="F32" s="2">
        <f>IF('FBP outputs'!$D$2=TRUE, Settings!E32, "")</f>
        <v>7.25</v>
      </c>
      <c r="R32" s="103">
        <f>IF(OR('FBP outputs'!$G$1&lt;&gt;19, 'CCP Calcs'!$Z$1=2), Settings!C32, "")</f>
        <v>135</v>
      </c>
      <c r="S32" s="103">
        <f>IF('FBP outputs'!$D$2=FALSE, "", Settings!B32)</f>
        <v>107</v>
      </c>
      <c r="T32" t="s">
        <v>330</v>
      </c>
      <c r="V32" s="38">
        <v>0.28000000000000003</v>
      </c>
      <c r="AA32" s="2">
        <v>135</v>
      </c>
      <c r="AE32" t="s">
        <v>288</v>
      </c>
      <c r="AF32" t="s">
        <v>286</v>
      </c>
      <c r="AG32" t="s">
        <v>281</v>
      </c>
      <c r="AH32">
        <f t="shared" si="2"/>
        <v>233</v>
      </c>
      <c r="AI32">
        <v>-0.7722</v>
      </c>
      <c r="AJ32">
        <v>1.3753</v>
      </c>
      <c r="AL32">
        <f t="shared" si="0"/>
        <v>12.426536690539402</v>
      </c>
      <c r="AT32" t="s">
        <v>261</v>
      </c>
      <c r="AV32">
        <v>233</v>
      </c>
      <c r="AW32">
        <v>-0.7722</v>
      </c>
      <c r="AX32">
        <v>1.3753</v>
      </c>
      <c r="AZ32">
        <f t="shared" si="3"/>
        <v>13.214616320402984</v>
      </c>
    </row>
    <row r="33" spans="2:52" x14ac:dyDescent="0.3">
      <c r="B33" s="12">
        <v>108</v>
      </c>
      <c r="C33" s="2">
        <v>140</v>
      </c>
      <c r="D33" s="2">
        <v>98</v>
      </c>
      <c r="E33" s="110">
        <v>7.5</v>
      </c>
      <c r="F33" s="2">
        <f>IF('FBP outputs'!$D$2=TRUE, Settings!E33, "")</f>
        <v>7.5</v>
      </c>
      <c r="R33" s="103">
        <f>IF(OR('FBP outputs'!$G$1&lt;&gt;19, 'CCP Calcs'!$Z$1=2), Settings!C33, "")</f>
        <v>140</v>
      </c>
      <c r="S33" s="103">
        <f>IF('FBP outputs'!$D$2=FALSE, "", Settings!B33)</f>
        <v>108</v>
      </c>
      <c r="T33">
        <f>(T24-T30)/T24</f>
        <v>0</v>
      </c>
      <c r="V33" s="38">
        <v>0.28999999999999998</v>
      </c>
      <c r="AA33" s="2">
        <v>140</v>
      </c>
      <c r="AE33" t="s">
        <v>288</v>
      </c>
      <c r="AF33" t="s">
        <v>286</v>
      </c>
      <c r="AG33" t="s">
        <v>282</v>
      </c>
      <c r="AH33">
        <f t="shared" si="2"/>
        <v>234</v>
      </c>
      <c r="AI33">
        <v>-0.71819999999999995</v>
      </c>
      <c r="AJ33">
        <v>1.242</v>
      </c>
      <c r="AL33">
        <f t="shared" si="0"/>
        <v>9.6779976617793828</v>
      </c>
      <c r="AT33" t="s">
        <v>262</v>
      </c>
      <c r="AV33">
        <v>234</v>
      </c>
      <c r="AW33">
        <v>-0.71819999999999995</v>
      </c>
      <c r="AX33">
        <v>1.242</v>
      </c>
      <c r="AZ33">
        <f t="shared" si="3"/>
        <v>10.321347727351819</v>
      </c>
    </row>
    <row r="34" spans="2:52" x14ac:dyDescent="0.3">
      <c r="B34" s="12">
        <v>109</v>
      </c>
      <c r="C34" s="2">
        <v>145</v>
      </c>
      <c r="D34" s="2">
        <v>98.5</v>
      </c>
      <c r="E34" s="110">
        <v>7.75</v>
      </c>
      <c r="F34" s="2">
        <f>IF('FBP outputs'!$D$2=TRUE, Settings!E34, "")</f>
        <v>7.75</v>
      </c>
      <c r="R34" s="103">
        <f>IF(OR('FBP outputs'!$G$1&lt;&gt;19, 'CCP Calcs'!$Z$1=2), Settings!C34, "")</f>
        <v>145</v>
      </c>
      <c r="S34" s="103">
        <f>IF('FBP outputs'!$D$2=FALSE, "", Settings!B34)</f>
        <v>109</v>
      </c>
      <c r="V34" s="38">
        <v>0.3</v>
      </c>
      <c r="AA34" s="2">
        <v>145</v>
      </c>
      <c r="AE34" t="s">
        <v>288</v>
      </c>
      <c r="AF34" t="s">
        <v>286</v>
      </c>
      <c r="AG34" t="s">
        <v>283</v>
      </c>
      <c r="AH34">
        <f t="shared" si="2"/>
        <v>235</v>
      </c>
      <c r="AI34">
        <v>-0.83079999999999998</v>
      </c>
      <c r="AJ34">
        <v>1.2996000000000001</v>
      </c>
      <c r="AL34">
        <f t="shared" si="0"/>
        <v>9.8611903409201922</v>
      </c>
      <c r="AT34" t="s">
        <v>263</v>
      </c>
      <c r="AV34">
        <v>235</v>
      </c>
      <c r="AW34">
        <v>-0.83079999999999998</v>
      </c>
      <c r="AX34">
        <v>1.2996000000000001</v>
      </c>
      <c r="AZ34">
        <f t="shared" si="3"/>
        <v>10.50368380363569</v>
      </c>
    </row>
    <row r="35" spans="2:52" x14ac:dyDescent="0.3">
      <c r="B35" s="11">
        <v>110</v>
      </c>
      <c r="C35" s="2">
        <v>150</v>
      </c>
      <c r="D35" s="2">
        <v>99</v>
      </c>
      <c r="E35" s="110">
        <v>8</v>
      </c>
      <c r="F35" s="2">
        <f>IF('FBP outputs'!$D$2=TRUE, Settings!E35, "")</f>
        <v>8</v>
      </c>
      <c r="R35" s="103">
        <f>IF(OR('FBP outputs'!$G$1&lt;&gt;19, 'CCP Calcs'!$Z$1=2), Settings!C35, "")</f>
        <v>150</v>
      </c>
      <c r="S35" s="103">
        <f>IF('FBP outputs'!$D$2=FALSE, "", Settings!B35)</f>
        <v>110</v>
      </c>
      <c r="T35" t="s">
        <v>331</v>
      </c>
      <c r="V35" s="38">
        <v>0.31</v>
      </c>
      <c r="AA35" s="2">
        <v>150</v>
      </c>
      <c r="AE35" t="s">
        <v>289</v>
      </c>
      <c r="AF35" t="s">
        <v>284</v>
      </c>
      <c r="AG35" t="s">
        <v>279</v>
      </c>
      <c r="AH35">
        <f t="shared" si="2"/>
        <v>311</v>
      </c>
      <c r="AI35">
        <v>0.16009999999999999</v>
      </c>
      <c r="AJ35">
        <v>0.94950000000000001</v>
      </c>
      <c r="AL35">
        <f t="shared" si="0"/>
        <v>11.954811924731484</v>
      </c>
      <c r="AT35" t="s">
        <v>264</v>
      </c>
      <c r="AV35">
        <v>311</v>
      </c>
      <c r="AW35">
        <v>0.16009999999999999</v>
      </c>
      <c r="AX35">
        <v>0.94950000000000001</v>
      </c>
      <c r="AZ35">
        <f t="shared" si="3"/>
        <v>12.83006090262494</v>
      </c>
    </row>
    <row r="36" spans="2:52" x14ac:dyDescent="0.3">
      <c r="B36" s="12">
        <v>111</v>
      </c>
      <c r="C36" s="2">
        <v>155</v>
      </c>
      <c r="E36">
        <v>8.25</v>
      </c>
      <c r="F36" s="2">
        <f>IF('FBP outputs'!$D$2=TRUE, Settings!E36, "")</f>
        <v>8.25</v>
      </c>
      <c r="R36" s="103">
        <f>IF(OR('FBP outputs'!$G$1&lt;&gt;19, 'CCP Calcs'!$Z$1=2), Settings!C36, "")</f>
        <v>155</v>
      </c>
      <c r="S36" s="103">
        <f>IF('FBP outputs'!$D$2=FALSE, "", Settings!B36)</f>
        <v>111</v>
      </c>
      <c r="T36">
        <f>0.92+(0.0114*T24)^1.7</f>
        <v>0.93046153404997611</v>
      </c>
      <c r="V36" s="38">
        <v>0.32</v>
      </c>
      <c r="AA36" s="2">
        <v>155</v>
      </c>
      <c r="AE36" t="s">
        <v>289</v>
      </c>
      <c r="AF36" t="s">
        <v>284</v>
      </c>
      <c r="AG36" t="s">
        <v>280</v>
      </c>
      <c r="AH36">
        <f t="shared" si="2"/>
        <v>312</v>
      </c>
      <c r="AI36">
        <v>-0.55000000000000004</v>
      </c>
      <c r="AJ36">
        <v>1.0538000000000001</v>
      </c>
      <c r="AL36">
        <f t="shared" si="0"/>
        <v>7.4549710990410434</v>
      </c>
      <c r="AT36" t="s">
        <v>265</v>
      </c>
      <c r="AV36">
        <v>312</v>
      </c>
      <c r="AW36">
        <v>-0.55000000000000004</v>
      </c>
      <c r="AX36">
        <v>1.0538000000000001</v>
      </c>
      <c r="AZ36">
        <f t="shared" si="3"/>
        <v>7.9828259123846683</v>
      </c>
    </row>
    <row r="37" spans="2:52" x14ac:dyDescent="0.3">
      <c r="B37" s="12">
        <v>112</v>
      </c>
      <c r="C37" s="2">
        <v>160</v>
      </c>
      <c r="E37">
        <v>8.5</v>
      </c>
      <c r="F37" s="2">
        <f>IF('FBP outputs'!$D$2=TRUE, Settings!E37, "")</f>
        <v>8.5</v>
      </c>
      <c r="R37" s="103">
        <f>IF(OR('FBP outputs'!$G$1&lt;&gt;19, 'CCP Calcs'!$Z$1=2), Settings!C37, "")</f>
        <v>160</v>
      </c>
      <c r="S37" s="103">
        <f>IF('FBP outputs'!$D$2=FALSE, "", Settings!B37)</f>
        <v>112</v>
      </c>
      <c r="V37" s="38">
        <v>0.33</v>
      </c>
      <c r="AA37" s="2">
        <v>160</v>
      </c>
      <c r="AE37" t="s">
        <v>289</v>
      </c>
      <c r="AF37" t="s">
        <v>284</v>
      </c>
      <c r="AG37" t="s">
        <v>281</v>
      </c>
      <c r="AH37">
        <f t="shared" si="2"/>
        <v>313</v>
      </c>
      <c r="AI37">
        <v>0.22789999999999999</v>
      </c>
      <c r="AJ37">
        <v>0.93159999999999998</v>
      </c>
      <c r="AL37">
        <f t="shared" si="0"/>
        <v>12.281750413814645</v>
      </c>
      <c r="AT37" t="s">
        <v>266</v>
      </c>
      <c r="AV37">
        <v>313</v>
      </c>
      <c r="AW37">
        <v>0.22789999999999999</v>
      </c>
      <c r="AX37">
        <v>0.93159999999999998</v>
      </c>
      <c r="AZ37">
        <f t="shared" si="3"/>
        <v>13.186016487939648</v>
      </c>
    </row>
    <row r="38" spans="2:52" x14ac:dyDescent="0.3">
      <c r="B38" s="11">
        <v>113</v>
      </c>
      <c r="C38" s="2">
        <v>165</v>
      </c>
      <c r="E38">
        <v>8.75</v>
      </c>
      <c r="F38" s="2">
        <f>IF('FBP outputs'!$D$2=TRUE, Settings!E38, "")</f>
        <v>8.75</v>
      </c>
      <c r="R38" s="103">
        <f>IF(OR('FBP outputs'!$G$1&lt;&gt;19, 'CCP Calcs'!$Z$1=2), Settings!C38, "")</f>
        <v>165</v>
      </c>
      <c r="S38" s="103">
        <f>IF('FBP outputs'!$D$2=FALSE, "", Settings!B38)</f>
        <v>113</v>
      </c>
      <c r="T38" t="s">
        <v>332</v>
      </c>
      <c r="V38" s="38">
        <v>0.34</v>
      </c>
      <c r="AA38" s="2">
        <v>165</v>
      </c>
      <c r="AE38" t="s">
        <v>289</v>
      </c>
      <c r="AF38" t="s">
        <v>284</v>
      </c>
      <c r="AG38" t="s">
        <v>282</v>
      </c>
      <c r="AH38">
        <f t="shared" si="2"/>
        <v>314</v>
      </c>
      <c r="AI38">
        <v>0.28189999999999998</v>
      </c>
      <c r="AJ38">
        <v>0.79830000000000001</v>
      </c>
      <c r="AL38">
        <f t="shared" si="0"/>
        <v>9.565235652339803</v>
      </c>
      <c r="AT38" t="s">
        <v>267</v>
      </c>
      <c r="AV38">
        <v>314</v>
      </c>
      <c r="AW38">
        <v>0.28189999999999998</v>
      </c>
      <c r="AX38">
        <v>0.79830000000000001</v>
      </c>
      <c r="AZ38">
        <f t="shared" si="3"/>
        <v>10.299009673136629</v>
      </c>
    </row>
    <row r="39" spans="2:52" x14ac:dyDescent="0.3">
      <c r="B39" s="12">
        <v>114</v>
      </c>
      <c r="C39" s="2">
        <v>170</v>
      </c>
      <c r="E39">
        <v>9</v>
      </c>
      <c r="F39" s="2">
        <f>IF('FBP outputs'!$D$2=TRUE, Settings!E39, "")</f>
        <v>9</v>
      </c>
      <c r="R39" s="103">
        <f>IF(OR('FBP outputs'!$G$1&lt;&gt;19, 'CCP Calcs'!$Z$1=2), Settings!C39, "")</f>
        <v>170</v>
      </c>
      <c r="S39" s="103">
        <f>IF('FBP outputs'!$D$2=FALSE, "", Settings!B39)</f>
        <v>114</v>
      </c>
      <c r="T39">
        <f>T24-(T36*T33)</f>
        <v>6</v>
      </c>
      <c r="V39" s="38">
        <v>0.35</v>
      </c>
      <c r="AA39" s="2">
        <v>170</v>
      </c>
      <c r="AE39" t="s">
        <v>289</v>
      </c>
      <c r="AF39" t="s">
        <v>284</v>
      </c>
      <c r="AG39" t="s">
        <v>283</v>
      </c>
      <c r="AH39">
        <f t="shared" si="2"/>
        <v>315</v>
      </c>
      <c r="AI39">
        <v>0.16930000000000001</v>
      </c>
      <c r="AJ39">
        <v>0.85589999999999999</v>
      </c>
      <c r="AL39">
        <f t="shared" si="0"/>
        <v>9.7462938843215561</v>
      </c>
      <c r="AT39" t="s">
        <v>268</v>
      </c>
      <c r="AV39">
        <v>315</v>
      </c>
      <c r="AW39">
        <v>0.16930000000000001</v>
      </c>
      <c r="AX39">
        <v>0.85589999999999999</v>
      </c>
      <c r="AZ39">
        <f t="shared" si="3"/>
        <v>10.480951127200129</v>
      </c>
    </row>
    <row r="40" spans="2:52" x14ac:dyDescent="0.3">
      <c r="B40" s="12">
        <v>115</v>
      </c>
      <c r="C40" s="2">
        <v>175</v>
      </c>
      <c r="E40">
        <v>9.25</v>
      </c>
      <c r="F40" s="2">
        <f>IF('FBP outputs'!$D$2=TRUE, Settings!E40, "")</f>
        <v>9.25</v>
      </c>
      <c r="R40" s="103">
        <f>IF(OR('FBP outputs'!$G$1&lt;&gt;19, 'CCP Calcs'!$Z$1=2), Settings!C40, "")</f>
        <v>175</v>
      </c>
      <c r="S40" s="103">
        <f>IF('FBP outputs'!$D$2=FALSE, "", Settings!B40)</f>
        <v>115</v>
      </c>
      <c r="AA40" s="2">
        <v>175</v>
      </c>
      <c r="AE40" t="s">
        <v>289</v>
      </c>
      <c r="AF40" t="s">
        <v>285</v>
      </c>
      <c r="AG40" t="s">
        <v>279</v>
      </c>
      <c r="AH40">
        <f t="shared" si="2"/>
        <v>321</v>
      </c>
      <c r="AI40">
        <v>-0.13109999999999999</v>
      </c>
      <c r="AJ40">
        <v>1.1407</v>
      </c>
      <c r="AL40">
        <f t="shared" si="0"/>
        <v>13.817681867885808</v>
      </c>
      <c r="AT40" t="s">
        <v>269</v>
      </c>
      <c r="AV40">
        <v>321</v>
      </c>
      <c r="AW40">
        <v>-0.13109999999999999</v>
      </c>
      <c r="AX40">
        <v>1.1407</v>
      </c>
      <c r="AZ40">
        <f t="shared" si="3"/>
        <v>14.768395349611138</v>
      </c>
    </row>
    <row r="41" spans="2:52" x14ac:dyDescent="0.3">
      <c r="B41" s="11">
        <v>116</v>
      </c>
      <c r="C41" s="2">
        <v>180</v>
      </c>
      <c r="E41">
        <v>9.5</v>
      </c>
      <c r="F41" s="2">
        <f>IF('FBP outputs'!$D$2=TRUE, Settings!E41, "")</f>
        <v>9.5</v>
      </c>
      <c r="R41" s="103">
        <f>IF(OR('FBP outputs'!$G$1&lt;&gt;19, 'CCP Calcs'!$Z$1=2), Settings!C41, "")</f>
        <v>180</v>
      </c>
      <c r="S41" s="103">
        <f>IF('FBP outputs'!$D$2=FALSE, "", Settings!B41)</f>
        <v>116</v>
      </c>
      <c r="AA41" s="2">
        <v>180</v>
      </c>
      <c r="AE41" t="s">
        <v>289</v>
      </c>
      <c r="AF41" t="s">
        <v>285</v>
      </c>
      <c r="AG41" t="s">
        <v>280</v>
      </c>
      <c r="AH41">
        <f t="shared" si="2"/>
        <v>322</v>
      </c>
      <c r="AI41">
        <v>-0.84079999999999999</v>
      </c>
      <c r="AJ41">
        <v>1.2450000000000001</v>
      </c>
      <c r="AL41">
        <f t="shared" si="0"/>
        <v>8.6200964129907458</v>
      </c>
      <c r="AT41" t="s">
        <v>270</v>
      </c>
      <c r="AV41">
        <v>322</v>
      </c>
      <c r="AW41">
        <v>-0.84079999999999999</v>
      </c>
      <c r="AX41">
        <v>1.2450000000000001</v>
      </c>
      <c r="AZ41">
        <f t="shared" si="3"/>
        <v>9.192528143140736</v>
      </c>
    </row>
    <row r="42" spans="2:52" x14ac:dyDescent="0.3">
      <c r="B42" s="12">
        <v>117</v>
      </c>
      <c r="C42" s="2">
        <v>185</v>
      </c>
      <c r="E42">
        <v>9.75</v>
      </c>
      <c r="F42" s="2">
        <f>IF('FBP outputs'!$D$2=TRUE, Settings!E42, "")</f>
        <v>9.75</v>
      </c>
      <c r="R42" s="103">
        <f>IF(OR('FBP outputs'!$G$1&lt;&gt;19, 'CCP Calcs'!$Z$1=2), Settings!C42, "")</f>
        <v>185</v>
      </c>
      <c r="S42" s="103">
        <f>IF('FBP outputs'!$D$2=FALSE, "", Settings!B42)</f>
        <v>117</v>
      </c>
      <c r="AA42" s="2">
        <v>185</v>
      </c>
      <c r="AE42" t="s">
        <v>289</v>
      </c>
      <c r="AF42" t="s">
        <v>285</v>
      </c>
      <c r="AG42" t="s">
        <v>281</v>
      </c>
      <c r="AH42">
        <f t="shared" si="2"/>
        <v>323</v>
      </c>
      <c r="AI42">
        <v>-6.3299999999999995E-2</v>
      </c>
      <c r="AJ42">
        <v>1.1228</v>
      </c>
      <c r="AL42">
        <f t="shared" si="0"/>
        <v>14.195565858111767</v>
      </c>
      <c r="AT42" t="s">
        <v>271</v>
      </c>
      <c r="AV42">
        <v>323</v>
      </c>
      <c r="AW42">
        <v>-6.3299999999999995E-2</v>
      </c>
      <c r="AX42">
        <v>1.1228</v>
      </c>
      <c r="AZ42">
        <f t="shared" si="3"/>
        <v>15.178127840417503</v>
      </c>
    </row>
    <row r="43" spans="2:52" x14ac:dyDescent="0.3">
      <c r="B43" s="12">
        <v>118</v>
      </c>
      <c r="C43" s="2">
        <v>190</v>
      </c>
      <c r="E43">
        <v>10</v>
      </c>
      <c r="F43" s="2">
        <f>IF('FBP outputs'!$D$2=TRUE, Settings!E43, "")</f>
        <v>10</v>
      </c>
      <c r="R43" s="103">
        <f>IF(OR('FBP outputs'!$G$1&lt;&gt;19, 'CCP Calcs'!$Z$1=2), Settings!C43, "")</f>
        <v>190</v>
      </c>
      <c r="S43" s="103">
        <f>IF('FBP outputs'!$D$2=FALSE, "", Settings!B43)</f>
        <v>118</v>
      </c>
      <c r="AA43" s="2">
        <v>190</v>
      </c>
      <c r="AE43" t="s">
        <v>289</v>
      </c>
      <c r="AF43" t="s">
        <v>285</v>
      </c>
      <c r="AG43" t="s">
        <v>282</v>
      </c>
      <c r="AH43">
        <f t="shared" si="2"/>
        <v>324</v>
      </c>
      <c r="AI43">
        <v>-9.2999999999999992E-3</v>
      </c>
      <c r="AJ43">
        <v>0.98950000000000005</v>
      </c>
      <c r="AL43">
        <f t="shared" si="0"/>
        <v>11.055747599170966</v>
      </c>
      <c r="AT43" t="s">
        <v>272</v>
      </c>
      <c r="AV43">
        <v>324</v>
      </c>
      <c r="AW43">
        <v>-9.2999999999999992E-3</v>
      </c>
      <c r="AX43">
        <v>0.98950000000000005</v>
      </c>
      <c r="AZ43">
        <f t="shared" si="3"/>
        <v>11.854959046315397</v>
      </c>
    </row>
    <row r="44" spans="2:52" x14ac:dyDescent="0.3">
      <c r="B44" s="11">
        <v>119</v>
      </c>
      <c r="C44" s="2">
        <v>195</v>
      </c>
      <c r="R44" s="103">
        <f>IF(OR('FBP outputs'!$G$1&lt;&gt;19, 'CCP Calcs'!$Z$1=2), Settings!C44, "")</f>
        <v>195</v>
      </c>
      <c r="S44" s="103">
        <f>IF('FBP outputs'!$D$2=FALSE, "", Settings!B44)</f>
        <v>119</v>
      </c>
      <c r="AA44" s="2">
        <v>195</v>
      </c>
      <c r="AE44" t="s">
        <v>289</v>
      </c>
      <c r="AF44" t="s">
        <v>285</v>
      </c>
      <c r="AG44" t="s">
        <v>283</v>
      </c>
      <c r="AH44">
        <f t="shared" si="2"/>
        <v>325</v>
      </c>
      <c r="AI44">
        <v>-0.12189999999999999</v>
      </c>
      <c r="AJ44">
        <v>1.0470999999999999</v>
      </c>
      <c r="AL44">
        <f t="shared" si="0"/>
        <v>11.265019402427866</v>
      </c>
      <c r="AT44" t="s">
        <v>273</v>
      </c>
      <c r="AV44">
        <v>325</v>
      </c>
      <c r="AW44">
        <v>-0.12189999999999999</v>
      </c>
      <c r="AX44">
        <v>1.0470999999999999</v>
      </c>
      <c r="AZ44">
        <f t="shared" si="3"/>
        <v>12.064387773465318</v>
      </c>
    </row>
    <row r="45" spans="2:52" x14ac:dyDescent="0.3">
      <c r="B45" s="12">
        <v>120</v>
      </c>
      <c r="C45" s="2">
        <v>200</v>
      </c>
      <c r="R45" s="103">
        <f>IF(OR('FBP outputs'!$G$1&lt;&gt;19, 'CCP Calcs'!$Z$1=2), Settings!C45, "")</f>
        <v>200</v>
      </c>
      <c r="S45" s="103">
        <f>IF('FBP outputs'!$D$2=FALSE, "", Settings!B45)</f>
        <v>120</v>
      </c>
      <c r="AA45" s="2">
        <v>200</v>
      </c>
      <c r="AE45" t="s">
        <v>289</v>
      </c>
      <c r="AF45" t="s">
        <v>286</v>
      </c>
      <c r="AG45" t="s">
        <v>279</v>
      </c>
      <c r="AH45">
        <f t="shared" si="2"/>
        <v>331</v>
      </c>
      <c r="AI45">
        <v>-0.81469999999999998</v>
      </c>
      <c r="AJ45">
        <v>1.4736</v>
      </c>
      <c r="AL45">
        <f t="shared" si="0"/>
        <v>14.902052557286826</v>
      </c>
      <c r="AT45" t="s">
        <v>274</v>
      </c>
      <c r="AV45">
        <v>331</v>
      </c>
      <c r="AW45">
        <v>-0.81469999999999998</v>
      </c>
      <c r="AX45">
        <v>1.4736</v>
      </c>
      <c r="AZ45">
        <f t="shared" si="3"/>
        <v>15.81362263580777</v>
      </c>
    </row>
    <row r="46" spans="2:52" x14ac:dyDescent="0.3">
      <c r="B46" s="12">
        <v>121</v>
      </c>
      <c r="C46" s="2" t="s">
        <v>61</v>
      </c>
      <c r="R46" s="103" t="str">
        <f>IF(OR('FBP outputs'!$G$1&lt;&gt;19, 'CCP Calcs'!$Z$1=2), Settings!C46, "")</f>
        <v>Std/No ROS effect</v>
      </c>
      <c r="S46" s="103">
        <f>IF('FBP outputs'!$D$2=FALSE, "", Settings!B46)</f>
        <v>121</v>
      </c>
      <c r="AE46" t="s">
        <v>289</v>
      </c>
      <c r="AF46" t="s">
        <v>286</v>
      </c>
      <c r="AG46" t="s">
        <v>280</v>
      </c>
      <c r="AH46">
        <f t="shared" si="2"/>
        <v>332</v>
      </c>
      <c r="AI46">
        <v>-1.5244</v>
      </c>
      <c r="AJ46">
        <v>1.5779000000000001</v>
      </c>
      <c r="AL46">
        <f t="shared" si="0"/>
        <v>9.2965760120603029</v>
      </c>
      <c r="AT46" t="s">
        <v>275</v>
      </c>
      <c r="AV46">
        <v>332</v>
      </c>
      <c r="AW46">
        <v>-1.5244</v>
      </c>
      <c r="AX46">
        <v>1.5779000000000001</v>
      </c>
      <c r="AZ46">
        <f t="shared" si="3"/>
        <v>9.8431256533566494</v>
      </c>
    </row>
    <row r="47" spans="2:52" x14ac:dyDescent="0.3">
      <c r="B47" s="11">
        <v>122</v>
      </c>
      <c r="S47" s="103">
        <f>IF('FBP outputs'!$D$2=FALSE, "", Settings!B47)</f>
        <v>122</v>
      </c>
      <c r="AE47" t="s">
        <v>289</v>
      </c>
      <c r="AF47" t="s">
        <v>286</v>
      </c>
      <c r="AG47" t="s">
        <v>281</v>
      </c>
      <c r="AH47">
        <f t="shared" si="2"/>
        <v>333</v>
      </c>
      <c r="AI47">
        <v>-0.74690000000000001</v>
      </c>
      <c r="AJ47">
        <v>1.4557</v>
      </c>
      <c r="AL47">
        <f t="shared" si="0"/>
        <v>15.309591762252326</v>
      </c>
      <c r="AT47" t="s">
        <v>276</v>
      </c>
      <c r="AV47">
        <v>333</v>
      </c>
      <c r="AW47">
        <v>-0.74690000000000001</v>
      </c>
      <c r="AX47">
        <v>1.4557</v>
      </c>
      <c r="AZ47">
        <f t="shared" si="3"/>
        <v>16.252353780109917</v>
      </c>
    </row>
    <row r="48" spans="2:52" x14ac:dyDescent="0.3">
      <c r="B48" s="12">
        <v>123</v>
      </c>
      <c r="S48" s="103">
        <f>IF('FBP outputs'!$D$2=FALSE, "", Settings!B48)</f>
        <v>123</v>
      </c>
      <c r="AE48" t="s">
        <v>289</v>
      </c>
      <c r="AF48" t="s">
        <v>286</v>
      </c>
      <c r="AG48" t="s">
        <v>282</v>
      </c>
      <c r="AH48">
        <f t="shared" si="2"/>
        <v>334</v>
      </c>
      <c r="AI48">
        <v>-0.69289999999999996</v>
      </c>
      <c r="AJ48">
        <v>1.3224</v>
      </c>
      <c r="AL48">
        <f t="shared" si="0"/>
        <v>11.923369879129497</v>
      </c>
      <c r="AT48" t="s">
        <v>277</v>
      </c>
      <c r="AV48">
        <v>334</v>
      </c>
      <c r="AW48">
        <v>-0.69289999999999996</v>
      </c>
      <c r="AX48">
        <v>1.3224</v>
      </c>
      <c r="AZ48">
        <f t="shared" si="3"/>
        <v>12.693989041018163</v>
      </c>
    </row>
    <row r="49" spans="2:52" x14ac:dyDescent="0.3">
      <c r="B49" s="12">
        <v>124</v>
      </c>
      <c r="S49" s="103">
        <f>IF('FBP outputs'!$D$2=FALSE, "", Settings!B49)</f>
        <v>124</v>
      </c>
      <c r="AE49" t="s">
        <v>289</v>
      </c>
      <c r="AF49" t="s">
        <v>286</v>
      </c>
      <c r="AG49" t="s">
        <v>283</v>
      </c>
      <c r="AH49">
        <f t="shared" si="2"/>
        <v>335</v>
      </c>
      <c r="AI49">
        <v>-0.80549999999999999</v>
      </c>
      <c r="AJ49">
        <v>1.38</v>
      </c>
      <c r="AL49">
        <f t="shared" si="0"/>
        <v>12.149064712800582</v>
      </c>
      <c r="AT49" t="s">
        <v>278</v>
      </c>
      <c r="AV49">
        <v>335</v>
      </c>
      <c r="AW49">
        <v>-0.80549999999999999</v>
      </c>
      <c r="AX49">
        <v>1.38</v>
      </c>
      <c r="AZ49">
        <f t="shared" si="3"/>
        <v>12.918240002740529</v>
      </c>
    </row>
    <row r="50" spans="2:52" x14ac:dyDescent="0.3">
      <c r="B50" s="11">
        <v>125</v>
      </c>
      <c r="S50" s="103">
        <f>IF('FBP outputs'!$D$2=FALSE, "", Settings!B50)</f>
        <v>125</v>
      </c>
      <c r="AE50" t="s">
        <v>419</v>
      </c>
      <c r="AF50" t="s">
        <v>284</v>
      </c>
      <c r="AG50" t="s">
        <v>279</v>
      </c>
      <c r="AH50">
        <v>411</v>
      </c>
      <c r="AL50">
        <f>AVERAGE(AL5, AL20)</f>
        <v>8.8391523944136203</v>
      </c>
      <c r="AT50" t="s">
        <v>455</v>
      </c>
      <c r="AV50">
        <v>411</v>
      </c>
      <c r="AZ50">
        <f>AVERAGE(AZ5, AZ20)</f>
        <v>9.534876756534004</v>
      </c>
    </row>
    <row r="51" spans="2:52" x14ac:dyDescent="0.3">
      <c r="B51" s="12">
        <v>126</v>
      </c>
      <c r="S51" s="103">
        <f>IF('FBP outputs'!$D$2=FALSE, "", Settings!B51)</f>
        <v>126</v>
      </c>
      <c r="AE51" t="s">
        <v>419</v>
      </c>
      <c r="AF51" t="s">
        <v>284</v>
      </c>
      <c r="AG51" t="s">
        <v>280</v>
      </c>
      <c r="AH51">
        <v>412</v>
      </c>
      <c r="AL51">
        <f t="shared" ref="AL51:AL64" si="4">AVERAGE(AL6, AL21)</f>
        <v>5.5142640116827106</v>
      </c>
      <c r="AT51" t="s">
        <v>456</v>
      </c>
      <c r="AV51">
        <v>412</v>
      </c>
      <c r="AZ51">
        <f t="shared" ref="AZ51:AZ64" si="5">AVERAGE(AZ6, AZ21)</f>
        <v>5.934945595028724</v>
      </c>
    </row>
    <row r="52" spans="2:52" x14ac:dyDescent="0.3">
      <c r="B52" s="12">
        <v>127</v>
      </c>
      <c r="S52" s="103">
        <f>IF('FBP outputs'!$D$2=FALSE, "", Settings!B52)</f>
        <v>127</v>
      </c>
      <c r="AE52" t="s">
        <v>419</v>
      </c>
      <c r="AF52" t="s">
        <v>284</v>
      </c>
      <c r="AG52" t="s">
        <v>281</v>
      </c>
      <c r="AH52">
        <v>413</v>
      </c>
      <c r="AL52">
        <f t="shared" si="4"/>
        <v>9.0808842716526978</v>
      </c>
      <c r="AT52" t="s">
        <v>457</v>
      </c>
      <c r="AV52">
        <v>413</v>
      </c>
      <c r="AZ52">
        <f t="shared" si="5"/>
        <v>9.7994111700909414</v>
      </c>
    </row>
    <row r="53" spans="2:52" x14ac:dyDescent="0.3">
      <c r="B53" s="11">
        <v>128</v>
      </c>
      <c r="S53" s="103">
        <f>IF('FBP outputs'!$D$2=FALSE, "", Settings!B53)</f>
        <v>128</v>
      </c>
      <c r="AE53" t="s">
        <v>419</v>
      </c>
      <c r="AF53" t="s">
        <v>284</v>
      </c>
      <c r="AG53" t="s">
        <v>282</v>
      </c>
      <c r="AH53">
        <v>414</v>
      </c>
      <c r="AL53">
        <f t="shared" si="4"/>
        <v>7.072346779843544</v>
      </c>
      <c r="AT53" t="s">
        <v>458</v>
      </c>
      <c r="AV53">
        <v>414</v>
      </c>
      <c r="AZ53">
        <f t="shared" si="5"/>
        <v>7.6538832272899242</v>
      </c>
    </row>
    <row r="54" spans="2:52" x14ac:dyDescent="0.3">
      <c r="B54" s="12">
        <v>129</v>
      </c>
      <c r="S54" s="103">
        <f>IF('FBP outputs'!$D$2=FALSE, "", Settings!B54)</f>
        <v>129</v>
      </c>
      <c r="AE54" t="s">
        <v>419</v>
      </c>
      <c r="AF54" t="s">
        <v>284</v>
      </c>
      <c r="AG54" t="s">
        <v>283</v>
      </c>
      <c r="AH54">
        <v>415</v>
      </c>
      <c r="AL54">
        <f t="shared" si="4"/>
        <v>7.2062176692248263</v>
      </c>
      <c r="AT54" t="s">
        <v>459</v>
      </c>
      <c r="AV54">
        <v>415</v>
      </c>
      <c r="AZ54">
        <f t="shared" si="5"/>
        <v>7.7890960960803675</v>
      </c>
    </row>
    <row r="55" spans="2:52" x14ac:dyDescent="0.3">
      <c r="B55" s="12">
        <v>130</v>
      </c>
      <c r="S55" s="103">
        <f>IF('FBP outputs'!$D$2=FALSE, "", Settings!B55)</f>
        <v>130</v>
      </c>
      <c r="AE55" t="s">
        <v>419</v>
      </c>
      <c r="AF55" t="s">
        <v>285</v>
      </c>
      <c r="AG55" t="s">
        <v>279</v>
      </c>
      <c r="AH55">
        <v>421</v>
      </c>
      <c r="AL55">
        <f t="shared" si="4"/>
        <v>10.216521726711465</v>
      </c>
      <c r="AT55" t="s">
        <v>460</v>
      </c>
      <c r="AV55">
        <v>421</v>
      </c>
      <c r="AZ55">
        <f t="shared" si="5"/>
        <v>10.975382784153602</v>
      </c>
    </row>
    <row r="56" spans="2:52" x14ac:dyDescent="0.3">
      <c r="AE56" t="s">
        <v>419</v>
      </c>
      <c r="AF56" t="s">
        <v>285</v>
      </c>
      <c r="AG56" t="s">
        <v>280</v>
      </c>
      <c r="AH56">
        <v>422</v>
      </c>
      <c r="AL56">
        <f t="shared" si="4"/>
        <v>6.3735294481159155</v>
      </c>
      <c r="AT56" t="s">
        <v>461</v>
      </c>
      <c r="AV56">
        <v>422</v>
      </c>
      <c r="AZ56">
        <f t="shared" si="5"/>
        <v>6.831582764185069</v>
      </c>
    </row>
    <row r="57" spans="2:52" x14ac:dyDescent="0.3">
      <c r="AE57" t="s">
        <v>419</v>
      </c>
      <c r="AF57" t="s">
        <v>285</v>
      </c>
      <c r="AG57" t="s">
        <v>281</v>
      </c>
      <c r="AH57">
        <v>423</v>
      </c>
      <c r="AL57">
        <f t="shared" si="4"/>
        <v>10.495921703728786</v>
      </c>
      <c r="AT57" t="s">
        <v>462</v>
      </c>
      <c r="AV57">
        <v>423</v>
      </c>
      <c r="AZ57">
        <f t="shared" si="5"/>
        <v>11.279882414563549</v>
      </c>
    </row>
    <row r="58" spans="2:52" x14ac:dyDescent="0.3">
      <c r="AE58" t="s">
        <v>419</v>
      </c>
      <c r="AF58" t="s">
        <v>285</v>
      </c>
      <c r="AG58" t="s">
        <v>282</v>
      </c>
      <c r="AH58">
        <v>424</v>
      </c>
      <c r="AL58">
        <f t="shared" si="4"/>
        <v>8.1744019461384916</v>
      </c>
      <c r="AT58" t="s">
        <v>463</v>
      </c>
      <c r="AV58">
        <v>424</v>
      </c>
      <c r="AZ58">
        <f t="shared" si="5"/>
        <v>8.8102133199733181</v>
      </c>
    </row>
    <row r="59" spans="2:52" x14ac:dyDescent="0.3">
      <c r="AE59" t="s">
        <v>419</v>
      </c>
      <c r="AF59" t="s">
        <v>285</v>
      </c>
      <c r="AG59" t="s">
        <v>283</v>
      </c>
      <c r="AH59">
        <v>425</v>
      </c>
      <c r="AL59">
        <f t="shared" si="4"/>
        <v>8.3291333942355354</v>
      </c>
      <c r="AT59" t="s">
        <v>464</v>
      </c>
      <c r="AV59">
        <v>425</v>
      </c>
      <c r="AZ59">
        <f t="shared" si="5"/>
        <v>8.9658538206543241</v>
      </c>
    </row>
    <row r="60" spans="2:52" x14ac:dyDescent="0.3">
      <c r="AE60" t="s">
        <v>419</v>
      </c>
      <c r="AF60" t="s">
        <v>286</v>
      </c>
      <c r="AG60" t="s">
        <v>279</v>
      </c>
      <c r="AH60">
        <v>431</v>
      </c>
      <c r="AL60">
        <f t="shared" si="4"/>
        <v>11.018284049364336</v>
      </c>
      <c r="AT60" t="s">
        <v>465</v>
      </c>
      <c r="AV60">
        <v>431</v>
      </c>
      <c r="AZ60">
        <f t="shared" si="5"/>
        <v>11.752161119976808</v>
      </c>
    </row>
    <row r="61" spans="2:52" x14ac:dyDescent="0.3">
      <c r="AE61" t="s">
        <v>419</v>
      </c>
      <c r="AF61" t="s">
        <v>286</v>
      </c>
      <c r="AG61" t="s">
        <v>280</v>
      </c>
      <c r="AH61">
        <v>432</v>
      </c>
      <c r="AL61">
        <f t="shared" si="4"/>
        <v>6.873705135156003</v>
      </c>
      <c r="AT61" t="s">
        <v>466</v>
      </c>
      <c r="AV61">
        <v>432</v>
      </c>
      <c r="AZ61">
        <f t="shared" si="5"/>
        <v>7.3150853075554885</v>
      </c>
    </row>
    <row r="62" spans="2:52" x14ac:dyDescent="0.3">
      <c r="AE62" t="s">
        <v>419</v>
      </c>
      <c r="AF62" t="s">
        <v>286</v>
      </c>
      <c r="AG62" t="s">
        <v>281</v>
      </c>
      <c r="AH62">
        <v>433</v>
      </c>
      <c r="AL62">
        <f t="shared" si="4"/>
        <v>11.319610507870642</v>
      </c>
      <c r="AT62" t="s">
        <v>467</v>
      </c>
      <c r="AV62">
        <v>433</v>
      </c>
      <c r="AZ62">
        <f t="shared" si="5"/>
        <v>12.078211590190733</v>
      </c>
    </row>
    <row r="63" spans="2:52" x14ac:dyDescent="0.3">
      <c r="AE63" t="s">
        <v>419</v>
      </c>
      <c r="AF63" t="s">
        <v>286</v>
      </c>
      <c r="AG63" t="s">
        <v>282</v>
      </c>
      <c r="AH63">
        <v>434</v>
      </c>
      <c r="AL63">
        <f t="shared" si="4"/>
        <v>8.8159047653904352</v>
      </c>
      <c r="AT63" t="s">
        <v>468</v>
      </c>
      <c r="AV63">
        <v>434</v>
      </c>
      <c r="AZ63">
        <f t="shared" si="5"/>
        <v>9.4337526511770733</v>
      </c>
    </row>
    <row r="64" spans="2:52" x14ac:dyDescent="0.3">
      <c r="AE64" t="s">
        <v>419</v>
      </c>
      <c r="AF64" t="s">
        <v>286</v>
      </c>
      <c r="AG64" t="s">
        <v>283</v>
      </c>
      <c r="AH64">
        <v>435</v>
      </c>
      <c r="AL64">
        <f t="shared" si="4"/>
        <v>8.9827790785967849</v>
      </c>
      <c r="AT64" t="s">
        <v>469</v>
      </c>
      <c r="AV64">
        <v>435</v>
      </c>
      <c r="AZ64">
        <f t="shared" si="5"/>
        <v>9.6004085461712734</v>
      </c>
    </row>
  </sheetData>
  <pageMargins left="0.7" right="0.7" top="0.75" bottom="0.75" header="0.3" footer="0.3"/>
  <headerFooter>
    <oddHeader>&amp;R&amp;"Calibri"&amp;12&amp;K000000 UNCLASSIFIED - NON CLASSIFIÉ&amp;1#_x000D_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LI456"/>
  <sheetViews>
    <sheetView workbookViewId="0"/>
  </sheetViews>
  <sheetFormatPr defaultRowHeight="14.4" x14ac:dyDescent="0.3"/>
  <cols>
    <col min="1" max="1" width="12.33203125" customWidth="1"/>
    <col min="2" max="2" width="17" customWidth="1"/>
    <col min="3" max="3" width="17.44140625" customWidth="1"/>
    <col min="4" max="4" width="26.88671875" customWidth="1"/>
    <col min="5" max="5" width="10.44140625" customWidth="1"/>
    <col min="6" max="6" width="14" customWidth="1"/>
    <col min="7" max="9" width="11.5546875" hidden="1" customWidth="1"/>
    <col min="10" max="26" width="9.109375" hidden="1" customWidth="1"/>
    <col min="27" max="27" width="10" hidden="1" customWidth="1"/>
    <col min="28" max="32" width="9.109375" customWidth="1"/>
    <col min="33" max="33" width="15.33203125" customWidth="1"/>
    <col min="34" max="54" width="9.109375" customWidth="1"/>
    <col min="55" max="55" width="12.44140625" customWidth="1"/>
    <col min="56" max="56" width="10.5546875" customWidth="1"/>
    <col min="57" max="57" width="9.109375"/>
    <col min="58" max="58" width="10.88671875" customWidth="1"/>
    <col min="59" max="60" width="14.33203125" customWidth="1"/>
    <col min="61" max="61" width="18" customWidth="1"/>
    <col min="62" max="62" width="9.6640625" customWidth="1"/>
    <col min="63" max="63" width="8.44140625" customWidth="1"/>
    <col min="64" max="64" width="11.109375" customWidth="1"/>
    <col min="65" max="95" width="12.109375" customWidth="1"/>
    <col min="96" max="127" width="9.109375"/>
    <col min="128" max="128" width="12" bestFit="1" customWidth="1"/>
    <col min="129" max="130" width="9.109375"/>
    <col min="131" max="131" width="9.6640625" customWidth="1"/>
    <col min="132" max="132" width="10.6640625" customWidth="1"/>
    <col min="133" max="259" width="9.109375"/>
    <col min="260" max="260" width="16.33203125" customWidth="1"/>
    <col min="261" max="291" width="9.109375"/>
    <col min="292" max="292" width="15.6640625" customWidth="1"/>
    <col min="293" max="348" width="9.109375"/>
  </cols>
  <sheetData>
    <row r="1" spans="1:321" ht="50.25" customHeight="1" x14ac:dyDescent="0.3">
      <c r="A1" t="s">
        <v>15</v>
      </c>
      <c r="C1" s="59" t="s">
        <v>81</v>
      </c>
      <c r="F1" s="146" t="s">
        <v>400</v>
      </c>
    </row>
    <row r="2" spans="1:321" ht="84" customHeight="1" x14ac:dyDescent="0.3">
      <c r="B2" s="1" t="s">
        <v>30</v>
      </c>
      <c r="C2" s="59" t="s">
        <v>83</v>
      </c>
      <c r="D2" s="45"/>
      <c r="F2" s="59" t="s">
        <v>84</v>
      </c>
      <c r="G2" s="45"/>
      <c r="H2" s="216" t="s">
        <v>346</v>
      </c>
      <c r="I2" s="216"/>
      <c r="J2" s="216"/>
      <c r="K2" s="216"/>
      <c r="L2" s="216"/>
      <c r="M2" s="216"/>
      <c r="N2" s="216"/>
      <c r="O2" s="216"/>
      <c r="P2" s="216"/>
      <c r="Q2" s="216"/>
      <c r="R2" s="216"/>
      <c r="S2" s="216"/>
      <c r="T2" s="216"/>
      <c r="U2" s="216"/>
      <c r="V2" s="216"/>
      <c r="W2" s="216"/>
      <c r="X2" s="216"/>
      <c r="Y2" s="216"/>
      <c r="Z2" s="45"/>
      <c r="AA2" s="44" t="s">
        <v>345</v>
      </c>
      <c r="AB2" s="45"/>
      <c r="AC2" s="45"/>
      <c r="AE2" s="45"/>
      <c r="AF2" s="45"/>
      <c r="AG2" s="59" t="s">
        <v>93</v>
      </c>
      <c r="AH2" s="45"/>
      <c r="AI2" s="45"/>
      <c r="AJ2" s="45"/>
      <c r="AK2" s="45"/>
      <c r="AL2" s="45"/>
      <c r="AM2" s="45"/>
      <c r="AN2" s="45"/>
      <c r="AO2" s="45"/>
      <c r="AP2" s="45"/>
      <c r="AQ2" s="45"/>
      <c r="AR2" s="45"/>
      <c r="AS2" s="45"/>
      <c r="AT2" s="45"/>
      <c r="AU2" s="45"/>
      <c r="AV2" s="45"/>
      <c r="AW2" s="45"/>
      <c r="AX2" s="45"/>
      <c r="AY2" s="45"/>
      <c r="AZ2" s="59" t="s">
        <v>167</v>
      </c>
      <c r="BA2" s="45"/>
      <c r="BB2" s="45"/>
      <c r="BC2" s="45"/>
      <c r="BD2" s="213" t="s">
        <v>350</v>
      </c>
      <c r="BE2" s="214"/>
      <c r="BF2" s="1"/>
      <c r="BG2" s="1"/>
      <c r="BH2" s="1"/>
      <c r="BI2" s="45"/>
      <c r="BJ2" s="1"/>
      <c r="BK2" s="1"/>
      <c r="BL2" s="1"/>
      <c r="BM2" s="1"/>
      <c r="BN2" s="36"/>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36"/>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row>
    <row r="3" spans="1:321" ht="30.6" x14ac:dyDescent="0.3">
      <c r="A3" s="7" t="s">
        <v>28</v>
      </c>
      <c r="B3" s="6" t="s">
        <v>189</v>
      </c>
      <c r="C3" s="6" t="s">
        <v>27</v>
      </c>
      <c r="D3" s="59" t="s">
        <v>82</v>
      </c>
      <c r="E3" s="1"/>
      <c r="F3" s="6" t="s">
        <v>0</v>
      </c>
      <c r="G3" s="47"/>
      <c r="H3" s="47"/>
      <c r="I3" s="47"/>
      <c r="J3" s="47"/>
      <c r="K3" s="47"/>
      <c r="L3" s="48"/>
      <c r="M3" s="49"/>
      <c r="N3" s="50"/>
      <c r="O3" s="50"/>
      <c r="P3" s="51"/>
      <c r="Q3" s="51"/>
      <c r="R3" s="51"/>
      <c r="S3" s="52"/>
      <c r="T3" s="52"/>
      <c r="U3" s="53"/>
      <c r="V3" s="53"/>
      <c r="W3" s="54"/>
      <c r="X3" s="54"/>
      <c r="Y3" s="1"/>
      <c r="Z3" s="55"/>
      <c r="AA3" s="55"/>
      <c r="AB3" s="1"/>
      <c r="AC3" s="1"/>
      <c r="AD3" s="1"/>
      <c r="AE3" s="1"/>
      <c r="AF3" s="1"/>
      <c r="AG3" s="6" t="s">
        <v>0</v>
      </c>
      <c r="AH3" s="47" t="s">
        <v>4</v>
      </c>
      <c r="AI3" s="47" t="s">
        <v>5</v>
      </c>
      <c r="AJ3" s="47" t="s">
        <v>6</v>
      </c>
      <c r="AK3" s="47" t="s">
        <v>7</v>
      </c>
      <c r="AL3" s="47" t="s">
        <v>8</v>
      </c>
      <c r="AM3" s="48" t="s">
        <v>50</v>
      </c>
      <c r="AN3" s="49" t="s">
        <v>9</v>
      </c>
      <c r="AO3" s="50" t="s">
        <v>10</v>
      </c>
      <c r="AP3" s="50" t="s">
        <v>11</v>
      </c>
      <c r="AQ3" s="51" t="s">
        <v>12</v>
      </c>
      <c r="AR3" s="51" t="s">
        <v>13</v>
      </c>
      <c r="AS3" s="51" t="s">
        <v>14</v>
      </c>
      <c r="AT3" s="52" t="s">
        <v>20</v>
      </c>
      <c r="AU3" s="52" t="s">
        <v>21</v>
      </c>
      <c r="AV3" s="53" t="s">
        <v>16</v>
      </c>
      <c r="AW3" s="53" t="s">
        <v>17</v>
      </c>
      <c r="AX3" s="54" t="s">
        <v>18</v>
      </c>
      <c r="AY3" s="54" t="s">
        <v>24</v>
      </c>
      <c r="AZ3" s="1" t="s">
        <v>56</v>
      </c>
      <c r="BA3" s="55" t="s">
        <v>62</v>
      </c>
      <c r="BB3" s="55" t="s">
        <v>63</v>
      </c>
      <c r="BC3" s="1"/>
      <c r="BD3" s="1" t="s">
        <v>490</v>
      </c>
      <c r="BE3" s="1"/>
      <c r="BF3" s="1"/>
      <c r="BG3" s="1" t="s">
        <v>351</v>
      </c>
      <c r="BH3" s="1" t="s">
        <v>352</v>
      </c>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EB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Z3" s="1"/>
      <c r="KF3" s="1"/>
    </row>
    <row r="4" spans="1:321" x14ac:dyDescent="0.3">
      <c r="A4" s="13">
        <v>1</v>
      </c>
      <c r="B4" s="11">
        <f>A4*5-5</f>
        <v>0</v>
      </c>
      <c r="C4" s="8">
        <v>11</v>
      </c>
      <c r="D4" s="211" t="s">
        <v>85</v>
      </c>
      <c r="E4" s="212"/>
      <c r="F4" s="1" t="s">
        <v>1</v>
      </c>
      <c r="G4" s="21"/>
      <c r="H4" s="21"/>
      <c r="I4" s="21"/>
      <c r="J4" s="21"/>
      <c r="K4" s="21"/>
      <c r="L4" s="22"/>
      <c r="M4" s="20"/>
      <c r="N4" s="23"/>
      <c r="O4" s="23"/>
      <c r="P4" s="24"/>
      <c r="Q4" s="24"/>
      <c r="R4" s="24"/>
      <c r="S4" s="25"/>
      <c r="T4" s="25"/>
      <c r="U4" s="26"/>
      <c r="V4" s="26"/>
      <c r="W4" s="27"/>
      <c r="X4" s="27"/>
      <c r="Z4" s="22"/>
      <c r="AA4" s="22"/>
      <c r="AG4" s="1" t="s">
        <v>1</v>
      </c>
      <c r="AH4" s="21">
        <v>90</v>
      </c>
      <c r="AI4" s="21">
        <v>110</v>
      </c>
      <c r="AJ4" s="21">
        <v>110</v>
      </c>
      <c r="AK4" s="21">
        <v>110</v>
      </c>
      <c r="AL4" s="21">
        <v>30</v>
      </c>
      <c r="AM4" s="22"/>
      <c r="AN4" s="20">
        <v>45</v>
      </c>
      <c r="AO4" s="23">
        <v>30</v>
      </c>
      <c r="AP4" s="23">
        <v>30</v>
      </c>
      <c r="AQ4" s="24">
        <v>75</v>
      </c>
      <c r="AR4" s="24">
        <v>40</v>
      </c>
      <c r="AS4" s="24">
        <v>55</v>
      </c>
      <c r="AT4" s="25">
        <v>190</v>
      </c>
      <c r="AU4" s="25">
        <v>250</v>
      </c>
      <c r="AV4" s="26"/>
      <c r="AW4" s="26"/>
      <c r="AX4" s="27">
        <v>120</v>
      </c>
      <c r="AY4" s="27">
        <v>100</v>
      </c>
      <c r="BA4" s="22">
        <v>30</v>
      </c>
      <c r="BB4" s="22">
        <v>60</v>
      </c>
      <c r="BD4" t="s">
        <v>492</v>
      </c>
      <c r="BE4">
        <v>2.7106999999999999E-2</v>
      </c>
      <c r="BG4">
        <v>20</v>
      </c>
      <c r="BH4">
        <v>15</v>
      </c>
    </row>
    <row r="5" spans="1:321" x14ac:dyDescent="0.3">
      <c r="A5" s="13">
        <v>2</v>
      </c>
      <c r="B5" s="11">
        <f t="shared" ref="B5:B24" si="0">A5*5-5</f>
        <v>5</v>
      </c>
      <c r="C5" s="3">
        <f>INDEX($B$4:$B$24, $C$4)</f>
        <v>50</v>
      </c>
      <c r="F5" s="1" t="s">
        <v>2</v>
      </c>
      <c r="G5" s="21"/>
      <c r="H5" s="21"/>
      <c r="I5" s="21"/>
      <c r="J5" s="21"/>
      <c r="K5" s="21"/>
      <c r="L5" s="22"/>
      <c r="M5" s="20"/>
      <c r="N5" s="23"/>
      <c r="O5" s="23"/>
      <c r="P5" s="24"/>
      <c r="Q5" s="24"/>
      <c r="R5" s="24"/>
      <c r="S5" s="25"/>
      <c r="T5" s="25"/>
      <c r="U5" s="26"/>
      <c r="V5" s="26"/>
      <c r="W5" s="27"/>
      <c r="X5" s="27"/>
      <c r="Z5" s="22"/>
      <c r="AA5" s="22"/>
      <c r="AG5" s="1" t="s">
        <v>2</v>
      </c>
      <c r="AH5" s="21">
        <v>6.4899999999999999E-2</v>
      </c>
      <c r="AI5" s="21">
        <v>2.8199999999999999E-2</v>
      </c>
      <c r="AJ5" s="21">
        <v>4.4400000000000002E-2</v>
      </c>
      <c r="AK5" s="21">
        <v>2.93E-2</v>
      </c>
      <c r="AL5" s="21">
        <v>6.9699999999999998E-2</v>
      </c>
      <c r="AM5" s="22"/>
      <c r="AN5" s="20">
        <v>3.0499999999999999E-2</v>
      </c>
      <c r="AO5" s="23">
        <v>2.3199999999999998E-2</v>
      </c>
      <c r="AP5" s="23">
        <v>2.3199999999999998E-2</v>
      </c>
      <c r="AQ5" s="24">
        <v>2.9700000000000001E-2</v>
      </c>
      <c r="AR5" s="24">
        <v>4.3799999999999999E-2</v>
      </c>
      <c r="AS5" s="24">
        <v>8.2900000000000001E-2</v>
      </c>
      <c r="AT5" s="25">
        <v>3.1E-2</v>
      </c>
      <c r="AU5" s="25">
        <v>3.5000000000000003E-2</v>
      </c>
      <c r="AV5" s="26"/>
      <c r="AW5" s="26"/>
      <c r="AX5" s="27">
        <v>5.7200000000000001E-2</v>
      </c>
      <c r="AY5" s="27">
        <v>4.0399999999999998E-2</v>
      </c>
      <c r="BA5" s="22">
        <v>0.08</v>
      </c>
      <c r="BB5" s="22">
        <v>4.9700000000000001E-2</v>
      </c>
      <c r="BD5" t="s">
        <v>491</v>
      </c>
      <c r="BG5">
        <v>0.2</v>
      </c>
      <c r="BH5">
        <v>0.05</v>
      </c>
    </row>
    <row r="6" spans="1:321" x14ac:dyDescent="0.3">
      <c r="A6" s="13">
        <v>3</v>
      </c>
      <c r="B6" s="11">
        <f t="shared" si="0"/>
        <v>10</v>
      </c>
      <c r="F6" s="1" t="s">
        <v>3</v>
      </c>
      <c r="G6" s="21"/>
      <c r="H6" s="21"/>
      <c r="I6" s="21"/>
      <c r="J6" s="21"/>
      <c r="K6" s="21"/>
      <c r="L6" s="22"/>
      <c r="M6" s="20"/>
      <c r="N6" s="23"/>
      <c r="O6" s="23"/>
      <c r="P6" s="24"/>
      <c r="Q6" s="24"/>
      <c r="R6" s="24"/>
      <c r="S6" s="25"/>
      <c r="T6" s="25"/>
      <c r="U6" s="26"/>
      <c r="V6" s="26"/>
      <c r="W6" s="27"/>
      <c r="X6" s="27"/>
      <c r="Z6" s="22"/>
      <c r="AA6" s="22"/>
      <c r="AG6" s="1" t="s">
        <v>3</v>
      </c>
      <c r="AH6" s="21">
        <v>4.5</v>
      </c>
      <c r="AI6" s="21">
        <v>1.5</v>
      </c>
      <c r="AJ6" s="21">
        <v>3</v>
      </c>
      <c r="AK6" s="21">
        <v>1.5</v>
      </c>
      <c r="AL6" s="21">
        <v>4</v>
      </c>
      <c r="AM6" s="22"/>
      <c r="AN6" s="20">
        <v>2</v>
      </c>
      <c r="AO6" s="23">
        <v>1.6</v>
      </c>
      <c r="AP6" s="23">
        <v>1.6</v>
      </c>
      <c r="AQ6" s="24">
        <v>1.3</v>
      </c>
      <c r="AR6" s="24">
        <v>1.7</v>
      </c>
      <c r="AS6" s="24">
        <v>3.2</v>
      </c>
      <c r="AT6" s="25">
        <v>1.4</v>
      </c>
      <c r="AU6" s="25">
        <v>1.7</v>
      </c>
      <c r="AV6" s="26"/>
      <c r="AW6" s="26"/>
      <c r="AX6" s="27">
        <v>1.4</v>
      </c>
      <c r="AY6" s="27">
        <v>1.48</v>
      </c>
      <c r="BA6" s="22">
        <v>3</v>
      </c>
      <c r="BB6" s="22">
        <v>1</v>
      </c>
      <c r="BD6" t="s">
        <v>493</v>
      </c>
      <c r="BG6">
        <v>5</v>
      </c>
      <c r="BH6">
        <v>2</v>
      </c>
    </row>
    <row r="7" spans="1:321" x14ac:dyDescent="0.3">
      <c r="A7" s="13">
        <v>4</v>
      </c>
      <c r="B7" s="11">
        <f t="shared" si="0"/>
        <v>15</v>
      </c>
      <c r="F7" s="1" t="s">
        <v>29</v>
      </c>
      <c r="S7" s="25"/>
      <c r="T7" s="25"/>
      <c r="U7" s="26"/>
      <c r="V7" s="26"/>
      <c r="W7" s="27"/>
      <c r="X7" s="27"/>
      <c r="AG7" s="1" t="s">
        <v>29</v>
      </c>
      <c r="AT7" s="25">
        <f t="shared" ref="AT7:AY7" si="1">$C$5</f>
        <v>50</v>
      </c>
      <c r="AU7" s="25">
        <f t="shared" si="1"/>
        <v>50</v>
      </c>
      <c r="AV7" s="26">
        <f t="shared" si="1"/>
        <v>50</v>
      </c>
      <c r="AW7" s="26">
        <f t="shared" si="1"/>
        <v>50</v>
      </c>
      <c r="AX7" s="27">
        <f t="shared" si="1"/>
        <v>50</v>
      </c>
      <c r="AY7" s="27">
        <f t="shared" si="1"/>
        <v>50</v>
      </c>
      <c r="BD7" t="s">
        <v>498</v>
      </c>
      <c r="IZ7" s="1"/>
      <c r="KF7" s="1"/>
    </row>
    <row r="8" spans="1:321" x14ac:dyDescent="0.3">
      <c r="A8" s="13">
        <v>5</v>
      </c>
      <c r="B8" s="11">
        <f t="shared" si="0"/>
        <v>20</v>
      </c>
      <c r="F8" s="1" t="s">
        <v>58</v>
      </c>
      <c r="S8" s="25"/>
      <c r="T8" s="25"/>
      <c r="U8" s="26"/>
      <c r="V8" s="26"/>
      <c r="W8" s="27"/>
      <c r="X8" s="27"/>
      <c r="AG8" s="1" t="s">
        <v>58</v>
      </c>
      <c r="AT8" s="25">
        <f>IF(AT7&lt;58.8, 0.005*(EXP(0.061*AT7)-1), 0.176+0.02*(AT7-58.8))</f>
        <v>0.10057672211270305</v>
      </c>
      <c r="AU8" s="25">
        <f>IF(AU7&lt;58.8, 0.005*(EXP(0.061*AU7)-1), 0.176+0.02*(AU7-58.8))</f>
        <v>0.10057672211270305</v>
      </c>
      <c r="AV8" s="26"/>
      <c r="AW8" s="26"/>
      <c r="AX8" s="27"/>
      <c r="AY8" s="27"/>
      <c r="BD8" t="s">
        <v>494</v>
      </c>
    </row>
    <row r="9" spans="1:321" x14ac:dyDescent="0.3">
      <c r="A9" s="13">
        <v>6</v>
      </c>
      <c r="B9" s="11">
        <f t="shared" si="0"/>
        <v>25</v>
      </c>
      <c r="F9" s="1" t="s">
        <v>25</v>
      </c>
      <c r="G9" s="21"/>
      <c r="H9" s="21"/>
      <c r="I9" s="21"/>
      <c r="J9" s="21"/>
      <c r="K9" s="21"/>
      <c r="L9" s="22"/>
      <c r="M9" s="20"/>
      <c r="N9" s="23"/>
      <c r="O9" s="23"/>
      <c r="P9" s="24"/>
      <c r="Q9" s="24"/>
      <c r="R9" s="24"/>
      <c r="S9" s="25"/>
      <c r="T9" s="25"/>
      <c r="U9" s="26"/>
      <c r="V9" s="26"/>
      <c r="W9" s="27"/>
      <c r="X9" s="27"/>
      <c r="Z9" s="22"/>
      <c r="AA9" s="22"/>
      <c r="AG9" s="1" t="s">
        <v>25</v>
      </c>
      <c r="AH9" s="21">
        <v>0.9</v>
      </c>
      <c r="AI9" s="21">
        <v>0.7</v>
      </c>
      <c r="AJ9" s="21">
        <v>0.75</v>
      </c>
      <c r="AK9" s="21">
        <v>0.8</v>
      </c>
      <c r="AL9" s="21">
        <v>0.8</v>
      </c>
      <c r="AM9" s="22"/>
      <c r="AN9" s="20">
        <v>0.85</v>
      </c>
      <c r="AO9" s="23">
        <v>0.9</v>
      </c>
      <c r="AP9" s="23">
        <v>0.9</v>
      </c>
      <c r="AQ9" s="24">
        <v>0.75</v>
      </c>
      <c r="AR9" s="24">
        <v>0.75</v>
      </c>
      <c r="AS9" s="24">
        <v>0.75</v>
      </c>
      <c r="AT9" s="25"/>
      <c r="AU9" s="25"/>
      <c r="AV9" s="26">
        <v>0.8</v>
      </c>
      <c r="AW9" s="26">
        <v>0.8</v>
      </c>
      <c r="AX9" s="27">
        <v>0.8</v>
      </c>
      <c r="AY9" s="27">
        <v>0.8</v>
      </c>
      <c r="BA9" s="22">
        <v>0.8</v>
      </c>
      <c r="BB9" s="22"/>
      <c r="BD9" t="s">
        <v>495</v>
      </c>
      <c r="BG9" s="22">
        <v>0.8</v>
      </c>
      <c r="BH9" s="22">
        <v>0.8</v>
      </c>
      <c r="CQ9" s="36"/>
    </row>
    <row r="10" spans="1:321" x14ac:dyDescent="0.3">
      <c r="A10" s="13">
        <v>7</v>
      </c>
      <c r="B10" s="11">
        <f t="shared" si="0"/>
        <v>30</v>
      </c>
      <c r="F10" s="1" t="s">
        <v>26</v>
      </c>
      <c r="G10" s="21"/>
      <c r="H10" s="21"/>
      <c r="I10" s="21"/>
      <c r="J10" s="21"/>
      <c r="K10" s="21"/>
      <c r="L10" s="22"/>
      <c r="M10" s="20"/>
      <c r="N10" s="23"/>
      <c r="O10" s="23"/>
      <c r="P10" s="24"/>
      <c r="Q10" s="24"/>
      <c r="R10" s="24"/>
      <c r="S10" s="25"/>
      <c r="T10" s="25"/>
      <c r="U10" s="26"/>
      <c r="V10" s="26"/>
      <c r="W10" s="27"/>
      <c r="X10" s="27"/>
      <c r="Z10" s="22"/>
      <c r="AA10" s="22"/>
      <c r="AG10" s="1" t="s">
        <v>26</v>
      </c>
      <c r="AH10" s="21">
        <v>72</v>
      </c>
      <c r="AI10" s="21">
        <v>64</v>
      </c>
      <c r="AJ10" s="21">
        <v>62</v>
      </c>
      <c r="AK10" s="21">
        <v>66</v>
      </c>
      <c r="AL10" s="21">
        <v>56</v>
      </c>
      <c r="AM10" s="22">
        <v>62</v>
      </c>
      <c r="AN10" s="20">
        <v>106</v>
      </c>
      <c r="AO10" s="23">
        <v>32</v>
      </c>
      <c r="AP10" s="23">
        <v>32</v>
      </c>
      <c r="AQ10" s="24">
        <v>38</v>
      </c>
      <c r="AR10" s="24">
        <v>63</v>
      </c>
      <c r="AS10" s="24">
        <v>31</v>
      </c>
      <c r="AT10" s="25"/>
      <c r="AU10" s="25"/>
      <c r="AV10" s="26">
        <v>50</v>
      </c>
      <c r="AW10" s="26">
        <v>50</v>
      </c>
      <c r="AX10" s="27">
        <v>50</v>
      </c>
      <c r="AY10" s="27">
        <v>50</v>
      </c>
      <c r="BA10" s="22">
        <v>62</v>
      </c>
      <c r="BB10" s="22"/>
      <c r="BD10" t="s">
        <v>496</v>
      </c>
      <c r="BG10" s="22">
        <v>62</v>
      </c>
      <c r="BH10" s="22">
        <v>62</v>
      </c>
    </row>
    <row r="11" spans="1:321" x14ac:dyDescent="0.3">
      <c r="A11" s="13">
        <v>8</v>
      </c>
      <c r="B11" s="11">
        <f t="shared" si="0"/>
        <v>35</v>
      </c>
      <c r="F11" s="1" t="s">
        <v>60</v>
      </c>
      <c r="G11" s="21"/>
      <c r="H11" s="21"/>
      <c r="I11" s="21"/>
      <c r="J11" s="21"/>
      <c r="K11" s="21"/>
      <c r="L11" s="22"/>
      <c r="M11" s="20"/>
      <c r="N11" s="23"/>
      <c r="O11" s="23"/>
      <c r="P11" s="24"/>
      <c r="Q11" s="24"/>
      <c r="R11" s="24"/>
      <c r="S11" s="25"/>
      <c r="T11" s="25"/>
      <c r="U11" s="26"/>
      <c r="V11" s="26"/>
      <c r="W11" s="27"/>
      <c r="X11" s="27"/>
      <c r="Z11" s="22"/>
      <c r="AA11" s="22"/>
      <c r="AG11" s="1" t="s">
        <v>60</v>
      </c>
      <c r="AH11" s="21">
        <f>IF(Settings!$J$6=Settings!$C$46, AH10, Settings!$J$6)</f>
        <v>90</v>
      </c>
      <c r="AI11" s="21">
        <f>IF(Settings!$J$6=Settings!$C$46, AI10, Settings!$J$6)</f>
        <v>90</v>
      </c>
      <c r="AJ11" s="21">
        <f>IF(Settings!$J$6=Settings!$C$46, AJ10, Settings!$J$6)</f>
        <v>90</v>
      </c>
      <c r="AK11" s="21">
        <f>IF(Settings!$J$6=Settings!$C$46, AK10, Settings!$J$6)</f>
        <v>90</v>
      </c>
      <c r="AL11" s="21">
        <f>IF(Settings!$J$6=Settings!$C$46, AL10, Settings!$J$6)</f>
        <v>90</v>
      </c>
      <c r="AM11" s="22">
        <f>IF(Settings!$J$6=Settings!$C$46, AM10, Settings!$J$6)</f>
        <v>90</v>
      </c>
      <c r="AN11" s="20">
        <f>IF(Settings!$J$6=Settings!$C$46, AN10, Settings!$J$6)</f>
        <v>90</v>
      </c>
      <c r="AO11" s="23">
        <f>IF(Settings!$J$6=Settings!$C$46, AO10, Settings!$J$6)</f>
        <v>90</v>
      </c>
      <c r="AP11" s="23">
        <f>IF(Settings!$J$6=Settings!$C$46, AP10, Settings!$J$6)</f>
        <v>90</v>
      </c>
      <c r="AQ11" s="24">
        <f>IF(Settings!$J$6=Settings!$C$46, AQ10, Settings!$J$6)</f>
        <v>90</v>
      </c>
      <c r="AR11" s="24">
        <f>IF(Settings!$J$6=Settings!$C$46, AR10, Settings!$J$6)</f>
        <v>90</v>
      </c>
      <c r="AS11" s="24">
        <f>IF(Settings!$J$6=Settings!$C$46, AS10, Settings!$J$6)</f>
        <v>90</v>
      </c>
      <c r="AT11" s="25"/>
      <c r="AU11" s="25"/>
      <c r="AV11" s="26">
        <f>IF(Settings!$J$6=Settings!$C$46, AV10, Settings!$J$6)</f>
        <v>90</v>
      </c>
      <c r="AW11" s="26">
        <f>IF(Settings!$J$6=Settings!$C$46, AW10, Settings!$J$6)</f>
        <v>90</v>
      </c>
      <c r="AX11" s="27">
        <f>IF(Settings!$J$6=Settings!$C$46, AX10, Settings!$J$6)</f>
        <v>90</v>
      </c>
      <c r="AY11" s="27">
        <f>IF(Settings!$J$6=Settings!$C$46, AY10, Settings!$J$6)</f>
        <v>90</v>
      </c>
      <c r="BA11" s="22">
        <f>IF(Settings!$J$6=Settings!$C$46, BA10, Settings!$J$6)</f>
        <v>90</v>
      </c>
      <c r="BB11" s="22"/>
      <c r="BD11" t="s">
        <v>497</v>
      </c>
      <c r="BG11" s="22">
        <f>IF(Settings!$J$6=Settings!$C$46, BG10, Settings!$J$6)</f>
        <v>90</v>
      </c>
      <c r="BH11" s="22">
        <f>IF(Settings!$J$6=Settings!$C$46, BH10, Settings!$J$6)</f>
        <v>90</v>
      </c>
    </row>
    <row r="12" spans="1:321" x14ac:dyDescent="0.3">
      <c r="A12" s="13">
        <v>9</v>
      </c>
      <c r="B12" s="11">
        <f t="shared" si="0"/>
        <v>40</v>
      </c>
      <c r="F12" s="1" t="s">
        <v>23</v>
      </c>
      <c r="G12" s="21"/>
      <c r="H12" s="21"/>
      <c r="I12" s="21"/>
      <c r="J12" s="21"/>
      <c r="K12" s="21"/>
      <c r="L12" s="22"/>
      <c r="M12" s="20"/>
      <c r="N12" s="23"/>
      <c r="O12" s="23"/>
      <c r="P12" s="24"/>
      <c r="Q12" s="24"/>
      <c r="R12" s="24"/>
      <c r="S12" s="25"/>
      <c r="T12" s="25"/>
      <c r="U12" s="26"/>
      <c r="V12" s="26"/>
      <c r="W12" s="27"/>
      <c r="X12" s="27"/>
      <c r="Z12" s="22"/>
      <c r="AA12" s="22"/>
      <c r="AG12" s="1" t="s">
        <v>23</v>
      </c>
      <c r="AH12" s="21">
        <f>EXP(50*LN(AH$9)*(1/AH$11-1/AH$10))</f>
        <v>1.0147409973967205</v>
      </c>
      <c r="AI12" s="21">
        <f>EXP(50*LN(AI$9)*(1/AI$11-1/AI$10))</f>
        <v>1.0838283625171539</v>
      </c>
      <c r="AJ12" s="21">
        <f>EXP(50*LN(AJ$9)*(1/AJ$11-1/AJ$10))</f>
        <v>1.0748469697739855</v>
      </c>
      <c r="AK12" s="21">
        <f>EXP(50*LN(AK$9)*(1/AK$11-1/AK$10))</f>
        <v>1.0461110279903743</v>
      </c>
      <c r="AL12" s="21">
        <f>EXP(50*LN(AL$9)*(1/AL$11-1/AL$10))</f>
        <v>1.0781716329516178</v>
      </c>
      <c r="AM12" s="22"/>
      <c r="AN12" s="20">
        <f t="shared" ref="AN12:AS12" si="2">EXP(50*LN(AN$9)*(1/AN$11-1/AN$10))</f>
        <v>0.9864640247358869</v>
      </c>
      <c r="AO12" s="23">
        <f t="shared" si="2"/>
        <v>1.1119243755373263</v>
      </c>
      <c r="AP12" s="23">
        <f t="shared" si="2"/>
        <v>1.1119243755373263</v>
      </c>
      <c r="AQ12" s="24">
        <f t="shared" si="2"/>
        <v>1.2444649383116662</v>
      </c>
      <c r="AR12" s="24">
        <f t="shared" si="2"/>
        <v>1.070896053860118</v>
      </c>
      <c r="AS12" s="24">
        <f t="shared" si="2"/>
        <v>1.3555129845637648</v>
      </c>
      <c r="AT12" s="25"/>
      <c r="AU12" s="25"/>
      <c r="AV12" s="26">
        <f>EXP(50*LN(AV$9)*(1/AV$11-1/AV$10))</f>
        <v>1.1042594305568985</v>
      </c>
      <c r="AW12" s="26">
        <f>EXP(50*LN(AW$9)*(1/AW$11-1/AW$10))</f>
        <v>1.1042594305568985</v>
      </c>
      <c r="AX12" s="27">
        <f>EXP(50*LN(AX$9)*(1/AX$11-1/AX$10))</f>
        <v>1.1042594305568985</v>
      </c>
      <c r="AY12" s="27">
        <f>EXP(50*LN(AY$9)*(1/AY$11-1/AY$10))</f>
        <v>1.1042594305568985</v>
      </c>
      <c r="BA12" s="22">
        <f>EXP(50*LN(BA$9)*(1/BA$11-1/BA$10))</f>
        <v>1.0575827053482205</v>
      </c>
      <c r="BB12" s="22"/>
      <c r="BG12" s="22">
        <f>EXP(50*LN(BG$9)*(1/BG$11-1/BG$10))</f>
        <v>1.0575827053482205</v>
      </c>
      <c r="BH12" s="22">
        <f>EXP(50*LN(BH$9)*(1/BH$11-1/BH$10))</f>
        <v>1.0575827053482205</v>
      </c>
    </row>
    <row r="13" spans="1:321" x14ac:dyDescent="0.3">
      <c r="A13" s="13">
        <v>10</v>
      </c>
      <c r="B13" s="11">
        <f t="shared" si="0"/>
        <v>45</v>
      </c>
      <c r="AC13" t="s">
        <v>54</v>
      </c>
      <c r="AD13" t="s">
        <v>53</v>
      </c>
      <c r="AE13" t="s">
        <v>52</v>
      </c>
      <c r="BD13" t="s">
        <v>183</v>
      </c>
    </row>
    <row r="14" spans="1:321" x14ac:dyDescent="0.3">
      <c r="A14" s="13">
        <v>11</v>
      </c>
      <c r="B14" s="11">
        <f t="shared" si="0"/>
        <v>50</v>
      </c>
      <c r="E14" s="1" t="s">
        <v>64</v>
      </c>
      <c r="F14">
        <v>0</v>
      </c>
      <c r="G14" s="21"/>
      <c r="H14" s="21"/>
      <c r="I14" s="21"/>
      <c r="J14" s="21"/>
      <c r="K14" s="21"/>
      <c r="L14" s="22"/>
      <c r="M14" s="21"/>
      <c r="N14" s="23"/>
      <c r="O14" s="23"/>
      <c r="P14" s="24"/>
      <c r="Q14" s="24"/>
      <c r="R14" s="24"/>
      <c r="S14" s="25"/>
      <c r="T14" s="25"/>
      <c r="U14" s="26"/>
      <c r="V14" s="26"/>
      <c r="W14" s="27"/>
      <c r="X14" s="27"/>
      <c r="Z14" s="22"/>
      <c r="AA14" s="22"/>
      <c r="AC14">
        <v>0</v>
      </c>
      <c r="AD14" s="39">
        <f>147.2*(101-AC158)/(59.5+AC158)</f>
        <v>9.7807308970099669</v>
      </c>
      <c r="AE14" s="42">
        <f>0.208*EXP(0.05039*AC14)*91.9*(EXP(-0.1386*$AD$14)*(1+($AD$14^5.31/(4.93*10^7))))</f>
        <v>4.9458521066739074</v>
      </c>
      <c r="AF14" s="1" t="s">
        <v>64</v>
      </c>
      <c r="AG14">
        <f>AE14</f>
        <v>4.9458521066739074</v>
      </c>
      <c r="AH14" s="21">
        <f>AH$4*(1-EXP(-AH$5*$AG14))^AH$6</f>
        <v>0.26801315552922778</v>
      </c>
      <c r="AI14" s="21">
        <f t="shared" ref="AI14:AL29" si="3">AI$4*(1-EXP(-AI$5*$AG14))^AI$6</f>
        <v>5.1668599337897323</v>
      </c>
      <c r="AJ14" s="21">
        <f t="shared" si="3"/>
        <v>0.84300057308549536</v>
      </c>
      <c r="AK14" s="21">
        <f t="shared" si="3"/>
        <v>5.4503497821536948</v>
      </c>
      <c r="AL14" s="21">
        <f t="shared" si="3"/>
        <v>0.21686271714321542</v>
      </c>
      <c r="AM14" s="22"/>
      <c r="AN14" s="21">
        <f>AN$4*(1-EXP(-AN$5*$AG14))^AN$6</f>
        <v>0.88227741464730136</v>
      </c>
      <c r="AO14" s="23">
        <f>AO$4*(1-EXP(-AO$5*$AG14))^AO$6</f>
        <v>0.85743838155273511</v>
      </c>
      <c r="AP14" s="23">
        <f>IF(Settings!$J$6&gt;69, 0.2*(AO14), 0)</f>
        <v>0.17148767631054704</v>
      </c>
      <c r="AQ14" s="24">
        <f>AQ$4*(1-EXP(-AQ$5*$AG14))^AQ$6</f>
        <v>5.6389638705733285</v>
      </c>
      <c r="AR14" s="24">
        <f t="shared" ref="AR14:AS29" si="4">AR$4*(1-EXP(-AR$5*$AG14))^AR$6</f>
        <v>2.4788516414090984</v>
      </c>
      <c r="AS14" s="24">
        <f t="shared" si="4"/>
        <v>1.6831576057147284</v>
      </c>
      <c r="AT14" s="25">
        <f>AT$8*(AT$4*(1-EXP(-AT$5*AG14))^AT$6)</f>
        <v>1.2447432853666724</v>
      </c>
      <c r="AU14" s="25">
        <f>AU$8*(AU$4*(1-EXP(-AU$5*AG14))^AU$6)</f>
        <v>1.1030188988982172</v>
      </c>
      <c r="AV14" s="26">
        <f>(AV$7/100*$AI14)+((100-AV$7)/100*$AO14)</f>
        <v>3.0121491576712338</v>
      </c>
      <c r="AW14" s="26">
        <f>(AW$7/100*$AI14)+((100-AW$7)/100*$AP14)</f>
        <v>2.6691738050501397</v>
      </c>
      <c r="AX14" s="27" t="e">
        <f>$W$7/100*(($W$4*(1-EXP(-$W$5*AG14))^$W$6)) + ((100-$W$7)/100*AO14)</f>
        <v>#NUM!</v>
      </c>
      <c r="AY14" s="27" t="e">
        <f>$X$7/100*(($X$4*(1-EXP(-$X$5*AG14))^$X$6)) + ((100-$X$7)/100*AP14)</f>
        <v>#NUM!</v>
      </c>
      <c r="BA14" s="22">
        <f>BA$4*(1-EXP(-BA$5*$AG14))^BA$6</f>
        <v>1.046761060785157</v>
      </c>
      <c r="BB14" s="22">
        <f>BB$4*(1-EXP(-BB$5*$AG14))^BB$6</f>
        <v>13.075697767317445</v>
      </c>
      <c r="BD14">
        <f t="shared" ref="BD14:BD45" si="5">$BE$4*AE14^2</f>
        <v>0.66307660812698643</v>
      </c>
      <c r="BG14">
        <f>BG$4*(1-EXP(-BG$5*$AG14))^BG$6</f>
        <v>1.9553548129587781</v>
      </c>
      <c r="BH14">
        <f>BH$4*(1-EXP(-BH$5*$AG14))^BH$6</f>
        <v>0.71999221773775879</v>
      </c>
    </row>
    <row r="15" spans="1:321" x14ac:dyDescent="0.3">
      <c r="A15" s="13">
        <v>12</v>
      </c>
      <c r="B15" s="11">
        <f t="shared" si="0"/>
        <v>55</v>
      </c>
      <c r="F15">
        <v>1</v>
      </c>
      <c r="G15" s="21"/>
      <c r="H15" s="21"/>
      <c r="I15" s="21"/>
      <c r="J15" s="21"/>
      <c r="K15" s="21"/>
      <c r="L15" s="22"/>
      <c r="M15" s="21"/>
      <c r="N15" s="23"/>
      <c r="O15" s="23"/>
      <c r="P15" s="24"/>
      <c r="Q15" s="24"/>
      <c r="R15" s="24"/>
      <c r="S15" s="25"/>
      <c r="T15" s="25"/>
      <c r="U15" s="26"/>
      <c r="V15" s="26"/>
      <c r="W15" s="27"/>
      <c r="X15" s="27"/>
      <c r="Z15" s="22"/>
      <c r="AA15" s="22"/>
      <c r="AC15">
        <v>1</v>
      </c>
      <c r="AE15" s="42">
        <f t="shared" ref="AE15:AE54" si="6">0.208*EXP(0.05039*AC15)*91.9*(EXP(-0.1386*$AD$14)*(1+($AD$14^5.31/(4.93*10^7))))</f>
        <v>5.2014595403979236</v>
      </c>
      <c r="AG15">
        <f t="shared" ref="AG15:AG78" si="7">AE15</f>
        <v>5.2014595403979236</v>
      </c>
      <c r="AH15" s="21">
        <f t="shared" ref="AH15:AL46" si="8">AH$4*(1-EXP(-AH$5*$AG15))^AH$6</f>
        <v>0.32457307354844833</v>
      </c>
      <c r="AI15" s="21">
        <f t="shared" si="3"/>
        <v>5.5432053399517525</v>
      </c>
      <c r="AJ15" s="21">
        <f t="shared" si="3"/>
        <v>0.9646378915409265</v>
      </c>
      <c r="AK15" s="21">
        <f t="shared" si="3"/>
        <v>5.8461710776881715</v>
      </c>
      <c r="AL15" s="21">
        <f t="shared" si="3"/>
        <v>0.25654101759701731</v>
      </c>
      <c r="AM15" s="22"/>
      <c r="AN15" s="21">
        <f t="shared" ref="AN15:AO46" si="9">AN$4*(1-EXP(-AN$5*$AG15))^AN$6</f>
        <v>0.96844481041974939</v>
      </c>
      <c r="AO15" s="23">
        <f t="shared" si="9"/>
        <v>0.92511892112741445</v>
      </c>
      <c r="AP15" s="23">
        <f>IF(Settings!$J$6&gt;69, 0.2*(AO15), 0)</f>
        <v>0.18502378422548291</v>
      </c>
      <c r="AQ15" s="24">
        <f t="shared" ref="AQ15:AS46" si="10">AQ$4*(1-EXP(-AQ$5*$AG15))^AQ$6</f>
        <v>5.9918290574367337</v>
      </c>
      <c r="AR15" s="24">
        <f t="shared" si="4"/>
        <v>2.6759228482625681</v>
      </c>
      <c r="AS15" s="24">
        <f t="shared" si="4"/>
        <v>1.9162793978651311</v>
      </c>
      <c r="AT15" s="25">
        <f t="shared" ref="AT15:AT78" si="11">AT$8*(AT$4*(1-EXP(-AT$5*AG15))^AT$6)</f>
        <v>1.3285311998791218</v>
      </c>
      <c r="AU15" s="25">
        <f t="shared" ref="AU15:AU78" si="12">AU$8*(AU$4*(1-EXP(-AU$5*AG15))^AU$6)</f>
        <v>1.1928369896418958</v>
      </c>
      <c r="AV15" s="26">
        <f t="shared" ref="AV15:AV78" si="13">(AV$7/100*$AI15)+((100-AV$7)/100*$AO15)</f>
        <v>3.2341621305395836</v>
      </c>
      <c r="AW15" s="26">
        <f t="shared" ref="AW15:AW78" si="14">(AW$7/100*$AI15)+((100-AW$7)/100*$AP15)</f>
        <v>2.8641145620886177</v>
      </c>
      <c r="AX15" s="27" t="e">
        <f t="shared" ref="AX15:AX78" si="15">$W$7/100*(($W$4*(1-EXP(-$W$5*AG15))^$W$6)) + ((100-$W$7)/100*AO15)</f>
        <v>#NUM!</v>
      </c>
      <c r="AY15" s="27" t="e">
        <f t="shared" ref="AY15:AY78" si="16">$X$7/100*(($X$4*(1-EXP(-$X$5*AG15))^$X$6)) + ((100-$X$7)/100*AP15)</f>
        <v>#NUM!</v>
      </c>
      <c r="BA15" s="22">
        <f t="shared" ref="BA15:BB30" si="17">BA$4*(1-EXP(-BA$5*$AG15))^BA$6</f>
        <v>1.1832526204368274</v>
      </c>
      <c r="BB15" s="22">
        <f t="shared" si="17"/>
        <v>13.668039104459098</v>
      </c>
      <c r="BD15">
        <f t="shared" si="5"/>
        <v>0.73338480086519997</v>
      </c>
      <c r="BG15">
        <f t="shared" ref="BG15:BH45" si="18">BG$4*(1-EXP(-BG$5*$AG15))^BG$6</f>
        <v>2.2613682927334851</v>
      </c>
      <c r="BH15">
        <f t="shared" si="18"/>
        <v>0.78664716010557023</v>
      </c>
    </row>
    <row r="16" spans="1:321" x14ac:dyDescent="0.3">
      <c r="A16" s="13">
        <v>13</v>
      </c>
      <c r="B16" s="11">
        <f t="shared" si="0"/>
        <v>60</v>
      </c>
      <c r="F16">
        <v>2</v>
      </c>
      <c r="G16" s="21"/>
      <c r="H16" s="21"/>
      <c r="I16" s="21"/>
      <c r="J16" s="21"/>
      <c r="K16" s="21"/>
      <c r="L16" s="22"/>
      <c r="M16" s="21"/>
      <c r="N16" s="23"/>
      <c r="O16" s="23"/>
      <c r="P16" s="24"/>
      <c r="Q16" s="24"/>
      <c r="R16" s="24"/>
      <c r="S16" s="25"/>
      <c r="T16" s="25"/>
      <c r="U16" s="26"/>
      <c r="V16" s="26"/>
      <c r="W16" s="27"/>
      <c r="X16" s="27"/>
      <c r="Z16" s="22"/>
      <c r="AA16" s="22"/>
      <c r="AC16">
        <v>2</v>
      </c>
      <c r="AE16" s="42">
        <f t="shared" si="6"/>
        <v>5.4702770658848543</v>
      </c>
      <c r="AG16">
        <f t="shared" si="7"/>
        <v>5.4702770658848543</v>
      </c>
      <c r="AH16" s="21">
        <f t="shared" si="8"/>
        <v>0.3923964583743314</v>
      </c>
      <c r="AI16" s="21">
        <f t="shared" si="3"/>
        <v>5.9453830135232257</v>
      </c>
      <c r="AJ16" s="21">
        <f t="shared" si="3"/>
        <v>1.1029302694913756</v>
      </c>
      <c r="AK16" s="21">
        <f t="shared" si="3"/>
        <v>6.2690104990920572</v>
      </c>
      <c r="AL16" s="21">
        <f t="shared" si="3"/>
        <v>0.30298788921753234</v>
      </c>
      <c r="AM16" s="22"/>
      <c r="AN16" s="21">
        <f t="shared" si="9"/>
        <v>1.0626221424697055</v>
      </c>
      <c r="AO16" s="23">
        <f t="shared" si="9"/>
        <v>0.99790686613639612</v>
      </c>
      <c r="AP16" s="23">
        <f>IF(Settings!$J$6&gt;69, 0.2*(AO16), 0)</f>
        <v>0.19958137322727923</v>
      </c>
      <c r="AQ16" s="24">
        <f t="shared" si="10"/>
        <v>6.3652353447312393</v>
      </c>
      <c r="AR16" s="24">
        <f t="shared" si="4"/>
        <v>2.8873488054159906</v>
      </c>
      <c r="AS16" s="24">
        <f t="shared" si="4"/>
        <v>2.1784153185929669</v>
      </c>
      <c r="AT16" s="25">
        <f t="shared" si="11"/>
        <v>1.4175745880644373</v>
      </c>
      <c r="AU16" s="25">
        <f t="shared" si="12"/>
        <v>1.2894927867831143</v>
      </c>
      <c r="AV16" s="26">
        <f t="shared" si="13"/>
        <v>3.4716449398298108</v>
      </c>
      <c r="AW16" s="26">
        <f t="shared" si="14"/>
        <v>3.0724821933752526</v>
      </c>
      <c r="AX16" s="27" t="e">
        <f t="shared" si="15"/>
        <v>#NUM!</v>
      </c>
      <c r="AY16" s="27" t="e">
        <f t="shared" si="16"/>
        <v>#NUM!</v>
      </c>
      <c r="BA16" s="22">
        <f t="shared" si="17"/>
        <v>1.3357154382910628</v>
      </c>
      <c r="BB16" s="22">
        <f t="shared" si="17"/>
        <v>14.282928129537485</v>
      </c>
      <c r="BD16">
        <f t="shared" si="5"/>
        <v>0.81114800242973428</v>
      </c>
      <c r="BG16">
        <f t="shared" si="18"/>
        <v>2.6038093074640929</v>
      </c>
      <c r="BH16">
        <f t="shared" si="18"/>
        <v>0.85895444179707858</v>
      </c>
    </row>
    <row r="17" spans="1:257" x14ac:dyDescent="0.3">
      <c r="A17" s="13">
        <v>14</v>
      </c>
      <c r="B17" s="11">
        <f t="shared" si="0"/>
        <v>65</v>
      </c>
      <c r="F17">
        <v>3</v>
      </c>
      <c r="G17" s="21"/>
      <c r="H17" s="21"/>
      <c r="I17" s="21"/>
      <c r="J17" s="21"/>
      <c r="K17" s="21"/>
      <c r="L17" s="22"/>
      <c r="M17" s="21"/>
      <c r="N17" s="23"/>
      <c r="O17" s="23"/>
      <c r="P17" s="24"/>
      <c r="Q17" s="24"/>
      <c r="R17" s="24"/>
      <c r="S17" s="25"/>
      <c r="T17" s="25"/>
      <c r="U17" s="26"/>
      <c r="V17" s="26"/>
      <c r="W17" s="27"/>
      <c r="X17" s="27"/>
      <c r="Z17" s="22"/>
      <c r="AA17" s="22"/>
      <c r="AC17">
        <v>3</v>
      </c>
      <c r="AE17" s="42">
        <f t="shared" si="6"/>
        <v>5.7529873961600746</v>
      </c>
      <c r="AG17">
        <f t="shared" si="7"/>
        <v>5.7529873961600746</v>
      </c>
      <c r="AH17" s="21">
        <f t="shared" si="8"/>
        <v>0.47354418795297648</v>
      </c>
      <c r="AI17" s="21">
        <f t="shared" si="3"/>
        <v>6.3749628757238153</v>
      </c>
      <c r="AJ17" s="21">
        <f t="shared" si="3"/>
        <v>1.2599765090008692</v>
      </c>
      <c r="AK17" s="21">
        <f t="shared" si="3"/>
        <v>6.7204904569154804</v>
      </c>
      <c r="AL17" s="21">
        <f t="shared" si="3"/>
        <v>0.35723918730021442</v>
      </c>
      <c r="AM17" s="22"/>
      <c r="AN17" s="21">
        <f t="shared" si="9"/>
        <v>1.1654913480287035</v>
      </c>
      <c r="AO17" s="23">
        <f t="shared" si="9"/>
        <v>1.0761559539588499</v>
      </c>
      <c r="AP17" s="23">
        <f>IF(Settings!$J$6&gt;69, 0.2*(AO17), 0)</f>
        <v>0.21523119079177</v>
      </c>
      <c r="AQ17" s="24">
        <f t="shared" si="10"/>
        <v>6.760196889994444</v>
      </c>
      <c r="AR17" s="24">
        <f t="shared" si="4"/>
        <v>3.1139970983059722</v>
      </c>
      <c r="AS17" s="24">
        <f t="shared" si="4"/>
        <v>2.4725351049120667</v>
      </c>
      <c r="AT17" s="25">
        <f t="shared" si="11"/>
        <v>1.5121558383447316</v>
      </c>
      <c r="AU17" s="25">
        <f t="shared" si="12"/>
        <v>1.3934413255666214</v>
      </c>
      <c r="AV17" s="26">
        <f t="shared" si="13"/>
        <v>3.7255594148413325</v>
      </c>
      <c r="AW17" s="26">
        <f t="shared" si="14"/>
        <v>3.2950970332577927</v>
      </c>
      <c r="AX17" s="27" t="e">
        <f t="shared" si="15"/>
        <v>#NUM!</v>
      </c>
      <c r="AY17" s="27" t="e">
        <f t="shared" si="16"/>
        <v>#NUM!</v>
      </c>
      <c r="BA17" s="22">
        <f t="shared" si="17"/>
        <v>1.5056755574693743</v>
      </c>
      <c r="BB17" s="22">
        <f t="shared" si="17"/>
        <v>14.92079342529909</v>
      </c>
      <c r="BD17">
        <f t="shared" si="5"/>
        <v>0.8971566919160705</v>
      </c>
      <c r="BG17">
        <f t="shared" si="18"/>
        <v>2.984619173865493</v>
      </c>
      <c r="BH17">
        <f t="shared" si="18"/>
        <v>0.9373160536447448</v>
      </c>
    </row>
    <row r="18" spans="1:257" x14ac:dyDescent="0.3">
      <c r="A18" s="13">
        <v>15</v>
      </c>
      <c r="B18" s="11">
        <f t="shared" si="0"/>
        <v>70</v>
      </c>
      <c r="F18">
        <v>4</v>
      </c>
      <c r="G18" s="21"/>
      <c r="H18" s="21"/>
      <c r="I18" s="21"/>
      <c r="J18" s="21"/>
      <c r="K18" s="21"/>
      <c r="L18" s="22"/>
      <c r="M18" s="21"/>
      <c r="N18" s="23"/>
      <c r="O18" s="23"/>
      <c r="P18" s="24"/>
      <c r="Q18" s="24"/>
      <c r="R18" s="24"/>
      <c r="S18" s="25"/>
      <c r="T18" s="25"/>
      <c r="U18" s="26"/>
      <c r="V18" s="26"/>
      <c r="W18" s="27"/>
      <c r="X18" s="27"/>
      <c r="Z18" s="22"/>
      <c r="AA18" s="22"/>
      <c r="AC18">
        <v>4</v>
      </c>
      <c r="AE18" s="42">
        <f t="shared" si="6"/>
        <v>6.0503085276582826</v>
      </c>
      <c r="AG18">
        <f t="shared" si="7"/>
        <v>6.0503085276582826</v>
      </c>
      <c r="AH18" s="21">
        <f t="shared" si="8"/>
        <v>0.57040616990615167</v>
      </c>
      <c r="AI18" s="21">
        <f t="shared" si="3"/>
        <v>6.8335839307103505</v>
      </c>
      <c r="AJ18" s="21">
        <f t="shared" si="3"/>
        <v>1.4381035694113549</v>
      </c>
      <c r="AK18" s="21">
        <f t="shared" si="3"/>
        <v>7.2023020799203525</v>
      </c>
      <c r="AL18" s="21">
        <f t="shared" si="3"/>
        <v>0.42046131185786556</v>
      </c>
      <c r="AM18" s="22"/>
      <c r="AN18" s="21">
        <f t="shared" si="9"/>
        <v>1.277782768620725</v>
      </c>
      <c r="AO18" s="23">
        <f t="shared" si="9"/>
        <v>1.1602401340852539</v>
      </c>
      <c r="AP18" s="23">
        <f>IF(Settings!$J$6&gt;69, 0.2*(AO18), 0)</f>
        <v>0.23204802681705081</v>
      </c>
      <c r="AQ18" s="24">
        <f t="shared" si="10"/>
        <v>7.1777561644461931</v>
      </c>
      <c r="AR18" s="24">
        <f t="shared" si="4"/>
        <v>3.356763385947918</v>
      </c>
      <c r="AS18" s="24">
        <f t="shared" si="4"/>
        <v>2.8017893136253909</v>
      </c>
      <c r="AT18" s="25">
        <f t="shared" si="11"/>
        <v>1.6125666323911014</v>
      </c>
      <c r="AU18" s="25">
        <f t="shared" si="12"/>
        <v>1.5051588669030567</v>
      </c>
      <c r="AV18" s="26">
        <f t="shared" si="13"/>
        <v>3.9969120323978022</v>
      </c>
      <c r="AW18" s="26">
        <f t="shared" si="14"/>
        <v>3.5328159787637006</v>
      </c>
      <c r="AX18" s="27" t="e">
        <f t="shared" si="15"/>
        <v>#NUM!</v>
      </c>
      <c r="AY18" s="27" t="e">
        <f t="shared" si="16"/>
        <v>#NUM!</v>
      </c>
      <c r="BA18" s="22">
        <f t="shared" si="17"/>
        <v>1.6947415491805986</v>
      </c>
      <c r="BB18" s="22">
        <f t="shared" si="17"/>
        <v>15.582025064694209</v>
      </c>
      <c r="BD18">
        <f t="shared" si="5"/>
        <v>0.99228516551701684</v>
      </c>
      <c r="BG18">
        <f t="shared" si="18"/>
        <v>3.4053532045445918</v>
      </c>
      <c r="BH18">
        <f t="shared" si="18"/>
        <v>1.0221510228176924</v>
      </c>
    </row>
    <row r="19" spans="1:257" x14ac:dyDescent="0.3">
      <c r="A19" s="13">
        <v>16</v>
      </c>
      <c r="B19" s="11">
        <f t="shared" si="0"/>
        <v>75</v>
      </c>
      <c r="F19">
        <v>5</v>
      </c>
      <c r="G19" s="21"/>
      <c r="H19" s="21"/>
      <c r="I19" s="21"/>
      <c r="J19" s="21"/>
      <c r="K19" s="21"/>
      <c r="L19" s="22"/>
      <c r="M19" s="21"/>
      <c r="N19" s="23"/>
      <c r="O19" s="23"/>
      <c r="P19" s="24"/>
      <c r="Q19" s="24"/>
      <c r="R19" s="24"/>
      <c r="S19" s="25"/>
      <c r="T19" s="25"/>
      <c r="U19" s="26"/>
      <c r="V19" s="26"/>
      <c r="W19" s="27"/>
      <c r="X19" s="27"/>
      <c r="Z19" s="22"/>
      <c r="AA19" s="22"/>
      <c r="AC19">
        <v>5</v>
      </c>
      <c r="AE19" s="42">
        <f t="shared" si="6"/>
        <v>6.3629955637114666</v>
      </c>
      <c r="AG19">
        <f t="shared" si="7"/>
        <v>6.3629955637114666</v>
      </c>
      <c r="AH19" s="21">
        <f t="shared" si="8"/>
        <v>0.68574147897872006</v>
      </c>
      <c r="AI19" s="21">
        <f t="shared" si="3"/>
        <v>7.3229537146236563</v>
      </c>
      <c r="AJ19" s="21">
        <f t="shared" si="3"/>
        <v>1.6398841322523288</v>
      </c>
      <c r="AK19" s="21">
        <f t="shared" si="3"/>
        <v>7.7162041989360048</v>
      </c>
      <c r="AL19" s="21">
        <f t="shared" si="3"/>
        <v>0.49396116197845352</v>
      </c>
      <c r="AM19" s="22"/>
      <c r="AN19" s="21">
        <f t="shared" si="9"/>
        <v>1.4002770713353354</v>
      </c>
      <c r="AO19" s="23">
        <f t="shared" si="9"/>
        <v>1.2505541263142974</v>
      </c>
      <c r="AP19" s="23">
        <f>IF(Settings!$J$6&gt;69, 0.2*(AO19), 0)</f>
        <v>0.25011082526285949</v>
      </c>
      <c r="AQ19" s="24">
        <f t="shared" si="10"/>
        <v>7.6189818908916243</v>
      </c>
      <c r="AR19" s="24">
        <f t="shared" si="4"/>
        <v>3.6165686758462763</v>
      </c>
      <c r="AS19" s="24">
        <f t="shared" si="4"/>
        <v>3.1694958029815954</v>
      </c>
      <c r="AT19" s="25">
        <f t="shared" si="11"/>
        <v>1.7191074601160294</v>
      </c>
      <c r="AU19" s="25">
        <f t="shared" si="12"/>
        <v>1.6251425697082758</v>
      </c>
      <c r="AV19" s="26">
        <f t="shared" si="13"/>
        <v>4.2867539204689766</v>
      </c>
      <c r="AW19" s="26">
        <f t="shared" si="14"/>
        <v>3.7865322699432578</v>
      </c>
      <c r="AX19" s="27" t="e">
        <f t="shared" si="15"/>
        <v>#NUM!</v>
      </c>
      <c r="AY19" s="27" t="e">
        <f t="shared" si="16"/>
        <v>#NUM!</v>
      </c>
      <c r="BA19" s="22">
        <f t="shared" si="17"/>
        <v>1.9045967321643333</v>
      </c>
      <c r="BB19" s="22">
        <f t="shared" si="17"/>
        <v>16.266968650248867</v>
      </c>
      <c r="BD19">
        <f t="shared" si="5"/>
        <v>1.0975004239251065</v>
      </c>
      <c r="BG19">
        <f t="shared" si="18"/>
        <v>3.8670772752811566</v>
      </c>
      <c r="BH19">
        <f t="shared" si="18"/>
        <v>1.1138942921015875</v>
      </c>
    </row>
    <row r="20" spans="1:257" x14ac:dyDescent="0.3">
      <c r="A20" s="13">
        <v>17</v>
      </c>
      <c r="B20" s="11">
        <f t="shared" si="0"/>
        <v>80</v>
      </c>
      <c r="F20">
        <v>6</v>
      </c>
      <c r="G20" s="21"/>
      <c r="H20" s="21"/>
      <c r="I20" s="21"/>
      <c r="J20" s="21"/>
      <c r="K20" s="21"/>
      <c r="L20" s="22"/>
      <c r="M20" s="21"/>
      <c r="N20" s="23"/>
      <c r="O20" s="23"/>
      <c r="P20" s="24"/>
      <c r="Q20" s="24"/>
      <c r="R20" s="24"/>
      <c r="S20" s="25"/>
      <c r="T20" s="25"/>
      <c r="U20" s="26"/>
      <c r="V20" s="26"/>
      <c r="W20" s="27"/>
      <c r="X20" s="27"/>
      <c r="Z20" s="22"/>
      <c r="AA20" s="22"/>
      <c r="AC20">
        <v>6</v>
      </c>
      <c r="AE20" s="42">
        <f t="shared" si="6"/>
        <v>6.6918426322768392</v>
      </c>
      <c r="AG20">
        <f t="shared" si="7"/>
        <v>6.6918426322768392</v>
      </c>
      <c r="AH20" s="21">
        <f t="shared" si="8"/>
        <v>0.82272018351745746</v>
      </c>
      <c r="AI20" s="21">
        <f t="shared" si="3"/>
        <v>7.8448471215228555</v>
      </c>
      <c r="AJ20" s="21">
        <f t="shared" si="3"/>
        <v>1.8681540173331539</v>
      </c>
      <c r="AK20" s="21">
        <f t="shared" si="3"/>
        <v>8.2640216395618449</v>
      </c>
      <c r="AL20" s="21">
        <f t="shared" si="3"/>
        <v>0.57919526908587371</v>
      </c>
      <c r="AM20" s="22"/>
      <c r="AN20" s="21">
        <f t="shared" si="9"/>
        <v>1.533806984738044</v>
      </c>
      <c r="AO20" s="23">
        <f t="shared" si="9"/>
        <v>1.3475139005742189</v>
      </c>
      <c r="AP20" s="23">
        <f>IF(Settings!$J$6&gt;69, 0.2*(AO20), 0)</f>
        <v>0.2695027801148438</v>
      </c>
      <c r="AQ20" s="24">
        <f t="shared" si="10"/>
        <v>8.084966509405815</v>
      </c>
      <c r="AR20" s="24">
        <f t="shared" si="4"/>
        <v>3.8943559257978984</v>
      </c>
      <c r="AS20" s="24">
        <f t="shared" si="4"/>
        <v>3.579120068921978</v>
      </c>
      <c r="AT20" s="25">
        <f t="shared" si="11"/>
        <v>1.8320869977903578</v>
      </c>
      <c r="AU20" s="25">
        <f t="shared" si="12"/>
        <v>1.7539099171632957</v>
      </c>
      <c r="AV20" s="26">
        <f t="shared" si="13"/>
        <v>4.5961805110485372</v>
      </c>
      <c r="AW20" s="26">
        <f t="shared" si="14"/>
        <v>4.0571749508188493</v>
      </c>
      <c r="AX20" s="27" t="e">
        <f t="shared" si="15"/>
        <v>#NUM!</v>
      </c>
      <c r="AY20" s="27" t="e">
        <f t="shared" si="16"/>
        <v>#NUM!</v>
      </c>
      <c r="BA20" s="22">
        <f t="shared" si="17"/>
        <v>2.1369884408151707</v>
      </c>
      <c r="BB20" s="22">
        <f t="shared" si="17"/>
        <v>16.975918948239126</v>
      </c>
      <c r="BD20">
        <f t="shared" si="5"/>
        <v>1.2138720020954827</v>
      </c>
      <c r="BG20">
        <f t="shared" si="18"/>
        <v>4.3702649314317075</v>
      </c>
      <c r="BH20">
        <f t="shared" si="18"/>
        <v>1.2129952242670794</v>
      </c>
    </row>
    <row r="21" spans="1:257" x14ac:dyDescent="0.3">
      <c r="A21" s="13">
        <v>18</v>
      </c>
      <c r="B21" s="11">
        <f t="shared" si="0"/>
        <v>85</v>
      </c>
      <c r="F21">
        <v>7</v>
      </c>
      <c r="G21" s="21"/>
      <c r="H21" s="21"/>
      <c r="I21" s="21"/>
      <c r="J21" s="21"/>
      <c r="K21" s="21"/>
      <c r="L21" s="22"/>
      <c r="M21" s="21"/>
      <c r="N21" s="23"/>
      <c r="O21" s="23"/>
      <c r="P21" s="24"/>
      <c r="Q21" s="24"/>
      <c r="R21" s="24"/>
      <c r="S21" s="25"/>
      <c r="T21" s="25"/>
      <c r="U21" s="26"/>
      <c r="V21" s="26"/>
      <c r="W21" s="27"/>
      <c r="X21" s="27"/>
      <c r="Z21" s="22"/>
      <c r="AA21" s="22"/>
      <c r="AC21">
        <v>7</v>
      </c>
      <c r="AE21" s="42">
        <f t="shared" si="6"/>
        <v>7.0376849027752071</v>
      </c>
      <c r="AG21">
        <f t="shared" si="7"/>
        <v>7.0376849027752071</v>
      </c>
      <c r="AH21" s="21">
        <f t="shared" si="8"/>
        <v>0.98496599211824631</v>
      </c>
      <c r="AI21" s="21">
        <f t="shared" si="3"/>
        <v>8.4011045157418298</v>
      </c>
      <c r="AJ21" s="21">
        <f t="shared" si="3"/>
        <v>2.1260290559696151</v>
      </c>
      <c r="AK21" s="21">
        <f t="shared" si="3"/>
        <v>8.8476427277976057</v>
      </c>
      <c r="AL21" s="21">
        <f t="shared" si="3"/>
        <v>0.67777761537015768</v>
      </c>
      <c r="AM21" s="22"/>
      <c r="AN21" s="21">
        <f t="shared" si="9"/>
        <v>1.6792587914783252</v>
      </c>
      <c r="AO21" s="23">
        <f t="shared" si="9"/>
        <v>1.45155706020758</v>
      </c>
      <c r="AP21" s="23">
        <f>IF(Settings!$J$6&gt;69, 0.2*(AO21), 0)</f>
        <v>0.290311412041516</v>
      </c>
      <c r="AQ21" s="24">
        <f t="shared" si="10"/>
        <v>8.5768231216481077</v>
      </c>
      <c r="AR21" s="24">
        <f t="shared" si="4"/>
        <v>4.1910859014806077</v>
      </c>
      <c r="AS21" s="24">
        <f t="shared" si="4"/>
        <v>4.0342486024661586</v>
      </c>
      <c r="AT21" s="25">
        <f t="shared" si="11"/>
        <v>1.9518213337269108</v>
      </c>
      <c r="AU21" s="25">
        <f t="shared" si="12"/>
        <v>1.8919978611274548</v>
      </c>
      <c r="AV21" s="26">
        <f t="shared" si="13"/>
        <v>4.9263307879747051</v>
      </c>
      <c r="AW21" s="26">
        <f t="shared" si="14"/>
        <v>4.3457079638916731</v>
      </c>
      <c r="AX21" s="27" t="e">
        <f t="shared" si="15"/>
        <v>#NUM!</v>
      </c>
      <c r="AY21" s="27" t="e">
        <f t="shared" si="16"/>
        <v>#NUM!</v>
      </c>
      <c r="BA21" s="22">
        <f t="shared" si="17"/>
        <v>2.3937139781435879</v>
      </c>
      <c r="BB21" s="22">
        <f t="shared" si="17"/>
        <v>17.709113124159849</v>
      </c>
      <c r="BD21">
        <f t="shared" si="5"/>
        <v>1.3425828412908623</v>
      </c>
      <c r="BG21">
        <f t="shared" si="18"/>
        <v>4.9147001183734735</v>
      </c>
      <c r="BH21">
        <f t="shared" si="18"/>
        <v>1.3199156857109593</v>
      </c>
    </row>
    <row r="22" spans="1:257" x14ac:dyDescent="0.3">
      <c r="A22" s="13">
        <v>19</v>
      </c>
      <c r="B22" s="11">
        <f t="shared" si="0"/>
        <v>90</v>
      </c>
      <c r="F22">
        <v>8</v>
      </c>
      <c r="G22" s="21"/>
      <c r="H22" s="21"/>
      <c r="I22" s="21"/>
      <c r="J22" s="21"/>
      <c r="K22" s="21"/>
      <c r="L22" s="22"/>
      <c r="M22" s="21"/>
      <c r="N22" s="23"/>
      <c r="O22" s="23"/>
      <c r="P22" s="24"/>
      <c r="Q22" s="24"/>
      <c r="R22" s="24"/>
      <c r="S22" s="25"/>
      <c r="T22" s="25"/>
      <c r="U22" s="26"/>
      <c r="V22" s="26"/>
      <c r="W22" s="27"/>
      <c r="X22" s="27"/>
      <c r="Z22" s="22"/>
      <c r="AA22" s="22"/>
      <c r="AC22">
        <v>8</v>
      </c>
      <c r="AE22" s="42">
        <f t="shared" si="6"/>
        <v>7.4014007071619208</v>
      </c>
      <c r="AG22">
        <f t="shared" si="7"/>
        <v>7.4014007071619208</v>
      </c>
      <c r="AH22" s="21">
        <f t="shared" si="8"/>
        <v>1.1765985460919606</v>
      </c>
      <c r="AI22" s="21">
        <f t="shared" si="3"/>
        <v>8.9936290330315263</v>
      </c>
      <c r="AJ22" s="21">
        <f t="shared" si="3"/>
        <v>2.4169209413090513</v>
      </c>
      <c r="AK22" s="21">
        <f t="shared" si="3"/>
        <v>9.4690159056188499</v>
      </c>
      <c r="AL22" s="21">
        <f t="shared" si="3"/>
        <v>0.79148555223803019</v>
      </c>
      <c r="AM22" s="22"/>
      <c r="AN22" s="21">
        <f t="shared" si="9"/>
        <v>1.8375735116549361</v>
      </c>
      <c r="AO22" s="23">
        <f t="shared" si="9"/>
        <v>1.5631431083951095</v>
      </c>
      <c r="AP22" s="23">
        <f>IF(Settings!$J$6&gt;69, 0.2*(AO22), 0)</f>
        <v>0.31262862167902195</v>
      </c>
      <c r="AQ22" s="24">
        <f t="shared" si="10"/>
        <v>9.0956818625114835</v>
      </c>
      <c r="AR22" s="24">
        <f t="shared" si="4"/>
        <v>4.5077322176658194</v>
      </c>
      <c r="AS22" s="24">
        <f t="shared" si="4"/>
        <v>4.5385544680279857</v>
      </c>
      <c r="AT22" s="25">
        <f t="shared" si="11"/>
        <v>2.0786330251846485</v>
      </c>
      <c r="AU22" s="25">
        <f t="shared" si="12"/>
        <v>2.0399616464134001</v>
      </c>
      <c r="AV22" s="26">
        <f t="shared" si="13"/>
        <v>5.2783860707133181</v>
      </c>
      <c r="AW22" s="26">
        <f t="shared" si="14"/>
        <v>4.6531288273552738</v>
      </c>
      <c r="AX22" s="27" t="e">
        <f t="shared" si="15"/>
        <v>#NUM!</v>
      </c>
      <c r="AY22" s="27" t="e">
        <f t="shared" si="16"/>
        <v>#NUM!</v>
      </c>
      <c r="BA22" s="22">
        <f t="shared" si="17"/>
        <v>2.6766029090903336</v>
      </c>
      <c r="BB22" s="22">
        <f t="shared" si="17"/>
        <v>18.466723592591855</v>
      </c>
      <c r="BD22">
        <f t="shared" si="5"/>
        <v>1.4849413139251719</v>
      </c>
      <c r="BG22">
        <f t="shared" si="18"/>
        <v>5.4993912841118338</v>
      </c>
      <c r="BH22">
        <f t="shared" si="18"/>
        <v>1.4351276625472054</v>
      </c>
    </row>
    <row r="23" spans="1:257" x14ac:dyDescent="0.3">
      <c r="A23" s="13">
        <v>20</v>
      </c>
      <c r="B23" s="11">
        <f t="shared" si="0"/>
        <v>95</v>
      </c>
      <c r="F23">
        <v>9</v>
      </c>
      <c r="G23" s="21"/>
      <c r="H23" s="21"/>
      <c r="I23" s="21"/>
      <c r="J23" s="21"/>
      <c r="K23" s="21"/>
      <c r="L23" s="22"/>
      <c r="M23" s="21"/>
      <c r="N23" s="23"/>
      <c r="O23" s="23"/>
      <c r="P23" s="24"/>
      <c r="Q23" s="24"/>
      <c r="R23" s="24"/>
      <c r="S23" s="25"/>
      <c r="T23" s="25"/>
      <c r="U23" s="26"/>
      <c r="V23" s="26"/>
      <c r="W23" s="27"/>
      <c r="X23" s="27"/>
      <c r="Z23" s="22"/>
      <c r="AA23" s="22"/>
      <c r="AC23">
        <v>9</v>
      </c>
      <c r="AE23" s="42">
        <f t="shared" si="6"/>
        <v>7.7839137706172403</v>
      </c>
      <c r="AG23">
        <f t="shared" si="7"/>
        <v>7.7839137706172403</v>
      </c>
      <c r="AH23" s="21">
        <f t="shared" si="8"/>
        <v>1.4022738337060217</v>
      </c>
      <c r="AI23" s="21">
        <f t="shared" si="3"/>
        <v>9.624382965843564</v>
      </c>
      <c r="AJ23" s="21">
        <f t="shared" si="3"/>
        <v>2.7445514812254874</v>
      </c>
      <c r="AK23" s="21">
        <f t="shared" si="3"/>
        <v>10.130145346751211</v>
      </c>
      <c r="AL23" s="21">
        <f t="shared" si="3"/>
        <v>0.92226314103587703</v>
      </c>
      <c r="AM23" s="22"/>
      <c r="AN23" s="21">
        <f t="shared" si="9"/>
        <v>2.0097477025262878</v>
      </c>
      <c r="AO23" s="23">
        <f t="shared" si="9"/>
        <v>1.6827535751087526</v>
      </c>
      <c r="AP23" s="23">
        <f>IF(Settings!$J$6&gt;69, 0.2*(AO23), 0)</f>
        <v>0.33655071502175055</v>
      </c>
      <c r="AQ23" s="24">
        <f t="shared" si="10"/>
        <v>9.6426856460608121</v>
      </c>
      <c r="AR23" s="24">
        <f t="shared" si="4"/>
        <v>4.8452754911685672</v>
      </c>
      <c r="AS23" s="24">
        <f t="shared" si="4"/>
        <v>5.0957543774332299</v>
      </c>
      <c r="AT23" s="25">
        <f t="shared" si="11"/>
        <v>2.2128499694741794</v>
      </c>
      <c r="AU23" s="25">
        <f t="shared" si="12"/>
        <v>2.1983732743158009</v>
      </c>
      <c r="AV23" s="26">
        <f t="shared" si="13"/>
        <v>5.6535682704761587</v>
      </c>
      <c r="AW23" s="26">
        <f t="shared" si="14"/>
        <v>4.9804668404326575</v>
      </c>
      <c r="AX23" s="27" t="e">
        <f t="shared" si="15"/>
        <v>#NUM!</v>
      </c>
      <c r="AY23" s="27" t="e">
        <f t="shared" si="16"/>
        <v>#NUM!</v>
      </c>
      <c r="BA23" s="22">
        <f t="shared" si="17"/>
        <v>2.987495387464612</v>
      </c>
      <c r="BB23" s="22">
        <f t="shared" si="17"/>
        <v>19.248850502263736</v>
      </c>
      <c r="BD23">
        <f t="shared" si="5"/>
        <v>1.6423945234408863</v>
      </c>
      <c r="BG23">
        <f t="shared" si="18"/>
        <v>6.1225029851176185</v>
      </c>
      <c r="BH23">
        <f t="shared" si="18"/>
        <v>1.5591103622588269</v>
      </c>
      <c r="CQ23" s="36"/>
    </row>
    <row r="24" spans="1:257" x14ac:dyDescent="0.3">
      <c r="A24" s="13">
        <v>21</v>
      </c>
      <c r="B24" s="11">
        <f t="shared" si="0"/>
        <v>100</v>
      </c>
      <c r="F24">
        <v>10</v>
      </c>
      <c r="G24" s="21"/>
      <c r="H24" s="21"/>
      <c r="I24" s="21"/>
      <c r="J24" s="21"/>
      <c r="K24" s="21"/>
      <c r="L24" s="22"/>
      <c r="M24" s="21"/>
      <c r="N24" s="23"/>
      <c r="O24" s="23"/>
      <c r="P24" s="24"/>
      <c r="Q24" s="24"/>
      <c r="R24" s="24"/>
      <c r="S24" s="25"/>
      <c r="T24" s="25"/>
      <c r="U24" s="26"/>
      <c r="V24" s="26"/>
      <c r="W24" s="27"/>
      <c r="X24" s="27"/>
      <c r="Z24" s="22"/>
      <c r="AA24" s="22"/>
      <c r="AC24">
        <v>10</v>
      </c>
      <c r="AE24" s="42">
        <f t="shared" si="6"/>
        <v>8.1861955575214029</v>
      </c>
      <c r="AG24">
        <f t="shared" si="7"/>
        <v>8.1861955575214029</v>
      </c>
      <c r="AH24" s="21">
        <f t="shared" si="8"/>
        <v>1.6672208130081445</v>
      </c>
      <c r="AI24" s="21">
        <f t="shared" si="3"/>
        <v>10.295383121448808</v>
      </c>
      <c r="AJ24" s="21">
        <f t="shared" si="3"/>
        <v>3.1129645773046954</v>
      </c>
      <c r="AK24" s="21">
        <f t="shared" si="3"/>
        <v>10.83308545664444</v>
      </c>
      <c r="AL24" s="21">
        <f t="shared" si="3"/>
        <v>1.0722211491885008</v>
      </c>
      <c r="AM24" s="22"/>
      <c r="AN24" s="21">
        <f t="shared" si="9"/>
        <v>2.1968337913053295</v>
      </c>
      <c r="AO24" s="23">
        <f t="shared" si="9"/>
        <v>1.8108919795937521</v>
      </c>
      <c r="AP24" s="23">
        <f>IF(Settings!$J$6&gt;69, 0.2*(AO24), 0)</f>
        <v>0.36217839591875045</v>
      </c>
      <c r="AQ24" s="24">
        <f t="shared" si="10"/>
        <v>10.218985231477037</v>
      </c>
      <c r="AR24" s="24">
        <f t="shared" si="4"/>
        <v>5.2046965355667663</v>
      </c>
      <c r="AS24" s="24">
        <f t="shared" si="4"/>
        <v>5.7095566593542291</v>
      </c>
      <c r="AT24" s="25">
        <f t="shared" si="11"/>
        <v>2.3548040717280472</v>
      </c>
      <c r="AU24" s="25">
        <f t="shared" si="12"/>
        <v>2.3678195627827665</v>
      </c>
      <c r="AV24" s="26">
        <f t="shared" si="13"/>
        <v>6.0531375505212797</v>
      </c>
      <c r="AW24" s="26">
        <f t="shared" si="14"/>
        <v>5.328780758683779</v>
      </c>
      <c r="AX24" s="27" t="e">
        <f t="shared" si="15"/>
        <v>#NUM!</v>
      </c>
      <c r="AY24" s="27" t="e">
        <f t="shared" si="16"/>
        <v>#NUM!</v>
      </c>
      <c r="BA24" s="22">
        <f t="shared" si="17"/>
        <v>3.3282162693163948</v>
      </c>
      <c r="BB24" s="22">
        <f t="shared" si="17"/>
        <v>20.055513885952536</v>
      </c>
      <c r="BD24">
        <f t="shared" si="5"/>
        <v>1.8165430144160852</v>
      </c>
      <c r="BG24">
        <f t="shared" si="18"/>
        <v>6.7813111338775443</v>
      </c>
      <c r="BH24">
        <f t="shared" si="18"/>
        <v>1.6923467551372624</v>
      </c>
      <c r="CQ24" s="36"/>
    </row>
    <row r="25" spans="1:257" x14ac:dyDescent="0.3">
      <c r="A25" s="78">
        <v>22</v>
      </c>
      <c r="F25">
        <v>11</v>
      </c>
      <c r="G25" s="21"/>
      <c r="H25" s="21"/>
      <c r="I25" s="21"/>
      <c r="J25" s="21"/>
      <c r="K25" s="21"/>
      <c r="L25" s="22"/>
      <c r="M25" s="21"/>
      <c r="N25" s="23"/>
      <c r="O25" s="23"/>
      <c r="P25" s="24"/>
      <c r="Q25" s="24"/>
      <c r="R25" s="24"/>
      <c r="S25" s="25"/>
      <c r="T25" s="25"/>
      <c r="U25" s="26"/>
      <c r="V25" s="26"/>
      <c r="W25" s="27"/>
      <c r="X25" s="27"/>
      <c r="Z25" s="22"/>
      <c r="AA25" s="22"/>
      <c r="AC25">
        <v>11</v>
      </c>
      <c r="AE25" s="42">
        <f t="shared" si="6"/>
        <v>8.6092677386724414</v>
      </c>
      <c r="AG25">
        <f t="shared" si="7"/>
        <v>8.6092677386724414</v>
      </c>
      <c r="AH25" s="21">
        <f t="shared" si="8"/>
        <v>1.9772719106725103</v>
      </c>
      <c r="AI25" s="21">
        <f t="shared" si="3"/>
        <v>11.008695035490744</v>
      </c>
      <c r="AJ25" s="21">
        <f t="shared" si="3"/>
        <v>3.5265351457451048</v>
      </c>
      <c r="AK25" s="21">
        <f t="shared" si="3"/>
        <v>11.579934135158853</v>
      </c>
      <c r="AL25" s="21">
        <f t="shared" si="3"/>
        <v>1.2436328553653935</v>
      </c>
      <c r="AM25" s="22"/>
      <c r="AN25" s="21">
        <f t="shared" si="9"/>
        <v>2.3999398486856656</v>
      </c>
      <c r="AO25" s="23">
        <f t="shared" si="9"/>
        <v>1.9480836009087938</v>
      </c>
      <c r="AP25" s="23">
        <f>IF(Settings!$J$6&gt;69, 0.2*(AO25), 0)</f>
        <v>0.3896167201817588</v>
      </c>
      <c r="AQ25" s="24">
        <f t="shared" si="10"/>
        <v>10.82573355414303</v>
      </c>
      <c r="AR25" s="24">
        <f t="shared" si="4"/>
        <v>5.5869685316326194</v>
      </c>
      <c r="AS25" s="24">
        <f t="shared" si="4"/>
        <v>6.3835997066413261</v>
      </c>
      <c r="AT25" s="25">
        <f t="shared" si="11"/>
        <v>2.5048296914839656</v>
      </c>
      <c r="AU25" s="25">
        <f t="shared" si="12"/>
        <v>2.5488997590546751</v>
      </c>
      <c r="AV25" s="26">
        <f t="shared" si="13"/>
        <v>6.4783893181997687</v>
      </c>
      <c r="AW25" s="26">
        <f t="shared" si="14"/>
        <v>5.699155877836251</v>
      </c>
      <c r="AX25" s="27" t="e">
        <f t="shared" si="15"/>
        <v>#NUM!</v>
      </c>
      <c r="AY25" s="27" t="e">
        <f t="shared" si="16"/>
        <v>#NUM!</v>
      </c>
      <c r="BA25" s="22">
        <f t="shared" si="17"/>
        <v>3.7005448501031761</v>
      </c>
      <c r="BB25" s="22">
        <f t="shared" si="17"/>
        <v>20.886645514933925</v>
      </c>
      <c r="BD25">
        <f t="shared" si="5"/>
        <v>2.0091570424325322</v>
      </c>
      <c r="BG25">
        <f t="shared" si="18"/>
        <v>7.4721875788877536</v>
      </c>
      <c r="BH25">
        <f t="shared" si="18"/>
        <v>1.8353195122998822</v>
      </c>
    </row>
    <row r="26" spans="1:257" x14ac:dyDescent="0.3">
      <c r="A26" s="78">
        <v>23</v>
      </c>
      <c r="F26">
        <v>12</v>
      </c>
      <c r="G26" s="21"/>
      <c r="H26" s="21"/>
      <c r="I26" s="21"/>
      <c r="J26" s="21"/>
      <c r="K26" s="21"/>
      <c r="L26" s="22"/>
      <c r="M26" s="21"/>
      <c r="N26" s="23"/>
      <c r="O26" s="23"/>
      <c r="P26" s="24"/>
      <c r="Q26" s="24"/>
      <c r="R26" s="24"/>
      <c r="S26" s="25"/>
      <c r="T26" s="25"/>
      <c r="U26" s="26"/>
      <c r="V26" s="26"/>
      <c r="W26" s="27"/>
      <c r="X26" s="27"/>
      <c r="Z26" s="22"/>
      <c r="AA26" s="22"/>
      <c r="AC26">
        <v>12</v>
      </c>
      <c r="AE26" s="42">
        <f t="shared" si="6"/>
        <v>9.0542047860126846</v>
      </c>
      <c r="AG26">
        <f t="shared" si="7"/>
        <v>9.0542047860126846</v>
      </c>
      <c r="AH26" s="21">
        <f t="shared" si="8"/>
        <v>2.3388846295265933</v>
      </c>
      <c r="AI26" s="21">
        <f t="shared" si="3"/>
        <v>11.766425918312533</v>
      </c>
      <c r="AJ26" s="21">
        <f t="shared" si="3"/>
        <v>3.9899740850915331</v>
      </c>
      <c r="AK26" s="21">
        <f t="shared" si="3"/>
        <v>12.372824676053053</v>
      </c>
      <c r="AL26" s="21">
        <f t="shared" si="3"/>
        <v>1.4389247549079562</v>
      </c>
      <c r="AM26" s="22"/>
      <c r="AN26" s="21">
        <f t="shared" si="9"/>
        <v>2.6202287015846792</v>
      </c>
      <c r="AO26" s="23">
        <f t="shared" si="9"/>
        <v>2.094875026534377</v>
      </c>
      <c r="AP26" s="23">
        <f>IF(Settings!$J$6&gt;69, 0.2*(AO26), 0)</f>
        <v>0.41897500530687543</v>
      </c>
      <c r="AQ26" s="24">
        <f t="shared" si="10"/>
        <v>11.464079267241397</v>
      </c>
      <c r="AR26" s="24">
        <f t="shared" si="4"/>
        <v>5.9930481137015059</v>
      </c>
      <c r="AS26" s="24">
        <f t="shared" si="4"/>
        <v>7.1213807314502464</v>
      </c>
      <c r="AT26" s="25">
        <f t="shared" si="11"/>
        <v>2.6632618501700107</v>
      </c>
      <c r="AU26" s="25">
        <f t="shared" si="12"/>
        <v>2.7422226596159933</v>
      </c>
      <c r="AV26" s="26">
        <f t="shared" si="13"/>
        <v>6.930650472423455</v>
      </c>
      <c r="AW26" s="26">
        <f t="shared" si="14"/>
        <v>6.092700461809704</v>
      </c>
      <c r="AX26" s="27" t="e">
        <f t="shared" si="15"/>
        <v>#NUM!</v>
      </c>
      <c r="AY26" s="27" t="e">
        <f t="shared" si="16"/>
        <v>#NUM!</v>
      </c>
      <c r="BA26" s="22">
        <f t="shared" si="17"/>
        <v>4.1061801753619607</v>
      </c>
      <c r="BB26" s="22">
        <f t="shared" si="17"/>
        <v>21.742080509024852</v>
      </c>
      <c r="BD26">
        <f t="shared" si="5"/>
        <v>2.2221945690913398</v>
      </c>
      <c r="BG26">
        <f t="shared" si="18"/>
        <v>8.1906187539803827</v>
      </c>
      <c r="BH26">
        <f t="shared" si="18"/>
        <v>1.9885063013742457</v>
      </c>
    </row>
    <row r="27" spans="1:257" x14ac:dyDescent="0.3">
      <c r="A27" s="78">
        <v>24</v>
      </c>
      <c r="F27">
        <v>13</v>
      </c>
      <c r="G27" s="21"/>
      <c r="H27" s="21"/>
      <c r="I27" s="21"/>
      <c r="J27" s="21"/>
      <c r="K27" s="21"/>
      <c r="L27" s="22"/>
      <c r="M27" s="21"/>
      <c r="N27" s="23"/>
      <c r="O27" s="23"/>
      <c r="P27" s="24"/>
      <c r="Q27" s="24"/>
      <c r="R27" s="24"/>
      <c r="S27" s="25"/>
      <c r="T27" s="25"/>
      <c r="U27" s="26"/>
      <c r="V27" s="26"/>
      <c r="W27" s="27"/>
      <c r="X27" s="27"/>
      <c r="Z27" s="22"/>
      <c r="AA27" s="22"/>
      <c r="AC27">
        <v>13</v>
      </c>
      <c r="AE27" s="42">
        <f t="shared" si="6"/>
        <v>9.5221367014538032</v>
      </c>
      <c r="AG27">
        <f t="shared" si="7"/>
        <v>9.5221367014538032</v>
      </c>
      <c r="AH27" s="21">
        <f t="shared" si="8"/>
        <v>2.7591510685899259</v>
      </c>
      <c r="AI27" s="21">
        <f t="shared" si="3"/>
        <v>12.57071620727856</v>
      </c>
      <c r="AJ27" s="21">
        <f t="shared" si="3"/>
        <v>4.5083282850795907</v>
      </c>
      <c r="AK27" s="21">
        <f t="shared" si="3"/>
        <v>13.213916174349883</v>
      </c>
      <c r="AL27" s="21">
        <f t="shared" si="3"/>
        <v>1.6606612205701463</v>
      </c>
      <c r="AM27" s="22"/>
      <c r="AN27" s="21">
        <f t="shared" si="9"/>
        <v>2.8589162745878314</v>
      </c>
      <c r="AO27" s="23">
        <f t="shared" si="9"/>
        <v>2.251833446534782</v>
      </c>
      <c r="AP27" s="23">
        <f>IF(Settings!$J$6&gt;69, 0.2*(AO27), 0)</f>
        <v>0.45036668930695645</v>
      </c>
      <c r="AQ27" s="24">
        <f t="shared" si="10"/>
        <v>12.135159440466646</v>
      </c>
      <c r="AR27" s="24">
        <f t="shared" si="4"/>
        <v>6.4238653212595853</v>
      </c>
      <c r="AS27" s="24">
        <f t="shared" si="4"/>
        <v>7.9261749751439874</v>
      </c>
      <c r="AT27" s="25">
        <f t="shared" si="11"/>
        <v>2.8304341818377572</v>
      </c>
      <c r="AU27" s="25">
        <f t="shared" si="12"/>
        <v>2.9484031920784441</v>
      </c>
      <c r="AV27" s="26">
        <f t="shared" si="13"/>
        <v>7.4112748269066708</v>
      </c>
      <c r="AW27" s="26">
        <f t="shared" si="14"/>
        <v>6.5105414482927584</v>
      </c>
      <c r="AX27" s="27" t="e">
        <f t="shared" si="15"/>
        <v>#NUM!</v>
      </c>
      <c r="AY27" s="27" t="e">
        <f t="shared" si="16"/>
        <v>#NUM!</v>
      </c>
      <c r="BA27" s="22">
        <f t="shared" si="17"/>
        <v>4.5467020167838612</v>
      </c>
      <c r="BB27" s="22">
        <f t="shared" si="17"/>
        <v>22.621548765883869</v>
      </c>
      <c r="BD27">
        <f t="shared" si="5"/>
        <v>2.4578211650993307</v>
      </c>
      <c r="BG27">
        <f t="shared" si="18"/>
        <v>8.9312616644409246</v>
      </c>
      <c r="BH27">
        <f t="shared" si="18"/>
        <v>2.1523744072712039</v>
      </c>
    </row>
    <row r="28" spans="1:257" x14ac:dyDescent="0.3">
      <c r="A28" s="78">
        <v>25</v>
      </c>
      <c r="F28">
        <v>14</v>
      </c>
      <c r="G28" s="21"/>
      <c r="H28" s="21"/>
      <c r="I28" s="21"/>
      <c r="J28" s="21"/>
      <c r="K28" s="21"/>
      <c r="L28" s="22"/>
      <c r="M28" s="21"/>
      <c r="N28" s="23"/>
      <c r="O28" s="23"/>
      <c r="P28" s="24"/>
      <c r="Q28" s="24"/>
      <c r="R28" s="24"/>
      <c r="S28" s="25"/>
      <c r="T28" s="25"/>
      <c r="U28" s="26"/>
      <c r="V28" s="26"/>
      <c r="W28" s="27"/>
      <c r="X28" s="27"/>
      <c r="Z28" s="22"/>
      <c r="AA28" s="22"/>
      <c r="AC28">
        <v>14</v>
      </c>
      <c r="AE28" s="42">
        <f t="shared" si="6"/>
        <v>10.014251886730682</v>
      </c>
      <c r="AG28">
        <f>AE28</f>
        <v>10.014251886730682</v>
      </c>
      <c r="AH28" s="21">
        <f t="shared" si="8"/>
        <v>3.2457917653604555</v>
      </c>
      <c r="AI28" s="21">
        <f t="shared" si="3"/>
        <v>13.423729595696969</v>
      </c>
      <c r="AJ28" s="21">
        <f t="shared" si="3"/>
        <v>5.086974565080399</v>
      </c>
      <c r="AK28" s="21">
        <f t="shared" si="3"/>
        <v>14.105382311458333</v>
      </c>
      <c r="AL28" s="21">
        <f t="shared" si="3"/>
        <v>1.9115221739963892</v>
      </c>
      <c r="AM28" s="22"/>
      <c r="AN28" s="21">
        <f t="shared" si="9"/>
        <v>3.1172690410209478</v>
      </c>
      <c r="AO28" s="23">
        <f t="shared" si="9"/>
        <v>2.4195456582813963</v>
      </c>
      <c r="AP28" s="23">
        <f>IF(Settings!$J$6&gt;69, 0.2*(AO28), 0)</f>
        <v>0.4839091316562793</v>
      </c>
      <c r="AQ28" s="24">
        <f t="shared" si="10"/>
        <v>12.840091364883603</v>
      </c>
      <c r="AR28" s="24">
        <f t="shared" si="4"/>
        <v>6.8803123772784156</v>
      </c>
      <c r="AS28" s="24">
        <f t="shared" si="4"/>
        <v>8.8009459089176296</v>
      </c>
      <c r="AT28" s="25">
        <f t="shared" si="11"/>
        <v>3.0066766101305533</v>
      </c>
      <c r="AU28" s="25">
        <f t="shared" si="12"/>
        <v>3.1680584143278545</v>
      </c>
      <c r="AV28" s="26">
        <f t="shared" si="13"/>
        <v>7.9216376269891828</v>
      </c>
      <c r="AW28" s="26">
        <f t="shared" si="14"/>
        <v>6.9538193636766241</v>
      </c>
      <c r="AX28" s="27" t="e">
        <f t="shared" si="15"/>
        <v>#NUM!</v>
      </c>
      <c r="AY28" s="27" t="e">
        <f t="shared" si="16"/>
        <v>#NUM!</v>
      </c>
      <c r="BA28" s="22">
        <f t="shared" si="17"/>
        <v>5.0235277785139232</v>
      </c>
      <c r="BB28" s="22">
        <f t="shared" si="17"/>
        <v>23.524666287139617</v>
      </c>
      <c r="BD28">
        <f t="shared" si="5"/>
        <v>2.7184320237450481</v>
      </c>
      <c r="BG28">
        <f t="shared" si="18"/>
        <v>9.6880385344718558</v>
      </c>
      <c r="BH28">
        <f t="shared" si="18"/>
        <v>2.3273746541439166</v>
      </c>
    </row>
    <row r="29" spans="1:257" x14ac:dyDescent="0.3">
      <c r="A29" s="78">
        <v>26</v>
      </c>
      <c r="F29">
        <v>15</v>
      </c>
      <c r="G29" s="21"/>
      <c r="H29" s="21"/>
      <c r="I29" s="21"/>
      <c r="J29" s="21"/>
      <c r="K29" s="21"/>
      <c r="L29" s="22"/>
      <c r="M29" s="21"/>
      <c r="N29" s="23"/>
      <c r="O29" s="23"/>
      <c r="P29" s="24"/>
      <c r="Q29" s="24"/>
      <c r="R29" s="24"/>
      <c r="S29" s="25"/>
      <c r="T29" s="25"/>
      <c r="U29" s="26"/>
      <c r="V29" s="26"/>
      <c r="W29" s="27"/>
      <c r="X29" s="27"/>
      <c r="Z29" s="22"/>
      <c r="AA29" s="22"/>
      <c r="AC29">
        <v>15</v>
      </c>
      <c r="AE29" s="42">
        <f t="shared" si="6"/>
        <v>10.531800161572754</v>
      </c>
      <c r="AG29">
        <f t="shared" si="7"/>
        <v>10.531800161572754</v>
      </c>
      <c r="AH29" s="21">
        <f t="shared" si="8"/>
        <v>3.8071299473901652</v>
      </c>
      <c r="AI29" s="21">
        <f t="shared" si="3"/>
        <v>14.327641408252715</v>
      </c>
      <c r="AJ29" s="21">
        <f t="shared" si="3"/>
        <v>5.7316063355025131</v>
      </c>
      <c r="AK29" s="21">
        <f t="shared" si="3"/>
        <v>15.049398388997449</v>
      </c>
      <c r="AL29" s="21">
        <f t="shared" si="3"/>
        <v>2.194272871617605</v>
      </c>
      <c r="AM29" s="22"/>
      <c r="AN29" s="21">
        <f t="shared" si="9"/>
        <v>3.3966004568154156</v>
      </c>
      <c r="AO29" s="23">
        <f t="shared" si="9"/>
        <v>2.5986167443803829</v>
      </c>
      <c r="AP29" s="23">
        <f>IF(Settings!$J$6&gt;69, 0.2*(AO29), 0)</f>
        <v>0.51972334887607663</v>
      </c>
      <c r="AQ29" s="24">
        <f t="shared" si="10"/>
        <v>13.579963416813413</v>
      </c>
      <c r="AR29" s="24">
        <f t="shared" si="4"/>
        <v>7.3632312706847003</v>
      </c>
      <c r="AS29" s="24">
        <f t="shared" si="4"/>
        <v>9.748247420368525</v>
      </c>
      <c r="AT29" s="25">
        <f t="shared" si="11"/>
        <v>3.1923127355736325</v>
      </c>
      <c r="AU29" s="25">
        <f t="shared" si="12"/>
        <v>3.401802888132214</v>
      </c>
      <c r="AV29" s="26">
        <f t="shared" si="13"/>
        <v>8.4631290763165481</v>
      </c>
      <c r="AW29" s="26">
        <f t="shared" si="14"/>
        <v>7.4236823785643962</v>
      </c>
      <c r="AX29" s="27" t="e">
        <f t="shared" si="15"/>
        <v>#NUM!</v>
      </c>
      <c r="AY29" s="27" t="e">
        <f t="shared" si="16"/>
        <v>#NUM!</v>
      </c>
      <c r="BA29" s="22">
        <f t="shared" si="17"/>
        <v>5.5378658015148181</v>
      </c>
      <c r="BB29" s="22">
        <f t="shared" si="17"/>
        <v>24.450926494064326</v>
      </c>
      <c r="BD29">
        <f t="shared" si="5"/>
        <v>3.0066763085360386</v>
      </c>
      <c r="BE29" s="1"/>
      <c r="BF29" s="1"/>
      <c r="BG29">
        <f t="shared" si="18"/>
        <v>10.454269123527354</v>
      </c>
      <c r="BH29">
        <f t="shared" si="18"/>
        <v>2.5139346159464502</v>
      </c>
      <c r="BI29" s="1"/>
      <c r="BJ29" s="1"/>
      <c r="BK29" s="1"/>
      <c r="BL29" s="1"/>
      <c r="BM29" s="1"/>
      <c r="BN29" s="36"/>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36"/>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row>
    <row r="30" spans="1:257" x14ac:dyDescent="0.3">
      <c r="A30" s="78">
        <v>27</v>
      </c>
      <c r="F30">
        <v>16</v>
      </c>
      <c r="G30" s="21"/>
      <c r="H30" s="21"/>
      <c r="I30" s="21"/>
      <c r="J30" s="21"/>
      <c r="K30" s="21"/>
      <c r="L30" s="22"/>
      <c r="M30" s="21"/>
      <c r="N30" s="23"/>
      <c r="O30" s="23"/>
      <c r="P30" s="24"/>
      <c r="Q30" s="24"/>
      <c r="R30" s="24"/>
      <c r="S30" s="25"/>
      <c r="T30" s="25"/>
      <c r="U30" s="26"/>
      <c r="V30" s="26"/>
      <c r="W30" s="27"/>
      <c r="X30" s="27"/>
      <c r="Z30" s="22"/>
      <c r="AA30" s="22"/>
      <c r="AC30">
        <v>16</v>
      </c>
      <c r="AE30" s="42">
        <f t="shared" si="6"/>
        <v>11.076095937857938</v>
      </c>
      <c r="AG30">
        <f t="shared" si="7"/>
        <v>11.076095937857938</v>
      </c>
      <c r="AH30" s="21">
        <f t="shared" si="8"/>
        <v>4.4520420734013451</v>
      </c>
      <c r="AI30" s="21">
        <f t="shared" si="8"/>
        <v>15.284625194547688</v>
      </c>
      <c r="AJ30" s="21">
        <f t="shared" si="8"/>
        <v>6.4482116981469986</v>
      </c>
      <c r="AK30" s="21">
        <f t="shared" si="8"/>
        <v>16.048126486111943</v>
      </c>
      <c r="AL30" s="21">
        <f t="shared" si="8"/>
        <v>2.5117250165506015</v>
      </c>
      <c r="AM30" s="22"/>
      <c r="AN30" s="21">
        <f t="shared" si="9"/>
        <v>3.6982662437859464</v>
      </c>
      <c r="AO30" s="23">
        <f t="shared" si="9"/>
        <v>2.7896683842755761</v>
      </c>
      <c r="AP30" s="23">
        <f>IF(Settings!$J$6&gt;69, 0.2*(AO30), 0)</f>
        <v>0.55793367685511519</v>
      </c>
      <c r="AQ30" s="24">
        <f t="shared" si="10"/>
        <v>14.355824939136205</v>
      </c>
      <c r="AR30" s="24">
        <f t="shared" si="10"/>
        <v>7.8734001402336187</v>
      </c>
      <c r="AS30" s="24">
        <f t="shared" si="10"/>
        <v>10.77011950430855</v>
      </c>
      <c r="AT30" s="25">
        <f t="shared" si="11"/>
        <v>3.3876569189119561</v>
      </c>
      <c r="AU30" s="25">
        <f t="shared" si="12"/>
        <v>3.6502433876548785</v>
      </c>
      <c r="AV30" s="26">
        <f t="shared" si="13"/>
        <v>9.0371467894116329</v>
      </c>
      <c r="AW30" s="26">
        <f t="shared" si="14"/>
        <v>7.9212794357014014</v>
      </c>
      <c r="AX30" s="27" t="e">
        <f t="shared" si="15"/>
        <v>#NUM!</v>
      </c>
      <c r="AY30" s="27" t="e">
        <f t="shared" si="16"/>
        <v>#NUM!</v>
      </c>
      <c r="BA30" s="22">
        <f t="shared" si="17"/>
        <v>6.0906657642958688</v>
      </c>
      <c r="BB30" s="22">
        <f t="shared" si="17"/>
        <v>25.399691641803809</v>
      </c>
      <c r="BD30">
        <f t="shared" si="5"/>
        <v>3.3254840824961294</v>
      </c>
      <c r="BE30" s="1"/>
      <c r="BF30" s="1"/>
      <c r="BG30">
        <f t="shared" si="18"/>
        <v>11.222837183419108</v>
      </c>
      <c r="BH30">
        <f t="shared" si="18"/>
        <v>2.7124511172410588</v>
      </c>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EB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pans="1:257" x14ac:dyDescent="0.3">
      <c r="A31" s="78">
        <v>28</v>
      </c>
      <c r="F31">
        <v>17</v>
      </c>
      <c r="G31" s="21"/>
      <c r="H31" s="21"/>
      <c r="I31" s="21"/>
      <c r="J31" s="21"/>
      <c r="K31" s="21"/>
      <c r="L31" s="22"/>
      <c r="M31" s="21"/>
      <c r="N31" s="23"/>
      <c r="O31" s="23"/>
      <c r="P31" s="24"/>
      <c r="Q31" s="24"/>
      <c r="R31" s="24"/>
      <c r="S31" s="25"/>
      <c r="T31" s="25"/>
      <c r="U31" s="26"/>
      <c r="V31" s="26"/>
      <c r="W31" s="27"/>
      <c r="X31" s="27"/>
      <c r="Z31" s="22"/>
      <c r="AA31" s="22"/>
      <c r="AC31">
        <v>17</v>
      </c>
      <c r="AE31" s="42">
        <f t="shared" si="6"/>
        <v>11.648521557810575</v>
      </c>
      <c r="AG31">
        <f t="shared" si="7"/>
        <v>11.648521557810575</v>
      </c>
      <c r="AH31" s="21">
        <f t="shared" si="8"/>
        <v>5.1898805048040995</v>
      </c>
      <c r="AI31" s="21">
        <f t="shared" si="8"/>
        <v>16.296837416938963</v>
      </c>
      <c r="AJ31" s="21">
        <f t="shared" si="8"/>
        <v>7.2430416503972497</v>
      </c>
      <c r="AK31" s="21">
        <f t="shared" si="8"/>
        <v>17.103698622253003</v>
      </c>
      <c r="AL31" s="21">
        <f t="shared" si="8"/>
        <v>2.8666885870332797</v>
      </c>
      <c r="AM31" s="22"/>
      <c r="AN31" s="21">
        <f t="shared" si="9"/>
        <v>4.0236583841110853</v>
      </c>
      <c r="AO31" s="23">
        <f t="shared" si="9"/>
        <v>2.9933367581135397</v>
      </c>
      <c r="AP31" s="23">
        <f>IF(Settings!$J$6&gt;69, 0.2*(AO31), 0)</f>
        <v>0.59866735162270801</v>
      </c>
      <c r="AQ31" s="24">
        <f t="shared" si="10"/>
        <v>15.168675105823306</v>
      </c>
      <c r="AR31" s="24">
        <f t="shared" si="10"/>
        <v>8.4115184813318304</v>
      </c>
      <c r="AS31" s="24">
        <f t="shared" si="10"/>
        <v>11.867979550523438</v>
      </c>
      <c r="AT31" s="25">
        <f t="shared" si="11"/>
        <v>3.5930110484870799</v>
      </c>
      <c r="AU31" s="25">
        <f t="shared" si="12"/>
        <v>3.9139729081910053</v>
      </c>
      <c r="AV31" s="26">
        <f t="shared" si="13"/>
        <v>9.6450870875262513</v>
      </c>
      <c r="AW31" s="26">
        <f t="shared" si="14"/>
        <v>8.447752384280836</v>
      </c>
      <c r="AX31" s="27" t="e">
        <f t="shared" si="15"/>
        <v>#NUM!</v>
      </c>
      <c r="AY31" s="27" t="e">
        <f t="shared" si="16"/>
        <v>#NUM!</v>
      </c>
      <c r="BA31" s="22">
        <f t="shared" ref="BA31:BB84" si="19">BA$4*(1-EXP(-BA$5*$AG31))^BA$6</f>
        <v>6.6825671311520676</v>
      </c>
      <c r="BB31" s="22">
        <f t="shared" si="19"/>
        <v>26.370184458472362</v>
      </c>
      <c r="BD31">
        <f t="shared" si="5"/>
        <v>3.6780960928646556</v>
      </c>
      <c r="BG31">
        <f t="shared" si="18"/>
        <v>11.986384976650413</v>
      </c>
      <c r="BH31">
        <f t="shared" si="18"/>
        <v>2.9232820432932995</v>
      </c>
    </row>
    <row r="32" spans="1:257" x14ac:dyDescent="0.3">
      <c r="A32" s="78">
        <v>29</v>
      </c>
      <c r="F32">
        <v>18</v>
      </c>
      <c r="G32" s="21"/>
      <c r="H32" s="21"/>
      <c r="I32" s="21"/>
      <c r="J32" s="21"/>
      <c r="K32" s="21"/>
      <c r="L32" s="22"/>
      <c r="M32" s="21"/>
      <c r="N32" s="23"/>
      <c r="O32" s="23"/>
      <c r="P32" s="24"/>
      <c r="Q32" s="24"/>
      <c r="R32" s="24"/>
      <c r="S32" s="25"/>
      <c r="T32" s="25"/>
      <c r="U32" s="26"/>
      <c r="V32" s="26"/>
      <c r="W32" s="27"/>
      <c r="X32" s="27"/>
      <c r="Z32" s="22"/>
      <c r="AA32" s="22"/>
      <c r="AC32">
        <v>18</v>
      </c>
      <c r="AE32" s="42">
        <f t="shared" si="6"/>
        <v>12.250530804721352</v>
      </c>
      <c r="AG32">
        <f t="shared" si="7"/>
        <v>12.250530804721352</v>
      </c>
      <c r="AH32" s="21">
        <f t="shared" si="8"/>
        <v>6.0303643331063679</v>
      </c>
      <c r="AI32" s="21">
        <f t="shared" si="8"/>
        <v>17.366400116942593</v>
      </c>
      <c r="AJ32" s="21">
        <f t="shared" si="8"/>
        <v>8.1225670430534773</v>
      </c>
      <c r="AK32" s="21">
        <f t="shared" si="8"/>
        <v>18.218197818532644</v>
      </c>
      <c r="AL32" s="21">
        <f t="shared" si="8"/>
        <v>3.2619140318838697</v>
      </c>
      <c r="AM32" s="22"/>
      <c r="AN32" s="21">
        <f t="shared" si="9"/>
        <v>4.3741976852712856</v>
      </c>
      <c r="AO32" s="23">
        <f t="shared" si="9"/>
        <v>3.2102699999743636</v>
      </c>
      <c r="AP32" s="23">
        <f>IF(Settings!$J$6&gt;69, 0.2*(AO32), 0)</f>
        <v>0.64205399999487278</v>
      </c>
      <c r="AQ32" s="24">
        <f t="shared" si="10"/>
        <v>16.019450745120441</v>
      </c>
      <c r="AR32" s="24">
        <f t="shared" si="10"/>
        <v>8.9781912263485157</v>
      </c>
      <c r="AS32" s="24">
        <f t="shared" si="10"/>
        <v>13.042511927593802</v>
      </c>
      <c r="AT32" s="25">
        <f t="shared" si="11"/>
        <v>3.8086609826272255</v>
      </c>
      <c r="AU32" s="25">
        <f t="shared" si="12"/>
        <v>4.193563947206453</v>
      </c>
      <c r="AV32" s="26">
        <f t="shared" si="13"/>
        <v>10.288335058458479</v>
      </c>
      <c r="AW32" s="26">
        <f t="shared" si="14"/>
        <v>9.0042270584687323</v>
      </c>
      <c r="AX32" s="27" t="e">
        <f t="shared" si="15"/>
        <v>#NUM!</v>
      </c>
      <c r="AY32" s="27" t="e">
        <f t="shared" si="16"/>
        <v>#NUM!</v>
      </c>
      <c r="BA32" s="22">
        <f t="shared" si="19"/>
        <v>7.313846866406954</v>
      </c>
      <c r="BB32" s="22">
        <f t="shared" si="19"/>
        <v>27.361480153504534</v>
      </c>
      <c r="BD32">
        <f t="shared" si="5"/>
        <v>4.0680967139652475</v>
      </c>
      <c r="BG32">
        <f t="shared" si="18"/>
        <v>12.737527442038408</v>
      </c>
      <c r="BH32">
        <f t="shared" si="18"/>
        <v>3.1467374992081583</v>
      </c>
    </row>
    <row r="33" spans="1:95" x14ac:dyDescent="0.3">
      <c r="A33" s="78">
        <v>30</v>
      </c>
      <c r="F33">
        <v>19</v>
      </c>
      <c r="G33" s="21"/>
      <c r="H33" s="21"/>
      <c r="I33" s="21"/>
      <c r="J33" s="21"/>
      <c r="K33" s="21"/>
      <c r="L33" s="22"/>
      <c r="M33" s="21"/>
      <c r="N33" s="23"/>
      <c r="O33" s="23"/>
      <c r="P33" s="24"/>
      <c r="Q33" s="24"/>
      <c r="R33" s="24"/>
      <c r="S33" s="25"/>
      <c r="T33" s="25"/>
      <c r="U33" s="26"/>
      <c r="V33" s="26"/>
      <c r="W33" s="27"/>
      <c r="X33" s="27"/>
      <c r="Z33" s="22"/>
      <c r="AA33" s="22"/>
      <c r="AC33">
        <v>19</v>
      </c>
      <c r="AE33" s="42">
        <f t="shared" si="6"/>
        <v>12.883652595105344</v>
      </c>
      <c r="AG33">
        <f t="shared" si="7"/>
        <v>12.883652595105344</v>
      </c>
      <c r="AH33" s="21">
        <f t="shared" si="8"/>
        <v>6.9834348559974737</v>
      </c>
      <c r="AI33" s="21">
        <f t="shared" si="8"/>
        <v>18.49538145665251</v>
      </c>
      <c r="AJ33" s="21">
        <f t="shared" si="8"/>
        <v>9.0934229735821024</v>
      </c>
      <c r="AK33" s="21">
        <f t="shared" si="8"/>
        <v>19.393636966501969</v>
      </c>
      <c r="AL33" s="21">
        <f t="shared" si="8"/>
        <v>3.7000248316529296</v>
      </c>
      <c r="AM33" s="22"/>
      <c r="AN33" s="21">
        <f t="shared" si="9"/>
        <v>4.7513247751183139</v>
      </c>
      <c r="AO33" s="23">
        <f t="shared" si="9"/>
        <v>3.4411251566201058</v>
      </c>
      <c r="AP33" s="23">
        <f>IF(Settings!$J$6&gt;69, 0.2*(AO33), 0)</f>
        <v>0.68822503132402124</v>
      </c>
      <c r="AQ33" s="24">
        <f t="shared" si="10"/>
        <v>16.909013108873644</v>
      </c>
      <c r="AR33" s="24">
        <f t="shared" si="10"/>
        <v>9.5739117828887448</v>
      </c>
      <c r="AS33" s="24">
        <f t="shared" si="10"/>
        <v>14.293559173506845</v>
      </c>
      <c r="AT33" s="25">
        <f t="shared" si="11"/>
        <v>4.0348726618186479</v>
      </c>
      <c r="AU33" s="25">
        <f t="shared" si="12"/>
        <v>4.4895610386710674</v>
      </c>
      <c r="AV33" s="26">
        <f t="shared" si="13"/>
        <v>10.968253306636308</v>
      </c>
      <c r="AW33" s="26">
        <f t="shared" si="14"/>
        <v>9.5918032439882648</v>
      </c>
      <c r="AX33" s="27" t="e">
        <f t="shared" si="15"/>
        <v>#NUM!</v>
      </c>
      <c r="AY33" s="27" t="e">
        <f t="shared" si="16"/>
        <v>#NUM!</v>
      </c>
      <c r="BA33" s="22">
        <f t="shared" si="19"/>
        <v>7.9843679040595772</v>
      </c>
      <c r="BB33" s="22">
        <f t="shared" si="19"/>
        <v>28.372498958231958</v>
      </c>
      <c r="BD33">
        <f t="shared" si="5"/>
        <v>4.4994503831153221</v>
      </c>
      <c r="BG33">
        <f t="shared" si="18"/>
        <v>13.469075715056242</v>
      </c>
      <c r="BH33">
        <f t="shared" si="18"/>
        <v>3.3830703819745933</v>
      </c>
    </row>
    <row r="34" spans="1:95" x14ac:dyDescent="0.3">
      <c r="A34" s="13">
        <v>31</v>
      </c>
      <c r="F34">
        <v>20</v>
      </c>
      <c r="G34" s="21"/>
      <c r="H34" s="21"/>
      <c r="I34" s="21"/>
      <c r="J34" s="21"/>
      <c r="K34" s="21"/>
      <c r="L34" s="22"/>
      <c r="M34" s="21"/>
      <c r="N34" s="23"/>
      <c r="O34" s="23"/>
      <c r="P34" s="24"/>
      <c r="Q34" s="24"/>
      <c r="R34" s="24"/>
      <c r="S34" s="25"/>
      <c r="T34" s="25"/>
      <c r="U34" s="26"/>
      <c r="V34" s="26"/>
      <c r="W34" s="27"/>
      <c r="X34" s="27"/>
      <c r="Z34" s="22"/>
      <c r="AA34" s="22"/>
      <c r="AC34">
        <v>20</v>
      </c>
      <c r="AE34" s="42">
        <f t="shared" si="6"/>
        <v>13.549494861675118</v>
      </c>
      <c r="AG34">
        <f t="shared" si="7"/>
        <v>13.549494861675118</v>
      </c>
      <c r="AH34" s="21">
        <f t="shared" si="8"/>
        <v>8.0590730009542213</v>
      </c>
      <c r="AI34" s="21">
        <f t="shared" si="8"/>
        <v>19.685774048576864</v>
      </c>
      <c r="AJ34" s="21">
        <f t="shared" si="8"/>
        <v>10.162339387461911</v>
      </c>
      <c r="AK34" s="21">
        <f t="shared" si="8"/>
        <v>20.631935434241747</v>
      </c>
      <c r="AL34" s="21">
        <f t="shared" si="8"/>
        <v>4.1834408634682552</v>
      </c>
      <c r="AM34" s="22"/>
      <c r="AN34" s="21">
        <f t="shared" si="9"/>
        <v>5.1564893908615712</v>
      </c>
      <c r="AO34" s="23">
        <f t="shared" si="9"/>
        <v>3.6865646076426364</v>
      </c>
      <c r="AP34" s="23">
        <f>IF(Settings!$J$6&gt;69, 0.2*(AO34), 0)</f>
        <v>0.73731292152852734</v>
      </c>
      <c r="AQ34" s="24">
        <f t="shared" si="10"/>
        <v>17.838133590301393</v>
      </c>
      <c r="AR34" s="24">
        <f t="shared" si="10"/>
        <v>10.199044153488369</v>
      </c>
      <c r="AS34" s="24">
        <f t="shared" si="10"/>
        <v>15.620018686207503</v>
      </c>
      <c r="AT34" s="25">
        <f t="shared" si="11"/>
        <v>4.2718878901252095</v>
      </c>
      <c r="AU34" s="25">
        <f t="shared" si="12"/>
        <v>4.8024725330045577</v>
      </c>
      <c r="AV34" s="26">
        <f t="shared" si="13"/>
        <v>11.686169328109751</v>
      </c>
      <c r="AW34" s="26">
        <f t="shared" si="14"/>
        <v>10.211543485052696</v>
      </c>
      <c r="AX34" s="27" t="e">
        <f t="shared" si="15"/>
        <v>#NUM!</v>
      </c>
      <c r="AY34" s="27" t="e">
        <f t="shared" si="16"/>
        <v>#NUM!</v>
      </c>
      <c r="BA34" s="22">
        <f t="shared" si="19"/>
        <v>8.6935301225660275</v>
      </c>
      <c r="BB34" s="22">
        <f t="shared" si="19"/>
        <v>29.401999380339696</v>
      </c>
      <c r="BD34">
        <f t="shared" si="5"/>
        <v>4.9765418999548334</v>
      </c>
      <c r="BG34">
        <f t="shared" si="18"/>
        <v>14.174258503322472</v>
      </c>
      <c r="BH34">
        <f t="shared" si="18"/>
        <v>3.6324664567504374</v>
      </c>
    </row>
    <row r="35" spans="1:95" x14ac:dyDescent="0.3">
      <c r="A35" s="13">
        <v>32</v>
      </c>
      <c r="F35">
        <v>21</v>
      </c>
      <c r="G35" s="21"/>
      <c r="H35" s="21"/>
      <c r="I35" s="21"/>
      <c r="J35" s="21"/>
      <c r="K35" s="21"/>
      <c r="L35" s="22"/>
      <c r="M35" s="21"/>
      <c r="N35" s="23"/>
      <c r="O35" s="23"/>
      <c r="P35" s="24"/>
      <c r="Q35" s="24"/>
      <c r="R35" s="24"/>
      <c r="S35" s="25"/>
      <c r="T35" s="25"/>
      <c r="U35" s="26"/>
      <c r="V35" s="26"/>
      <c r="W35" s="27"/>
      <c r="X35" s="27"/>
      <c r="Z35" s="22"/>
      <c r="AA35" s="22"/>
      <c r="AC35">
        <v>21</v>
      </c>
      <c r="AE35" s="42">
        <f t="shared" si="6"/>
        <v>14.249748636990411</v>
      </c>
      <c r="AG35">
        <f t="shared" si="7"/>
        <v>14.249748636990411</v>
      </c>
      <c r="AH35" s="21">
        <f t="shared" si="8"/>
        <v>9.2670771876469864</v>
      </c>
      <c r="AI35" s="21">
        <f t="shared" si="8"/>
        <v>20.939471009710527</v>
      </c>
      <c r="AJ35" s="21">
        <f t="shared" si="8"/>
        <v>11.336056822602377</v>
      </c>
      <c r="AK35" s="21">
        <f t="shared" si="8"/>
        <v>21.93489336669202</v>
      </c>
      <c r="AL35" s="21">
        <f t="shared" si="8"/>
        <v>4.7142935350128941</v>
      </c>
      <c r="AM35" s="22"/>
      <c r="AN35" s="21">
        <f t="shared" si="9"/>
        <v>5.5911378343719234</v>
      </c>
      <c r="AO35" s="23">
        <f t="shared" si="9"/>
        <v>3.9472519034741946</v>
      </c>
      <c r="AP35" s="23">
        <f>IF(Settings!$J$6&gt;69, 0.2*(AO35), 0)</f>
        <v>0.78945038069483897</v>
      </c>
      <c r="AQ35" s="24">
        <f t="shared" si="10"/>
        <v>18.807478410337882</v>
      </c>
      <c r="AR35" s="24">
        <f t="shared" si="10"/>
        <v>10.853804304162768</v>
      </c>
      <c r="AS35" s="24">
        <f t="shared" si="10"/>
        <v>17.019749318956261</v>
      </c>
      <c r="AT35" s="25">
        <f t="shared" si="11"/>
        <v>4.5199197910171751</v>
      </c>
      <c r="AU35" s="25">
        <f t="shared" si="12"/>
        <v>5.1327616289402789</v>
      </c>
      <c r="AV35" s="26">
        <f t="shared" si="13"/>
        <v>12.44336145659236</v>
      </c>
      <c r="AW35" s="26">
        <f t="shared" si="14"/>
        <v>10.864460695202682</v>
      </c>
      <c r="AX35" s="27" t="e">
        <f t="shared" si="15"/>
        <v>#NUM!</v>
      </c>
      <c r="AY35" s="27" t="e">
        <f t="shared" si="16"/>
        <v>#NUM!</v>
      </c>
      <c r="BA35" s="22">
        <f t="shared" si="19"/>
        <v>9.440225807061644</v>
      </c>
      <c r="BB35" s="22">
        <f t="shared" si="19"/>
        <v>30.44857237216824</v>
      </c>
      <c r="BD35">
        <f t="shared" si="5"/>
        <v>5.5042209988453354</v>
      </c>
      <c r="BG35">
        <f t="shared" si="18"/>
        <v>14.846929445903127</v>
      </c>
      <c r="BH35">
        <f t="shared" si="18"/>
        <v>3.8950340593252806</v>
      </c>
    </row>
    <row r="36" spans="1:95" x14ac:dyDescent="0.3">
      <c r="A36" s="13">
        <v>33</v>
      </c>
      <c r="F36">
        <v>22</v>
      </c>
      <c r="G36" s="21"/>
      <c r="H36" s="21"/>
      <c r="I36" s="21"/>
      <c r="J36" s="21"/>
      <c r="K36" s="21"/>
      <c r="L36" s="22"/>
      <c r="M36" s="21"/>
      <c r="N36" s="23"/>
      <c r="O36" s="23"/>
      <c r="P36" s="24"/>
      <c r="Q36" s="24"/>
      <c r="R36" s="24"/>
      <c r="S36" s="25"/>
      <c r="T36" s="25"/>
      <c r="U36" s="26"/>
      <c r="V36" s="26"/>
      <c r="W36" s="27"/>
      <c r="X36" s="27"/>
      <c r="Z36" s="22"/>
      <c r="AA36" s="22"/>
      <c r="AC36">
        <v>22</v>
      </c>
      <c r="AE36" s="42">
        <f t="shared" si="6"/>
        <v>14.986192348155662</v>
      </c>
      <c r="AG36">
        <f t="shared" si="7"/>
        <v>14.986192348155662</v>
      </c>
      <c r="AH36" s="21">
        <f t="shared" si="8"/>
        <v>10.616801730857667</v>
      </c>
      <c r="AI36" s="21">
        <f t="shared" si="8"/>
        <v>22.258239704251267</v>
      </c>
      <c r="AJ36" s="21">
        <f t="shared" si="8"/>
        <v>12.621226477823885</v>
      </c>
      <c r="AK36" s="21">
        <f t="shared" si="8"/>
        <v>23.304163670889004</v>
      </c>
      <c r="AL36" s="21">
        <f t="shared" si="8"/>
        <v>5.294334257931931</v>
      </c>
      <c r="AM36" s="22"/>
      <c r="AN36" s="21">
        <f t="shared" si="9"/>
        <v>6.0566984801912165</v>
      </c>
      <c r="AO36" s="23">
        <f t="shared" si="9"/>
        <v>4.2238469793467024</v>
      </c>
      <c r="AP36" s="23">
        <f>IF(Settings!$J$6&gt;69, 0.2*(AO36), 0)</f>
        <v>0.84476939586934052</v>
      </c>
      <c r="AQ36" s="24">
        <f t="shared" si="10"/>
        <v>19.817592313756411</v>
      </c>
      <c r="AR36" s="24">
        <f t="shared" si="10"/>
        <v>11.538240997932421</v>
      </c>
      <c r="AS36" s="24">
        <f t="shared" si="10"/>
        <v>18.489492679060572</v>
      </c>
      <c r="AT36" s="25">
        <f t="shared" si="11"/>
        <v>4.7791479495427547</v>
      </c>
      <c r="AU36" s="25">
        <f t="shared" si="12"/>
        <v>5.4808366804786255</v>
      </c>
      <c r="AV36" s="26">
        <f t="shared" si="13"/>
        <v>13.241043341798985</v>
      </c>
      <c r="AW36" s="26">
        <f t="shared" si="14"/>
        <v>11.551504550060304</v>
      </c>
      <c r="AX36" s="27" t="e">
        <f t="shared" si="15"/>
        <v>#NUM!</v>
      </c>
      <c r="AY36" s="27" t="e">
        <f t="shared" si="16"/>
        <v>#NUM!</v>
      </c>
      <c r="BA36" s="22">
        <f t="shared" si="19"/>
        <v>10.222801766362268</v>
      </c>
      <c r="BB36" s="22">
        <f t="shared" si="19"/>
        <v>31.510636630172002</v>
      </c>
      <c r="BD36">
        <f t="shared" si="5"/>
        <v>6.087851647427085</v>
      </c>
      <c r="BG36">
        <f t="shared" si="18"/>
        <v>15.481749134530071</v>
      </c>
      <c r="BH36">
        <f t="shared" si="18"/>
        <v>4.1707935800393949</v>
      </c>
      <c r="CQ36" s="36"/>
    </row>
    <row r="37" spans="1:95" x14ac:dyDescent="0.3">
      <c r="A37" s="13">
        <v>34</v>
      </c>
      <c r="F37">
        <v>23</v>
      </c>
      <c r="G37" s="21"/>
      <c r="H37" s="21"/>
      <c r="I37" s="21"/>
      <c r="J37" s="21"/>
      <c r="K37" s="21"/>
      <c r="L37" s="22"/>
      <c r="M37" s="21"/>
      <c r="N37" s="23"/>
      <c r="O37" s="23"/>
      <c r="P37" s="24"/>
      <c r="Q37" s="24"/>
      <c r="R37" s="24"/>
      <c r="S37" s="25"/>
      <c r="T37" s="25"/>
      <c r="U37" s="26"/>
      <c r="V37" s="26"/>
      <c r="W37" s="27"/>
      <c r="X37" s="27"/>
      <c r="Z37" s="22"/>
      <c r="AA37" s="22"/>
      <c r="AC37">
        <v>23</v>
      </c>
      <c r="AE37" s="42">
        <f t="shared" si="6"/>
        <v>15.760696333472486</v>
      </c>
      <c r="AG37">
        <f t="shared" si="7"/>
        <v>15.760696333472486</v>
      </c>
      <c r="AH37" s="21">
        <f t="shared" si="8"/>
        <v>12.116857921301513</v>
      </c>
      <c r="AI37" s="21">
        <f t="shared" si="8"/>
        <v>23.643693174821887</v>
      </c>
      <c r="AJ37" s="21">
        <f t="shared" si="8"/>
        <v>14.024294127557008</v>
      </c>
      <c r="AK37" s="21">
        <f t="shared" si="8"/>
        <v>24.741221717892287</v>
      </c>
      <c r="AL37" s="21">
        <f t="shared" si="8"/>
        <v>5.9248384933912863</v>
      </c>
      <c r="AM37" s="22"/>
      <c r="AN37" s="21">
        <f t="shared" si="9"/>
        <v>6.5545652429038075</v>
      </c>
      <c r="AO37" s="23">
        <f t="shared" si="9"/>
        <v>4.5170007061576838</v>
      </c>
      <c r="AP37" s="23">
        <f>IF(Settings!$J$6&gt;69, 0.2*(AO37), 0)</f>
        <v>0.90340014123153678</v>
      </c>
      <c r="AQ37" s="24">
        <f t="shared" si="10"/>
        <v>20.868881340843107</v>
      </c>
      <c r="AR37" s="24">
        <f t="shared" si="10"/>
        <v>12.252216362326681</v>
      </c>
      <c r="AS37" s="24">
        <f t="shared" si="10"/>
        <v>20.024814153328233</v>
      </c>
      <c r="AT37" s="25">
        <f t="shared" si="11"/>
        <v>5.0497132606971435</v>
      </c>
      <c r="AU37" s="25">
        <f t="shared" si="12"/>
        <v>5.8470408220190819</v>
      </c>
      <c r="AV37" s="26">
        <f t="shared" si="13"/>
        <v>14.080346940489786</v>
      </c>
      <c r="AW37" s="26">
        <f t="shared" si="14"/>
        <v>12.273546658026712</v>
      </c>
      <c r="AX37" s="27" t="e">
        <f t="shared" si="15"/>
        <v>#NUM!</v>
      </c>
      <c r="AY37" s="27" t="e">
        <f t="shared" si="16"/>
        <v>#NUM!</v>
      </c>
      <c r="BA37" s="22">
        <f t="shared" si="19"/>
        <v>11.039030387979059</v>
      </c>
      <c r="BB37" s="22">
        <f t="shared" si="19"/>
        <v>32.586435258510058</v>
      </c>
      <c r="BD37">
        <f t="shared" si="5"/>
        <v>6.733366572464198</v>
      </c>
      <c r="BG37">
        <f t="shared" si="18"/>
        <v>16.074331936850083</v>
      </c>
      <c r="BH37">
        <f t="shared" si="18"/>
        <v>4.4596669198732348</v>
      </c>
    </row>
    <row r="38" spans="1:95" x14ac:dyDescent="0.3">
      <c r="A38" s="13">
        <v>35</v>
      </c>
      <c r="F38">
        <v>24</v>
      </c>
      <c r="G38" s="21"/>
      <c r="H38" s="21"/>
      <c r="I38" s="21"/>
      <c r="J38" s="21"/>
      <c r="K38" s="21"/>
      <c r="L38" s="22"/>
      <c r="M38" s="21"/>
      <c r="N38" s="23"/>
      <c r="O38" s="23"/>
      <c r="P38" s="24"/>
      <c r="Q38" s="24"/>
      <c r="R38" s="24"/>
      <c r="S38" s="25"/>
      <c r="T38" s="25"/>
      <c r="U38" s="26"/>
      <c r="V38" s="26"/>
      <c r="W38" s="27"/>
      <c r="X38" s="27"/>
      <c r="Z38" s="22"/>
      <c r="AA38" s="22"/>
      <c r="AC38">
        <v>24</v>
      </c>
      <c r="AE38" s="42">
        <f t="shared" si="6"/>
        <v>16.575227592518086</v>
      </c>
      <c r="AG38">
        <f t="shared" si="7"/>
        <v>16.575227592518086</v>
      </c>
      <c r="AH38" s="21">
        <f t="shared" si="8"/>
        <v>13.774782356584909</v>
      </c>
      <c r="AI38" s="21">
        <f t="shared" si="8"/>
        <v>25.097259305045405</v>
      </c>
      <c r="AJ38" s="21">
        <f t="shared" si="8"/>
        <v>15.551367850735369</v>
      </c>
      <c r="AK38" s="21">
        <f t="shared" si="8"/>
        <v>26.247332842283061</v>
      </c>
      <c r="AL38" s="21">
        <f t="shared" si="8"/>
        <v>6.6065082924366312</v>
      </c>
      <c r="AM38" s="22"/>
      <c r="AN38" s="21">
        <f t="shared" si="9"/>
        <v>7.0860789379937659</v>
      </c>
      <c r="AO38" s="23">
        <f t="shared" si="9"/>
        <v>4.8273487435469606</v>
      </c>
      <c r="AP38" s="23">
        <f>IF(Settings!$J$6&gt;69, 0.2*(AO38), 0)</f>
        <v>0.96546974870939217</v>
      </c>
      <c r="AQ38" s="24">
        <f t="shared" si="10"/>
        <v>21.961594768596946</v>
      </c>
      <c r="AR38" s="24">
        <f t="shared" si="10"/>
        <v>12.995386516094328</v>
      </c>
      <c r="AS38" s="24">
        <f t="shared" si="10"/>
        <v>21.620068688203435</v>
      </c>
      <c r="AT38" s="25">
        <f t="shared" si="11"/>
        <v>5.3317125129654839</v>
      </c>
      <c r="AU38" s="25">
        <f t="shared" si="12"/>
        <v>6.2316409778325834</v>
      </c>
      <c r="AV38" s="26">
        <f t="shared" si="13"/>
        <v>14.962304024296182</v>
      </c>
      <c r="AW38" s="26">
        <f t="shared" si="14"/>
        <v>13.031364526877399</v>
      </c>
      <c r="AX38" s="27" t="e">
        <f t="shared" si="15"/>
        <v>#NUM!</v>
      </c>
      <c r="AY38" s="27" t="e">
        <f t="shared" si="16"/>
        <v>#NUM!</v>
      </c>
      <c r="BA38" s="22">
        <f t="shared" si="19"/>
        <v>11.886091938948388</v>
      </c>
      <c r="BB38" s="22">
        <f t="shared" si="19"/>
        <v>33.674034042899002</v>
      </c>
      <c r="BD38">
        <f t="shared" si="5"/>
        <v>7.4473275672444519</v>
      </c>
      <c r="BG38">
        <f t="shared" si="18"/>
        <v>16.621350028346406</v>
      </c>
      <c r="BH38">
        <f t="shared" si="18"/>
        <v>4.7614671460494975</v>
      </c>
    </row>
    <row r="39" spans="1:95" x14ac:dyDescent="0.3">
      <c r="A39" s="13">
        <v>36</v>
      </c>
      <c r="F39">
        <v>25</v>
      </c>
      <c r="G39" s="21"/>
      <c r="H39" s="21"/>
      <c r="I39" s="21"/>
      <c r="J39" s="21"/>
      <c r="K39" s="21"/>
      <c r="L39" s="22"/>
      <c r="M39" s="21"/>
      <c r="N39" s="23"/>
      <c r="O39" s="23"/>
      <c r="P39" s="24"/>
      <c r="Q39" s="24"/>
      <c r="R39" s="24"/>
      <c r="S39" s="25"/>
      <c r="T39" s="25"/>
      <c r="U39" s="26"/>
      <c r="V39" s="26"/>
      <c r="W39" s="27"/>
      <c r="X39" s="27"/>
      <c r="Z39" s="22"/>
      <c r="AA39" s="22"/>
      <c r="AC39">
        <v>25</v>
      </c>
      <c r="AE39" s="42">
        <f t="shared" si="6"/>
        <v>17.431854781713245</v>
      </c>
      <c r="AG39">
        <f t="shared" si="7"/>
        <v>17.431854781713245</v>
      </c>
      <c r="AH39" s="21">
        <f t="shared" si="8"/>
        <v>15.596679860642116</v>
      </c>
      <c r="AI39" s="21">
        <f t="shared" si="8"/>
        <v>26.620147807416149</v>
      </c>
      <c r="AJ39" s="21">
        <f t="shared" si="8"/>
        <v>17.208070098635488</v>
      </c>
      <c r="AK39" s="21">
        <f t="shared" si="8"/>
        <v>27.823517777690551</v>
      </c>
      <c r="AL39" s="21">
        <f t="shared" si="8"/>
        <v>7.3393769305351046</v>
      </c>
      <c r="AM39" s="22"/>
      <c r="AN39" s="21">
        <f t="shared" si="9"/>
        <v>7.6525065058687947</v>
      </c>
      <c r="AO39" s="23">
        <f t="shared" si="9"/>
        <v>5.1555046665466184</v>
      </c>
      <c r="AP39" s="23">
        <f>IF(Settings!$J$6&gt;69, 0.2*(AO39), 0)</f>
        <v>1.0311009333093237</v>
      </c>
      <c r="AQ39" s="24">
        <f t="shared" si="10"/>
        <v>23.095806347374854</v>
      </c>
      <c r="AR39" s="24">
        <f t="shared" si="10"/>
        <v>13.767182638729281</v>
      </c>
      <c r="AS39" s="24">
        <f t="shared" si="10"/>
        <v>23.268396089591441</v>
      </c>
      <c r="AT39" s="25">
        <f t="shared" si="11"/>
        <v>5.6251927463637026</v>
      </c>
      <c r="AU39" s="25">
        <f t="shared" si="12"/>
        <v>6.6348163482758196</v>
      </c>
      <c r="AV39" s="26">
        <f t="shared" si="13"/>
        <v>15.887826236981384</v>
      </c>
      <c r="AW39" s="26">
        <f t="shared" si="14"/>
        <v>13.825624370362737</v>
      </c>
      <c r="AX39" s="27" t="e">
        <f t="shared" si="15"/>
        <v>#NUM!</v>
      </c>
      <c r="AY39" s="27" t="e">
        <f t="shared" si="16"/>
        <v>#NUM!</v>
      </c>
      <c r="BA39" s="22">
        <f t="shared" si="19"/>
        <v>12.760570332339801</v>
      </c>
      <c r="BB39" s="22">
        <f t="shared" si="19"/>
        <v>34.771321590544424</v>
      </c>
      <c r="BD39">
        <f t="shared" si="5"/>
        <v>8.2369921935709396</v>
      </c>
      <c r="BG39">
        <f t="shared" si="18"/>
        <v>17.120589912156476</v>
      </c>
      <c r="BH39">
        <f t="shared" si="18"/>
        <v>5.0758886111086241</v>
      </c>
    </row>
    <row r="40" spans="1:95" x14ac:dyDescent="0.3">
      <c r="A40" s="13">
        <v>37</v>
      </c>
      <c r="F40">
        <v>26</v>
      </c>
      <c r="G40" s="21"/>
      <c r="H40" s="21"/>
      <c r="I40" s="21"/>
      <c r="J40" s="21"/>
      <c r="K40" s="21"/>
      <c r="L40" s="22"/>
      <c r="M40" s="21"/>
      <c r="N40" s="23"/>
      <c r="O40" s="23"/>
      <c r="P40" s="24"/>
      <c r="Q40" s="24"/>
      <c r="R40" s="24"/>
      <c r="S40" s="25"/>
      <c r="T40" s="25"/>
      <c r="U40" s="26"/>
      <c r="V40" s="26"/>
      <c r="W40" s="27"/>
      <c r="X40" s="27"/>
      <c r="Z40" s="22"/>
      <c r="AA40" s="22"/>
      <c r="AC40">
        <v>26</v>
      </c>
      <c r="AE40" s="42">
        <f t="shared" si="6"/>
        <v>18.332753468067196</v>
      </c>
      <c r="AG40">
        <f t="shared" si="7"/>
        <v>18.332753468067196</v>
      </c>
      <c r="AH40" s="21">
        <f t="shared" si="8"/>
        <v>17.586851310887834</v>
      </c>
      <c r="AI40" s="21">
        <f t="shared" si="8"/>
        <v>28.213315190087169</v>
      </c>
      <c r="AJ40" s="21">
        <f t="shared" si="8"/>
        <v>18.999375295845081</v>
      </c>
      <c r="AK40" s="21">
        <f t="shared" si="8"/>
        <v>29.470516233208617</v>
      </c>
      <c r="AL40" s="21">
        <f t="shared" si="8"/>
        <v>8.1227198485287246</v>
      </c>
      <c r="AM40" s="22"/>
      <c r="AN40" s="21">
        <f t="shared" si="9"/>
        <v>8.2550181131924614</v>
      </c>
      <c r="AO40" s="23">
        <f t="shared" si="9"/>
        <v>5.5020523451840804</v>
      </c>
      <c r="AP40" s="23">
        <f>IF(Settings!$J$6&gt;69, 0.2*(AO40), 0)</f>
        <v>1.1004104690368162</v>
      </c>
      <c r="AQ40" s="24">
        <f t="shared" si="10"/>
        <v>24.271394994580195</v>
      </c>
      <c r="AR40" s="24">
        <f t="shared" si="10"/>
        <v>14.566792925354141</v>
      </c>
      <c r="AS40" s="24">
        <f t="shared" si="10"/>
        <v>24.961750038338966</v>
      </c>
      <c r="AT40" s="25">
        <f t="shared" si="11"/>
        <v>5.9301454358653096</v>
      </c>
      <c r="AU40" s="25">
        <f t="shared" si="12"/>
        <v>7.0566464944496383</v>
      </c>
      <c r="AV40" s="26">
        <f t="shared" si="13"/>
        <v>16.857683767635624</v>
      </c>
      <c r="AW40" s="26">
        <f t="shared" si="14"/>
        <v>14.656862829561993</v>
      </c>
      <c r="AX40" s="27" t="e">
        <f t="shared" si="15"/>
        <v>#NUM!</v>
      </c>
      <c r="AY40" s="27" t="e">
        <f t="shared" si="16"/>
        <v>#NUM!</v>
      </c>
      <c r="BA40" s="22">
        <f t="shared" si="19"/>
        <v>13.658464360683064</v>
      </c>
      <c r="BB40" s="22">
        <f t="shared" si="19"/>
        <v>35.876011597117582</v>
      </c>
      <c r="BD40">
        <f t="shared" si="5"/>
        <v>9.1103875563852448</v>
      </c>
      <c r="BG40">
        <f t="shared" si="18"/>
        <v>17.570959918094488</v>
      </c>
      <c r="BH40">
        <f t="shared" si="18"/>
        <v>5.4024978345180692</v>
      </c>
    </row>
    <row r="41" spans="1:95" x14ac:dyDescent="0.3">
      <c r="A41" s="13">
        <v>38</v>
      </c>
      <c r="F41">
        <v>27</v>
      </c>
      <c r="G41" s="21"/>
      <c r="H41" s="21"/>
      <c r="I41" s="21"/>
      <c r="J41" s="21"/>
      <c r="K41" s="21"/>
      <c r="L41" s="22"/>
      <c r="M41" s="21"/>
      <c r="N41" s="23"/>
      <c r="O41" s="23"/>
      <c r="P41" s="24"/>
      <c r="Q41" s="24"/>
      <c r="R41" s="24"/>
      <c r="S41" s="25"/>
      <c r="T41" s="25"/>
      <c r="U41" s="26"/>
      <c r="V41" s="26"/>
      <c r="W41" s="27"/>
      <c r="X41" s="27"/>
      <c r="Z41" s="22"/>
      <c r="AA41" s="22"/>
      <c r="AC41">
        <v>27</v>
      </c>
      <c r="AE41" s="42">
        <f t="shared" si="6"/>
        <v>19.280211654442091</v>
      </c>
      <c r="AG41">
        <f t="shared" si="7"/>
        <v>19.280211654442091</v>
      </c>
      <c r="AH41" s="21">
        <f t="shared" si="8"/>
        <v>19.747419719245507</v>
      </c>
      <c r="AI41" s="21">
        <f t="shared" si="8"/>
        <v>29.877427924749178</v>
      </c>
      <c r="AJ41" s="21">
        <f t="shared" si="8"/>
        <v>20.929434946110788</v>
      </c>
      <c r="AK41" s="21">
        <f t="shared" si="8"/>
        <v>31.188748890919047</v>
      </c>
      <c r="AL41" s="21">
        <f t="shared" si="8"/>
        <v>8.9549766023393182</v>
      </c>
      <c r="AM41" s="22"/>
      <c r="AN41" s="21">
        <f t="shared" si="9"/>
        <v>8.8946621997049302</v>
      </c>
      <c r="AO41" s="23">
        <f t="shared" si="9"/>
        <v>5.8675375666421017</v>
      </c>
      <c r="AP41" s="23">
        <f>IF(Settings!$J$6&gt;69, 0.2*(AO41), 0)</f>
        <v>1.1735075133284203</v>
      </c>
      <c r="AQ41" s="24">
        <f t="shared" si="10"/>
        <v>25.488025146284244</v>
      </c>
      <c r="AR41" s="24">
        <f t="shared" si="10"/>
        <v>15.393145926958315</v>
      </c>
      <c r="AS41" s="24">
        <f t="shared" si="10"/>
        <v>26.690964118120068</v>
      </c>
      <c r="AT41" s="25">
        <f t="shared" si="11"/>
        <v>6.2465005638298106</v>
      </c>
      <c r="AU41" s="25">
        <f t="shared" si="12"/>
        <v>7.4970991751089739</v>
      </c>
      <c r="AV41" s="26">
        <f t="shared" si="13"/>
        <v>17.872482745695638</v>
      </c>
      <c r="AW41" s="26">
        <f t="shared" si="14"/>
        <v>15.525467719038799</v>
      </c>
      <c r="AX41" s="27" t="e">
        <f t="shared" si="15"/>
        <v>#NUM!</v>
      </c>
      <c r="AY41" s="27" t="e">
        <f t="shared" si="16"/>
        <v>#NUM!</v>
      </c>
      <c r="BA41" s="22">
        <f t="shared" si="19"/>
        <v>14.57521603533085</v>
      </c>
      <c r="BB41" s="22">
        <f t="shared" si="19"/>
        <v>36.98564750118171</v>
      </c>
      <c r="BD41">
        <f t="shared" si="5"/>
        <v>10.076391900956374</v>
      </c>
      <c r="BG41">
        <f t="shared" si="18"/>
        <v>17.972450421718619</v>
      </c>
      <c r="BH41">
        <f t="shared" si="18"/>
        <v>5.740725477629633</v>
      </c>
    </row>
    <row r="42" spans="1:95" x14ac:dyDescent="0.3">
      <c r="A42" s="13">
        <v>39</v>
      </c>
      <c r="F42">
        <v>28</v>
      </c>
      <c r="G42" s="21"/>
      <c r="H42" s="21"/>
      <c r="I42" s="21"/>
      <c r="J42" s="21"/>
      <c r="K42" s="21"/>
      <c r="L42" s="22"/>
      <c r="M42" s="21"/>
      <c r="N42" s="23"/>
      <c r="O42" s="23"/>
      <c r="P42" s="24"/>
      <c r="Q42" s="24"/>
      <c r="R42" s="24"/>
      <c r="S42" s="25"/>
      <c r="T42" s="25"/>
      <c r="U42" s="26"/>
      <c r="V42" s="26"/>
      <c r="W42" s="27"/>
      <c r="X42" s="27"/>
      <c r="Z42" s="22"/>
      <c r="AA42" s="22"/>
      <c r="AC42">
        <v>28</v>
      </c>
      <c r="AE42" s="42">
        <f t="shared" si="6"/>
        <v>20.276635590369683</v>
      </c>
      <c r="AG42">
        <f t="shared" si="7"/>
        <v>20.276635590369683</v>
      </c>
      <c r="AH42" s="21">
        <f t="shared" si="8"/>
        <v>22.077970766235222</v>
      </c>
      <c r="AI42" s="21">
        <f t="shared" si="8"/>
        <v>31.612824115276279</v>
      </c>
      <c r="AJ42" s="21">
        <f t="shared" si="8"/>
        <v>23.001393088197045</v>
      </c>
      <c r="AK42" s="21">
        <f t="shared" si="8"/>
        <v>32.978278188894372</v>
      </c>
      <c r="AL42" s="21">
        <f t="shared" si="8"/>
        <v>9.833688827454786</v>
      </c>
      <c r="AM42" s="22"/>
      <c r="AN42" s="21">
        <f t="shared" si="9"/>
        <v>9.5723386027914632</v>
      </c>
      <c r="AO42" s="23">
        <f t="shared" si="9"/>
        <v>6.2524589022506074</v>
      </c>
      <c r="AP42" s="23">
        <f>IF(Settings!$J$6&gt;69, 0.2*(AO42), 0)</f>
        <v>1.2504917804501217</v>
      </c>
      <c r="AQ42" s="24">
        <f t="shared" si="10"/>
        <v>26.745127010298692</v>
      </c>
      <c r="AR42" s="24">
        <f t="shared" si="10"/>
        <v>16.244895829470551</v>
      </c>
      <c r="AS42" s="24">
        <f t="shared" si="10"/>
        <v>28.445856918996856</v>
      </c>
      <c r="AT42" s="25">
        <f t="shared" si="11"/>
        <v>6.5741206588318093</v>
      </c>
      <c r="AU42" s="25">
        <f t="shared" si="12"/>
        <v>7.9560181241060501</v>
      </c>
      <c r="AV42" s="26">
        <f t="shared" si="13"/>
        <v>18.932641508763442</v>
      </c>
      <c r="AW42" s="26">
        <f t="shared" si="14"/>
        <v>16.431657947863201</v>
      </c>
      <c r="AX42" s="27" t="e">
        <f t="shared" si="15"/>
        <v>#NUM!</v>
      </c>
      <c r="AY42" s="27" t="e">
        <f t="shared" si="16"/>
        <v>#NUM!</v>
      </c>
      <c r="BA42" s="22">
        <f t="shared" si="19"/>
        <v>15.505757159655271</v>
      </c>
      <c r="BB42" s="22">
        <f t="shared" si="19"/>
        <v>38.097609778945959</v>
      </c>
      <c r="BD42">
        <f t="shared" si="5"/>
        <v>11.144824862087972</v>
      </c>
      <c r="BG42">
        <f t="shared" si="18"/>
        <v>18.326051511532331</v>
      </c>
      <c r="BH42">
        <f t="shared" si="18"/>
        <v>6.0898597690835699</v>
      </c>
    </row>
    <row r="43" spans="1:95" x14ac:dyDescent="0.3">
      <c r="A43" s="13">
        <v>40</v>
      </c>
      <c r="F43">
        <v>29</v>
      </c>
      <c r="G43" s="21"/>
      <c r="H43" s="21"/>
      <c r="I43" s="21"/>
      <c r="J43" s="21"/>
      <c r="K43" s="21"/>
      <c r="L43" s="22"/>
      <c r="M43" s="21"/>
      <c r="N43" s="23"/>
      <c r="O43" s="23"/>
      <c r="P43" s="24"/>
      <c r="Q43" s="24"/>
      <c r="R43" s="24"/>
      <c r="S43" s="25"/>
      <c r="T43" s="25"/>
      <c r="U43" s="26"/>
      <c r="V43" s="26"/>
      <c r="W43" s="27"/>
      <c r="X43" s="27"/>
      <c r="Z43" s="22"/>
      <c r="AA43" s="22"/>
      <c r="AC43">
        <v>29</v>
      </c>
      <c r="AE43" s="42">
        <f t="shared" si="6"/>
        <v>21.324555883177815</v>
      </c>
      <c r="AG43">
        <f t="shared" si="7"/>
        <v>21.324555883177815</v>
      </c>
      <c r="AH43" s="21">
        <f t="shared" si="8"/>
        <v>24.575226402644049</v>
      </c>
      <c r="AI43" s="21">
        <f t="shared" si="8"/>
        <v>33.419474053024281</v>
      </c>
      <c r="AJ43" s="21">
        <f t="shared" si="8"/>
        <v>25.217195894389786</v>
      </c>
      <c r="AK43" s="21">
        <f t="shared" si="8"/>
        <v>34.838768346494618</v>
      </c>
      <c r="AL43" s="21">
        <f t="shared" si="8"/>
        <v>10.755459277803103</v>
      </c>
      <c r="AM43" s="22"/>
      <c r="AN43" s="21">
        <f t="shared" si="9"/>
        <v>10.288769966340558</v>
      </c>
      <c r="AO43" s="23">
        <f t="shared" si="9"/>
        <v>6.6572578369244226</v>
      </c>
      <c r="AP43" s="23">
        <f>IF(Settings!$J$6&gt;69, 0.2*(AO43), 0)</f>
        <v>1.3314515673848846</v>
      </c>
      <c r="AQ43" s="24">
        <f t="shared" si="10"/>
        <v>28.04187700972188</v>
      </c>
      <c r="AR43" s="24">
        <f t="shared" si="10"/>
        <v>17.120410271709204</v>
      </c>
      <c r="AS43" s="24">
        <f t="shared" si="10"/>
        <v>30.21537673311402</v>
      </c>
      <c r="AT43" s="25">
        <f t="shared" si="11"/>
        <v>6.9127948929557528</v>
      </c>
      <c r="AU43" s="25">
        <f t="shared" si="12"/>
        <v>8.4331109928447034</v>
      </c>
      <c r="AV43" s="26">
        <f t="shared" si="13"/>
        <v>20.038365944974352</v>
      </c>
      <c r="AW43" s="26">
        <f t="shared" si="14"/>
        <v>17.375462810204581</v>
      </c>
      <c r="AX43" s="27" t="e">
        <f t="shared" si="15"/>
        <v>#NUM!</v>
      </c>
      <c r="AY43" s="27" t="e">
        <f t="shared" si="16"/>
        <v>#NUM!</v>
      </c>
      <c r="BA43" s="22">
        <f t="shared" si="19"/>
        <v>16.444574608560416</v>
      </c>
      <c r="BB43" s="22">
        <f t="shared" si="19"/>
        <v>39.20912611643233</v>
      </c>
      <c r="BD43">
        <f t="shared" si="5"/>
        <v>12.326547282745668</v>
      </c>
      <c r="BG43">
        <f t="shared" si="18"/>
        <v>18.633635296974159</v>
      </c>
      <c r="BH43">
        <f t="shared" si="18"/>
        <v>6.449041756192166</v>
      </c>
    </row>
    <row r="44" spans="1:95" x14ac:dyDescent="0.3">
      <c r="F44">
        <v>30</v>
      </c>
      <c r="G44" s="21"/>
      <c r="H44" s="21"/>
      <c r="I44" s="21"/>
      <c r="J44" s="21"/>
      <c r="K44" s="21"/>
      <c r="L44" s="22"/>
      <c r="M44" s="21"/>
      <c r="N44" s="23"/>
      <c r="O44" s="23"/>
      <c r="P44" s="24"/>
      <c r="Q44" s="24"/>
      <c r="R44" s="24"/>
      <c r="S44" s="25"/>
      <c r="T44" s="25"/>
      <c r="U44" s="26"/>
      <c r="V44" s="26"/>
      <c r="W44" s="27"/>
      <c r="X44" s="27"/>
      <c r="Z44" s="22"/>
      <c r="AA44" s="22"/>
      <c r="AC44">
        <v>30</v>
      </c>
      <c r="AE44" s="42">
        <f t="shared" si="6"/>
        <v>22.426633924947051</v>
      </c>
      <c r="AG44">
        <f t="shared" si="7"/>
        <v>22.426633924947051</v>
      </c>
      <c r="AH44" s="21">
        <f t="shared" si="8"/>
        <v>27.232771818085943</v>
      </c>
      <c r="AI44" s="21">
        <f t="shared" si="8"/>
        <v>35.296940138980389</v>
      </c>
      <c r="AJ44" s="21">
        <f t="shared" si="8"/>
        <v>27.577400193559672</v>
      </c>
      <c r="AK44" s="21">
        <f t="shared" si="8"/>
        <v>36.769445188552801</v>
      </c>
      <c r="AL44" s="21">
        <f t="shared" si="8"/>
        <v>11.715936744619292</v>
      </c>
      <c r="AM44" s="22"/>
      <c r="AN44" s="21">
        <f t="shared" si="9"/>
        <v>11.044471724688391</v>
      </c>
      <c r="AO44" s="23">
        <f t="shared" si="9"/>
        <v>7.0823081968553563</v>
      </c>
      <c r="AP44" s="23">
        <f>IF(Settings!$J$6&gt;69, 0.2*(AO44), 0)</f>
        <v>1.4164616393710714</v>
      </c>
      <c r="AQ44" s="24">
        <f t="shared" si="10"/>
        <v>29.377178753685669</v>
      </c>
      <c r="AR44" s="24">
        <f t="shared" si="10"/>
        <v>18.017761338521851</v>
      </c>
      <c r="AS44" s="24">
        <f t="shared" si="10"/>
        <v>31.987784548494197</v>
      </c>
      <c r="AT44" s="25">
        <f t="shared" si="11"/>
        <v>7.2622333449199168</v>
      </c>
      <c r="AU44" s="25">
        <f t="shared" si="12"/>
        <v>8.9279377192543539</v>
      </c>
      <c r="AV44" s="26">
        <f t="shared" si="13"/>
        <v>21.189624167917874</v>
      </c>
      <c r="AW44" s="26">
        <f t="shared" si="14"/>
        <v>18.35670088917573</v>
      </c>
      <c r="AX44" s="27" t="e">
        <f t="shared" si="15"/>
        <v>#NUM!</v>
      </c>
      <c r="AY44" s="27" t="e">
        <f t="shared" si="16"/>
        <v>#NUM!</v>
      </c>
      <c r="BA44" s="22">
        <f t="shared" si="19"/>
        <v>17.385794003426327</v>
      </c>
      <c r="BB44" s="22">
        <f t="shared" si="19"/>
        <v>40.317284670781248</v>
      </c>
      <c r="BD44">
        <f t="shared" si="5"/>
        <v>13.633571616781603</v>
      </c>
      <c r="BG44">
        <f t="shared" si="18"/>
        <v>18.897811800858022</v>
      </c>
      <c r="BH44">
        <f t="shared" si="18"/>
        <v>6.8172627658544904</v>
      </c>
    </row>
    <row r="45" spans="1:95" x14ac:dyDescent="0.3">
      <c r="F45">
        <v>31</v>
      </c>
      <c r="G45" s="21"/>
      <c r="H45" s="21"/>
      <c r="I45" s="21"/>
      <c r="J45" s="21"/>
      <c r="K45" s="21"/>
      <c r="L45" s="22"/>
      <c r="M45" s="21"/>
      <c r="N45" s="23"/>
      <c r="O45" s="23"/>
      <c r="P45" s="24"/>
      <c r="Q45" s="24"/>
      <c r="R45" s="24"/>
      <c r="S45" s="25"/>
      <c r="T45" s="25"/>
      <c r="U45" s="26"/>
      <c r="V45" s="26"/>
      <c r="W45" s="27"/>
      <c r="X45" s="27"/>
      <c r="Z45" s="22"/>
      <c r="AA45" s="22"/>
      <c r="AC45">
        <v>31</v>
      </c>
      <c r="AE45" s="42">
        <f t="shared" si="6"/>
        <v>23.585668651620018</v>
      </c>
      <c r="AG45">
        <f t="shared" si="7"/>
        <v>23.585668651620018</v>
      </c>
      <c r="AH45" s="21">
        <f t="shared" si="8"/>
        <v>30.04085673068996</v>
      </c>
      <c r="AI45" s="21">
        <f t="shared" si="8"/>
        <v>37.244336754311128</v>
      </c>
      <c r="AJ45" s="21">
        <f t="shared" si="8"/>
        <v>30.080986687934438</v>
      </c>
      <c r="AK45" s="21">
        <f t="shared" si="8"/>
        <v>38.769056430692864</v>
      </c>
      <c r="AL45" s="21">
        <f t="shared" si="8"/>
        <v>12.709831055371939</v>
      </c>
      <c r="AM45" s="22"/>
      <c r="AN45" s="21">
        <f t="shared" si="9"/>
        <v>11.839721045940738</v>
      </c>
      <c r="AO45" s="23">
        <f t="shared" si="9"/>
        <v>7.5279049324529455</v>
      </c>
      <c r="AP45" s="23">
        <f>IF(Settings!$J$6&gt;69, 0.2*(AO45), 0)</f>
        <v>1.5055809864905891</v>
      </c>
      <c r="AQ45" s="24">
        <f t="shared" si="10"/>
        <v>30.749644921005004</v>
      </c>
      <c r="AR45" s="24">
        <f t="shared" si="10"/>
        <v>18.934720387657812</v>
      </c>
      <c r="AS45" s="24">
        <f t="shared" si="10"/>
        <v>33.750872052684883</v>
      </c>
      <c r="AT45" s="25">
        <f t="shared" si="11"/>
        <v>7.6220615519872235</v>
      </c>
      <c r="AU45" s="25">
        <f t="shared" si="12"/>
        <v>9.4398996215043329</v>
      </c>
      <c r="AV45" s="26">
        <f t="shared" si="13"/>
        <v>22.386120843382038</v>
      </c>
      <c r="AW45" s="26">
        <f t="shared" si="14"/>
        <v>19.37495887040086</v>
      </c>
      <c r="AX45" s="27" t="e">
        <f t="shared" si="15"/>
        <v>#NUM!</v>
      </c>
      <c r="AY45" s="27" t="e">
        <f t="shared" si="16"/>
        <v>#NUM!</v>
      </c>
      <c r="BA45" s="22">
        <f t="shared" si="19"/>
        <v>18.323280589537937</v>
      </c>
      <c r="BB45" s="22">
        <f t="shared" si="19"/>
        <v>41.419050596254841</v>
      </c>
      <c r="BD45">
        <f t="shared" si="5"/>
        <v>15.079184038022913</v>
      </c>
      <c r="BG45">
        <f t="shared" si="18"/>
        <v>19.121768314842829</v>
      </c>
      <c r="BH45">
        <f t="shared" si="18"/>
        <v>7.1933644535147607</v>
      </c>
    </row>
    <row r="46" spans="1:95" x14ac:dyDescent="0.3">
      <c r="F46">
        <v>32</v>
      </c>
      <c r="G46" s="21"/>
      <c r="H46" s="21"/>
      <c r="I46" s="21"/>
      <c r="J46" s="21"/>
      <c r="K46" s="21"/>
      <c r="L46" s="22"/>
      <c r="M46" s="21"/>
      <c r="N46" s="23"/>
      <c r="O46" s="23"/>
      <c r="P46" s="24"/>
      <c r="Q46" s="24"/>
      <c r="R46" s="24"/>
      <c r="S46" s="25"/>
      <c r="T46" s="25"/>
      <c r="U46" s="26"/>
      <c r="V46" s="26"/>
      <c r="W46" s="27"/>
      <c r="X46" s="27"/>
      <c r="Z46" s="22"/>
      <c r="AA46" s="22"/>
      <c r="AC46">
        <v>32</v>
      </c>
      <c r="AE46" s="42">
        <f t="shared" si="6"/>
        <v>24.804603651429346</v>
      </c>
      <c r="AG46">
        <f t="shared" si="7"/>
        <v>24.804603651429346</v>
      </c>
      <c r="AH46" s="21">
        <f t="shared" si="8"/>
        <v>32.98629130156386</v>
      </c>
      <c r="AI46" s="21">
        <f t="shared" si="8"/>
        <v>39.260290767631062</v>
      </c>
      <c r="AJ46" s="21">
        <f t="shared" si="8"/>
        <v>32.725184562473494</v>
      </c>
      <c r="AK46" s="21">
        <f t="shared" si="8"/>
        <v>40.835833197465838</v>
      </c>
      <c r="AL46" s="21">
        <f t="shared" si="8"/>
        <v>13.730961372990933</v>
      </c>
      <c r="AM46" s="22"/>
      <c r="AN46" s="21">
        <f t="shared" si="9"/>
        <v>12.674525220354132</v>
      </c>
      <c r="AO46" s="23">
        <f t="shared" si="9"/>
        <v>7.9942523377697237</v>
      </c>
      <c r="AP46" s="23">
        <f>IF(Settings!$J$6&gt;69, 0.2*(AO46), 0)</f>
        <v>1.5988504675539448</v>
      </c>
      <c r="AQ46" s="24">
        <f t="shared" si="10"/>
        <v>32.157580491466454</v>
      </c>
      <c r="AR46" s="24">
        <f t="shared" si="10"/>
        <v>19.86875737310989</v>
      </c>
      <c r="AS46" s="24">
        <f t="shared" si="10"/>
        <v>35.492209289109397</v>
      </c>
      <c r="AT46" s="25">
        <f t="shared" si="11"/>
        <v>7.9918154890745221</v>
      </c>
      <c r="AU46" s="25">
        <f t="shared" si="12"/>
        <v>9.9682295496368738</v>
      </c>
      <c r="AV46" s="26">
        <f t="shared" si="13"/>
        <v>23.627271552700392</v>
      </c>
      <c r="AW46" s="26">
        <f t="shared" si="14"/>
        <v>20.429570617592503</v>
      </c>
      <c r="AX46" s="27" t="e">
        <f t="shared" si="15"/>
        <v>#NUM!</v>
      </c>
      <c r="AY46" s="27" t="e">
        <f t="shared" si="16"/>
        <v>#NUM!</v>
      </c>
      <c r="BA46" s="22">
        <f t="shared" si="19"/>
        <v>19.250755184580534</v>
      </c>
      <c r="BB46" s="22">
        <f t="shared" si="19"/>
        <v>42.511285962417119</v>
      </c>
      <c r="BD46">
        <f t="shared" ref="BD46:BD77" si="20">$BE$4*AE46^2</f>
        <v>16.678079496988136</v>
      </c>
      <c r="BG46">
        <f t="shared" ref="BG46:BH69" si="21">BG$4*(1-EXP(-BG$5*$AG46))^BG$6</f>
        <v>19.309102206217045</v>
      </c>
      <c r="BH46">
        <f t="shared" si="21"/>
        <v>7.5760417980016665</v>
      </c>
    </row>
    <row r="47" spans="1:95" x14ac:dyDescent="0.3">
      <c r="F47">
        <v>33</v>
      </c>
      <c r="G47" s="21"/>
      <c r="H47" s="21"/>
      <c r="I47" s="21"/>
      <c r="J47" s="21"/>
      <c r="K47" s="21"/>
      <c r="L47" s="22"/>
      <c r="M47" s="21"/>
      <c r="N47" s="23"/>
      <c r="O47" s="23"/>
      <c r="P47" s="24"/>
      <c r="Q47" s="24"/>
      <c r="R47" s="24"/>
      <c r="S47" s="25"/>
      <c r="T47" s="25"/>
      <c r="U47" s="26"/>
      <c r="V47" s="26"/>
      <c r="W47" s="27"/>
      <c r="X47" s="27"/>
      <c r="Z47" s="22"/>
      <c r="AA47" s="22"/>
      <c r="AC47">
        <v>33</v>
      </c>
      <c r="AE47" s="42">
        <f t="shared" si="6"/>
        <v>26.08653464069765</v>
      </c>
      <c r="AG47">
        <f t="shared" si="7"/>
        <v>26.08653464069765</v>
      </c>
      <c r="AH47" s="21">
        <f t="shared" ref="AH47:AL84" si="22">AH$4*(1-EXP(-AH$5*$AG47))^AH$6</f>
        <v>36.052454805144059</v>
      </c>
      <c r="AI47" s="21">
        <f t="shared" si="22"/>
        <v>41.342903477285823</v>
      </c>
      <c r="AJ47" s="21">
        <f t="shared" si="22"/>
        <v>35.505314991753629</v>
      </c>
      <c r="AK47" s="21">
        <f t="shared" si="22"/>
        <v>42.967453655470671</v>
      </c>
      <c r="AL47" s="21">
        <f t="shared" si="22"/>
        <v>14.772339667244164</v>
      </c>
      <c r="AM47" s="22"/>
      <c r="AN47" s="21">
        <f t="shared" ref="AN47:AO84" si="23">AN$4*(1-EXP(-AN$5*$AG47))^AN$6</f>
        <v>13.548590086684092</v>
      </c>
      <c r="AO47" s="23">
        <f t="shared" si="23"/>
        <v>8.4814518149140614</v>
      </c>
      <c r="AP47" s="23">
        <f>IF(Settings!$J$6&gt;69, 0.2*(AO47), 0)</f>
        <v>1.6962903629828123</v>
      </c>
      <c r="AQ47" s="24">
        <f t="shared" ref="AQ47:AS84" si="24">AQ$4*(1-EXP(-AQ$5*$AG47))^AQ$6</f>
        <v>33.598967807065634</v>
      </c>
      <c r="AR47" s="24">
        <f t="shared" si="24"/>
        <v>20.817045309708174</v>
      </c>
      <c r="AS47" s="24">
        <f t="shared" si="24"/>
        <v>37.199414598937942</v>
      </c>
      <c r="AT47" s="25">
        <f t="shared" si="11"/>
        <v>8.3709371282458314</v>
      </c>
      <c r="AU47" s="25">
        <f t="shared" si="12"/>
        <v>10.51198345977644</v>
      </c>
      <c r="AV47" s="26">
        <f t="shared" si="13"/>
        <v>24.912177646099941</v>
      </c>
      <c r="AW47" s="26">
        <f t="shared" si="14"/>
        <v>21.519596920134319</v>
      </c>
      <c r="AX47" s="27" t="e">
        <f t="shared" si="15"/>
        <v>#NUM!</v>
      </c>
      <c r="AY47" s="27" t="e">
        <f t="shared" si="16"/>
        <v>#NUM!</v>
      </c>
      <c r="BA47" s="22">
        <f t="shared" si="19"/>
        <v>20.161922126046239</v>
      </c>
      <c r="BB47" s="22">
        <f t="shared" si="19"/>
        <v>43.590773131102416</v>
      </c>
      <c r="BD47">
        <f t="shared" si="20"/>
        <v>18.44651109811155</v>
      </c>
      <c r="BG47">
        <f t="shared" si="21"/>
        <v>19.463656524694372</v>
      </c>
      <c r="BH47">
        <f t="shared" si="21"/>
        <v>7.9638493614440495</v>
      </c>
    </row>
    <row r="48" spans="1:95" x14ac:dyDescent="0.3">
      <c r="F48">
        <v>34</v>
      </c>
      <c r="G48" s="21"/>
      <c r="H48" s="21"/>
      <c r="I48" s="21"/>
      <c r="J48" s="21"/>
      <c r="K48" s="21"/>
      <c r="L48" s="22"/>
      <c r="M48" s="21"/>
      <c r="N48" s="23"/>
      <c r="O48" s="23"/>
      <c r="P48" s="24"/>
      <c r="Q48" s="24"/>
      <c r="R48" s="24"/>
      <c r="S48" s="25"/>
      <c r="T48" s="25"/>
      <c r="U48" s="26"/>
      <c r="V48" s="26"/>
      <c r="W48" s="27"/>
      <c r="X48" s="27"/>
      <c r="Z48" s="22"/>
      <c r="AA48" s="22"/>
      <c r="AC48">
        <v>34</v>
      </c>
      <c r="AE48" s="42">
        <f t="shared" si="6"/>
        <v>27.434717325995447</v>
      </c>
      <c r="AG48">
        <f t="shared" si="7"/>
        <v>27.434717325995447</v>
      </c>
      <c r="AH48" s="21">
        <f t="shared" si="22"/>
        <v>39.219431372798979</v>
      </c>
      <c r="AI48" s="21">
        <f t="shared" si="22"/>
        <v>43.489714897178992</v>
      </c>
      <c r="AJ48" s="21">
        <f t="shared" si="22"/>
        <v>38.414661656525318</v>
      </c>
      <c r="AK48" s="21">
        <f t="shared" si="22"/>
        <v>45.1610097516377</v>
      </c>
      <c r="AL48" s="21">
        <f t="shared" si="22"/>
        <v>15.826289553060844</v>
      </c>
      <c r="AM48" s="22"/>
      <c r="AN48" s="21">
        <f t="shared" si="23"/>
        <v>14.461289199591</v>
      </c>
      <c r="AO48" s="23">
        <f t="shared" si="23"/>
        <v>8.9894893220936911</v>
      </c>
      <c r="AP48" s="23">
        <f>IF(Settings!$J$6&gt;69, 0.2*(AO48), 0)</f>
        <v>1.7978978644187382</v>
      </c>
      <c r="AQ48" s="24">
        <f t="shared" si="24"/>
        <v>35.071453989760712</v>
      </c>
      <c r="AR48" s="24">
        <f t="shared" si="24"/>
        <v>21.776470479635925</v>
      </c>
      <c r="AS48" s="24">
        <f t="shared" si="24"/>
        <v>38.860437679987349</v>
      </c>
      <c r="AT48" s="25">
        <f t="shared" si="11"/>
        <v>8.7587707452176495</v>
      </c>
      <c r="AU48" s="25">
        <f t="shared" si="12"/>
        <v>11.070033801568348</v>
      </c>
      <c r="AV48" s="26">
        <f t="shared" si="13"/>
        <v>26.239602109636341</v>
      </c>
      <c r="AW48" s="26">
        <f t="shared" si="14"/>
        <v>22.643806380798864</v>
      </c>
      <c r="AX48" s="27" t="e">
        <f t="shared" si="15"/>
        <v>#NUM!</v>
      </c>
      <c r="AY48" s="27" t="e">
        <f t="shared" si="16"/>
        <v>#NUM!</v>
      </c>
      <c r="BA48" s="22">
        <f t="shared" si="19"/>
        <v>21.050605265734728</v>
      </c>
      <c r="BB48" s="22">
        <f t="shared" si="19"/>
        <v>44.654241584580433</v>
      </c>
      <c r="BD48">
        <f t="shared" si="20"/>
        <v>20.402455315925447</v>
      </c>
      <c r="BG48">
        <f t="shared" si="21"/>
        <v>19.589366510855758</v>
      </c>
      <c r="BH48">
        <f t="shared" si="21"/>
        <v>8.3552110749770776</v>
      </c>
    </row>
    <row r="49" spans="1:97" x14ac:dyDescent="0.3">
      <c r="F49">
        <v>35</v>
      </c>
      <c r="G49" s="21"/>
      <c r="H49" s="21"/>
      <c r="I49" s="21"/>
      <c r="J49" s="21"/>
      <c r="K49" s="21"/>
      <c r="L49" s="22"/>
      <c r="M49" s="21"/>
      <c r="N49" s="23"/>
      <c r="O49" s="23"/>
      <c r="P49" s="24"/>
      <c r="Q49" s="24"/>
      <c r="R49" s="24"/>
      <c r="S49" s="25"/>
      <c r="T49" s="25"/>
      <c r="U49" s="26"/>
      <c r="V49" s="26"/>
      <c r="W49" s="27"/>
      <c r="X49" s="27"/>
      <c r="Z49" s="22"/>
      <c r="AA49" s="22"/>
      <c r="AC49">
        <v>35</v>
      </c>
      <c r="AE49" s="42">
        <f t="shared" si="6"/>
        <v>28.852575672624699</v>
      </c>
      <c r="AG49">
        <f t="shared" si="7"/>
        <v>28.852575672624699</v>
      </c>
      <c r="AH49" s="21">
        <f t="shared" si="22"/>
        <v>42.464281685598081</v>
      </c>
      <c r="AI49" s="21">
        <f t="shared" si="22"/>
        <v>45.697671401480541</v>
      </c>
      <c r="AJ49" s="21">
        <f t="shared" si="22"/>
        <v>41.444376710175995</v>
      </c>
      <c r="AK49" s="21">
        <f t="shared" si="22"/>
        <v>47.412978148101232</v>
      </c>
      <c r="AL49" s="21">
        <f t="shared" si="22"/>
        <v>16.884598762056953</v>
      </c>
      <c r="AM49" s="22"/>
      <c r="AN49" s="21">
        <f t="shared" si="23"/>
        <v>15.411634550561224</v>
      </c>
      <c r="AO49" s="23">
        <f t="shared" si="23"/>
        <v>9.5182226766461238</v>
      </c>
      <c r="AP49" s="23">
        <f>IF(Settings!$J$6&gt;69, 0.2*(AO49), 0)</f>
        <v>1.9036445353292248</v>
      </c>
      <c r="AQ49" s="24">
        <f t="shared" si="24"/>
        <v>36.572341281060993</v>
      </c>
      <c r="AR49" s="24">
        <f t="shared" si="24"/>
        <v>22.743648907615388</v>
      </c>
      <c r="AS49" s="24">
        <f t="shared" si="24"/>
        <v>40.463845156240261</v>
      </c>
      <c r="AT49" s="25">
        <f t="shared" si="11"/>
        <v>9.1545601508545627</v>
      </c>
      <c r="AU49" s="25">
        <f t="shared" si="12"/>
        <v>11.641065127757885</v>
      </c>
      <c r="AV49" s="26">
        <f t="shared" si="13"/>
        <v>27.607947039063333</v>
      </c>
      <c r="AW49" s="26">
        <f t="shared" si="14"/>
        <v>23.800657968404884</v>
      </c>
      <c r="AX49" s="27" t="e">
        <f t="shared" si="15"/>
        <v>#NUM!</v>
      </c>
      <c r="AY49" s="27" t="e">
        <f t="shared" si="16"/>
        <v>#NUM!</v>
      </c>
      <c r="BA49" s="22">
        <f t="shared" si="19"/>
        <v>21.91088730933167</v>
      </c>
      <c r="BB49" s="22">
        <f t="shared" si="19"/>
        <v>45.698398109701458</v>
      </c>
      <c r="BD49">
        <f t="shared" si="20"/>
        <v>22.565794729657497</v>
      </c>
      <c r="BG49">
        <f t="shared" si="21"/>
        <v>19.690123435577181</v>
      </c>
      <c r="BH49">
        <f t="shared" si="21"/>
        <v>8.748433731462983</v>
      </c>
    </row>
    <row r="50" spans="1:97" x14ac:dyDescent="0.3">
      <c r="F50">
        <v>36</v>
      </c>
      <c r="G50" s="21"/>
      <c r="H50" s="21"/>
      <c r="I50" s="21"/>
      <c r="J50" s="21"/>
      <c r="K50" s="21"/>
      <c r="L50" s="22"/>
      <c r="M50" s="21"/>
      <c r="N50" s="23"/>
      <c r="O50" s="23"/>
      <c r="P50" s="24"/>
      <c r="Q50" s="24"/>
      <c r="R50" s="24"/>
      <c r="S50" s="25"/>
      <c r="T50" s="25"/>
      <c r="U50" s="26"/>
      <c r="V50" s="26"/>
      <c r="W50" s="27"/>
      <c r="X50" s="27"/>
      <c r="Z50" s="22"/>
      <c r="AA50" s="22"/>
      <c r="AC50">
        <v>36</v>
      </c>
      <c r="AE50" s="42">
        <f t="shared" si="6"/>
        <v>30.343710600427304</v>
      </c>
      <c r="AG50">
        <f t="shared" si="7"/>
        <v>30.343710600427304</v>
      </c>
      <c r="AH50" s="21">
        <f t="shared" si="22"/>
        <v>45.761452596842652</v>
      </c>
      <c r="AI50" s="21">
        <f t="shared" si="22"/>
        <v>47.96309784244184</v>
      </c>
      <c r="AJ50" s="21">
        <f t="shared" si="22"/>
        <v>44.583430603326036</v>
      </c>
      <c r="AK50" s="21">
        <f t="shared" si="22"/>
        <v>49.719196534460075</v>
      </c>
      <c r="AL50" s="21">
        <f t="shared" si="22"/>
        <v>17.938701447182645</v>
      </c>
      <c r="AM50" s="22"/>
      <c r="AN50" s="21">
        <f t="shared" si="23"/>
        <v>16.398249758637462</v>
      </c>
      <c r="AO50" s="23">
        <f t="shared" si="23"/>
        <v>10.06736891921727</v>
      </c>
      <c r="AP50" s="23">
        <f>IF(Settings!$J$6&gt;69, 0.2*(AO50), 0)</f>
        <v>2.013473783843454</v>
      </c>
      <c r="AQ50" s="24">
        <f t="shared" si="24"/>
        <v>38.098580899482805</v>
      </c>
      <c r="AR50" s="24">
        <f t="shared" si="24"/>
        <v>23.714949524791656</v>
      </c>
      <c r="AS50" s="24">
        <f t="shared" si="24"/>
        <v>41.999097122325125</v>
      </c>
      <c r="AT50" s="25">
        <f t="shared" si="11"/>
        <v>9.5574470340239781</v>
      </c>
      <c r="AU50" s="25">
        <f t="shared" si="12"/>
        <v>12.223572342888975</v>
      </c>
      <c r="AV50" s="26">
        <f t="shared" si="13"/>
        <v>29.015233380829557</v>
      </c>
      <c r="AW50" s="26">
        <f t="shared" si="14"/>
        <v>24.988285813142646</v>
      </c>
      <c r="AX50" s="27" t="e">
        <f t="shared" si="15"/>
        <v>#NUM!</v>
      </c>
      <c r="AY50" s="27" t="e">
        <f t="shared" si="16"/>
        <v>#NUM!</v>
      </c>
      <c r="BA50" s="22">
        <f t="shared" si="19"/>
        <v>22.737247246229863</v>
      </c>
      <c r="BB50" s="22">
        <f t="shared" si="19"/>
        <v>46.719960142243579</v>
      </c>
      <c r="BD50">
        <f t="shared" si="20"/>
        <v>24.958520133778343</v>
      </c>
      <c r="BG50">
        <f t="shared" si="21"/>
        <v>19.769660297980526</v>
      </c>
      <c r="BH50">
        <f t="shared" si="21"/>
        <v>9.1417242657333304</v>
      </c>
      <c r="CQ50" s="36"/>
    </row>
    <row r="51" spans="1:97" x14ac:dyDescent="0.3">
      <c r="F51">
        <v>37</v>
      </c>
      <c r="G51" s="21"/>
      <c r="H51" s="21"/>
      <c r="I51" s="21"/>
      <c r="J51" s="21"/>
      <c r="K51" s="21"/>
      <c r="L51" s="22"/>
      <c r="M51" s="21"/>
      <c r="N51" s="23"/>
      <c r="O51" s="23"/>
      <c r="P51" s="24"/>
      <c r="Q51" s="24"/>
      <c r="R51" s="24"/>
      <c r="S51" s="25"/>
      <c r="T51" s="25"/>
      <c r="U51" s="26"/>
      <c r="V51" s="26"/>
      <c r="W51" s="27"/>
      <c r="X51" s="27"/>
      <c r="Z51" s="22"/>
      <c r="AA51" s="22"/>
      <c r="AC51">
        <v>37</v>
      </c>
      <c r="AE51" s="42">
        <f t="shared" si="6"/>
        <v>31.911909129003085</v>
      </c>
      <c r="AG51">
        <f t="shared" si="7"/>
        <v>31.911909129003085</v>
      </c>
      <c r="AH51" s="21">
        <f t="shared" si="22"/>
        <v>49.083318663641904</v>
      </c>
      <c r="AI51" s="21">
        <f t="shared" si="22"/>
        <v>50.281675341206835</v>
      </c>
      <c r="AJ51" s="21">
        <f t="shared" si="22"/>
        <v>47.818613707666557</v>
      </c>
      <c r="AK51" s="21">
        <f t="shared" si="22"/>
        <v>52.074846569828637</v>
      </c>
      <c r="AL51" s="21">
        <f t="shared" si="22"/>
        <v>18.979884461267662</v>
      </c>
      <c r="AM51" s="22"/>
      <c r="AN51" s="21">
        <f t="shared" si="23"/>
        <v>17.419346739904181</v>
      </c>
      <c r="AO51" s="23">
        <f t="shared" si="23"/>
        <v>10.636491981459834</v>
      </c>
      <c r="AP51" s="23">
        <f>IF(Settings!$J$6&gt;69, 0.2*(AO51), 0)</f>
        <v>2.1272983962919669</v>
      </c>
      <c r="AQ51" s="24">
        <f t="shared" si="24"/>
        <v>39.646771031740641</v>
      </c>
      <c r="AR51" s="24">
        <f t="shared" si="24"/>
        <v>24.686524299863809</v>
      </c>
      <c r="AS51" s="24">
        <f t="shared" si="24"/>
        <v>43.456802827107111</v>
      </c>
      <c r="AT51" s="25">
        <f t="shared" si="11"/>
        <v>9.9664706066512636</v>
      </c>
      <c r="AU51" s="25">
        <f t="shared" si="12"/>
        <v>12.815862003413343</v>
      </c>
      <c r="AV51" s="26">
        <f t="shared" si="13"/>
        <v>30.459083661333334</v>
      </c>
      <c r="AW51" s="26">
        <f t="shared" si="14"/>
        <v>26.204486868749402</v>
      </c>
      <c r="AX51" s="27" t="e">
        <f t="shared" si="15"/>
        <v>#NUM!</v>
      </c>
      <c r="AY51" s="27" t="e">
        <f t="shared" si="16"/>
        <v>#NUM!</v>
      </c>
      <c r="BA51" s="22">
        <f t="shared" si="19"/>
        <v>23.524690320350476</v>
      </c>
      <c r="BB51" s="22">
        <f t="shared" si="19"/>
        <v>47.715691963388295</v>
      </c>
      <c r="BD51">
        <f t="shared" si="20"/>
        <v>27.60495407899484</v>
      </c>
      <c r="BG51">
        <f t="shared" si="21"/>
        <v>19.831461963497755</v>
      </c>
      <c r="BH51">
        <f t="shared" si="21"/>
        <v>9.5332107819023157</v>
      </c>
      <c r="CQ51" s="36"/>
    </row>
    <row r="52" spans="1:97" x14ac:dyDescent="0.3">
      <c r="F52">
        <v>38</v>
      </c>
      <c r="G52" s="21"/>
      <c r="H52" s="21"/>
      <c r="I52" s="21"/>
      <c r="J52" s="21"/>
      <c r="K52" s="21"/>
      <c r="L52" s="22"/>
      <c r="M52" s="21"/>
      <c r="N52" s="23"/>
      <c r="O52" s="23"/>
      <c r="P52" s="24"/>
      <c r="Q52" s="24"/>
      <c r="R52" s="24"/>
      <c r="S52" s="25"/>
      <c r="T52" s="25"/>
      <c r="U52" s="26"/>
      <c r="V52" s="26"/>
      <c r="W52" s="27"/>
      <c r="X52" s="27"/>
      <c r="Z52" s="22"/>
      <c r="AA52" s="22"/>
      <c r="AC52">
        <v>38</v>
      </c>
      <c r="AE52" s="42">
        <f t="shared" si="6"/>
        <v>33.561153995563402</v>
      </c>
      <c r="AG52">
        <f t="shared" si="7"/>
        <v>33.561153995563402</v>
      </c>
      <c r="AH52" s="21">
        <f t="shared" si="22"/>
        <v>52.400840975709691</v>
      </c>
      <c r="AI52" s="21">
        <f t="shared" si="22"/>
        <v>52.648426017876133</v>
      </c>
      <c r="AJ52" s="21">
        <f t="shared" si="22"/>
        <v>51.1345967164294</v>
      </c>
      <c r="AK52" s="21">
        <f t="shared" si="22"/>
        <v>54.474444754311648</v>
      </c>
      <c r="AL52" s="21">
        <f t="shared" si="22"/>
        <v>19.999509864457593</v>
      </c>
      <c r="AM52" s="22"/>
      <c r="AN52" s="21">
        <f t="shared" si="23"/>
        <v>18.472706939610191</v>
      </c>
      <c r="AO52" s="23">
        <f t="shared" si="23"/>
        <v>11.224990936315711</v>
      </c>
      <c r="AP52" s="23">
        <f>IF(Settings!$J$6&gt;69, 0.2*(AO52), 0)</f>
        <v>2.2449981872631422</v>
      </c>
      <c r="AQ52" s="24">
        <f t="shared" si="24"/>
        <v>41.213159579395381</v>
      </c>
      <c r="AR52" s="24">
        <f t="shared" si="24"/>
        <v>25.654345439210111</v>
      </c>
      <c r="AS52" s="24">
        <f t="shared" si="24"/>
        <v>44.828944069761832</v>
      </c>
      <c r="AT52" s="25">
        <f t="shared" si="11"/>
        <v>10.380568741342602</v>
      </c>
      <c r="AU52" s="25">
        <f t="shared" si="12"/>
        <v>13.416057061489964</v>
      </c>
      <c r="AV52" s="26">
        <f t="shared" si="13"/>
        <v>31.936708477095923</v>
      </c>
      <c r="AW52" s="26">
        <f t="shared" si="14"/>
        <v>27.446712102569638</v>
      </c>
      <c r="AX52" s="27" t="e">
        <f t="shared" si="15"/>
        <v>#NUM!</v>
      </c>
      <c r="AY52" s="27" t="e">
        <f t="shared" si="16"/>
        <v>#NUM!</v>
      </c>
      <c r="BA52" s="22">
        <f t="shared" si="19"/>
        <v>24.268865004077206</v>
      </c>
      <c r="BB52" s="22">
        <f t="shared" si="19"/>
        <v>48.682443318257313</v>
      </c>
      <c r="BD52">
        <f t="shared" si="20"/>
        <v>30.531998116029861</v>
      </c>
      <c r="BG52">
        <f t="shared" si="21"/>
        <v>19.878700490853088</v>
      </c>
      <c r="BH52">
        <f t="shared" si="21"/>
        <v>9.9209671485097743</v>
      </c>
    </row>
    <row r="53" spans="1:97" ht="15" customHeight="1" x14ac:dyDescent="0.3">
      <c r="A53" s="46"/>
      <c r="F53">
        <v>39</v>
      </c>
      <c r="G53" s="21"/>
      <c r="H53" s="21"/>
      <c r="I53" s="21"/>
      <c r="J53" s="21"/>
      <c r="K53" s="21"/>
      <c r="L53" s="22"/>
      <c r="M53" s="21"/>
      <c r="N53" s="23"/>
      <c r="O53" s="23"/>
      <c r="P53" s="24"/>
      <c r="Q53" s="24"/>
      <c r="R53" s="24"/>
      <c r="S53" s="25"/>
      <c r="T53" s="25"/>
      <c r="U53" s="26"/>
      <c r="V53" s="26"/>
      <c r="W53" s="27"/>
      <c r="X53" s="27"/>
      <c r="Z53" s="22"/>
      <c r="AA53" s="22"/>
      <c r="AC53">
        <v>39</v>
      </c>
      <c r="AE53" s="42">
        <f t="shared" si="6"/>
        <v>35.295633769846724</v>
      </c>
      <c r="AG53">
        <f t="shared" si="7"/>
        <v>35.295633769846724</v>
      </c>
      <c r="AH53" s="21">
        <f t="shared" si="22"/>
        <v>55.68432014463238</v>
      </c>
      <c r="AI53" s="21">
        <f t="shared" si="22"/>
        <v>55.05770596739287</v>
      </c>
      <c r="AJ53" s="21">
        <f t="shared" si="22"/>
        <v>54.514055299068282</v>
      </c>
      <c r="AK53" s="21">
        <f t="shared" si="22"/>
        <v>56.911842545218562</v>
      </c>
      <c r="AL53" s="21">
        <f t="shared" si="22"/>
        <v>20.989244375919419</v>
      </c>
      <c r="AM53" s="22"/>
      <c r="AN53" s="21">
        <f t="shared" si="23"/>
        <v>19.555668260763149</v>
      </c>
      <c r="AO53" s="23">
        <f t="shared" si="23"/>
        <v>11.83208914594176</v>
      </c>
      <c r="AP53" s="23">
        <f>IF(Settings!$J$6&gt;69, 0.2*(AO53), 0)</f>
        <v>2.366417829188352</v>
      </c>
      <c r="AQ53" s="24">
        <f t="shared" si="24"/>
        <v>42.793652271263902</v>
      </c>
      <c r="AR53" s="24">
        <f t="shared" si="24"/>
        <v>26.614249546854506</v>
      </c>
      <c r="AS53" s="24">
        <f t="shared" si="24"/>
        <v>46.109056027908807</v>
      </c>
      <c r="AT53" s="25">
        <f t="shared" si="11"/>
        <v>10.798580785456407</v>
      </c>
      <c r="AU53" s="25">
        <f t="shared" si="12"/>
        <v>14.022105406999696</v>
      </c>
      <c r="AV53" s="26">
        <f t="shared" si="13"/>
        <v>33.444897556667314</v>
      </c>
      <c r="AW53" s="26">
        <f t="shared" si="14"/>
        <v>28.71206189829061</v>
      </c>
      <c r="AX53" s="27" t="e">
        <f t="shared" si="15"/>
        <v>#NUM!</v>
      </c>
      <c r="AY53" s="27" t="e">
        <f t="shared" si="16"/>
        <v>#NUM!</v>
      </c>
      <c r="BA53" s="22">
        <f t="shared" si="19"/>
        <v>24.966161781886672</v>
      </c>
      <c r="BB53" s="22">
        <f t="shared" si="19"/>
        <v>49.617189897732821</v>
      </c>
      <c r="BD53">
        <f t="shared" si="20"/>
        <v>33.769406255472916</v>
      </c>
      <c r="BG53">
        <f t="shared" si="21"/>
        <v>19.914194796241521</v>
      </c>
      <c r="BH53">
        <f t="shared" si="21"/>
        <v>10.303040829620913</v>
      </c>
      <c r="BN53" s="209"/>
      <c r="BO53" s="210"/>
      <c r="BP53" s="209"/>
      <c r="BQ53" s="215"/>
      <c r="CE53" s="209"/>
      <c r="CF53" s="210"/>
      <c r="CR53" s="209"/>
      <c r="CS53" s="210"/>
    </row>
    <row r="54" spans="1:97" x14ac:dyDescent="0.3">
      <c r="F54">
        <v>40</v>
      </c>
      <c r="G54" s="21"/>
      <c r="H54" s="21"/>
      <c r="I54" s="21"/>
      <c r="J54" s="21"/>
      <c r="K54" s="21"/>
      <c r="L54" s="22"/>
      <c r="M54" s="21"/>
      <c r="N54" s="23"/>
      <c r="O54" s="23"/>
      <c r="P54" s="24"/>
      <c r="Q54" s="24"/>
      <c r="R54" s="24"/>
      <c r="S54" s="25"/>
      <c r="T54" s="25"/>
      <c r="U54" s="26"/>
      <c r="V54" s="26"/>
      <c r="W54" s="27"/>
      <c r="X54" s="27"/>
      <c r="Z54" s="22"/>
      <c r="AA54" s="22"/>
      <c r="AC54">
        <v>40</v>
      </c>
      <c r="AE54" s="42">
        <f t="shared" si="6"/>
        <v>37.119753491784877</v>
      </c>
      <c r="AG54">
        <f t="shared" si="7"/>
        <v>37.119753491784877</v>
      </c>
      <c r="AH54" s="21">
        <f t="shared" si="22"/>
        <v>58.904212601678374</v>
      </c>
      <c r="AI54" s="21">
        <f t="shared" si="22"/>
        <v>57.503207794796147</v>
      </c>
      <c r="AJ54" s="21">
        <f t="shared" si="22"/>
        <v>57.937862443014545</v>
      </c>
      <c r="AK54" s="21">
        <f t="shared" si="22"/>
        <v>59.380237009944835</v>
      </c>
      <c r="AL54" s="21">
        <f t="shared" si="22"/>
        <v>21.941285453374327</v>
      </c>
      <c r="AM54" s="22"/>
      <c r="AN54" s="21">
        <f t="shared" si="23"/>
        <v>20.665118840233934</v>
      </c>
      <c r="AO54" s="23">
        <f t="shared" si="23"/>
        <v>12.456824656183485</v>
      </c>
      <c r="AP54" s="23">
        <f>IF(Settings!$J$6&gt;69, 0.2*(AO54), 0)</f>
        <v>2.4913649312366974</v>
      </c>
      <c r="AQ54" s="24">
        <f t="shared" si="24"/>
        <v>44.383826719842503</v>
      </c>
      <c r="AR54" s="24">
        <f t="shared" si="24"/>
        <v>27.561988393499391</v>
      </c>
      <c r="AS54" s="24">
        <f t="shared" si="24"/>
        <v>47.292357087001044</v>
      </c>
      <c r="AT54" s="25">
        <f t="shared" si="11"/>
        <v>11.219252221949404</v>
      </c>
      <c r="AU54" s="25">
        <f t="shared" si="12"/>
        <v>14.631792504710454</v>
      </c>
      <c r="AV54" s="26">
        <f t="shared" si="13"/>
        <v>34.98001622548982</v>
      </c>
      <c r="AW54" s="26">
        <f t="shared" si="14"/>
        <v>29.997286363016421</v>
      </c>
      <c r="AX54" s="27" t="e">
        <f t="shared" si="15"/>
        <v>#NUM!</v>
      </c>
      <c r="AY54" s="27" t="e">
        <f t="shared" si="16"/>
        <v>#NUM!</v>
      </c>
      <c r="BA54" s="22">
        <f t="shared" si="19"/>
        <v>25.613789230177986</v>
      </c>
      <c r="BB54" s="22">
        <f t="shared" si="19"/>
        <v>50.517074993365092</v>
      </c>
      <c r="BD54">
        <f t="shared" si="20"/>
        <v>37.35008742347776</v>
      </c>
      <c r="BG54">
        <f t="shared" si="21"/>
        <v>19.940392512631519</v>
      </c>
      <c r="BH54">
        <f t="shared" si="21"/>
        <v>10.677483459187972</v>
      </c>
    </row>
    <row r="55" spans="1:97" x14ac:dyDescent="0.3">
      <c r="F55">
        <v>41</v>
      </c>
      <c r="G55" s="21"/>
      <c r="H55" s="21"/>
      <c r="I55" s="21"/>
      <c r="J55" s="21"/>
      <c r="K55" s="21"/>
      <c r="L55" s="22"/>
      <c r="M55" s="21"/>
      <c r="N55" s="23"/>
      <c r="O55" s="23"/>
      <c r="P55" s="24"/>
      <c r="Q55" s="24"/>
      <c r="R55" s="24"/>
      <c r="S55" s="25"/>
      <c r="T55" s="25"/>
      <c r="U55" s="26"/>
      <c r="V55" s="26"/>
      <c r="W55" s="27"/>
      <c r="X55" s="27"/>
      <c r="Z55" s="22"/>
      <c r="AA55" s="22"/>
      <c r="AC55">
        <v>41</v>
      </c>
      <c r="AE55" s="43">
        <f>0.208*12*(1-EXP(-0.0818*(AC55-28)))*91.9*(EXP(-0.1386*$AD$14)*(1+($AD$14^5.31/(4.93*10^7))))</f>
        <v>38.85778775562828</v>
      </c>
      <c r="AG55">
        <f t="shared" si="7"/>
        <v>38.85778775562828</v>
      </c>
      <c r="AH55" s="21">
        <f t="shared" si="22"/>
        <v>61.749107487249148</v>
      </c>
      <c r="AI55" s="21">
        <f t="shared" si="22"/>
        <v>59.749523028817435</v>
      </c>
      <c r="AJ55" s="21">
        <f t="shared" si="22"/>
        <v>61.06811675924434</v>
      </c>
      <c r="AK55" s="21">
        <f t="shared" si="22"/>
        <v>61.642412665643526</v>
      </c>
      <c r="AL55" s="21">
        <f t="shared" si="22"/>
        <v>22.767232631787412</v>
      </c>
      <c r="AM55" s="22"/>
      <c r="AN55" s="21">
        <f t="shared" si="23"/>
        <v>21.692581275826289</v>
      </c>
      <c r="AO55" s="23">
        <f t="shared" si="23"/>
        <v>13.038462186210472</v>
      </c>
      <c r="AP55" s="23">
        <f>IF(Settings!$J$6&gt;69, 0.2*(AO55), 0)</f>
        <v>2.6076924372420947</v>
      </c>
      <c r="AQ55" s="24">
        <f t="shared" si="24"/>
        <v>45.832288072319116</v>
      </c>
      <c r="AR55" s="24">
        <f t="shared" si="24"/>
        <v>28.40850023793103</v>
      </c>
      <c r="AS55" s="24">
        <f t="shared" si="24"/>
        <v>48.280465062515802</v>
      </c>
      <c r="AT55" s="25">
        <f t="shared" si="11"/>
        <v>11.602443444976037</v>
      </c>
      <c r="AU55" s="25">
        <f t="shared" si="12"/>
        <v>15.186623419945304</v>
      </c>
      <c r="AV55" s="26">
        <f t="shared" si="13"/>
        <v>36.393992607513951</v>
      </c>
      <c r="AW55" s="26">
        <f t="shared" si="14"/>
        <v>31.178607733029764</v>
      </c>
      <c r="AX55" s="27" t="e">
        <f t="shared" si="15"/>
        <v>#NUM!</v>
      </c>
      <c r="AY55" s="27" t="e">
        <f t="shared" si="16"/>
        <v>#NUM!</v>
      </c>
      <c r="BA55" s="22">
        <f t="shared" si="19"/>
        <v>26.157236008874662</v>
      </c>
      <c r="BB55" s="22">
        <f t="shared" si="19"/>
        <v>51.301831286807186</v>
      </c>
      <c r="BD55">
        <f t="shared" si="20"/>
        <v>40.92960933067026</v>
      </c>
      <c r="BG55">
        <f t="shared" si="21"/>
        <v>19.957879910946268</v>
      </c>
      <c r="BH55">
        <f t="shared" si="21"/>
        <v>11.009297513927258</v>
      </c>
    </row>
    <row r="56" spans="1:97" x14ac:dyDescent="0.3">
      <c r="F56">
        <v>42</v>
      </c>
      <c r="G56" s="21"/>
      <c r="H56" s="21"/>
      <c r="I56" s="21"/>
      <c r="J56" s="21"/>
      <c r="K56" s="21"/>
      <c r="L56" s="22"/>
      <c r="M56" s="21"/>
      <c r="N56" s="23"/>
      <c r="O56" s="23"/>
      <c r="P56" s="24"/>
      <c r="Q56" s="24"/>
      <c r="R56" s="24"/>
      <c r="S56" s="25"/>
      <c r="T56" s="25"/>
      <c r="U56" s="26"/>
      <c r="V56" s="26"/>
      <c r="W56" s="27"/>
      <c r="X56" s="27"/>
      <c r="Z56" s="22"/>
      <c r="AA56" s="22"/>
      <c r="AC56">
        <v>42</v>
      </c>
      <c r="AE56" s="43">
        <f t="shared" ref="AE56:AE84" si="25">0.208*12*(1-EXP(-0.0818*(AC56-28)))*91.9*(EXP(-0.1386*$AD$14)*(1+($AD$14^5.31/(4.93*10^7))))</f>
        <v>40.467341024247702</v>
      </c>
      <c r="AG56">
        <f t="shared" si="7"/>
        <v>40.467341024247702</v>
      </c>
      <c r="AH56" s="21">
        <f t="shared" si="22"/>
        <v>64.192603414511197</v>
      </c>
      <c r="AI56" s="21">
        <f t="shared" si="22"/>
        <v>61.757575188518423</v>
      </c>
      <c r="AJ56" s="21">
        <f t="shared" si="22"/>
        <v>63.847730261162638</v>
      </c>
      <c r="AK56" s="21">
        <f t="shared" si="22"/>
        <v>63.660324199499136</v>
      </c>
      <c r="AL56" s="21">
        <f t="shared" si="22"/>
        <v>23.46518085031175</v>
      </c>
      <c r="AM56" s="22"/>
      <c r="AN56" s="21">
        <f t="shared" si="23"/>
        <v>22.61733754281699</v>
      </c>
      <c r="AO56" s="23">
        <f t="shared" si="23"/>
        <v>13.564920994169192</v>
      </c>
      <c r="AP56" s="23">
        <f>IF(Settings!$J$6&gt;69, 0.2*(AO56), 0)</f>
        <v>2.7129841988338388</v>
      </c>
      <c r="AQ56" s="24">
        <f t="shared" si="24"/>
        <v>47.117428577113486</v>
      </c>
      <c r="AR56" s="24">
        <f t="shared" si="24"/>
        <v>29.145415646725684</v>
      </c>
      <c r="AS56" s="24">
        <f t="shared" si="24"/>
        <v>49.087132599611849</v>
      </c>
      <c r="AT56" s="25">
        <f t="shared" si="11"/>
        <v>11.942376385109759</v>
      </c>
      <c r="AU56" s="25">
        <f t="shared" si="12"/>
        <v>15.678127760540162</v>
      </c>
      <c r="AV56" s="26">
        <f t="shared" si="13"/>
        <v>37.661248091343808</v>
      </c>
      <c r="AW56" s="26">
        <f t="shared" si="14"/>
        <v>32.235279693676134</v>
      </c>
      <c r="AX56" s="27" t="e">
        <f t="shared" si="15"/>
        <v>#NUM!</v>
      </c>
      <c r="AY56" s="27" t="e">
        <f t="shared" si="16"/>
        <v>#NUM!</v>
      </c>
      <c r="BA56" s="22">
        <f t="shared" si="19"/>
        <v>26.602978123758284</v>
      </c>
      <c r="BB56" s="22">
        <f t="shared" si="19"/>
        <v>51.970536503649342</v>
      </c>
      <c r="BD56">
        <f t="shared" si="20"/>
        <v>44.390577427248836</v>
      </c>
      <c r="BG56">
        <f t="shared" si="21"/>
        <v>19.969465835521149</v>
      </c>
      <c r="BH56">
        <f t="shared" si="21"/>
        <v>11.295903756628698</v>
      </c>
    </row>
    <row r="57" spans="1:97" x14ac:dyDescent="0.3">
      <c r="F57">
        <v>43</v>
      </c>
      <c r="G57" s="21"/>
      <c r="H57" s="21"/>
      <c r="I57" s="21"/>
      <c r="J57" s="21"/>
      <c r="K57" s="21"/>
      <c r="L57" s="22"/>
      <c r="M57" s="21"/>
      <c r="N57" s="23"/>
      <c r="O57" s="23"/>
      <c r="P57" s="24"/>
      <c r="Q57" s="24"/>
      <c r="R57" s="24"/>
      <c r="S57" s="25"/>
      <c r="T57" s="25"/>
      <c r="U57" s="26"/>
      <c r="V57" s="26"/>
      <c r="W57" s="27"/>
      <c r="X57" s="27"/>
      <c r="Z57" s="22"/>
      <c r="AA57" s="22"/>
      <c r="AC57">
        <v>43</v>
      </c>
      <c r="AE57" s="43">
        <f t="shared" si="25"/>
        <v>41.95047391357199</v>
      </c>
      <c r="AG57">
        <f t="shared" si="7"/>
        <v>41.95047391357199</v>
      </c>
      <c r="AH57" s="21">
        <f t="shared" si="22"/>
        <v>66.285933521166555</v>
      </c>
      <c r="AI57" s="21">
        <f t="shared" si="22"/>
        <v>63.547205821354865</v>
      </c>
      <c r="AJ57" s="21">
        <f t="shared" si="22"/>
        <v>66.305437596369032</v>
      </c>
      <c r="AK57" s="21">
        <f t="shared" si="22"/>
        <v>65.45520347431308</v>
      </c>
      <c r="AL57" s="21">
        <f t="shared" si="22"/>
        <v>24.054577993140594</v>
      </c>
      <c r="AM57" s="22"/>
      <c r="AN57" s="21">
        <f t="shared" si="23"/>
        <v>23.446131349542132</v>
      </c>
      <c r="AO57" s="23">
        <f t="shared" si="23"/>
        <v>14.039462216434378</v>
      </c>
      <c r="AP57" s="23">
        <f>IF(Settings!$J$6&gt;69, 0.2*(AO57), 0)</f>
        <v>2.8078924432868759</v>
      </c>
      <c r="AQ57" s="24">
        <f t="shared" si="24"/>
        <v>48.255196037120228</v>
      </c>
      <c r="AR57" s="24">
        <f t="shared" si="24"/>
        <v>29.786176827462381</v>
      </c>
      <c r="AS57" s="24">
        <f t="shared" si="24"/>
        <v>49.747697337293026</v>
      </c>
      <c r="AT57" s="25">
        <f t="shared" si="11"/>
        <v>12.243244341855014</v>
      </c>
      <c r="AU57" s="25">
        <f t="shared" si="12"/>
        <v>16.112414325787558</v>
      </c>
      <c r="AV57" s="26">
        <f t="shared" si="13"/>
        <v>38.793334018894619</v>
      </c>
      <c r="AW57" s="26">
        <f t="shared" si="14"/>
        <v>33.17754913232087</v>
      </c>
      <c r="AX57" s="27" t="e">
        <f t="shared" si="15"/>
        <v>#NUM!</v>
      </c>
      <c r="AY57" s="27" t="e">
        <f t="shared" si="16"/>
        <v>#NUM!</v>
      </c>
      <c r="BA57" s="22">
        <f t="shared" si="19"/>
        <v>26.969595969792874</v>
      </c>
      <c r="BB57" s="22">
        <f t="shared" si="19"/>
        <v>52.541114481758882</v>
      </c>
      <c r="BD57">
        <f t="shared" si="20"/>
        <v>47.704044184467008</v>
      </c>
      <c r="BG57">
        <f t="shared" si="21"/>
        <v>19.977299737898178</v>
      </c>
      <c r="BH57">
        <f t="shared" si="21"/>
        <v>11.54324912177956</v>
      </c>
    </row>
    <row r="58" spans="1:97" x14ac:dyDescent="0.3">
      <c r="F58">
        <v>44</v>
      </c>
      <c r="G58" s="21"/>
      <c r="H58" s="21"/>
      <c r="I58" s="21"/>
      <c r="J58" s="21"/>
      <c r="K58" s="21"/>
      <c r="L58" s="22"/>
      <c r="M58" s="21"/>
      <c r="N58" s="23"/>
      <c r="O58" s="23"/>
      <c r="P58" s="24"/>
      <c r="Q58" s="24"/>
      <c r="R58" s="24"/>
      <c r="S58" s="25"/>
      <c r="T58" s="25"/>
      <c r="U58" s="26"/>
      <c r="V58" s="26"/>
      <c r="W58" s="27"/>
      <c r="X58" s="27"/>
      <c r="Z58" s="22"/>
      <c r="AA58" s="22"/>
      <c r="AC58">
        <v>44</v>
      </c>
      <c r="AE58" s="43">
        <f t="shared" si="25"/>
        <v>43.317115956604354</v>
      </c>
      <c r="AG58">
        <f t="shared" si="7"/>
        <v>43.317115956604354</v>
      </c>
      <c r="AH58" s="21">
        <f t="shared" si="22"/>
        <v>68.0850652335685</v>
      </c>
      <c r="AI58" s="21">
        <f t="shared" si="22"/>
        <v>65.14546146865348</v>
      </c>
      <c r="AJ58" s="21">
        <f t="shared" si="22"/>
        <v>68.4814112382887</v>
      </c>
      <c r="AK58" s="21">
        <f t="shared" si="22"/>
        <v>67.055248099118202</v>
      </c>
      <c r="AL58" s="21">
        <f t="shared" si="22"/>
        <v>24.554739518153323</v>
      </c>
      <c r="AM58" s="22"/>
      <c r="AN58" s="21">
        <f t="shared" si="23"/>
        <v>24.189723153242308</v>
      </c>
      <c r="AO58" s="23">
        <f t="shared" si="23"/>
        <v>14.467647828400979</v>
      </c>
      <c r="AP58" s="23">
        <f>IF(Settings!$J$6&gt;69, 0.2*(AO58), 0)</f>
        <v>2.893529565680196</v>
      </c>
      <c r="AQ58" s="24">
        <f t="shared" si="24"/>
        <v>49.265324780008562</v>
      </c>
      <c r="AR58" s="24">
        <f t="shared" si="24"/>
        <v>30.34549820231106</v>
      </c>
      <c r="AS58" s="24">
        <f t="shared" si="24"/>
        <v>50.293041679828463</v>
      </c>
      <c r="AT58" s="25">
        <f t="shared" si="11"/>
        <v>12.510263432908914</v>
      </c>
      <c r="AU58" s="25">
        <f t="shared" si="12"/>
        <v>16.497126276523623</v>
      </c>
      <c r="AV58" s="26">
        <f t="shared" si="13"/>
        <v>39.806554648527232</v>
      </c>
      <c r="AW58" s="26">
        <f t="shared" si="14"/>
        <v>34.019495517166838</v>
      </c>
      <c r="AX58" s="27" t="e">
        <f t="shared" si="15"/>
        <v>#NUM!</v>
      </c>
      <c r="AY58" s="27" t="e">
        <f t="shared" si="16"/>
        <v>#NUM!</v>
      </c>
      <c r="BA58" s="22">
        <f t="shared" si="19"/>
        <v>27.273507234358597</v>
      </c>
      <c r="BB58" s="22">
        <f t="shared" si="19"/>
        <v>53.030915279286056</v>
      </c>
      <c r="BD58">
        <f t="shared" si="20"/>
        <v>50.86283030076688</v>
      </c>
      <c r="BG58">
        <f t="shared" si="21"/>
        <v>19.982726790972084</v>
      </c>
      <c r="BH58">
        <f t="shared" si="21"/>
        <v>11.757622222909552</v>
      </c>
    </row>
    <row r="59" spans="1:97" x14ac:dyDescent="0.3">
      <c r="F59">
        <v>45</v>
      </c>
      <c r="G59" s="21"/>
      <c r="H59" s="21"/>
      <c r="I59" s="21"/>
      <c r="J59" s="21"/>
      <c r="K59" s="21"/>
      <c r="L59" s="22"/>
      <c r="M59" s="21"/>
      <c r="N59" s="23"/>
      <c r="O59" s="23"/>
      <c r="P59" s="24"/>
      <c r="Q59" s="24"/>
      <c r="R59" s="24"/>
      <c r="S59" s="25"/>
      <c r="T59" s="25"/>
      <c r="U59" s="26"/>
      <c r="V59" s="26"/>
      <c r="W59" s="27"/>
      <c r="X59" s="27"/>
      <c r="Z59" s="22"/>
      <c r="AA59" s="22"/>
      <c r="AC59">
        <v>45</v>
      </c>
      <c r="AE59" s="43">
        <f t="shared" si="25"/>
        <v>44.576416783406593</v>
      </c>
      <c r="AG59">
        <f t="shared" si="7"/>
        <v>44.576416783406593</v>
      </c>
      <c r="AH59" s="21">
        <f t="shared" si="22"/>
        <v>69.636861501919313</v>
      </c>
      <c r="AI59" s="21">
        <f t="shared" si="22"/>
        <v>66.575689256862603</v>
      </c>
      <c r="AJ59" s="21">
        <f t="shared" si="22"/>
        <v>70.411128680931384</v>
      </c>
      <c r="AK59" s="21">
        <f t="shared" si="22"/>
        <v>68.484696866461974</v>
      </c>
      <c r="AL59" s="21">
        <f t="shared" si="22"/>
        <v>24.981289973405634</v>
      </c>
      <c r="AM59" s="22"/>
      <c r="AN59" s="21">
        <f t="shared" si="23"/>
        <v>24.857693547283507</v>
      </c>
      <c r="AO59" s="23">
        <f t="shared" si="23"/>
        <v>14.854430965983687</v>
      </c>
      <c r="AP59" s="23">
        <f>IF(Settings!$J$6&gt;69, 0.2*(AO59), 0)</f>
        <v>2.9708861931967374</v>
      </c>
      <c r="AQ59" s="24">
        <f t="shared" si="24"/>
        <v>50.164522704155125</v>
      </c>
      <c r="AR59" s="24">
        <f t="shared" si="24"/>
        <v>30.835554150123347</v>
      </c>
      <c r="AS59" s="24">
        <f t="shared" si="24"/>
        <v>50.746782014855299</v>
      </c>
      <c r="AT59" s="25">
        <f t="shared" si="11"/>
        <v>12.747860051294412</v>
      </c>
      <c r="AU59" s="25">
        <f t="shared" si="12"/>
        <v>16.83878114143317</v>
      </c>
      <c r="AV59" s="26">
        <f t="shared" si="13"/>
        <v>40.715060111423142</v>
      </c>
      <c r="AW59" s="26">
        <f t="shared" si="14"/>
        <v>34.773287725029668</v>
      </c>
      <c r="AX59" s="27" t="e">
        <f t="shared" si="15"/>
        <v>#NUM!</v>
      </c>
      <c r="AY59" s="27" t="e">
        <f t="shared" si="16"/>
        <v>#NUM!</v>
      </c>
      <c r="BA59" s="22">
        <f t="shared" si="19"/>
        <v>27.527332096457815</v>
      </c>
      <c r="BB59" s="22">
        <f t="shared" si="19"/>
        <v>53.453721972332758</v>
      </c>
      <c r="BD59">
        <f t="shared" si="20"/>
        <v>53.863152289552801</v>
      </c>
      <c r="BG59">
        <f t="shared" si="21"/>
        <v>19.986571578507483</v>
      </c>
      <c r="BH59">
        <f t="shared" si="21"/>
        <v>11.944186001576355</v>
      </c>
    </row>
    <row r="60" spans="1:97" x14ac:dyDescent="0.3">
      <c r="F60">
        <v>46</v>
      </c>
      <c r="G60" s="21"/>
      <c r="H60" s="21"/>
      <c r="I60" s="21"/>
      <c r="J60" s="21"/>
      <c r="K60" s="21"/>
      <c r="L60" s="22"/>
      <c r="M60" s="21"/>
      <c r="N60" s="23"/>
      <c r="O60" s="23"/>
      <c r="P60" s="24"/>
      <c r="Q60" s="24"/>
      <c r="R60" s="24"/>
      <c r="S60" s="25"/>
      <c r="T60" s="25"/>
      <c r="U60" s="26"/>
      <c r="V60" s="26"/>
      <c r="W60" s="27"/>
      <c r="X60" s="27"/>
      <c r="Z60" s="22"/>
      <c r="AA60" s="22"/>
      <c r="AC60">
        <v>46</v>
      </c>
      <c r="AE60" s="43">
        <f t="shared" si="25"/>
        <v>45.736807377615186</v>
      </c>
      <c r="AG60">
        <f t="shared" si="7"/>
        <v>45.736807377615186</v>
      </c>
      <c r="AH60" s="21">
        <f t="shared" si="22"/>
        <v>70.980312468755159</v>
      </c>
      <c r="AI60" s="21">
        <f t="shared" si="22"/>
        <v>67.858052797308915</v>
      </c>
      <c r="AJ60" s="21">
        <f t="shared" si="22"/>
        <v>72.125612248998834</v>
      </c>
      <c r="AK60" s="21">
        <f t="shared" si="22"/>
        <v>69.764403241418833</v>
      </c>
      <c r="AL60" s="21">
        <f t="shared" si="22"/>
        <v>25.346860374055844</v>
      </c>
      <c r="AM60" s="22"/>
      <c r="AN60" s="21">
        <f t="shared" si="23"/>
        <v>25.458522077071478</v>
      </c>
      <c r="AO60" s="23">
        <f t="shared" si="23"/>
        <v>15.204208453287581</v>
      </c>
      <c r="AP60" s="23">
        <f>IF(Settings!$J$6&gt;69, 0.2*(AO60), 0)</f>
        <v>3.0408416906575164</v>
      </c>
      <c r="AQ60" s="24">
        <f t="shared" si="24"/>
        <v>50.966980167164628</v>
      </c>
      <c r="AR60" s="24">
        <f t="shared" si="24"/>
        <v>31.2664484408878</v>
      </c>
      <c r="AS60" s="24">
        <f t="shared" si="24"/>
        <v>51.127102172350433</v>
      </c>
      <c r="AT60" s="25">
        <f t="shared" si="11"/>
        <v>12.959799612108347</v>
      </c>
      <c r="AU60" s="25">
        <f t="shared" si="12"/>
        <v>17.142939185243627</v>
      </c>
      <c r="AV60" s="26">
        <f t="shared" si="13"/>
        <v>41.531130625298246</v>
      </c>
      <c r="AW60" s="26">
        <f t="shared" si="14"/>
        <v>35.449447243983215</v>
      </c>
      <c r="AX60" s="27" t="e">
        <f t="shared" si="15"/>
        <v>#NUM!</v>
      </c>
      <c r="AY60" s="27" t="e">
        <f t="shared" si="16"/>
        <v>#NUM!</v>
      </c>
      <c r="BA60" s="22">
        <f t="shared" si="19"/>
        <v>27.740836044533108</v>
      </c>
      <c r="BB60" s="22">
        <f t="shared" si="19"/>
        <v>53.820574935209308</v>
      </c>
      <c r="BD60">
        <f t="shared" si="20"/>
        <v>56.703928369374403</v>
      </c>
      <c r="BG60">
        <f t="shared" si="21"/>
        <v>19.989352224590757</v>
      </c>
      <c r="BH60">
        <f t="shared" si="21"/>
        <v>12.107190596849749</v>
      </c>
    </row>
    <row r="61" spans="1:97" x14ac:dyDescent="0.3">
      <c r="F61">
        <v>47</v>
      </c>
      <c r="G61" s="21"/>
      <c r="H61" s="21"/>
      <c r="I61" s="21"/>
      <c r="J61" s="21"/>
      <c r="K61" s="21"/>
      <c r="L61" s="22"/>
      <c r="M61" s="21"/>
      <c r="N61" s="23"/>
      <c r="O61" s="23"/>
      <c r="P61" s="24"/>
      <c r="Q61" s="24"/>
      <c r="R61" s="24"/>
      <c r="S61" s="25"/>
      <c r="T61" s="25"/>
      <c r="U61" s="26"/>
      <c r="V61" s="26"/>
      <c r="W61" s="27"/>
      <c r="X61" s="27"/>
      <c r="Z61" s="22"/>
      <c r="AA61" s="22"/>
      <c r="AC61">
        <v>47</v>
      </c>
      <c r="AE61" s="43">
        <f t="shared" si="25"/>
        <v>46.806056521639796</v>
      </c>
      <c r="AG61">
        <f t="shared" si="7"/>
        <v>46.806056521639796</v>
      </c>
      <c r="AH61" s="21">
        <f t="shared" si="22"/>
        <v>72.147766801001779</v>
      </c>
      <c r="AI61" s="21">
        <f t="shared" si="22"/>
        <v>69.009988406371818</v>
      </c>
      <c r="AJ61" s="21">
        <f t="shared" si="22"/>
        <v>73.651827883173652</v>
      </c>
      <c r="AK61" s="21">
        <f t="shared" si="22"/>
        <v>70.912336410139076</v>
      </c>
      <c r="AL61" s="21">
        <f t="shared" si="22"/>
        <v>25.661676688907466</v>
      </c>
      <c r="AM61" s="22"/>
      <c r="AN61" s="21">
        <f t="shared" si="23"/>
        <v>25.999687501557606</v>
      </c>
      <c r="AO61" s="23">
        <f t="shared" si="23"/>
        <v>15.520876743176744</v>
      </c>
      <c r="AP61" s="23">
        <f>IF(Settings!$J$6&gt;69, 0.2*(AO61), 0)</f>
        <v>3.1041753486353492</v>
      </c>
      <c r="AQ61" s="24">
        <f t="shared" si="24"/>
        <v>51.684790329572728</v>
      </c>
      <c r="AR61" s="24">
        <f t="shared" si="24"/>
        <v>31.646596702775817</v>
      </c>
      <c r="AS61" s="24">
        <f t="shared" si="24"/>
        <v>51.448106360010669</v>
      </c>
      <c r="AT61" s="25">
        <f t="shared" si="11"/>
        <v>13.149294411950184</v>
      </c>
      <c r="AU61" s="25">
        <f t="shared" si="12"/>
        <v>17.41435067313472</v>
      </c>
      <c r="AV61" s="26">
        <f t="shared" si="13"/>
        <v>42.26543257477428</v>
      </c>
      <c r="AW61" s="26">
        <f t="shared" si="14"/>
        <v>36.057081877503585</v>
      </c>
      <c r="AX61" s="27" t="e">
        <f t="shared" si="15"/>
        <v>#NUM!</v>
      </c>
      <c r="AY61" s="27" t="e">
        <f t="shared" si="16"/>
        <v>#NUM!</v>
      </c>
      <c r="BA61" s="22">
        <f t="shared" si="19"/>
        <v>27.921629572350444</v>
      </c>
      <c r="BB61" s="22">
        <f t="shared" si="19"/>
        <v>54.140387043102656</v>
      </c>
      <c r="BD61">
        <f t="shared" si="20"/>
        <v>59.386203373087803</v>
      </c>
      <c r="BG61">
        <f t="shared" si="21"/>
        <v>19.991401892087275</v>
      </c>
      <c r="BH61">
        <f t="shared" si="21"/>
        <v>12.250146772238638</v>
      </c>
    </row>
    <row r="62" spans="1:97" x14ac:dyDescent="0.3">
      <c r="F62">
        <v>48</v>
      </c>
      <c r="G62" s="21"/>
      <c r="H62" s="21"/>
      <c r="I62" s="21"/>
      <c r="J62" s="21"/>
      <c r="K62" s="21"/>
      <c r="L62" s="22"/>
      <c r="M62" s="21"/>
      <c r="N62" s="23"/>
      <c r="O62" s="23"/>
      <c r="P62" s="24"/>
      <c r="Q62" s="24"/>
      <c r="R62" s="24"/>
      <c r="S62" s="25"/>
      <c r="T62" s="25"/>
      <c r="U62" s="26"/>
      <c r="V62" s="26"/>
      <c r="W62" s="27"/>
      <c r="X62" s="27"/>
      <c r="Z62" s="22"/>
      <c r="AA62" s="22"/>
      <c r="AC62">
        <v>48</v>
      </c>
      <c r="AE62" s="43">
        <f t="shared" si="25"/>
        <v>47.791322808443105</v>
      </c>
      <c r="AG62">
        <f t="shared" si="7"/>
        <v>47.791322808443105</v>
      </c>
      <c r="AH62" s="21">
        <f t="shared" si="22"/>
        <v>73.1660500558622</v>
      </c>
      <c r="AI62" s="21">
        <f t="shared" si="22"/>
        <v>70.046601040863806</v>
      </c>
      <c r="AJ62" s="21">
        <f t="shared" si="22"/>
        <v>75.013138173419648</v>
      </c>
      <c r="AK62" s="21">
        <f t="shared" si="22"/>
        <v>71.94401204064927</v>
      </c>
      <c r="AL62" s="21">
        <f t="shared" si="22"/>
        <v>25.934041134712682</v>
      </c>
      <c r="AM62" s="22"/>
      <c r="AN62" s="21">
        <f t="shared" si="23"/>
        <v>26.487773746804294</v>
      </c>
      <c r="AO62" s="23">
        <f t="shared" si="23"/>
        <v>15.80788670986561</v>
      </c>
      <c r="AP62" s="23">
        <f>IF(Settings!$J$6&gt;69, 0.2*(AO62), 0)</f>
        <v>3.1615773419731221</v>
      </c>
      <c r="AQ62" s="24">
        <f t="shared" si="24"/>
        <v>52.32829544232122</v>
      </c>
      <c r="AR62" s="24">
        <f t="shared" si="24"/>
        <v>31.983036098924657</v>
      </c>
      <c r="AS62" s="24">
        <f t="shared" si="24"/>
        <v>51.720817595613859</v>
      </c>
      <c r="AT62" s="25">
        <f t="shared" si="11"/>
        <v>13.319093409237606</v>
      </c>
      <c r="AU62" s="25">
        <f t="shared" si="12"/>
        <v>17.657082123041278</v>
      </c>
      <c r="AV62" s="26">
        <f t="shared" si="13"/>
        <v>42.927243875364709</v>
      </c>
      <c r="AW62" s="26">
        <f t="shared" si="14"/>
        <v>36.604089191418467</v>
      </c>
      <c r="AX62" s="27" t="e">
        <f t="shared" si="15"/>
        <v>#NUM!</v>
      </c>
      <c r="AY62" s="27" t="e">
        <f t="shared" si="16"/>
        <v>#NUM!</v>
      </c>
      <c r="BA62" s="22">
        <f t="shared" si="19"/>
        <v>28.075687403940577</v>
      </c>
      <c r="BB62" s="22">
        <f t="shared" si="19"/>
        <v>54.420407089398793</v>
      </c>
      <c r="BD62">
        <f t="shared" si="20"/>
        <v>61.912673593410531</v>
      </c>
      <c r="BG62">
        <f t="shared" si="21"/>
        <v>19.992939473154003</v>
      </c>
      <c r="BH62">
        <f t="shared" si="21"/>
        <v>12.375965904916495</v>
      </c>
    </row>
    <row r="63" spans="1:97" x14ac:dyDescent="0.3">
      <c r="F63">
        <v>49</v>
      </c>
      <c r="G63" s="21"/>
      <c r="H63" s="21"/>
      <c r="I63" s="21"/>
      <c r="J63" s="21"/>
      <c r="K63" s="21"/>
      <c r="L63" s="22"/>
      <c r="M63" s="21"/>
      <c r="N63" s="23"/>
      <c r="O63" s="23"/>
      <c r="P63" s="24"/>
      <c r="Q63" s="24"/>
      <c r="R63" s="24"/>
      <c r="S63" s="25"/>
      <c r="T63" s="25"/>
      <c r="U63" s="26"/>
      <c r="V63" s="26"/>
      <c r="W63" s="27"/>
      <c r="X63" s="27"/>
      <c r="Z63" s="22"/>
      <c r="AA63" s="22"/>
      <c r="AC63">
        <v>49</v>
      </c>
      <c r="AE63" s="43">
        <f t="shared" si="25"/>
        <v>48.699202568119411</v>
      </c>
      <c r="AG63">
        <f t="shared" si="7"/>
        <v>48.699202568119411</v>
      </c>
      <c r="AH63" s="21">
        <f t="shared" si="22"/>
        <v>74.057431716192852</v>
      </c>
      <c r="AI63" s="21">
        <f t="shared" si="22"/>
        <v>70.9810040254049</v>
      </c>
      <c r="AJ63" s="21">
        <f t="shared" si="22"/>
        <v>76.229753405405688</v>
      </c>
      <c r="AK63" s="21">
        <f t="shared" si="22"/>
        <v>72.87285905125907</v>
      </c>
      <c r="AL63" s="21">
        <f t="shared" si="22"/>
        <v>26.170719013365424</v>
      </c>
      <c r="AM63" s="22"/>
      <c r="AN63" s="21">
        <f t="shared" si="23"/>
        <v>26.928572980161213</v>
      </c>
      <c r="AO63" s="23">
        <f t="shared" si="23"/>
        <v>16.068294950117455</v>
      </c>
      <c r="AP63" s="23">
        <f>IF(Settings!$J$6&gt;69, 0.2*(AO63), 0)</f>
        <v>3.2136589900234913</v>
      </c>
      <c r="AQ63" s="24">
        <f t="shared" si="24"/>
        <v>52.906371952027762</v>
      </c>
      <c r="AR63" s="24">
        <f t="shared" si="24"/>
        <v>32.281675381738552</v>
      </c>
      <c r="AS63" s="24">
        <f t="shared" si="24"/>
        <v>51.953916631551579</v>
      </c>
      <c r="AT63" s="25">
        <f t="shared" si="11"/>
        <v>13.471556714324009</v>
      </c>
      <c r="AU63" s="25">
        <f t="shared" si="12"/>
        <v>17.874623256712127</v>
      </c>
      <c r="AV63" s="26">
        <f t="shared" si="13"/>
        <v>43.524649487761181</v>
      </c>
      <c r="AW63" s="26">
        <f t="shared" si="14"/>
        <v>37.097331507714195</v>
      </c>
      <c r="AX63" s="27" t="e">
        <f t="shared" si="15"/>
        <v>#NUM!</v>
      </c>
      <c r="AY63" s="27" t="e">
        <f t="shared" si="16"/>
        <v>#NUM!</v>
      </c>
      <c r="BA63" s="22">
        <f t="shared" si="19"/>
        <v>28.207734816508154</v>
      </c>
      <c r="BB63" s="22">
        <f t="shared" si="19"/>
        <v>54.666571940412688</v>
      </c>
      <c r="BD63">
        <f t="shared" si="20"/>
        <v>64.287295450202123</v>
      </c>
      <c r="BG63">
        <f t="shared" si="21"/>
        <v>19.99411170094049</v>
      </c>
      <c r="BH63">
        <f t="shared" si="21"/>
        <v>12.487072464778699</v>
      </c>
    </row>
    <row r="64" spans="1:97" x14ac:dyDescent="0.3">
      <c r="F64">
        <v>50</v>
      </c>
      <c r="G64" s="21"/>
      <c r="H64" s="21"/>
      <c r="I64" s="21"/>
      <c r="J64" s="21"/>
      <c r="K64" s="21"/>
      <c r="L64" s="22"/>
      <c r="M64" s="21"/>
      <c r="N64" s="23"/>
      <c r="O64" s="23"/>
      <c r="P64" s="24"/>
      <c r="Q64" s="24"/>
      <c r="R64" s="24"/>
      <c r="S64" s="25"/>
      <c r="T64" s="25"/>
      <c r="U64" s="26"/>
      <c r="V64" s="26"/>
      <c r="W64" s="27"/>
      <c r="X64" s="27"/>
      <c r="Z64" s="22"/>
      <c r="AA64" s="22"/>
      <c r="AC64">
        <v>50</v>
      </c>
      <c r="AE64" s="43">
        <f t="shared" si="25"/>
        <v>49.535774030139265</v>
      </c>
      <c r="AG64">
        <f t="shared" si="7"/>
        <v>49.535774030139265</v>
      </c>
      <c r="AH64" s="21">
        <f t="shared" si="22"/>
        <v>74.840438465344121</v>
      </c>
      <c r="AI64" s="21">
        <f t="shared" si="22"/>
        <v>71.824608559048343</v>
      </c>
      <c r="AJ64" s="21">
        <f t="shared" si="22"/>
        <v>77.319152489861651</v>
      </c>
      <c r="AK64" s="21">
        <f t="shared" si="22"/>
        <v>73.710530123601345</v>
      </c>
      <c r="AL64" s="21">
        <f t="shared" si="22"/>
        <v>26.377246692327923</v>
      </c>
      <c r="AM64" s="22"/>
      <c r="AN64" s="21">
        <f t="shared" si="23"/>
        <v>27.327181468240592</v>
      </c>
      <c r="AO64" s="23">
        <f t="shared" si="23"/>
        <v>16.304810540298863</v>
      </c>
      <c r="AP64" s="23">
        <f>IF(Settings!$J$6&gt;69, 0.2*(AO64), 0)</f>
        <v>3.2609621080597728</v>
      </c>
      <c r="AQ64" s="24">
        <f t="shared" si="24"/>
        <v>53.426665405519252</v>
      </c>
      <c r="AR64" s="24">
        <f t="shared" si="24"/>
        <v>32.547496703789534</v>
      </c>
      <c r="AS64" s="24">
        <f t="shared" si="24"/>
        <v>52.154291320807175</v>
      </c>
      <c r="AT64" s="25">
        <f t="shared" si="11"/>
        <v>13.60871732204769</v>
      </c>
      <c r="AU64" s="25">
        <f t="shared" si="12"/>
        <v>18.069976961408109</v>
      </c>
      <c r="AV64" s="26">
        <f t="shared" si="13"/>
        <v>44.064709549673601</v>
      </c>
      <c r="AW64" s="26">
        <f t="shared" si="14"/>
        <v>37.542785333554058</v>
      </c>
      <c r="AX64" s="27" t="e">
        <f t="shared" si="15"/>
        <v>#NUM!</v>
      </c>
      <c r="AY64" s="27" t="e">
        <f t="shared" si="16"/>
        <v>#NUM!</v>
      </c>
      <c r="BA64" s="22">
        <f t="shared" si="19"/>
        <v>28.321536326269705</v>
      </c>
      <c r="BB64" s="22">
        <f t="shared" si="19"/>
        <v>54.883776378806886</v>
      </c>
      <c r="BD64">
        <f t="shared" si="20"/>
        <v>66.514964377893378</v>
      </c>
      <c r="BG64">
        <f t="shared" si="21"/>
        <v>19.99501879900809</v>
      </c>
      <c r="BH64">
        <f t="shared" si="21"/>
        <v>12.585494239469936</v>
      </c>
    </row>
    <row r="65" spans="6:60" x14ac:dyDescent="0.3">
      <c r="F65">
        <v>51</v>
      </c>
      <c r="G65" s="21"/>
      <c r="H65" s="21"/>
      <c r="I65" s="21"/>
      <c r="J65" s="21"/>
      <c r="K65" s="21"/>
      <c r="L65" s="22"/>
      <c r="M65" s="21"/>
      <c r="N65" s="23"/>
      <c r="O65" s="23"/>
      <c r="P65" s="24"/>
      <c r="Q65" s="24"/>
      <c r="R65" s="24"/>
      <c r="S65" s="25"/>
      <c r="T65" s="25"/>
      <c r="U65" s="26"/>
      <c r="V65" s="26"/>
      <c r="W65" s="27"/>
      <c r="X65" s="27"/>
      <c r="Z65" s="22"/>
      <c r="AA65" s="22"/>
      <c r="AC65">
        <v>51</v>
      </c>
      <c r="AE65" s="43">
        <f t="shared" si="25"/>
        <v>50.306638016924872</v>
      </c>
      <c r="AG65">
        <f t="shared" si="7"/>
        <v>50.306638016924872</v>
      </c>
      <c r="AH65" s="21">
        <f t="shared" si="22"/>
        <v>75.530527078795942</v>
      </c>
      <c r="AI65" s="21">
        <f t="shared" si="22"/>
        <v>72.587369454898905</v>
      </c>
      <c r="AJ65" s="21">
        <f t="shared" si="22"/>
        <v>78.296461631894772</v>
      </c>
      <c r="AK65" s="21">
        <f t="shared" si="22"/>
        <v>74.467163778257287</v>
      </c>
      <c r="AL65" s="21">
        <f t="shared" si="22"/>
        <v>26.558175661033815</v>
      </c>
      <c r="AM65" s="22"/>
      <c r="AN65" s="21">
        <f t="shared" si="23"/>
        <v>27.688086346120105</v>
      </c>
      <c r="AO65" s="23">
        <f t="shared" si="23"/>
        <v>16.51983693476679</v>
      </c>
      <c r="AP65" s="23">
        <f>IF(Settings!$J$6&gt;69, 0.2*(AO65), 0)</f>
        <v>3.3039673869533583</v>
      </c>
      <c r="AQ65" s="24">
        <f t="shared" si="24"/>
        <v>53.895784308076152</v>
      </c>
      <c r="AR65" s="24">
        <f t="shared" si="24"/>
        <v>32.784718653174828</v>
      </c>
      <c r="AS65" s="24">
        <f t="shared" si="24"/>
        <v>52.327447347457039</v>
      </c>
      <c r="AT65" s="25">
        <f t="shared" si="11"/>
        <v>13.732332283577637</v>
      </c>
      <c r="AU65" s="25">
        <f t="shared" si="12"/>
        <v>18.245734662998739</v>
      </c>
      <c r="AV65" s="26">
        <f t="shared" si="13"/>
        <v>44.553603194832846</v>
      </c>
      <c r="AW65" s="26">
        <f t="shared" si="14"/>
        <v>37.945668420926133</v>
      </c>
      <c r="AX65" s="27" t="e">
        <f t="shared" si="15"/>
        <v>#NUM!</v>
      </c>
      <c r="AY65" s="27" t="e">
        <f t="shared" si="16"/>
        <v>#NUM!</v>
      </c>
      <c r="BA65" s="22">
        <f t="shared" si="19"/>
        <v>28.420112574263115</v>
      </c>
      <c r="BB65" s="22">
        <f t="shared" si="19"/>
        <v>55.076081518810433</v>
      </c>
      <c r="BD65">
        <f t="shared" si="20"/>
        <v>68.601252458936131</v>
      </c>
      <c r="BG65">
        <f t="shared" si="21"/>
        <v>19.995730432803594</v>
      </c>
      <c r="BH65">
        <f t="shared" si="21"/>
        <v>12.672934727327451</v>
      </c>
    </row>
    <row r="66" spans="6:60" x14ac:dyDescent="0.3">
      <c r="F66">
        <v>52</v>
      </c>
      <c r="G66" s="21"/>
      <c r="H66" s="21"/>
      <c r="I66" s="21"/>
      <c r="J66" s="21"/>
      <c r="K66" s="21"/>
      <c r="L66" s="22"/>
      <c r="M66" s="21"/>
      <c r="N66" s="23"/>
      <c r="O66" s="23"/>
      <c r="P66" s="24"/>
      <c r="Q66" s="24"/>
      <c r="R66" s="24"/>
      <c r="S66" s="25"/>
      <c r="T66" s="25"/>
      <c r="U66" s="26"/>
      <c r="V66" s="26"/>
      <c r="W66" s="27"/>
      <c r="X66" s="27"/>
      <c r="Z66" s="22"/>
      <c r="AA66" s="22"/>
      <c r="AC66">
        <v>52</v>
      </c>
      <c r="AE66" s="43">
        <f t="shared" si="25"/>
        <v>51.016955441198782</v>
      </c>
      <c r="AG66">
        <f t="shared" si="7"/>
        <v>51.016955441198782</v>
      </c>
      <c r="AH66" s="21">
        <f t="shared" si="22"/>
        <v>76.140635870464365</v>
      </c>
      <c r="AI66" s="21">
        <f t="shared" si="22"/>
        <v>73.277993315618062</v>
      </c>
      <c r="AJ66" s="21">
        <f t="shared" si="22"/>
        <v>79.174787434722901</v>
      </c>
      <c r="AK66" s="21">
        <f t="shared" si="22"/>
        <v>75.15160527246411</v>
      </c>
      <c r="AL66" s="21">
        <f t="shared" si="22"/>
        <v>26.717265624302527</v>
      </c>
      <c r="AM66" s="22"/>
      <c r="AN66" s="21">
        <f t="shared" si="23"/>
        <v>28.015242826012283</v>
      </c>
      <c r="AO66" s="23">
        <f t="shared" si="23"/>
        <v>16.715509099458234</v>
      </c>
      <c r="AP66" s="23">
        <f>IF(Settings!$J$6&gt;69, 0.2*(AO66), 0)</f>
        <v>3.3431018198916469</v>
      </c>
      <c r="AQ66" s="24">
        <f t="shared" si="24"/>
        <v>54.319460465267696</v>
      </c>
      <c r="AR66" s="24">
        <f t="shared" si="24"/>
        <v>32.996928223880275</v>
      </c>
      <c r="AS66" s="24">
        <f t="shared" si="24"/>
        <v>52.477817224235316</v>
      </c>
      <c r="AT66" s="25">
        <f t="shared" si="11"/>
        <v>13.843925174264252</v>
      </c>
      <c r="AU66" s="25">
        <f t="shared" si="12"/>
        <v>18.404139358761597</v>
      </c>
      <c r="AV66" s="26">
        <f t="shared" si="13"/>
        <v>44.996751207538146</v>
      </c>
      <c r="AW66" s="26">
        <f t="shared" si="14"/>
        <v>38.310547567754853</v>
      </c>
      <c r="AX66" s="27" t="e">
        <f t="shared" si="15"/>
        <v>#NUM!</v>
      </c>
      <c r="AY66" s="27" t="e">
        <f t="shared" si="16"/>
        <v>#NUM!</v>
      </c>
      <c r="BA66" s="22">
        <f t="shared" si="19"/>
        <v>28.505904248504848</v>
      </c>
      <c r="BB66" s="22">
        <f t="shared" si="19"/>
        <v>55.246876994748298</v>
      </c>
      <c r="BD66">
        <f t="shared" si="20"/>
        <v>70.552195129656425</v>
      </c>
      <c r="BG66">
        <f t="shared" si="21"/>
        <v>19.996295826015412</v>
      </c>
      <c r="BH66">
        <f t="shared" si="21"/>
        <v>12.750831312390028</v>
      </c>
    </row>
    <row r="67" spans="6:60" x14ac:dyDescent="0.3">
      <c r="F67">
        <v>53</v>
      </c>
      <c r="G67" s="21"/>
      <c r="H67" s="21"/>
      <c r="I67" s="21"/>
      <c r="J67" s="21"/>
      <c r="K67" s="21"/>
      <c r="L67" s="22"/>
      <c r="M67" s="21"/>
      <c r="N67" s="23"/>
      <c r="O67" s="23"/>
      <c r="P67" s="24"/>
      <c r="Q67" s="24"/>
      <c r="R67" s="24"/>
      <c r="S67" s="25"/>
      <c r="T67" s="25"/>
      <c r="U67" s="26"/>
      <c r="V67" s="26"/>
      <c r="W67" s="27"/>
      <c r="X67" s="27"/>
      <c r="Z67" s="22"/>
      <c r="AA67" s="22"/>
      <c r="AC67">
        <v>53</v>
      </c>
      <c r="AE67" s="43">
        <f t="shared" si="25"/>
        <v>51.671481858149477</v>
      </c>
      <c r="AG67">
        <f t="shared" si="7"/>
        <v>51.671481858149477</v>
      </c>
      <c r="AH67" s="21">
        <f t="shared" si="22"/>
        <v>76.68163422346116</v>
      </c>
      <c r="AI67" s="21">
        <f t="shared" si="22"/>
        <v>73.904114774604679</v>
      </c>
      <c r="AJ67" s="21">
        <f t="shared" si="22"/>
        <v>79.965505790395284</v>
      </c>
      <c r="AK67" s="21">
        <f t="shared" si="22"/>
        <v>75.771592765189141</v>
      </c>
      <c r="AL67" s="21">
        <f t="shared" si="22"/>
        <v>26.857637341788518</v>
      </c>
      <c r="AM67" s="22"/>
      <c r="AN67" s="21">
        <f t="shared" si="23"/>
        <v>28.312142137835707</v>
      </c>
      <c r="AO67" s="23">
        <f t="shared" si="23"/>
        <v>16.893726186670857</v>
      </c>
      <c r="AP67" s="23">
        <f>IF(Settings!$J$6&gt;69, 0.2*(AO67), 0)</f>
        <v>3.3787452373341718</v>
      </c>
      <c r="AQ67" s="24">
        <f t="shared" si="24"/>
        <v>54.702681954023546</v>
      </c>
      <c r="AR67" s="24">
        <f t="shared" si="24"/>
        <v>33.187187923051837</v>
      </c>
      <c r="AS67" s="24">
        <f t="shared" si="24"/>
        <v>52.608994286564652</v>
      </c>
      <c r="AT67" s="25">
        <f t="shared" si="11"/>
        <v>13.944821402630344</v>
      </c>
      <c r="AU67" s="25">
        <f t="shared" si="12"/>
        <v>18.547138307436764</v>
      </c>
      <c r="AV67" s="26">
        <f t="shared" si="13"/>
        <v>45.39892048063777</v>
      </c>
      <c r="AW67" s="26">
        <f t="shared" si="14"/>
        <v>38.641430005969426</v>
      </c>
      <c r="AX67" s="27" t="e">
        <f t="shared" si="15"/>
        <v>#NUM!</v>
      </c>
      <c r="AY67" s="27" t="e">
        <f t="shared" si="16"/>
        <v>#NUM!</v>
      </c>
      <c r="BA67" s="22">
        <f t="shared" si="19"/>
        <v>28.580896763945709</v>
      </c>
      <c r="BB67" s="22">
        <f t="shared" si="19"/>
        <v>55.399008085335993</v>
      </c>
      <c r="BD67">
        <f t="shared" si="20"/>
        <v>72.374118808264527</v>
      </c>
      <c r="BG67">
        <f t="shared" si="21"/>
        <v>19.99675029541585</v>
      </c>
      <c r="BH67">
        <f t="shared" si="21"/>
        <v>12.820402126657074</v>
      </c>
    </row>
    <row r="68" spans="6:60" x14ac:dyDescent="0.3">
      <c r="F68">
        <v>54</v>
      </c>
      <c r="G68" s="21"/>
      <c r="H68" s="21"/>
      <c r="I68" s="21"/>
      <c r="J68" s="21"/>
      <c r="K68" s="21"/>
      <c r="L68" s="22"/>
      <c r="M68" s="21"/>
      <c r="N68" s="23"/>
      <c r="O68" s="23"/>
      <c r="P68" s="24"/>
      <c r="Q68" s="24"/>
      <c r="R68" s="24"/>
      <c r="S68" s="25"/>
      <c r="T68" s="25"/>
      <c r="U68" s="26"/>
      <c r="V68" s="26"/>
      <c r="W68" s="27"/>
      <c r="X68" s="27"/>
      <c r="Z68" s="22"/>
      <c r="AA68" s="22"/>
      <c r="AC68">
        <v>54</v>
      </c>
      <c r="AE68" s="43">
        <f t="shared" si="25"/>
        <v>52.274599303739727</v>
      </c>
      <c r="AG68">
        <f t="shared" si="7"/>
        <v>52.274599303739727</v>
      </c>
      <c r="AH68" s="21">
        <f t="shared" si="22"/>
        <v>77.162688123866204</v>
      </c>
      <c r="AI68" s="21">
        <f t="shared" si="22"/>
        <v>74.472445748252909</v>
      </c>
      <c r="AJ68" s="21">
        <f t="shared" si="22"/>
        <v>80.678510158131004</v>
      </c>
      <c r="AK68" s="21">
        <f t="shared" si="22"/>
        <v>76.333914323457023</v>
      </c>
      <c r="AL68" s="21">
        <f t="shared" si="22"/>
        <v>26.981893822879556</v>
      </c>
      <c r="AM68" s="22"/>
      <c r="AN68" s="21">
        <f t="shared" si="23"/>
        <v>28.581870880261711</v>
      </c>
      <c r="AO68" s="23">
        <f t="shared" si="23"/>
        <v>17.056180153489738</v>
      </c>
      <c r="AP68" s="23">
        <f>IF(Settings!$J$6&gt;69, 0.2*(AO68), 0)</f>
        <v>3.4112360306979479</v>
      </c>
      <c r="AQ68" s="24">
        <f t="shared" si="24"/>
        <v>55.049803717454893</v>
      </c>
      <c r="AR68" s="24">
        <f t="shared" si="24"/>
        <v>33.35812296864907</v>
      </c>
      <c r="AS68" s="24">
        <f t="shared" si="24"/>
        <v>52.72391108412836</v>
      </c>
      <c r="AT68" s="25">
        <f t="shared" si="11"/>
        <v>14.036177634440525</v>
      </c>
      <c r="AU68" s="25">
        <f t="shared" si="12"/>
        <v>18.676427098532187</v>
      </c>
      <c r="AV68" s="26">
        <f t="shared" si="13"/>
        <v>45.764312950871322</v>
      </c>
      <c r="AW68" s="26">
        <f t="shared" si="14"/>
        <v>38.941840889475429</v>
      </c>
      <c r="AX68" s="27" t="e">
        <f t="shared" si="15"/>
        <v>#NUM!</v>
      </c>
      <c r="AY68" s="27" t="e">
        <f t="shared" si="16"/>
        <v>#NUM!</v>
      </c>
      <c r="BA68" s="22">
        <f t="shared" si="19"/>
        <v>28.646715713431767</v>
      </c>
      <c r="BB68" s="22">
        <f t="shared" si="19"/>
        <v>55.534876038726715</v>
      </c>
      <c r="BD68">
        <f t="shared" si="20"/>
        <v>74.073502583259966</v>
      </c>
      <c r="BG68">
        <f t="shared" si="21"/>
        <v>19.997119545794895</v>
      </c>
      <c r="BH68">
        <f t="shared" si="21"/>
        <v>12.882683912643666</v>
      </c>
    </row>
    <row r="69" spans="6:60" x14ac:dyDescent="0.3">
      <c r="F69">
        <v>55</v>
      </c>
      <c r="G69" s="21"/>
      <c r="H69" s="21"/>
      <c r="I69" s="21"/>
      <c r="J69" s="21"/>
      <c r="K69" s="21"/>
      <c r="L69" s="22"/>
      <c r="M69" s="21"/>
      <c r="N69" s="23"/>
      <c r="O69" s="23"/>
      <c r="P69" s="24"/>
      <c r="Q69" s="24"/>
      <c r="R69" s="24"/>
      <c r="S69" s="25"/>
      <c r="T69" s="25"/>
      <c r="U69" s="26"/>
      <c r="V69" s="26"/>
      <c r="W69" s="27"/>
      <c r="X69" s="27"/>
      <c r="Z69" s="22"/>
      <c r="AA69" s="22"/>
      <c r="AC69">
        <v>55</v>
      </c>
      <c r="AE69" s="43">
        <f t="shared" si="25"/>
        <v>52.830345632314121</v>
      </c>
      <c r="AG69">
        <f t="shared" si="7"/>
        <v>52.830345632314121</v>
      </c>
      <c r="AH69" s="21">
        <f t="shared" si="22"/>
        <v>77.591557210422181</v>
      </c>
      <c r="AI69" s="21">
        <f t="shared" si="22"/>
        <v>74.988901957673647</v>
      </c>
      <c r="AJ69" s="21">
        <f t="shared" si="22"/>
        <v>81.322423717835122</v>
      </c>
      <c r="AK69" s="21">
        <f t="shared" si="22"/>
        <v>76.844540512630473</v>
      </c>
      <c r="AL69" s="21">
        <f t="shared" si="22"/>
        <v>27.092216690234608</v>
      </c>
      <c r="AM69" s="22"/>
      <c r="AN69" s="21">
        <f t="shared" si="23"/>
        <v>28.82716262572189</v>
      </c>
      <c r="AO69" s="23">
        <f t="shared" si="23"/>
        <v>17.204380755933869</v>
      </c>
      <c r="AP69" s="23">
        <f>IF(Settings!$J$6&gt;69, 0.2*(AO69), 0)</f>
        <v>3.440876151186774</v>
      </c>
      <c r="AQ69" s="24">
        <f t="shared" si="24"/>
        <v>55.364639834373456</v>
      </c>
      <c r="AR69" s="24">
        <f t="shared" si="24"/>
        <v>33.511992519512916</v>
      </c>
      <c r="AS69" s="24">
        <f t="shared" si="24"/>
        <v>52.824976304288526</v>
      </c>
      <c r="AT69" s="25">
        <f t="shared" si="11"/>
        <v>14.119006376476712</v>
      </c>
      <c r="AU69" s="25">
        <f t="shared" si="12"/>
        <v>18.793486558302035</v>
      </c>
      <c r="AV69" s="26">
        <f t="shared" si="13"/>
        <v>46.096641356803758</v>
      </c>
      <c r="AW69" s="26">
        <f t="shared" si="14"/>
        <v>39.214889054430209</v>
      </c>
      <c r="AX69" s="27" t="e">
        <f t="shared" si="15"/>
        <v>#NUM!</v>
      </c>
      <c r="AY69" s="27" t="e">
        <f t="shared" si="16"/>
        <v>#NUM!</v>
      </c>
      <c r="BA69" s="22">
        <f t="shared" si="19"/>
        <v>28.70470042186945</v>
      </c>
      <c r="BB69" s="22">
        <f t="shared" si="19"/>
        <v>55.656517766710529</v>
      </c>
      <c r="BD69">
        <f t="shared" si="20"/>
        <v>75.656868189904216</v>
      </c>
      <c r="BG69">
        <f t="shared" si="21"/>
        <v>19.997422539049548</v>
      </c>
      <c r="BH69">
        <f t="shared" si="21"/>
        <v>12.938562718258728</v>
      </c>
    </row>
    <row r="70" spans="6:60" x14ac:dyDescent="0.3">
      <c r="F70">
        <v>56</v>
      </c>
      <c r="G70" s="21"/>
      <c r="H70" s="21"/>
      <c r="I70" s="21"/>
      <c r="J70" s="21"/>
      <c r="K70" s="21"/>
      <c r="L70" s="22"/>
      <c r="M70" s="21"/>
      <c r="N70" s="23"/>
      <c r="O70" s="23"/>
      <c r="P70" s="24"/>
      <c r="Q70" s="24"/>
      <c r="R70" s="24"/>
      <c r="S70" s="25"/>
      <c r="T70" s="25"/>
      <c r="U70" s="26"/>
      <c r="V70" s="26"/>
      <c r="W70" s="27"/>
      <c r="X70" s="27"/>
      <c r="Z70" s="22"/>
      <c r="AA70" s="22"/>
      <c r="AC70">
        <v>56</v>
      </c>
      <c r="AE70" s="43">
        <f t="shared" si="25"/>
        <v>53.342441549920437</v>
      </c>
      <c r="AG70">
        <f t="shared" si="7"/>
        <v>53.342441549920437</v>
      </c>
      <c r="AH70" s="21">
        <f t="shared" si="22"/>
        <v>77.974836338207254</v>
      </c>
      <c r="AI70" s="21">
        <f t="shared" si="22"/>
        <v>75.458710340726057</v>
      </c>
      <c r="AJ70" s="21">
        <f t="shared" si="22"/>
        <v>81.904780029977758</v>
      </c>
      <c r="AK70" s="21">
        <f t="shared" si="22"/>
        <v>77.308736565022173</v>
      </c>
      <c r="AL70" s="21">
        <f t="shared" si="22"/>
        <v>27.190443055546247</v>
      </c>
      <c r="AM70" s="22"/>
      <c r="AN70" s="21">
        <f t="shared" si="23"/>
        <v>29.050442661546796</v>
      </c>
      <c r="AO70" s="23">
        <f t="shared" si="23"/>
        <v>17.339677343187752</v>
      </c>
      <c r="AP70" s="23">
        <f>IF(Settings!$J$6&gt;69, 0.2*(AO70), 0)</f>
        <v>3.4679354686375508</v>
      </c>
      <c r="AQ70" s="24">
        <f t="shared" si="24"/>
        <v>55.650540747678228</v>
      </c>
      <c r="AR70" s="24">
        <f t="shared" si="24"/>
        <v>33.650748070629007</v>
      </c>
      <c r="AS70" s="24">
        <f t="shared" si="24"/>
        <v>52.914180573727783</v>
      </c>
      <c r="AT70" s="25">
        <f t="shared" si="11"/>
        <v>14.19419657410301</v>
      </c>
      <c r="AU70" s="25">
        <f t="shared" si="12"/>
        <v>18.899613711816336</v>
      </c>
      <c r="AV70" s="26">
        <f t="shared" si="13"/>
        <v>46.399193841956901</v>
      </c>
      <c r="AW70" s="26">
        <f t="shared" si="14"/>
        <v>39.463322904681803</v>
      </c>
      <c r="AX70" s="27" t="e">
        <f t="shared" si="15"/>
        <v>#NUM!</v>
      </c>
      <c r="AY70" s="27" t="e">
        <f t="shared" si="16"/>
        <v>#NUM!</v>
      </c>
      <c r="BA70" s="22">
        <f t="shared" si="19"/>
        <v>28.755960996774387</v>
      </c>
      <c r="BB70" s="22">
        <f t="shared" si="19"/>
        <v>55.765669546783677</v>
      </c>
      <c r="BD70">
        <f t="shared" si="20"/>
        <v>77.130693423224528</v>
      </c>
      <c r="BG70">
        <f t="shared" ref="BG70:BH84" si="26">BG$4*(1-EXP(-BG$5*$AG70))^BG$6</f>
        <v>19.997673440372612</v>
      </c>
      <c r="BH70">
        <f t="shared" si="26"/>
        <v>12.988798871587596</v>
      </c>
    </row>
    <row r="71" spans="6:60" x14ac:dyDescent="0.3">
      <c r="F71">
        <v>57</v>
      </c>
      <c r="G71" s="21"/>
      <c r="H71" s="21"/>
      <c r="I71" s="21"/>
      <c r="J71" s="21"/>
      <c r="K71" s="21"/>
      <c r="L71" s="22"/>
      <c r="M71" s="21"/>
      <c r="N71" s="23"/>
      <c r="O71" s="23"/>
      <c r="P71" s="24"/>
      <c r="Q71" s="24"/>
      <c r="R71" s="24"/>
      <c r="S71" s="25"/>
      <c r="T71" s="25"/>
      <c r="U71" s="26"/>
      <c r="V71" s="26"/>
      <c r="W71" s="27"/>
      <c r="X71" s="27"/>
      <c r="Z71" s="22"/>
      <c r="AA71" s="22"/>
      <c r="AC71">
        <v>57</v>
      </c>
      <c r="AE71" s="43">
        <f t="shared" si="25"/>
        <v>53.814315524332059</v>
      </c>
      <c r="AG71">
        <f t="shared" si="7"/>
        <v>53.814315524332059</v>
      </c>
      <c r="AH71" s="21">
        <f t="shared" si="22"/>
        <v>78.318152336343587</v>
      </c>
      <c r="AI71" s="21">
        <f t="shared" si="22"/>
        <v>75.886500408422535</v>
      </c>
      <c r="AJ71" s="21">
        <f t="shared" si="22"/>
        <v>82.432176593637109</v>
      </c>
      <c r="AK71" s="21">
        <f t="shared" si="22"/>
        <v>77.731157469415933</v>
      </c>
      <c r="AL71" s="21">
        <f t="shared" si="22"/>
        <v>27.278127078772954</v>
      </c>
      <c r="AM71" s="22"/>
      <c r="AN71" s="21">
        <f t="shared" si="23"/>
        <v>29.253866719142692</v>
      </c>
      <c r="AO71" s="23">
        <f t="shared" si="23"/>
        <v>17.463277849009806</v>
      </c>
      <c r="AP71" s="23">
        <f>IF(Settings!$J$6&gt;69, 0.2*(AO71), 0)</f>
        <v>3.4926555698019612</v>
      </c>
      <c r="AQ71" s="24">
        <f t="shared" si="24"/>
        <v>55.910458115752064</v>
      </c>
      <c r="AR71" s="24">
        <f t="shared" si="24"/>
        <v>33.776081503583868</v>
      </c>
      <c r="AS71" s="24">
        <f t="shared" si="24"/>
        <v>52.993178753034449</v>
      </c>
      <c r="AT71" s="25">
        <f t="shared" si="11"/>
        <v>14.26253092005682</v>
      </c>
      <c r="AU71" s="25">
        <f t="shared" si="12"/>
        <v>18.995947814122406</v>
      </c>
      <c r="AV71" s="26">
        <f t="shared" si="13"/>
        <v>46.674889128716174</v>
      </c>
      <c r="AW71" s="26">
        <f t="shared" si="14"/>
        <v>39.689577989112252</v>
      </c>
      <c r="AX71" s="27" t="e">
        <f t="shared" si="15"/>
        <v>#NUM!</v>
      </c>
      <c r="AY71" s="27" t="e">
        <f t="shared" si="16"/>
        <v>#NUM!</v>
      </c>
      <c r="BA71" s="22">
        <f t="shared" si="19"/>
        <v>28.801422862689694</v>
      </c>
      <c r="BB71" s="22">
        <f t="shared" si="19"/>
        <v>55.863818245869787</v>
      </c>
      <c r="BD71">
        <f t="shared" si="20"/>
        <v>78.501344913936592</v>
      </c>
      <c r="BG71">
        <f t="shared" si="26"/>
        <v>19.997882957605992</v>
      </c>
      <c r="BH71">
        <f t="shared" si="26"/>
        <v>13.034047378821377</v>
      </c>
    </row>
    <row r="72" spans="6:60" x14ac:dyDescent="0.3">
      <c r="F72">
        <v>58</v>
      </c>
      <c r="G72" s="21"/>
      <c r="H72" s="21"/>
      <c r="I72" s="21"/>
      <c r="J72" s="21"/>
      <c r="K72" s="21"/>
      <c r="L72" s="22"/>
      <c r="M72" s="21"/>
      <c r="N72" s="23"/>
      <c r="O72" s="23"/>
      <c r="P72" s="24"/>
      <c r="Q72" s="24"/>
      <c r="R72" s="24"/>
      <c r="S72" s="25"/>
      <c r="T72" s="25"/>
      <c r="U72" s="26"/>
      <c r="V72" s="26"/>
      <c r="W72" s="27"/>
      <c r="X72" s="27"/>
      <c r="Z72" s="22"/>
      <c r="AA72" s="22"/>
      <c r="AC72">
        <v>58</v>
      </c>
      <c r="AE72" s="43">
        <f t="shared" si="25"/>
        <v>54.249126738543261</v>
      </c>
      <c r="AG72">
        <f t="shared" si="7"/>
        <v>54.249126738543261</v>
      </c>
      <c r="AH72" s="21">
        <f t="shared" si="22"/>
        <v>78.62632463124126</v>
      </c>
      <c r="AI72" s="21">
        <f t="shared" si="22"/>
        <v>76.276382108698911</v>
      </c>
      <c r="AJ72" s="21">
        <f t="shared" si="22"/>
        <v>82.910405279012167</v>
      </c>
      <c r="AK72" s="21">
        <f t="shared" si="22"/>
        <v>78.115928767768636</v>
      </c>
      <c r="AL72" s="21">
        <f t="shared" si="22"/>
        <v>27.356589460634666</v>
      </c>
      <c r="AM72" s="22"/>
      <c r="AN72" s="21">
        <f t="shared" si="23"/>
        <v>29.439354478112243</v>
      </c>
      <c r="AO72" s="23">
        <f t="shared" si="23"/>
        <v>17.576265341137923</v>
      </c>
      <c r="AP72" s="23">
        <f>IF(Settings!$J$6&gt;69, 0.2*(AO72), 0)</f>
        <v>3.5152530682275849</v>
      </c>
      <c r="AQ72" s="24">
        <f t="shared" si="24"/>
        <v>56.146999450939809</v>
      </c>
      <c r="AR72" s="24">
        <f t="shared" si="24"/>
        <v>33.889464773655298</v>
      </c>
      <c r="AS72" s="24">
        <f t="shared" si="24"/>
        <v>53.063354361197369</v>
      </c>
      <c r="AT72" s="25">
        <f t="shared" si="11"/>
        <v>14.324700443958738</v>
      </c>
      <c r="AU72" s="25">
        <f t="shared" si="12"/>
        <v>19.083492288395817</v>
      </c>
      <c r="AV72" s="26">
        <f t="shared" si="13"/>
        <v>46.926323724918419</v>
      </c>
      <c r="AW72" s="26">
        <f t="shared" si="14"/>
        <v>39.895817588463245</v>
      </c>
      <c r="AX72" s="27" t="e">
        <f t="shared" si="15"/>
        <v>#NUM!</v>
      </c>
      <c r="AY72" s="27" t="e">
        <f t="shared" si="16"/>
        <v>#NUM!</v>
      </c>
      <c r="BA72" s="22">
        <f t="shared" si="19"/>
        <v>28.841861744158138</v>
      </c>
      <c r="BB72" s="22">
        <f t="shared" si="19"/>
        <v>55.9522427458921</v>
      </c>
      <c r="BD72">
        <f t="shared" si="20"/>
        <v>79.775026850605016</v>
      </c>
      <c r="BG72">
        <f t="shared" si="26"/>
        <v>19.998059275608099</v>
      </c>
      <c r="BH72">
        <f t="shared" si="26"/>
        <v>13.074874648940057</v>
      </c>
    </row>
    <row r="73" spans="6:60" x14ac:dyDescent="0.3">
      <c r="F73">
        <v>59</v>
      </c>
      <c r="G73" s="21"/>
      <c r="H73" s="21"/>
      <c r="I73" s="21"/>
      <c r="J73" s="21"/>
      <c r="K73" s="21"/>
      <c r="L73" s="22"/>
      <c r="M73" s="21"/>
      <c r="N73" s="23"/>
      <c r="O73" s="23"/>
      <c r="P73" s="24"/>
      <c r="Q73" s="24"/>
      <c r="R73" s="24"/>
      <c r="S73" s="25"/>
      <c r="T73" s="25"/>
      <c r="U73" s="26"/>
      <c r="V73" s="26"/>
      <c r="W73" s="27"/>
      <c r="X73" s="27"/>
      <c r="Z73" s="22"/>
      <c r="AA73" s="22"/>
      <c r="AC73">
        <v>59</v>
      </c>
      <c r="AE73" s="43">
        <f t="shared" si="25"/>
        <v>54.649786241410681</v>
      </c>
      <c r="AG73">
        <f t="shared" si="7"/>
        <v>54.649786241410681</v>
      </c>
      <c r="AH73" s="21">
        <f t="shared" si="22"/>
        <v>78.903496725877289</v>
      </c>
      <c r="AI73" s="21">
        <f t="shared" si="22"/>
        <v>76.632012341933574</v>
      </c>
      <c r="AJ73" s="21">
        <f t="shared" si="22"/>
        <v>83.344563135025894</v>
      </c>
      <c r="AK73" s="21">
        <f t="shared" si="22"/>
        <v>78.466715376651422</v>
      </c>
      <c r="AL73" s="21">
        <f t="shared" si="22"/>
        <v>27.426957400090462</v>
      </c>
      <c r="AM73" s="22"/>
      <c r="AN73" s="21">
        <f t="shared" si="23"/>
        <v>29.608618552592699</v>
      </c>
      <c r="AO73" s="23">
        <f t="shared" si="23"/>
        <v>17.679612450402011</v>
      </c>
      <c r="AP73" s="23">
        <f>IF(Settings!$J$6&gt;69, 0.2*(AO73), 0)</f>
        <v>3.5359224900804023</v>
      </c>
      <c r="AQ73" s="24">
        <f t="shared" si="24"/>
        <v>56.362474306237623</v>
      </c>
      <c r="AR73" s="24">
        <f t="shared" si="24"/>
        <v>33.992182813305099</v>
      </c>
      <c r="AS73" s="24">
        <f t="shared" si="24"/>
        <v>53.125870328186252</v>
      </c>
      <c r="AT73" s="25">
        <f t="shared" si="11"/>
        <v>14.38131684792547</v>
      </c>
      <c r="AU73" s="25">
        <f t="shared" si="12"/>
        <v>19.163133262497642</v>
      </c>
      <c r="AV73" s="26">
        <f t="shared" si="13"/>
        <v>47.155812396167789</v>
      </c>
      <c r="AW73" s="26">
        <f t="shared" si="14"/>
        <v>40.083967416006985</v>
      </c>
      <c r="AX73" s="27" t="e">
        <f t="shared" si="15"/>
        <v>#NUM!</v>
      </c>
      <c r="AY73" s="27" t="e">
        <f t="shared" si="16"/>
        <v>#NUM!</v>
      </c>
      <c r="BA73" s="22">
        <f t="shared" si="19"/>
        <v>28.877931314358229</v>
      </c>
      <c r="BB73" s="22">
        <f t="shared" si="19"/>
        <v>56.032047629199937</v>
      </c>
      <c r="BD73">
        <f t="shared" si="20"/>
        <v>80.957742785837567</v>
      </c>
      <c r="BG73">
        <f t="shared" si="26"/>
        <v>19.99820871652199</v>
      </c>
      <c r="BH73">
        <f t="shared" si="26"/>
        <v>13.111772260561459</v>
      </c>
    </row>
    <row r="74" spans="6:60" x14ac:dyDescent="0.3">
      <c r="F74">
        <v>60</v>
      </c>
      <c r="G74" s="21"/>
      <c r="H74" s="21"/>
      <c r="I74" s="21"/>
      <c r="J74" s="21"/>
      <c r="K74" s="21"/>
      <c r="L74" s="22"/>
      <c r="M74" s="21"/>
      <c r="N74" s="23"/>
      <c r="O74" s="23"/>
      <c r="P74" s="24"/>
      <c r="Q74" s="24"/>
      <c r="R74" s="24"/>
      <c r="S74" s="25"/>
      <c r="T74" s="25"/>
      <c r="U74" s="26"/>
      <c r="V74" s="26"/>
      <c r="W74" s="27"/>
      <c r="X74" s="27"/>
      <c r="Z74" s="22"/>
      <c r="AA74" s="22"/>
      <c r="AC74">
        <v>60</v>
      </c>
      <c r="AE74" s="43">
        <f t="shared" si="25"/>
        <v>55.01897643704347</v>
      </c>
      <c r="AG74">
        <f t="shared" si="7"/>
        <v>55.01897643704347</v>
      </c>
      <c r="AH74" s="21">
        <f t="shared" si="22"/>
        <v>79.153244147820317</v>
      </c>
      <c r="AI74" s="21">
        <f t="shared" si="22"/>
        <v>76.956651919492998</v>
      </c>
      <c r="AJ74" s="21">
        <f t="shared" si="22"/>
        <v>83.739146599127807</v>
      </c>
      <c r="AK74" s="21">
        <f t="shared" si="22"/>
        <v>78.78678035934692</v>
      </c>
      <c r="AL74" s="21">
        <f t="shared" si="22"/>
        <v>27.490196991506675</v>
      </c>
      <c r="AM74" s="22"/>
      <c r="AN74" s="21">
        <f t="shared" si="23"/>
        <v>29.763189584322301</v>
      </c>
      <c r="AO74" s="23">
        <f t="shared" si="23"/>
        <v>17.774193962770443</v>
      </c>
      <c r="AP74" s="23">
        <f>IF(Settings!$J$6&gt;69, 0.2*(AO74), 0)</f>
        <v>3.5548387925540887</v>
      </c>
      <c r="AQ74" s="24">
        <f t="shared" si="24"/>
        <v>56.558933446589087</v>
      </c>
      <c r="AR74" s="24">
        <f t="shared" si="24"/>
        <v>34.085360914646017</v>
      </c>
      <c r="AS74" s="24">
        <f t="shared" si="24"/>
        <v>53.181709221511177</v>
      </c>
      <c r="AT74" s="25">
        <f t="shared" si="11"/>
        <v>14.432922969116431</v>
      </c>
      <c r="AU74" s="25">
        <f t="shared" si="12"/>
        <v>19.23565527389967</v>
      </c>
      <c r="AV74" s="26">
        <f t="shared" si="13"/>
        <v>47.365422941131719</v>
      </c>
      <c r="AW74" s="26">
        <f t="shared" si="14"/>
        <v>40.255745356023546</v>
      </c>
      <c r="AX74" s="27" t="e">
        <f t="shared" si="15"/>
        <v>#NUM!</v>
      </c>
      <c r="AY74" s="27" t="e">
        <f t="shared" si="16"/>
        <v>#NUM!</v>
      </c>
      <c r="BA74" s="22">
        <f t="shared" si="19"/>
        <v>28.910185177327623</v>
      </c>
      <c r="BB74" s="22">
        <f t="shared" si="19"/>
        <v>56.104190714191148</v>
      </c>
      <c r="BD74">
        <f t="shared" si="20"/>
        <v>82.055268132053754</v>
      </c>
      <c r="BG74">
        <f t="shared" si="26"/>
        <v>19.99833621204948</v>
      </c>
      <c r="BH74">
        <f t="shared" si="26"/>
        <v>13.145168338684647</v>
      </c>
    </row>
    <row r="75" spans="6:60" x14ac:dyDescent="0.3">
      <c r="F75">
        <v>61</v>
      </c>
      <c r="G75" s="21"/>
      <c r="H75" s="21"/>
      <c r="I75" s="21"/>
      <c r="J75" s="21"/>
      <c r="K75" s="21"/>
      <c r="L75" s="22"/>
      <c r="M75" s="21"/>
      <c r="N75" s="23"/>
      <c r="O75" s="23"/>
      <c r="P75" s="24"/>
      <c r="Q75" s="24"/>
      <c r="R75" s="24"/>
      <c r="S75" s="25"/>
      <c r="T75" s="25"/>
      <c r="U75" s="26"/>
      <c r="V75" s="26"/>
      <c r="W75" s="27"/>
      <c r="X75" s="27"/>
      <c r="Z75" s="22"/>
      <c r="AA75" s="22"/>
      <c r="AC75">
        <v>61</v>
      </c>
      <c r="AE75" s="43">
        <f t="shared" si="25"/>
        <v>55.359169043423464</v>
      </c>
      <c r="AG75">
        <f t="shared" si="7"/>
        <v>55.359169043423464</v>
      </c>
      <c r="AH75" s="21">
        <f t="shared" si="22"/>
        <v>79.378663363906398</v>
      </c>
      <c r="AI75" s="21">
        <f t="shared" si="22"/>
        <v>77.253214460761612</v>
      </c>
      <c r="AJ75" s="21">
        <f t="shared" si="22"/>
        <v>84.098131696268354</v>
      </c>
      <c r="AK75" s="21">
        <f t="shared" si="22"/>
        <v>79.079035248999361</v>
      </c>
      <c r="AL75" s="21">
        <f t="shared" si="22"/>
        <v>27.547139605014319</v>
      </c>
      <c r="AM75" s="22"/>
      <c r="AN75" s="21">
        <f t="shared" si="23"/>
        <v>29.904437987337598</v>
      </c>
      <c r="AO75" s="23">
        <f t="shared" si="23"/>
        <v>17.860797821533446</v>
      </c>
      <c r="AP75" s="23">
        <f>IF(Settings!$J$6&gt;69, 0.2*(AO75), 0)</f>
        <v>3.5721595643066895</v>
      </c>
      <c r="AQ75" s="24">
        <f t="shared" si="24"/>
        <v>56.738202179223279</v>
      </c>
      <c r="AR75" s="24">
        <f t="shared" si="24"/>
        <v>34.169987602749124</v>
      </c>
      <c r="AS75" s="24">
        <f t="shared" si="24"/>
        <v>53.231705318696974</v>
      </c>
      <c r="AT75" s="25">
        <f t="shared" si="11"/>
        <v>14.480001681414958</v>
      </c>
      <c r="AU75" s="25">
        <f t="shared" si="12"/>
        <v>19.301754612798511</v>
      </c>
      <c r="AV75" s="26">
        <f t="shared" si="13"/>
        <v>47.557006141147525</v>
      </c>
      <c r="AW75" s="26">
        <f t="shared" si="14"/>
        <v>40.41268701253415</v>
      </c>
      <c r="AX75" s="27" t="e">
        <f t="shared" si="15"/>
        <v>#NUM!</v>
      </c>
      <c r="AY75" s="27" t="e">
        <f t="shared" si="16"/>
        <v>#NUM!</v>
      </c>
      <c r="BA75" s="22">
        <f t="shared" si="19"/>
        <v>28.939094446060569</v>
      </c>
      <c r="BB75" s="22">
        <f t="shared" si="19"/>
        <v>56.169505677604199</v>
      </c>
      <c r="BD75">
        <f t="shared" si="20"/>
        <v>83.073131346713112</v>
      </c>
      <c r="BG75">
        <f t="shared" si="26"/>
        <v>19.998445645155996</v>
      </c>
      <c r="BH75">
        <f t="shared" si="26"/>
        <v>13.175436993102055</v>
      </c>
    </row>
    <row r="76" spans="6:60" x14ac:dyDescent="0.3">
      <c r="F76">
        <v>62</v>
      </c>
      <c r="G76" s="21"/>
      <c r="H76" s="21"/>
      <c r="I76" s="21"/>
      <c r="J76" s="21"/>
      <c r="K76" s="21"/>
      <c r="L76" s="22"/>
      <c r="M76" s="21"/>
      <c r="N76" s="23"/>
      <c r="O76" s="23"/>
      <c r="P76" s="24"/>
      <c r="Q76" s="24"/>
      <c r="R76" s="24"/>
      <c r="S76" s="25"/>
      <c r="T76" s="25"/>
      <c r="U76" s="26"/>
      <c r="V76" s="26"/>
      <c r="W76" s="27"/>
      <c r="X76" s="27"/>
      <c r="Z76" s="22"/>
      <c r="AA76" s="22"/>
      <c r="AC76">
        <v>62</v>
      </c>
      <c r="AE76" s="43">
        <f t="shared" si="25"/>
        <v>55.672641640487548</v>
      </c>
      <c r="AG76">
        <f t="shared" si="7"/>
        <v>55.672641640487548</v>
      </c>
      <c r="AH76" s="21">
        <f t="shared" si="22"/>
        <v>79.582445264560675</v>
      </c>
      <c r="AI76" s="21">
        <f t="shared" si="22"/>
        <v>77.524308477357494</v>
      </c>
      <c r="AJ76" s="21">
        <f t="shared" si="22"/>
        <v>84.425042420643138</v>
      </c>
      <c r="AK76" s="21">
        <f t="shared" si="22"/>
        <v>79.346083253519794</v>
      </c>
      <c r="AL76" s="21">
        <f t="shared" si="22"/>
        <v>27.598503459805521</v>
      </c>
      <c r="AM76" s="22"/>
      <c r="AN76" s="21">
        <f t="shared" si="23"/>
        <v>30.033592815902207</v>
      </c>
      <c r="AO76" s="23">
        <f t="shared" si="23"/>
        <v>17.940134754113046</v>
      </c>
      <c r="AP76" s="23">
        <f>IF(Settings!$J$6&gt;69, 0.2*(AO76), 0)</f>
        <v>3.5880269508226093</v>
      </c>
      <c r="AQ76" s="24">
        <f t="shared" si="24"/>
        <v>56.901908805821989</v>
      </c>
      <c r="AR76" s="24">
        <f t="shared" si="24"/>
        <v>34.246933813180519</v>
      </c>
      <c r="AS76" s="24">
        <f t="shared" si="24"/>
        <v>53.276570325034555</v>
      </c>
      <c r="AT76" s="25">
        <f t="shared" si="11"/>
        <v>14.522983492721071</v>
      </c>
      <c r="AU76" s="25">
        <f t="shared" si="12"/>
        <v>19.362050690946976</v>
      </c>
      <c r="AV76" s="26">
        <f t="shared" si="13"/>
        <v>47.73222161573527</v>
      </c>
      <c r="AW76" s="26">
        <f t="shared" si="14"/>
        <v>40.556167714090051</v>
      </c>
      <c r="AX76" s="27" t="e">
        <f t="shared" si="15"/>
        <v>#NUM!</v>
      </c>
      <c r="AY76" s="27" t="e">
        <f t="shared" si="16"/>
        <v>#NUM!</v>
      </c>
      <c r="BA76" s="22">
        <f t="shared" si="19"/>
        <v>28.965061877470557</v>
      </c>
      <c r="BB76" s="22">
        <f t="shared" si="19"/>
        <v>56.228720730465682</v>
      </c>
      <c r="BD76">
        <f t="shared" si="20"/>
        <v>84.016602139127613</v>
      </c>
      <c r="BG76">
        <f t="shared" si="26"/>
        <v>19.998540100003215</v>
      </c>
      <c r="BH76">
        <f t="shared" si="26"/>
        <v>13.202906179083676</v>
      </c>
    </row>
    <row r="77" spans="6:60" x14ac:dyDescent="0.3">
      <c r="F77">
        <v>63</v>
      </c>
      <c r="G77" s="21"/>
      <c r="H77" s="21"/>
      <c r="I77" s="21"/>
      <c r="J77" s="21"/>
      <c r="K77" s="21"/>
      <c r="L77" s="22"/>
      <c r="M77" s="21"/>
      <c r="N77" s="23"/>
      <c r="O77" s="23"/>
      <c r="P77" s="24"/>
      <c r="Q77" s="24"/>
      <c r="R77" s="24"/>
      <c r="S77" s="25"/>
      <c r="T77" s="25"/>
      <c r="U77" s="26"/>
      <c r="V77" s="26"/>
      <c r="W77" s="27"/>
      <c r="X77" s="27"/>
      <c r="Z77" s="22"/>
      <c r="AA77" s="22"/>
      <c r="AC77">
        <v>63</v>
      </c>
      <c r="AE77" s="43">
        <f t="shared" si="25"/>
        <v>55.961492918461353</v>
      </c>
      <c r="AG77">
        <f t="shared" si="7"/>
        <v>55.961492918461353</v>
      </c>
      <c r="AH77" s="21">
        <f t="shared" si="22"/>
        <v>79.766936105717875</v>
      </c>
      <c r="AI77" s="21">
        <f t="shared" si="22"/>
        <v>77.772273687949138</v>
      </c>
      <c r="AJ77" s="21">
        <f t="shared" si="22"/>
        <v>84.72300915071304</v>
      </c>
      <c r="AK77" s="21">
        <f t="shared" si="22"/>
        <v>79.590256449900124</v>
      </c>
      <c r="AL77" s="21">
        <f t="shared" si="22"/>
        <v>27.644911341539007</v>
      </c>
      <c r="AM77" s="22"/>
      <c r="AN77" s="21">
        <f t="shared" si="23"/>
        <v>30.151758161578638</v>
      </c>
      <c r="AO77" s="23">
        <f t="shared" si="23"/>
        <v>18.012846708862661</v>
      </c>
      <c r="AP77" s="23">
        <f>IF(Settings!$J$6&gt;69, 0.2*(AO77), 0)</f>
        <v>3.6025693417725324</v>
      </c>
      <c r="AQ77" s="24">
        <f t="shared" si="24"/>
        <v>57.051508987976575</v>
      </c>
      <c r="AR77" s="24">
        <f t="shared" si="24"/>
        <v>34.316969029688039</v>
      </c>
      <c r="AS77" s="24">
        <f t="shared" si="24"/>
        <v>53.316914109872798</v>
      </c>
      <c r="AT77" s="25">
        <f t="shared" si="11"/>
        <v>14.562253049044083</v>
      </c>
      <c r="AU77" s="25">
        <f t="shared" si="12"/>
        <v>19.417095756228584</v>
      </c>
      <c r="AV77" s="26">
        <f t="shared" si="13"/>
        <v>47.892560198405903</v>
      </c>
      <c r="AW77" s="26">
        <f t="shared" si="14"/>
        <v>40.687421514860837</v>
      </c>
      <c r="AX77" s="27" t="e">
        <f t="shared" si="15"/>
        <v>#NUM!</v>
      </c>
      <c r="AY77" s="27" t="e">
        <f t="shared" si="16"/>
        <v>#NUM!</v>
      </c>
      <c r="BA77" s="22">
        <f t="shared" si="19"/>
        <v>28.988433300133707</v>
      </c>
      <c r="BB77" s="22">
        <f t="shared" si="19"/>
        <v>56.282474108182569</v>
      </c>
      <c r="BD77">
        <f t="shared" si="20"/>
        <v>84.890685310694948</v>
      </c>
      <c r="BG77">
        <f t="shared" si="26"/>
        <v>19.99862204664608</v>
      </c>
      <c r="BH77">
        <f t="shared" si="26"/>
        <v>13.227864269102835</v>
      </c>
    </row>
    <row r="78" spans="6:60" x14ac:dyDescent="0.3">
      <c r="F78">
        <v>64</v>
      </c>
      <c r="G78" s="21"/>
      <c r="H78" s="21"/>
      <c r="I78" s="21"/>
      <c r="J78" s="21"/>
      <c r="K78" s="21"/>
      <c r="L78" s="22"/>
      <c r="M78" s="21"/>
      <c r="N78" s="23"/>
      <c r="O78" s="23"/>
      <c r="P78" s="24"/>
      <c r="Q78" s="24"/>
      <c r="R78" s="24"/>
      <c r="S78" s="25"/>
      <c r="T78" s="25"/>
      <c r="U78" s="26"/>
      <c r="V78" s="26"/>
      <c r="W78" s="27"/>
      <c r="X78" s="27"/>
      <c r="Z78" s="22"/>
      <c r="AA78" s="22"/>
      <c r="AC78">
        <v>64</v>
      </c>
      <c r="AE78" s="43">
        <f t="shared" si="25"/>
        <v>56.227656728531329</v>
      </c>
      <c r="AG78">
        <f t="shared" si="7"/>
        <v>56.227656728531329</v>
      </c>
      <c r="AH78" s="21">
        <f t="shared" si="22"/>
        <v>79.934188226352759</v>
      </c>
      <c r="AI78" s="21">
        <f t="shared" si="22"/>
        <v>77.999212436536212</v>
      </c>
      <c r="AJ78" s="21">
        <f t="shared" si="22"/>
        <v>84.994818653496878</v>
      </c>
      <c r="AK78" s="21">
        <f t="shared" si="22"/>
        <v>79.813647891249289</v>
      </c>
      <c r="AL78" s="21">
        <f t="shared" si="22"/>
        <v>27.686905214303785</v>
      </c>
      <c r="AM78" s="22"/>
      <c r="AN78" s="21">
        <f t="shared" si="23"/>
        <v>30.259927427527181</v>
      </c>
      <c r="AO78" s="23">
        <f t="shared" si="23"/>
        <v>18.079514261629722</v>
      </c>
      <c r="AP78" s="23">
        <f>IF(Settings!$J$6&gt;69, 0.2*(AO78), 0)</f>
        <v>3.6159028523259447</v>
      </c>
      <c r="AQ78" s="24">
        <f t="shared" si="24"/>
        <v>57.188306678396692</v>
      </c>
      <c r="AR78" s="24">
        <f t="shared" si="24"/>
        <v>34.380774912708262</v>
      </c>
      <c r="AS78" s="24">
        <f t="shared" si="24"/>
        <v>53.353261515738183</v>
      </c>
      <c r="AT78" s="25">
        <f t="shared" si="11"/>
        <v>14.598154719720961</v>
      </c>
      <c r="AU78" s="25">
        <f t="shared" si="12"/>
        <v>19.467383217666793</v>
      </c>
      <c r="AV78" s="26">
        <f t="shared" si="13"/>
        <v>48.039363349082969</v>
      </c>
      <c r="AW78" s="26">
        <f t="shared" si="14"/>
        <v>40.807557644431078</v>
      </c>
      <c r="AX78" s="27" t="e">
        <f t="shared" si="15"/>
        <v>#NUM!</v>
      </c>
      <c r="AY78" s="27" t="e">
        <f t="shared" si="16"/>
        <v>#NUM!</v>
      </c>
      <c r="BA78" s="22">
        <f t="shared" si="19"/>
        <v>29.009506901624203</v>
      </c>
      <c r="BB78" s="22">
        <f t="shared" si="19"/>
        <v>56.331326976098467</v>
      </c>
      <c r="BD78">
        <f t="shared" ref="BD78:BD84" si="27">$BE$4*AE78^2</f>
        <v>85.700119075688391</v>
      </c>
      <c r="BG78">
        <f t="shared" si="26"/>
        <v>19.998693478857813</v>
      </c>
      <c r="BH78">
        <f t="shared" si="26"/>
        <v>13.250565567633235</v>
      </c>
    </row>
    <row r="79" spans="6:60" x14ac:dyDescent="0.3">
      <c r="F79">
        <v>65</v>
      </c>
      <c r="G79" s="21"/>
      <c r="H79" s="21"/>
      <c r="I79" s="21"/>
      <c r="J79" s="21"/>
      <c r="K79" s="21"/>
      <c r="L79" s="22"/>
      <c r="M79" s="21"/>
      <c r="N79" s="23"/>
      <c r="O79" s="23"/>
      <c r="P79" s="24"/>
      <c r="Q79" s="24"/>
      <c r="R79" s="24"/>
      <c r="S79" s="25"/>
      <c r="T79" s="25"/>
      <c r="U79" s="26"/>
      <c r="V79" s="26"/>
      <c r="W79" s="27"/>
      <c r="X79" s="27"/>
      <c r="Z79" s="22"/>
      <c r="AA79" s="22"/>
      <c r="AC79">
        <v>65</v>
      </c>
      <c r="AE79" s="43">
        <f t="shared" si="25"/>
        <v>56.472915029924017</v>
      </c>
      <c r="AG79">
        <f t="shared" ref="AG79:AG84" si="28">AE79</f>
        <v>56.472915029924017</v>
      </c>
      <c r="AH79" s="21">
        <f t="shared" si="22"/>
        <v>80.086002405750079</v>
      </c>
      <c r="AI79" s="21">
        <f t="shared" si="22"/>
        <v>78.207016945434475</v>
      </c>
      <c r="AJ79" s="21">
        <f t="shared" si="22"/>
        <v>85.242956984005943</v>
      </c>
      <c r="AK79" s="21">
        <f t="shared" si="22"/>
        <v>80.018139397510424</v>
      </c>
      <c r="AL79" s="21">
        <f t="shared" si="22"/>
        <v>27.7249583213904</v>
      </c>
      <c r="AM79" s="22"/>
      <c r="AN79" s="21">
        <f t="shared" si="23"/>
        <v>30.358995777820148</v>
      </c>
      <c r="AO79" s="23">
        <f t="shared" si="23"/>
        <v>18.140663129578229</v>
      </c>
      <c r="AP79" s="23">
        <f>IF(Settings!$J$6&gt;69, 0.2*(AO79), 0)</f>
        <v>3.6281326259156459</v>
      </c>
      <c r="AQ79" s="24">
        <f t="shared" si="24"/>
        <v>57.313472157291677</v>
      </c>
      <c r="AR79" s="24">
        <f t="shared" si="24"/>
        <v>34.438956849461015</v>
      </c>
      <c r="AS79" s="24">
        <f t="shared" si="24"/>
        <v>53.386066054377245</v>
      </c>
      <c r="AT79" s="25">
        <f t="shared" ref="AT79:AT84" si="29">AT$8*(AT$4*(1-EXP(-AT$5*AG79))^AT$6)</f>
        <v>14.630997408029019</v>
      </c>
      <c r="AU79" s="25">
        <f t="shared" ref="AU79:AU84" si="30">AU$8*(AU$4*(1-EXP(-AU$5*AG79))^AU$6)</f>
        <v>19.513354800195156</v>
      </c>
      <c r="AV79" s="26">
        <f t="shared" ref="AV79:AV84" si="31">(AV$7/100*$AI79)+((100-AV$7)/100*$AO79)</f>
        <v>48.173840037506352</v>
      </c>
      <c r="AW79" s="26">
        <f t="shared" ref="AW79:AW84" si="32">(AW$7/100*$AI79)+((100-AW$7)/100*$AP79)</f>
        <v>40.917574785675058</v>
      </c>
      <c r="AX79" s="27" t="e">
        <f t="shared" ref="AX79:AX84" si="33">$W$7/100*(($W$4*(1-EXP(-$W$5*AG79))^$W$6)) + ((100-$W$7)/100*AO79)</f>
        <v>#NUM!</v>
      </c>
      <c r="AY79" s="27" t="e">
        <f t="shared" ref="AY79:AY84" si="34">$X$7/100*(($X$4*(1-EXP(-$X$5*AG79))^$X$6)) + ((100-$X$7)/100*AP79)</f>
        <v>#NUM!</v>
      </c>
      <c r="BA79" s="22">
        <f t="shared" si="19"/>
        <v>29.02854081447358</v>
      </c>
      <c r="BB79" s="22">
        <f t="shared" si="19"/>
        <v>56.375774228443404</v>
      </c>
      <c r="BD79">
        <f t="shared" si="27"/>
        <v>86.449376907501033</v>
      </c>
      <c r="BG79">
        <f t="shared" si="26"/>
        <v>19.998756017932863</v>
      </c>
      <c r="BH79">
        <f t="shared" si="26"/>
        <v>13.271234956101519</v>
      </c>
    </row>
    <row r="80" spans="6:60" x14ac:dyDescent="0.3">
      <c r="F80">
        <v>66</v>
      </c>
      <c r="G80" s="21"/>
      <c r="H80" s="21"/>
      <c r="I80" s="21"/>
      <c r="J80" s="21"/>
      <c r="K80" s="21"/>
      <c r="L80" s="22"/>
      <c r="M80" s="21"/>
      <c r="N80" s="23"/>
      <c r="O80" s="23"/>
      <c r="P80" s="24"/>
      <c r="Q80" s="24"/>
      <c r="R80" s="24"/>
      <c r="S80" s="25"/>
      <c r="T80" s="25"/>
      <c r="U80" s="26"/>
      <c r="V80" s="26"/>
      <c r="W80" s="27"/>
      <c r="X80" s="27"/>
      <c r="Z80" s="22"/>
      <c r="AA80" s="22"/>
      <c r="AC80">
        <v>66</v>
      </c>
      <c r="AE80" s="43">
        <f t="shared" si="25"/>
        <v>56.698909820073034</v>
      </c>
      <c r="AG80">
        <f t="shared" si="28"/>
        <v>56.698909820073034</v>
      </c>
      <c r="AH80" s="21">
        <f t="shared" si="22"/>
        <v>80.223963363108652</v>
      </c>
      <c r="AI80" s="21">
        <f t="shared" si="22"/>
        <v>78.397393016585625</v>
      </c>
      <c r="AJ80" s="21">
        <f t="shared" si="22"/>
        <v>85.469646374773845</v>
      </c>
      <c r="AK80" s="21">
        <f t="shared" si="22"/>
        <v>80.205425674820574</v>
      </c>
      <c r="AL80" s="21">
        <f t="shared" si="22"/>
        <v>27.759485247207905</v>
      </c>
      <c r="AM80" s="22"/>
      <c r="AN80" s="21">
        <f t="shared" si="23"/>
        <v>30.449771016178829</v>
      </c>
      <c r="AO80" s="23">
        <f t="shared" si="23"/>
        <v>18.196769910500976</v>
      </c>
      <c r="AP80" s="23">
        <f>IF(Settings!$J$6&gt;69, 0.2*(AO80), 0)</f>
        <v>3.6393539821001952</v>
      </c>
      <c r="AQ80" s="24">
        <f t="shared" si="24"/>
        <v>57.428057621178155</v>
      </c>
      <c r="AR80" s="24">
        <f t="shared" si="24"/>
        <v>34.492053776475466</v>
      </c>
      <c r="AS80" s="24">
        <f t="shared" si="24"/>
        <v>53.415721121898457</v>
      </c>
      <c r="AT80" s="25">
        <f t="shared" si="29"/>
        <v>14.661058706901896</v>
      </c>
      <c r="AU80" s="25">
        <f t="shared" si="30"/>
        <v>19.555406711295003</v>
      </c>
      <c r="AV80" s="26">
        <f t="shared" si="31"/>
        <v>48.2970814635433</v>
      </c>
      <c r="AW80" s="26">
        <f t="shared" si="32"/>
        <v>41.018373499342907</v>
      </c>
      <c r="AX80" s="27" t="e">
        <f t="shared" si="33"/>
        <v>#NUM!</v>
      </c>
      <c r="AY80" s="27" t="e">
        <f t="shared" si="34"/>
        <v>#NUM!</v>
      </c>
      <c r="BA80" s="22">
        <f t="shared" si="19"/>
        <v>29.04575934268636</v>
      </c>
      <c r="BB80" s="22">
        <f t="shared" si="19"/>
        <v>56.416253562428402</v>
      </c>
      <c r="BD80">
        <f t="shared" si="27"/>
        <v>87.142672121290872</v>
      </c>
      <c r="BG80">
        <f t="shared" si="26"/>
        <v>19.998810991555079</v>
      </c>
      <c r="BH80">
        <f t="shared" si="26"/>
        <v>13.290071819368645</v>
      </c>
    </row>
    <row r="81" spans="3:60" x14ac:dyDescent="0.3">
      <c r="F81">
        <v>67</v>
      </c>
      <c r="G81" s="21"/>
      <c r="H81" s="21"/>
      <c r="I81" s="21"/>
      <c r="J81" s="21"/>
      <c r="K81" s="21"/>
      <c r="L81" s="22"/>
      <c r="M81" s="21"/>
      <c r="N81" s="23"/>
      <c r="O81" s="23"/>
      <c r="P81" s="24"/>
      <c r="Q81" s="24"/>
      <c r="R81" s="24"/>
      <c r="S81" s="25"/>
      <c r="T81" s="25"/>
      <c r="U81" s="26"/>
      <c r="V81" s="26"/>
      <c r="W81" s="27"/>
      <c r="X81" s="27"/>
      <c r="Z81" s="22"/>
      <c r="AA81" s="22"/>
      <c r="AC81">
        <v>67</v>
      </c>
      <c r="AE81" s="43">
        <f t="shared" si="25"/>
        <v>56.907154127745713</v>
      </c>
      <c r="AG81">
        <f t="shared" si="28"/>
        <v>56.907154127745713</v>
      </c>
      <c r="AH81" s="21">
        <f t="shared" si="22"/>
        <v>80.349469613795648</v>
      </c>
      <c r="AI81" s="21">
        <f t="shared" si="22"/>
        <v>78.571880697062184</v>
      </c>
      <c r="AJ81" s="21">
        <f t="shared" si="22"/>
        <v>85.676877033428639</v>
      </c>
      <c r="AK81" s="21">
        <f t="shared" si="22"/>
        <v>80.377035304170079</v>
      </c>
      <c r="AL81" s="21">
        <f t="shared" si="22"/>
        <v>27.790850317224386</v>
      </c>
      <c r="AM81" s="22"/>
      <c r="AN81" s="21">
        <f t="shared" si="23"/>
        <v>30.532983111339057</v>
      </c>
      <c r="AO81" s="23">
        <f t="shared" si="23"/>
        <v>18.248267149259426</v>
      </c>
      <c r="AP81" s="23">
        <f>IF(Settings!$J$6&gt;69, 0.2*(AO81), 0)</f>
        <v>3.6496534298518855</v>
      </c>
      <c r="AQ81" s="24">
        <f t="shared" si="24"/>
        <v>57.533010696019971</v>
      </c>
      <c r="AR81" s="24">
        <f t="shared" si="24"/>
        <v>34.540546561254516</v>
      </c>
      <c r="AS81" s="24">
        <f t="shared" si="24"/>
        <v>53.442569226619511</v>
      </c>
      <c r="AT81" s="25">
        <f t="shared" si="29"/>
        <v>14.688588499345814</v>
      </c>
      <c r="AU81" s="25">
        <f t="shared" si="30"/>
        <v>19.593894971034548</v>
      </c>
      <c r="AV81" s="26">
        <f t="shared" si="31"/>
        <v>48.410073923160809</v>
      </c>
      <c r="AW81" s="26">
        <f t="shared" si="32"/>
        <v>41.110767063457033</v>
      </c>
      <c r="AX81" s="27" t="e">
        <f t="shared" si="33"/>
        <v>#NUM!</v>
      </c>
      <c r="AY81" s="27" t="e">
        <f t="shared" si="34"/>
        <v>#NUM!</v>
      </c>
      <c r="BA81" s="22">
        <f t="shared" si="19"/>
        <v>29.061358096548251</v>
      </c>
      <c r="BB81" s="22">
        <f t="shared" si="19"/>
        <v>56.453153133873272</v>
      </c>
      <c r="BD81">
        <f t="shared" si="27"/>
        <v>87.783964543241495</v>
      </c>
      <c r="BG81">
        <f t="shared" si="26"/>
        <v>19.99885949422216</v>
      </c>
      <c r="BH81">
        <f t="shared" si="26"/>
        <v>13.307253376647861</v>
      </c>
    </row>
    <row r="82" spans="3:60" x14ac:dyDescent="0.3">
      <c r="F82">
        <v>68</v>
      </c>
      <c r="G82" s="21"/>
      <c r="H82" s="21"/>
      <c r="I82" s="21"/>
      <c r="J82" s="21"/>
      <c r="K82" s="21"/>
      <c r="L82" s="22"/>
      <c r="M82" s="21"/>
      <c r="N82" s="23"/>
      <c r="O82" s="23"/>
      <c r="P82" s="24"/>
      <c r="Q82" s="24"/>
      <c r="R82" s="24"/>
      <c r="S82" s="25"/>
      <c r="T82" s="25"/>
      <c r="U82" s="26"/>
      <c r="V82" s="26"/>
      <c r="W82" s="27"/>
      <c r="X82" s="27"/>
      <c r="Z82" s="22"/>
      <c r="AA82" s="22"/>
      <c r="AC82">
        <v>68</v>
      </c>
      <c r="AE82" s="43">
        <f t="shared" si="25"/>
        <v>57.099042142728173</v>
      </c>
      <c r="AG82">
        <f t="shared" si="28"/>
        <v>57.099042142728173</v>
      </c>
      <c r="AH82" s="21">
        <f t="shared" si="22"/>
        <v>80.463758666337682</v>
      </c>
      <c r="AI82" s="21">
        <f t="shared" si="22"/>
        <v>78.731872343318301</v>
      </c>
      <c r="AJ82" s="21">
        <f t="shared" si="22"/>
        <v>85.866434618164888</v>
      </c>
      <c r="AK82" s="21">
        <f t="shared" si="22"/>
        <v>80.534349053553697</v>
      </c>
      <c r="AL82" s="21">
        <f t="shared" si="22"/>
        <v>27.819374637803122</v>
      </c>
      <c r="AM82" s="22"/>
      <c r="AN82" s="21">
        <f t="shared" si="23"/>
        <v>30.609292554476447</v>
      </c>
      <c r="AO82" s="23">
        <f t="shared" si="23"/>
        <v>18.295547818746567</v>
      </c>
      <c r="AP82" s="23">
        <f>IF(Settings!$J$6&gt;69, 0.2*(AO82), 0)</f>
        <v>3.6591095637493134</v>
      </c>
      <c r="AQ82" s="24">
        <f t="shared" si="24"/>
        <v>57.629186184844798</v>
      </c>
      <c r="AR82" s="24">
        <f t="shared" si="24"/>
        <v>34.584865178151929</v>
      </c>
      <c r="AS82" s="24">
        <f t="shared" si="24"/>
        <v>53.466909617083253</v>
      </c>
      <c r="AT82" s="25">
        <f t="shared" si="29"/>
        <v>14.713812086644133</v>
      </c>
      <c r="AU82" s="25">
        <f t="shared" si="30"/>
        <v>19.629140031893094</v>
      </c>
      <c r="AV82" s="26">
        <f t="shared" si="31"/>
        <v>48.513710081032436</v>
      </c>
      <c r="AW82" s="26">
        <f t="shared" si="32"/>
        <v>41.195490953533806</v>
      </c>
      <c r="AX82" s="27" t="e">
        <f t="shared" si="33"/>
        <v>#NUM!</v>
      </c>
      <c r="AY82" s="27" t="e">
        <f t="shared" si="34"/>
        <v>#NUM!</v>
      </c>
      <c r="BA82" s="22">
        <f t="shared" si="19"/>
        <v>29.075508246458213</v>
      </c>
      <c r="BB82" s="22">
        <f t="shared" si="19"/>
        <v>56.486818041403161</v>
      </c>
      <c r="BD82">
        <f t="shared" si="27"/>
        <v>88.376968733317312</v>
      </c>
      <c r="BG82">
        <f t="shared" si="26"/>
        <v>19.998902433908036</v>
      </c>
      <c r="BH82">
        <f t="shared" si="26"/>
        <v>13.322937517003</v>
      </c>
    </row>
    <row r="83" spans="3:60" x14ac:dyDescent="0.3">
      <c r="F83">
        <v>69</v>
      </c>
      <c r="G83" s="21"/>
      <c r="H83" s="21"/>
      <c r="I83" s="21"/>
      <c r="J83" s="21"/>
      <c r="K83" s="21"/>
      <c r="L83" s="22"/>
      <c r="M83" s="21"/>
      <c r="N83" s="23"/>
      <c r="O83" s="23"/>
      <c r="P83" s="24"/>
      <c r="Q83" s="24"/>
      <c r="R83" s="24"/>
      <c r="S83" s="25"/>
      <c r="T83" s="25"/>
      <c r="U83" s="26"/>
      <c r="V83" s="26"/>
      <c r="W83" s="27"/>
      <c r="X83" s="27"/>
      <c r="Z83" s="22"/>
      <c r="AA83" s="22"/>
      <c r="AC83">
        <v>69</v>
      </c>
      <c r="AE83" s="43">
        <f t="shared" si="25"/>
        <v>57.275858549886756</v>
      </c>
      <c r="AG83">
        <f t="shared" si="28"/>
        <v>57.275858549886756</v>
      </c>
      <c r="AH83" s="21">
        <f t="shared" si="22"/>
        <v>80.567928359985359</v>
      </c>
      <c r="AI83" s="21">
        <f t="shared" si="22"/>
        <v>78.878628450997525</v>
      </c>
      <c r="AJ83" s="21">
        <f t="shared" si="22"/>
        <v>86.039924037299912</v>
      </c>
      <c r="AK83" s="21">
        <f t="shared" si="22"/>
        <v>80.678615896020617</v>
      </c>
      <c r="AL83" s="21">
        <f t="shared" si="22"/>
        <v>27.845342018660297</v>
      </c>
      <c r="AM83" s="22"/>
      <c r="AN83" s="21">
        <f t="shared" si="23"/>
        <v>30.679297707053468</v>
      </c>
      <c r="AO83" s="23">
        <f t="shared" si="23"/>
        <v>18.338969290564762</v>
      </c>
      <c r="AP83" s="23">
        <f>IF(Settings!$J$6&gt;69, 0.2*(AO83), 0)</f>
        <v>3.6677938581129528</v>
      </c>
      <c r="AQ83" s="24">
        <f t="shared" si="24"/>
        <v>57.717356309216342</v>
      </c>
      <c r="AR83" s="24">
        <f t="shared" si="24"/>
        <v>34.625394871837983</v>
      </c>
      <c r="AS83" s="24">
        <f t="shared" si="24"/>
        <v>53.489004615960049</v>
      </c>
      <c r="AT83" s="25">
        <f t="shared" si="29"/>
        <v>14.736932913854124</v>
      </c>
      <c r="AU83" s="25">
        <f t="shared" si="30"/>
        <v>19.66143079402822</v>
      </c>
      <c r="AV83" s="26">
        <f t="shared" si="31"/>
        <v>48.608798870781143</v>
      </c>
      <c r="AW83" s="26">
        <f t="shared" si="32"/>
        <v>41.273211154555241</v>
      </c>
      <c r="AX83" s="27" t="e">
        <f t="shared" si="33"/>
        <v>#NUM!</v>
      </c>
      <c r="AY83" s="27" t="e">
        <f t="shared" si="34"/>
        <v>#NUM!</v>
      </c>
      <c r="BA83" s="22">
        <f t="shared" si="19"/>
        <v>29.088360062485503</v>
      </c>
      <c r="BB83" s="22">
        <f t="shared" si="19"/>
        <v>56.51755583927752</v>
      </c>
      <c r="BD83">
        <f t="shared" si="27"/>
        <v>88.925163325990212</v>
      </c>
      <c r="BG83">
        <f t="shared" si="26"/>
        <v>19.998940568370312</v>
      </c>
      <c r="BH83">
        <f t="shared" si="26"/>
        <v>13.337265221304685</v>
      </c>
    </row>
    <row r="84" spans="3:60" x14ac:dyDescent="0.3">
      <c r="F84">
        <v>70</v>
      </c>
      <c r="G84" s="21"/>
      <c r="H84" s="21"/>
      <c r="I84" s="21"/>
      <c r="J84" s="21"/>
      <c r="K84" s="21"/>
      <c r="L84" s="22"/>
      <c r="M84" s="21"/>
      <c r="N84" s="23"/>
      <c r="O84" s="23"/>
      <c r="P84" s="24"/>
      <c r="Q84" s="24"/>
      <c r="R84" s="24"/>
      <c r="S84" s="25"/>
      <c r="T84" s="25"/>
      <c r="U84" s="26"/>
      <c r="V84" s="26"/>
      <c r="W84" s="27"/>
      <c r="X84" s="27"/>
      <c r="Z84" s="22"/>
      <c r="AA84" s="22"/>
      <c r="AC84">
        <v>70</v>
      </c>
      <c r="AE84" s="43">
        <f t="shared" si="25"/>
        <v>57.43878713009709</v>
      </c>
      <c r="AG84">
        <f t="shared" si="28"/>
        <v>57.43878713009709</v>
      </c>
      <c r="AH84" s="21">
        <f t="shared" si="22"/>
        <v>80.662954994892957</v>
      </c>
      <c r="AI84" s="21">
        <f t="shared" si="22"/>
        <v>79.013291560595647</v>
      </c>
      <c r="AJ84" s="21">
        <f t="shared" si="22"/>
        <v>86.198790115918172</v>
      </c>
      <c r="AK84" s="21">
        <f t="shared" si="22"/>
        <v>80.810967056322838</v>
      </c>
      <c r="AL84" s="21">
        <f t="shared" si="22"/>
        <v>27.869003973858995</v>
      </c>
      <c r="AM84" s="22"/>
      <c r="AN84" s="21">
        <f t="shared" si="23"/>
        <v>30.74354127442999</v>
      </c>
      <c r="AO84" s="23">
        <f t="shared" si="23"/>
        <v>18.378856860168497</v>
      </c>
      <c r="AP84" s="23">
        <f>IF(Settings!$J$6&gt;69, 0.2*(AO84), 0)</f>
        <v>3.6757713720336995</v>
      </c>
      <c r="AQ84" s="24">
        <f t="shared" si="24"/>
        <v>57.798219662101332</v>
      </c>
      <c r="AR84" s="24">
        <f t="shared" si="24"/>
        <v>34.662481467945156</v>
      </c>
      <c r="AS84" s="24">
        <f t="shared" si="24"/>
        <v>53.509084902260177</v>
      </c>
      <c r="AT84" s="25">
        <f t="shared" si="29"/>
        <v>14.758134950893949</v>
      </c>
      <c r="AU84" s="25">
        <f t="shared" si="30"/>
        <v>19.691028104531277</v>
      </c>
      <c r="AV84" s="26">
        <f t="shared" si="31"/>
        <v>48.696074210382072</v>
      </c>
      <c r="AW84" s="26">
        <f t="shared" si="32"/>
        <v>41.34453146631467</v>
      </c>
      <c r="AX84" s="27" t="e">
        <f t="shared" si="33"/>
        <v>#NUM!</v>
      </c>
      <c r="AY84" s="27" t="e">
        <f t="shared" si="34"/>
        <v>#NUM!</v>
      </c>
      <c r="BA84" s="22">
        <f t="shared" si="19"/>
        <v>29.100045872167954</v>
      </c>
      <c r="BB84" s="22">
        <f t="shared" si="19"/>
        <v>56.545641241566422</v>
      </c>
      <c r="BD84">
        <f t="shared" si="27"/>
        <v>89.431801134934886</v>
      </c>
      <c r="BG84">
        <f t="shared" si="26"/>
        <v>19.9989745336044</v>
      </c>
      <c r="BH84">
        <f t="shared" si="26"/>
        <v>13.350362637816154</v>
      </c>
    </row>
    <row r="85" spans="3:60" x14ac:dyDescent="0.3">
      <c r="Z85" t="s">
        <v>49</v>
      </c>
      <c r="AA85" t="s">
        <v>48</v>
      </c>
      <c r="BA85" t="s">
        <v>49</v>
      </c>
      <c r="BB85" t="s">
        <v>48</v>
      </c>
    </row>
    <row r="86" spans="3:60" x14ac:dyDescent="0.3">
      <c r="C86" t="s">
        <v>31</v>
      </c>
      <c r="D86">
        <v>1</v>
      </c>
      <c r="E86" s="1" t="s">
        <v>38</v>
      </c>
      <c r="F86">
        <v>0</v>
      </c>
      <c r="G86" s="21"/>
      <c r="H86" s="21"/>
      <c r="I86" s="21"/>
      <c r="J86" s="21"/>
      <c r="K86" s="21"/>
      <c r="L86" s="22"/>
      <c r="M86" s="21"/>
      <c r="N86" s="23"/>
      <c r="O86" s="23"/>
      <c r="P86" s="24"/>
      <c r="Q86" s="24"/>
      <c r="R86" s="24"/>
      <c r="S86" s="25"/>
      <c r="T86" s="25"/>
      <c r="U86" s="26"/>
      <c r="V86" s="26"/>
      <c r="W86" s="27"/>
      <c r="X86" s="27"/>
      <c r="Y86" t="e">
        <f>NA()</f>
        <v>#N/A</v>
      </c>
      <c r="Z86" s="22">
        <f>Z14*Z$12</f>
        <v>0</v>
      </c>
      <c r="AA86" s="22">
        <f>AA14</f>
        <v>0</v>
      </c>
      <c r="AD86" t="s">
        <v>31</v>
      </c>
      <c r="AE86">
        <v>1</v>
      </c>
      <c r="AF86" s="1" t="s">
        <v>38</v>
      </c>
      <c r="AG86">
        <f>AE14</f>
        <v>4.9458521066739074</v>
      </c>
      <c r="AH86" s="21">
        <f t="shared" ref="AH86:AH117" si="35">AH14*AH$12</f>
        <v>0.27196393675717095</v>
      </c>
      <c r="AI86" s="21">
        <f t="shared" ref="AI86:AS86" si="36">AI14*AI$12</f>
        <v>5.5999893413948154</v>
      </c>
      <c r="AJ86" s="21">
        <f t="shared" si="36"/>
        <v>0.90609661149867793</v>
      </c>
      <c r="AK86" s="21">
        <f t="shared" si="36"/>
        <v>5.7016710135159139</v>
      </c>
      <c r="AL86" s="21">
        <f t="shared" si="36"/>
        <v>0.23381522986862538</v>
      </c>
      <c r="AM86" s="22">
        <f>BA86+AM170*(BB86-BA86)</f>
        <v>1.1070363945183395</v>
      </c>
      <c r="AN86" s="21">
        <f t="shared" si="36"/>
        <v>0.87033492938654988</v>
      </c>
      <c r="AO86" s="23">
        <f t="shared" si="36"/>
        <v>0.95340663696976069</v>
      </c>
      <c r="AP86" s="23">
        <f t="shared" si="36"/>
        <v>0.19068132739395216</v>
      </c>
      <c r="AQ86" s="24">
        <f t="shared" si="36"/>
        <v>7.0174928253347515</v>
      </c>
      <c r="AR86" s="24">
        <f t="shared" si="36"/>
        <v>2.6545924408896799</v>
      </c>
      <c r="AS86" s="24">
        <f t="shared" si="36"/>
        <v>2.2815419896135718</v>
      </c>
      <c r="AT86" s="25">
        <f t="shared" ref="AT86:AU105" si="37">AT14</f>
        <v>1.2447432853666724</v>
      </c>
      <c r="AU86" s="25">
        <f t="shared" si="37"/>
        <v>1.1030188988982172</v>
      </c>
      <c r="AV86" s="26">
        <f t="shared" ref="AV86:AY105" si="38">AV14*AV$12</f>
        <v>3.3261941136024782</v>
      </c>
      <c r="AW86" s="26">
        <f t="shared" si="38"/>
        <v>2.9474603460220572</v>
      </c>
      <c r="AX86" s="27" t="e">
        <f t="shared" si="38"/>
        <v>#NUM!</v>
      </c>
      <c r="AY86" s="27" t="e">
        <f t="shared" si="38"/>
        <v>#NUM!</v>
      </c>
      <c r="AZ86" t="e">
        <f>NA()</f>
        <v>#N/A</v>
      </c>
      <c r="BA86" s="22">
        <f>BA14*BA$12</f>
        <v>1.1070363945183395</v>
      </c>
      <c r="BB86" s="22">
        <f>BB14*($AM$166/0.778237)</f>
        <v>12.405021302129962</v>
      </c>
    </row>
    <row r="87" spans="3:60" x14ac:dyDescent="0.3">
      <c r="D87">
        <v>2</v>
      </c>
      <c r="F87">
        <v>1</v>
      </c>
      <c r="G87" s="21"/>
      <c r="H87" s="21"/>
      <c r="I87" s="21"/>
      <c r="J87" s="21"/>
      <c r="K87" s="21"/>
      <c r="L87" s="22"/>
      <c r="M87" s="21"/>
      <c r="N87" s="23"/>
      <c r="O87" s="23"/>
      <c r="P87" s="24"/>
      <c r="Q87" s="24"/>
      <c r="R87" s="24"/>
      <c r="S87" s="25"/>
      <c r="T87" s="25"/>
      <c r="U87" s="26"/>
      <c r="V87" s="26"/>
      <c r="W87" s="27"/>
      <c r="X87" s="27"/>
      <c r="Y87" t="e">
        <f>NA()</f>
        <v>#N/A</v>
      </c>
      <c r="Z87" s="22">
        <f t="shared" ref="Z87:Z150" si="39">Z15*Z$12</f>
        <v>0</v>
      </c>
      <c r="AA87" s="22">
        <f t="shared" ref="AA87:AA150" si="40">AA15</f>
        <v>0</v>
      </c>
      <c r="AE87">
        <v>2</v>
      </c>
      <c r="AG87">
        <f t="shared" ref="AG87:AG150" si="41">AE15</f>
        <v>5.2014595403979236</v>
      </c>
      <c r="AH87" s="21">
        <f t="shared" si="35"/>
        <v>0.32935760438067158</v>
      </c>
      <c r="AI87" s="21">
        <f t="shared" ref="AI87:AL106" si="42">AI15*AI$12</f>
        <v>6.0078831666962511</v>
      </c>
      <c r="AJ87" s="21">
        <f t="shared" si="42"/>
        <v>1.0368381146519314</v>
      </c>
      <c r="AK87" s="21">
        <f t="shared" si="42"/>
        <v>6.1157440358879676</v>
      </c>
      <c r="AL87" s="21">
        <f t="shared" si="42"/>
        <v>0.27659524786164585</v>
      </c>
      <c r="AM87" s="22">
        <f t="shared" ref="AM87:AM150" si="43">BA87+AM171*(BB87-BA87)</f>
        <v>1.2513875074319512</v>
      </c>
      <c r="AN87" s="21">
        <f t="shared" ref="AN87:AS87" si="44">AN15*AN$12</f>
        <v>0.95533596542124899</v>
      </c>
      <c r="AO87" s="23">
        <f t="shared" si="44"/>
        <v>1.0286622786723654</v>
      </c>
      <c r="AP87" s="23">
        <f t="shared" si="44"/>
        <v>0.20573245573447307</v>
      </c>
      <c r="AQ87" s="24">
        <f t="shared" si="44"/>
        <v>7.4566211783370537</v>
      </c>
      <c r="AR87" s="24">
        <f t="shared" si="44"/>
        <v>2.8656352186385114</v>
      </c>
      <c r="AS87" s="24">
        <f t="shared" si="44"/>
        <v>2.5975416058582179</v>
      </c>
      <c r="AT87" s="25">
        <f t="shared" si="37"/>
        <v>1.3285311998791218</v>
      </c>
      <c r="AU87" s="25">
        <f t="shared" si="37"/>
        <v>1.1928369896418958</v>
      </c>
      <c r="AV87" s="26">
        <f t="shared" si="38"/>
        <v>3.5713540325983262</v>
      </c>
      <c r="AW87" s="26">
        <f t="shared" si="38"/>
        <v>3.1627255153816978</v>
      </c>
      <c r="AX87" s="27" t="e">
        <f t="shared" si="38"/>
        <v>#NUM!</v>
      </c>
      <c r="AY87" s="27" t="e">
        <f t="shared" si="38"/>
        <v>#NUM!</v>
      </c>
      <c r="AZ87" t="e">
        <f>NA()</f>
        <v>#N/A</v>
      </c>
      <c r="BA87" s="22">
        <f t="shared" ref="BA87:BA150" si="45">BA15*BA$12</f>
        <v>1.2513875074319512</v>
      </c>
      <c r="BB87" s="22">
        <f t="shared" ref="BB87:BB150" si="46">BB15*($AM$166/0.778237)</f>
        <v>12.966980368187652</v>
      </c>
    </row>
    <row r="88" spans="3:60" x14ac:dyDescent="0.3">
      <c r="D88">
        <v>3</v>
      </c>
      <c r="F88">
        <v>2</v>
      </c>
      <c r="G88" s="21"/>
      <c r="H88" s="21"/>
      <c r="I88" s="21"/>
      <c r="J88" s="21"/>
      <c r="K88" s="21"/>
      <c r="L88" s="22"/>
      <c r="M88" s="21"/>
      <c r="N88" s="23"/>
      <c r="O88" s="23"/>
      <c r="P88" s="24"/>
      <c r="Q88" s="24"/>
      <c r="R88" s="24"/>
      <c r="S88" s="25"/>
      <c r="T88" s="25"/>
      <c r="U88" s="26"/>
      <c r="V88" s="26"/>
      <c r="W88" s="27"/>
      <c r="X88" s="27"/>
      <c r="Y88" t="e">
        <f>NA()</f>
        <v>#N/A</v>
      </c>
      <c r="Z88" s="22">
        <f t="shared" si="39"/>
        <v>0</v>
      </c>
      <c r="AA88" s="22">
        <f t="shared" si="40"/>
        <v>0</v>
      </c>
      <c r="AE88">
        <v>3</v>
      </c>
      <c r="AG88">
        <f t="shared" si="41"/>
        <v>5.4702770658848543</v>
      </c>
      <c r="AH88" s="21">
        <f t="shared" si="35"/>
        <v>0.3981807735457098</v>
      </c>
      <c r="AI88" s="21">
        <f t="shared" si="42"/>
        <v>6.4437747360841797</v>
      </c>
      <c r="AJ88" s="21">
        <f t="shared" si="42"/>
        <v>1.1854812580348104</v>
      </c>
      <c r="AK88" s="21">
        <f t="shared" si="42"/>
        <v>6.5580810176876412</v>
      </c>
      <c r="AL88" s="21">
        <f t="shared" si="42"/>
        <v>0.32667294728223073</v>
      </c>
      <c r="AM88" s="22">
        <f t="shared" si="43"/>
        <v>1.4126295468032461</v>
      </c>
      <c r="AN88" s="21">
        <f t="shared" ref="AN88:AS88" si="47">AN16*AN$12</f>
        <v>1.0482385154341367</v>
      </c>
      <c r="AO88" s="23">
        <f t="shared" si="47"/>
        <v>1.1095969689731224</v>
      </c>
      <c r="AP88" s="23">
        <f t="shared" si="47"/>
        <v>0.2219193937946245</v>
      </c>
      <c r="AQ88" s="24">
        <f t="shared" si="47"/>
        <v>7.921312210620199</v>
      </c>
      <c r="AR88" s="24">
        <f t="shared" si="47"/>
        <v>3.0920504418377099</v>
      </c>
      <c r="AS88" s="24">
        <f t="shared" si="47"/>
        <v>2.9528702501253772</v>
      </c>
      <c r="AT88" s="25">
        <f t="shared" si="37"/>
        <v>1.4175745880644373</v>
      </c>
      <c r="AU88" s="25">
        <f t="shared" si="37"/>
        <v>1.2894927867831143</v>
      </c>
      <c r="AV88" s="26">
        <f t="shared" si="38"/>
        <v>3.8335966643522048</v>
      </c>
      <c r="AW88" s="26">
        <f t="shared" si="38"/>
        <v>3.3928174372527669</v>
      </c>
      <c r="AX88" s="27" t="e">
        <f t="shared" si="38"/>
        <v>#NUM!</v>
      </c>
      <c r="AY88" s="27" t="e">
        <f t="shared" si="38"/>
        <v>#NUM!</v>
      </c>
      <c r="AZ88" t="e">
        <f>NA()</f>
        <v>#N/A</v>
      </c>
      <c r="BA88" s="22">
        <f t="shared" si="45"/>
        <v>1.4126295468032461</v>
      </c>
      <c r="BB88" s="22">
        <f t="shared" si="46"/>
        <v>13.550330610008681</v>
      </c>
    </row>
    <row r="89" spans="3:60" x14ac:dyDescent="0.3">
      <c r="D89">
        <v>4</v>
      </c>
      <c r="F89">
        <v>3</v>
      </c>
      <c r="G89" s="21"/>
      <c r="H89" s="21"/>
      <c r="I89" s="21"/>
      <c r="J89" s="21"/>
      <c r="K89" s="21"/>
      <c r="L89" s="22"/>
      <c r="M89" s="21"/>
      <c r="N89" s="23"/>
      <c r="O89" s="23"/>
      <c r="P89" s="24"/>
      <c r="Q89" s="24"/>
      <c r="R89" s="24"/>
      <c r="S89" s="25"/>
      <c r="T89" s="25"/>
      <c r="U89" s="26"/>
      <c r="V89" s="26"/>
      <c r="W89" s="27"/>
      <c r="X89" s="27"/>
      <c r="Y89" t="e">
        <f>NA()</f>
        <v>#N/A</v>
      </c>
      <c r="Z89" s="22">
        <f t="shared" si="39"/>
        <v>0</v>
      </c>
      <c r="AA89" s="22">
        <f t="shared" si="40"/>
        <v>0</v>
      </c>
      <c r="AE89">
        <v>4</v>
      </c>
      <c r="AG89">
        <f t="shared" si="41"/>
        <v>5.7529873961600746</v>
      </c>
      <c r="AH89" s="21">
        <f t="shared" si="35"/>
        <v>0.48052470159482347</v>
      </c>
      <c r="AI89" s="21">
        <f t="shared" si="42"/>
        <v>6.9093655747033891</v>
      </c>
      <c r="AJ89" s="21">
        <f t="shared" si="42"/>
        <v>1.3542819326859892</v>
      </c>
      <c r="AK89" s="21">
        <f t="shared" si="42"/>
        <v>7.0303791804833535</v>
      </c>
      <c r="AL89" s="21">
        <f t="shared" si="42"/>
        <v>0.38516515792578104</v>
      </c>
      <c r="AM89" s="22">
        <f t="shared" si="43"/>
        <v>1.592376429445151</v>
      </c>
      <c r="AN89" s="21">
        <f t="shared" ref="AN89:AS89" si="48">AN17*AN$12</f>
        <v>1.1497152859712492</v>
      </c>
      <c r="AO89" s="23">
        <f t="shared" si="48"/>
        <v>1.1966040370864699</v>
      </c>
      <c r="AP89" s="23">
        <f t="shared" si="48"/>
        <v>0.23932080741729397</v>
      </c>
      <c r="AQ89" s="24">
        <f t="shared" si="48"/>
        <v>8.4128280056816536</v>
      </c>
      <c r="AR89" s="24">
        <f t="shared" si="48"/>
        <v>3.3347672043077234</v>
      </c>
      <c r="AS89" s="24">
        <f t="shared" si="48"/>
        <v>3.3515534394980371</v>
      </c>
      <c r="AT89" s="25">
        <f t="shared" si="37"/>
        <v>1.5121558383447316</v>
      </c>
      <c r="AU89" s="25">
        <f t="shared" si="37"/>
        <v>1.3934413255666214</v>
      </c>
      <c r="AV89" s="26">
        <f t="shared" si="38"/>
        <v>4.1139841179385819</v>
      </c>
      <c r="AW89" s="26">
        <f t="shared" si="38"/>
        <v>3.6386419735749755</v>
      </c>
      <c r="AX89" s="27" t="e">
        <f t="shared" si="38"/>
        <v>#NUM!</v>
      </c>
      <c r="AY89" s="27" t="e">
        <f t="shared" si="38"/>
        <v>#NUM!</v>
      </c>
      <c r="AZ89" t="e">
        <f>NA()</f>
        <v>#N/A</v>
      </c>
      <c r="BA89" s="22">
        <f t="shared" si="45"/>
        <v>1.592376429445151</v>
      </c>
      <c r="BB89" s="22">
        <f t="shared" si="46"/>
        <v>14.155478627546216</v>
      </c>
    </row>
    <row r="90" spans="3:60" x14ac:dyDescent="0.3">
      <c r="D90">
        <v>5</v>
      </c>
      <c r="F90">
        <v>4</v>
      </c>
      <c r="G90" s="21"/>
      <c r="H90" s="21"/>
      <c r="I90" s="21"/>
      <c r="J90" s="21"/>
      <c r="K90" s="21"/>
      <c r="L90" s="22"/>
      <c r="M90" s="21"/>
      <c r="N90" s="23"/>
      <c r="O90" s="23"/>
      <c r="P90" s="24"/>
      <c r="Q90" s="24"/>
      <c r="R90" s="24"/>
      <c r="S90" s="25"/>
      <c r="T90" s="25"/>
      <c r="U90" s="26"/>
      <c r="V90" s="26"/>
      <c r="W90" s="27"/>
      <c r="X90" s="27"/>
      <c r="Y90" t="e">
        <f>NA()</f>
        <v>#N/A</v>
      </c>
      <c r="Z90" s="22">
        <f t="shared" si="39"/>
        <v>0</v>
      </c>
      <c r="AA90" s="22">
        <f t="shared" si="40"/>
        <v>0</v>
      </c>
      <c r="AE90">
        <v>5</v>
      </c>
      <c r="AG90">
        <f t="shared" si="41"/>
        <v>6.0503085276582826</v>
      </c>
      <c r="AH90" s="21">
        <f t="shared" si="35"/>
        <v>0.57881452577181158</v>
      </c>
      <c r="AI90" s="21">
        <f t="shared" si="42"/>
        <v>7.4064320817453346</v>
      </c>
      <c r="AJ90" s="21">
        <f t="shared" si="42"/>
        <v>1.5457412638029473</v>
      </c>
      <c r="AK90" s="21">
        <f t="shared" si="42"/>
        <v>7.534407632722691</v>
      </c>
      <c r="AL90" s="21">
        <f t="shared" si="42"/>
        <v>0.45332945919877432</v>
      </c>
      <c r="AM90" s="22">
        <f t="shared" si="43"/>
        <v>1.7923293524484518</v>
      </c>
      <c r="AN90" s="21">
        <f t="shared" ref="AN90:AS90" si="49">AN18*AN$12</f>
        <v>1.260486732671765</v>
      </c>
      <c r="AO90" s="23">
        <f t="shared" si="49"/>
        <v>1.2900992865660896</v>
      </c>
      <c r="AP90" s="23">
        <f t="shared" si="49"/>
        <v>0.25801985731321797</v>
      </c>
      <c r="AQ90" s="24">
        <f t="shared" si="49"/>
        <v>8.9324658824037133</v>
      </c>
      <c r="AR90" s="24">
        <f t="shared" si="49"/>
        <v>3.5947446637537537</v>
      </c>
      <c r="AS90" s="24">
        <f t="shared" si="49"/>
        <v>3.7978617946312156</v>
      </c>
      <c r="AT90" s="25">
        <f t="shared" si="37"/>
        <v>1.6125666323911014</v>
      </c>
      <c r="AU90" s="25">
        <f t="shared" si="37"/>
        <v>1.5051588669030567</v>
      </c>
      <c r="AV90" s="26">
        <f t="shared" si="38"/>
        <v>4.4136278048816129</v>
      </c>
      <c r="AW90" s="26">
        <f t="shared" si="38"/>
        <v>3.901145360971916</v>
      </c>
      <c r="AX90" s="27" t="e">
        <f t="shared" si="38"/>
        <v>#NUM!</v>
      </c>
      <c r="AY90" s="27" t="e">
        <f t="shared" si="38"/>
        <v>#NUM!</v>
      </c>
      <c r="AZ90" t="e">
        <f>NA()</f>
        <v>#N/A</v>
      </c>
      <c r="BA90" s="22">
        <f t="shared" si="45"/>
        <v>1.7923293524484518</v>
      </c>
      <c r="BB90" s="22">
        <f t="shared" si="46"/>
        <v>14.782794486195156</v>
      </c>
    </row>
    <row r="91" spans="3:60" x14ac:dyDescent="0.3">
      <c r="D91">
        <v>6</v>
      </c>
      <c r="F91">
        <v>5</v>
      </c>
      <c r="G91" s="21"/>
      <c r="H91" s="21"/>
      <c r="I91" s="21"/>
      <c r="J91" s="21"/>
      <c r="K91" s="21"/>
      <c r="L91" s="22"/>
      <c r="M91" s="21"/>
      <c r="N91" s="23"/>
      <c r="O91" s="23"/>
      <c r="P91" s="24"/>
      <c r="Q91" s="24"/>
      <c r="R91" s="24"/>
      <c r="S91" s="25"/>
      <c r="T91" s="25"/>
      <c r="U91" s="26"/>
      <c r="V91" s="26"/>
      <c r="W91" s="27"/>
      <c r="X91" s="27"/>
      <c r="Y91" t="e">
        <f>NA()</f>
        <v>#N/A</v>
      </c>
      <c r="Z91" s="22">
        <f t="shared" si="39"/>
        <v>0</v>
      </c>
      <c r="AA91" s="22">
        <f t="shared" si="40"/>
        <v>0</v>
      </c>
      <c r="AE91">
        <v>6</v>
      </c>
      <c r="AG91">
        <f t="shared" si="41"/>
        <v>6.3629955637114666</v>
      </c>
      <c r="AH91" s="21">
        <f t="shared" si="35"/>
        <v>0.69584999233516864</v>
      </c>
      <c r="AI91" s="21">
        <f t="shared" si="42"/>
        <v>7.9368249333094667</v>
      </c>
      <c r="AJ91" s="21">
        <f t="shared" si="42"/>
        <v>1.7626244903318573</v>
      </c>
      <c r="AK91" s="21">
        <f t="shared" si="42"/>
        <v>8.072006306732586</v>
      </c>
      <c r="AL91" s="21">
        <f t="shared" si="42"/>
        <v>0.5325749126249878</v>
      </c>
      <c r="AM91" s="22">
        <f t="shared" si="43"/>
        <v>2.0142685645997358</v>
      </c>
      <c r="AN91" s="21">
        <f t="shared" ref="AN91:AS91" si="50">AN19*AN$12</f>
        <v>1.3813229555348356</v>
      </c>
      <c r="AO91" s="23">
        <f t="shared" si="50"/>
        <v>1.3905216159776517</v>
      </c>
      <c r="AP91" s="23">
        <f t="shared" si="50"/>
        <v>0.27810432319553036</v>
      </c>
      <c r="AQ91" s="24">
        <f t="shared" si="50"/>
        <v>9.4815558288461474</v>
      </c>
      <c r="AR91" s="24">
        <f t="shared" si="50"/>
        <v>3.8729691234778896</v>
      </c>
      <c r="AS91" s="24">
        <f t="shared" si="50"/>
        <v>4.2962927154619086</v>
      </c>
      <c r="AT91" s="25">
        <f t="shared" si="37"/>
        <v>1.7191074601160294</v>
      </c>
      <c r="AU91" s="25">
        <f t="shared" si="37"/>
        <v>1.6251425697082758</v>
      </c>
      <c r="AV91" s="26">
        <f t="shared" si="38"/>
        <v>4.733688443154624</v>
      </c>
      <c r="AW91" s="26">
        <f t="shared" si="38"/>
        <v>4.1813139681928622</v>
      </c>
      <c r="AX91" s="27" t="e">
        <f t="shared" si="38"/>
        <v>#NUM!</v>
      </c>
      <c r="AY91" s="27" t="e">
        <f t="shared" si="38"/>
        <v>#NUM!</v>
      </c>
      <c r="AZ91" t="e">
        <f>NA()</f>
        <v>#N/A</v>
      </c>
      <c r="BA91" s="22">
        <f t="shared" si="45"/>
        <v>2.0142685645997358</v>
      </c>
      <c r="BB91" s="22">
        <f t="shared" si="46"/>
        <v>15.432606061895561</v>
      </c>
    </row>
    <row r="92" spans="3:60" x14ac:dyDescent="0.3">
      <c r="D92">
        <v>7</v>
      </c>
      <c r="F92">
        <v>6</v>
      </c>
      <c r="G92" s="21"/>
      <c r="H92" s="21"/>
      <c r="I92" s="21"/>
      <c r="J92" s="21"/>
      <c r="K92" s="21"/>
      <c r="L92" s="22"/>
      <c r="M92" s="21"/>
      <c r="N92" s="23"/>
      <c r="O92" s="23"/>
      <c r="P92" s="24"/>
      <c r="Q92" s="24"/>
      <c r="R92" s="24"/>
      <c r="S92" s="25"/>
      <c r="T92" s="25"/>
      <c r="U92" s="26"/>
      <c r="V92" s="26"/>
      <c r="W92" s="27"/>
      <c r="X92" s="27"/>
      <c r="Y92" t="e">
        <f>NA()</f>
        <v>#N/A</v>
      </c>
      <c r="Z92" s="22">
        <f t="shared" si="39"/>
        <v>0</v>
      </c>
      <c r="AA92" s="22">
        <f t="shared" si="40"/>
        <v>0</v>
      </c>
      <c r="AE92">
        <v>7</v>
      </c>
      <c r="AG92">
        <f t="shared" si="41"/>
        <v>6.6918426322768392</v>
      </c>
      <c r="AH92" s="21">
        <f t="shared" si="35"/>
        <v>0.83484789960091776</v>
      </c>
      <c r="AI92" s="21">
        <f t="shared" si="42"/>
        <v>8.5024678099175244</v>
      </c>
      <c r="AJ92" s="21">
        <f t="shared" si="42"/>
        <v>2.0079796846016382</v>
      </c>
      <c r="AK92" s="21">
        <f t="shared" si="42"/>
        <v>8.6450841726967393</v>
      </c>
      <c r="AL92" s="21">
        <f t="shared" si="42"/>
        <v>0.62447190906816807</v>
      </c>
      <c r="AM92" s="22">
        <f t="shared" si="43"/>
        <v>2.2600420165351838</v>
      </c>
      <c r="AN92" s="21">
        <f t="shared" ref="AN92:AS92" si="51">AN20*AN$12</f>
        <v>1.5130454113327059</v>
      </c>
      <c r="AO92" s="23">
        <f t="shared" si="51"/>
        <v>1.4983335524238552</v>
      </c>
      <c r="AP92" s="23">
        <f t="shared" si="51"/>
        <v>0.29966671048477106</v>
      </c>
      <c r="AQ92" s="24">
        <f t="shared" si="51"/>
        <v>10.061457348379594</v>
      </c>
      <c r="AR92" s="24">
        <f t="shared" si="51"/>
        <v>4.170450393263736</v>
      </c>
      <c r="AS92" s="24">
        <f t="shared" si="51"/>
        <v>4.851543726736498</v>
      </c>
      <c r="AT92" s="25">
        <f t="shared" si="37"/>
        <v>1.8320869977903578</v>
      </c>
      <c r="AU92" s="25">
        <f t="shared" si="37"/>
        <v>1.7539099171632957</v>
      </c>
      <c r="AV92" s="26">
        <f t="shared" si="38"/>
        <v>5.075375673867172</v>
      </c>
      <c r="AW92" s="26">
        <f t="shared" si="38"/>
        <v>4.4801737008609352</v>
      </c>
      <c r="AX92" s="27" t="e">
        <f t="shared" si="38"/>
        <v>#NUM!</v>
      </c>
      <c r="AY92" s="27" t="e">
        <f t="shared" si="38"/>
        <v>#NUM!</v>
      </c>
      <c r="AZ92" t="e">
        <f>NA()</f>
        <v>#N/A</v>
      </c>
      <c r="BA92" s="22">
        <f t="shared" si="45"/>
        <v>2.2600420165351838</v>
      </c>
      <c r="BB92" s="22">
        <f t="shared" si="46"/>
        <v>16.10519300182181</v>
      </c>
    </row>
    <row r="93" spans="3:60" x14ac:dyDescent="0.3">
      <c r="D93">
        <v>8</v>
      </c>
      <c r="F93">
        <v>7</v>
      </c>
      <c r="G93" s="21"/>
      <c r="H93" s="21"/>
      <c r="I93" s="21"/>
      <c r="J93" s="21"/>
      <c r="K93" s="21"/>
      <c r="L93" s="22"/>
      <c r="M93" s="21"/>
      <c r="N93" s="23"/>
      <c r="O93" s="23"/>
      <c r="P93" s="24"/>
      <c r="Q93" s="24"/>
      <c r="R93" s="24"/>
      <c r="S93" s="25"/>
      <c r="T93" s="25"/>
      <c r="U93" s="26"/>
      <c r="V93" s="26"/>
      <c r="W93" s="27"/>
      <c r="X93" s="27"/>
      <c r="Y93" t="e">
        <f>NA()</f>
        <v>#N/A</v>
      </c>
      <c r="Z93" s="22">
        <f t="shared" si="39"/>
        <v>0</v>
      </c>
      <c r="AA93" s="22">
        <f t="shared" si="40"/>
        <v>0</v>
      </c>
      <c r="AE93">
        <v>8</v>
      </c>
      <c r="AG93">
        <f t="shared" si="41"/>
        <v>7.0376849027752071</v>
      </c>
      <c r="AH93" s="21">
        <f t="shared" si="35"/>
        <v>0.99948537324391962</v>
      </c>
      <c r="AI93" s="21">
        <f t="shared" si="42"/>
        <v>9.1053553506319336</v>
      </c>
      <c r="AJ93" s="21">
        <f t="shared" si="42"/>
        <v>2.285155888460388</v>
      </c>
      <c r="AK93" s="21">
        <f t="shared" si="42"/>
        <v>9.2556166292679123</v>
      </c>
      <c r="AL93" s="21">
        <f t="shared" si="42"/>
        <v>0.73076059834169638</v>
      </c>
      <c r="AM93" s="22">
        <f t="shared" si="43"/>
        <v>2.5315505048349469</v>
      </c>
      <c r="AN93" s="21">
        <f t="shared" ref="AN93:AS93" si="52">AN21*AN$12</f>
        <v>1.6565283860148301</v>
      </c>
      <c r="AO93" s="23">
        <f t="shared" si="52"/>
        <v>1.6140216777281104</v>
      </c>
      <c r="AP93" s="23">
        <f t="shared" si="52"/>
        <v>0.3228043355456221</v>
      </c>
      <c r="AQ93" s="24">
        <f t="shared" si="52"/>
        <v>10.673555656991883</v>
      </c>
      <c r="AR93" s="24">
        <f t="shared" si="52"/>
        <v>4.4882173532843579</v>
      </c>
      <c r="AS93" s="24">
        <f t="shared" si="52"/>
        <v>5.4684763636010993</v>
      </c>
      <c r="AT93" s="25">
        <f t="shared" si="37"/>
        <v>1.9518213337269108</v>
      </c>
      <c r="AU93" s="25">
        <f t="shared" si="37"/>
        <v>1.8919978611274548</v>
      </c>
      <c r="AV93" s="26">
        <f t="shared" si="38"/>
        <v>5.439947230663865</v>
      </c>
      <c r="AW93" s="26">
        <f t="shared" si="38"/>
        <v>4.7987890015735974</v>
      </c>
      <c r="AX93" s="27" t="e">
        <f t="shared" si="38"/>
        <v>#NUM!</v>
      </c>
      <c r="AY93" s="27" t="e">
        <f t="shared" si="38"/>
        <v>#NUM!</v>
      </c>
      <c r="AZ93" t="e">
        <f>NA()</f>
        <v>#N/A</v>
      </c>
      <c r="BA93" s="22">
        <f t="shared" si="45"/>
        <v>2.5315505048349469</v>
      </c>
      <c r="BB93" s="22">
        <f t="shared" si="46"/>
        <v>16.800780306816559</v>
      </c>
    </row>
    <row r="94" spans="3:60" x14ac:dyDescent="0.3">
      <c r="D94">
        <v>9</v>
      </c>
      <c r="F94">
        <v>8</v>
      </c>
      <c r="G94" s="21"/>
      <c r="H94" s="21"/>
      <c r="I94" s="21"/>
      <c r="J94" s="21"/>
      <c r="K94" s="21"/>
      <c r="L94" s="22"/>
      <c r="M94" s="21"/>
      <c r="N94" s="23"/>
      <c r="O94" s="23"/>
      <c r="P94" s="24"/>
      <c r="Q94" s="24"/>
      <c r="R94" s="24"/>
      <c r="S94" s="25"/>
      <c r="T94" s="25"/>
      <c r="U94" s="26"/>
      <c r="V94" s="26"/>
      <c r="W94" s="27"/>
      <c r="X94" s="27"/>
      <c r="Y94" t="e">
        <f>NA()</f>
        <v>#N/A</v>
      </c>
      <c r="Z94" s="22">
        <f t="shared" si="39"/>
        <v>0</v>
      </c>
      <c r="AA94" s="22">
        <f t="shared" si="40"/>
        <v>0</v>
      </c>
      <c r="AE94">
        <v>9</v>
      </c>
      <c r="AG94">
        <f t="shared" si="41"/>
        <v>7.4014007071619208</v>
      </c>
      <c r="AH94" s="21">
        <f t="shared" si="35"/>
        <v>1.1939427821968873</v>
      </c>
      <c r="AI94" s="21">
        <f t="shared" si="42"/>
        <v>9.7475502279572925</v>
      </c>
      <c r="AJ94" s="21">
        <f t="shared" si="42"/>
        <v>2.5978201499493228</v>
      </c>
      <c r="AK94" s="21">
        <f t="shared" si="42"/>
        <v>9.9056419630841397</v>
      </c>
      <c r="AL94" s="21">
        <f t="shared" si="42"/>
        <v>0.85335727031409003</v>
      </c>
      <c r="AM94" s="22">
        <f t="shared" si="43"/>
        <v>2.830728945738672</v>
      </c>
      <c r="AN94" s="21">
        <f t="shared" ref="AN94:AS94" si="53">AN22*AN$12</f>
        <v>1.8127001620551855</v>
      </c>
      <c r="AO94" s="23">
        <f t="shared" si="53"/>
        <v>1.7380969246777072</v>
      </c>
      <c r="AP94" s="23">
        <f t="shared" si="53"/>
        <v>0.34761938493554151</v>
      </c>
      <c r="AQ94" s="24">
        <f t="shared" si="53"/>
        <v>11.319257167932895</v>
      </c>
      <c r="AR94" s="24">
        <f t="shared" si="53"/>
        <v>4.8273126437564446</v>
      </c>
      <c r="AS94" s="24">
        <f t="shared" si="53"/>
        <v>6.152069512561825</v>
      </c>
      <c r="AT94" s="25">
        <f t="shared" si="37"/>
        <v>2.0786330251846485</v>
      </c>
      <c r="AU94" s="25">
        <f t="shared" si="37"/>
        <v>2.0399616464134001</v>
      </c>
      <c r="AV94" s="26">
        <f t="shared" si="38"/>
        <v>5.8287075967053532</v>
      </c>
      <c r="AW94" s="26">
        <f t="shared" si="38"/>
        <v>5.1382613892032234</v>
      </c>
      <c r="AX94" s="27" t="e">
        <f t="shared" si="38"/>
        <v>#NUM!</v>
      </c>
      <c r="AY94" s="27" t="e">
        <f t="shared" si="38"/>
        <v>#NUM!</v>
      </c>
      <c r="AZ94" t="e">
        <f>NA()</f>
        <v>#N/A</v>
      </c>
      <c r="BA94" s="22">
        <f t="shared" si="45"/>
        <v>2.830728945738672</v>
      </c>
      <c r="BB94" s="22">
        <f t="shared" si="46"/>
        <v>17.519531548001279</v>
      </c>
    </row>
    <row r="95" spans="3:60" x14ac:dyDescent="0.3">
      <c r="D95">
        <v>10</v>
      </c>
      <c r="F95">
        <v>9</v>
      </c>
      <c r="G95" s="21"/>
      <c r="H95" s="21"/>
      <c r="I95" s="21"/>
      <c r="J95" s="21"/>
      <c r="K95" s="21"/>
      <c r="L95" s="22"/>
      <c r="M95" s="21"/>
      <c r="N95" s="23"/>
      <c r="O95" s="23"/>
      <c r="P95" s="24"/>
      <c r="Q95" s="24"/>
      <c r="R95" s="24"/>
      <c r="S95" s="25"/>
      <c r="T95" s="25"/>
      <c r="U95" s="26"/>
      <c r="V95" s="26"/>
      <c r="W95" s="27"/>
      <c r="X95" s="27"/>
      <c r="Y95" t="e">
        <f>NA()</f>
        <v>#N/A</v>
      </c>
      <c r="Z95" s="22">
        <f t="shared" si="39"/>
        <v>0</v>
      </c>
      <c r="AA95" s="22">
        <f t="shared" si="40"/>
        <v>0</v>
      </c>
      <c r="AE95">
        <v>10</v>
      </c>
      <c r="AG95">
        <f t="shared" si="41"/>
        <v>7.7839137706172403</v>
      </c>
      <c r="AH95" s="21">
        <f t="shared" si="35"/>
        <v>1.4229447486381714</v>
      </c>
      <c r="AI95" s="21">
        <f t="shared" si="42"/>
        <v>10.431179230108219</v>
      </c>
      <c r="AJ95" s="21">
        <f t="shared" si="42"/>
        <v>2.9499728429839185</v>
      </c>
      <c r="AK95" s="21">
        <f t="shared" si="42"/>
        <v>10.597256762381816</v>
      </c>
      <c r="AL95" s="21">
        <f t="shared" si="42"/>
        <v>0.99435795678173966</v>
      </c>
      <c r="AM95" s="22">
        <f t="shared" si="43"/>
        <v>3.1595234540901544</v>
      </c>
      <c r="AN95" s="21">
        <f t="shared" ref="AN95:AS95" si="54">AN23*AN$12</f>
        <v>1.9825438073377839</v>
      </c>
      <c r="AO95" s="23">
        <f t="shared" si="54"/>
        <v>1.8710947181860029</v>
      </c>
      <c r="AP95" s="23">
        <f t="shared" si="54"/>
        <v>0.37421894363720065</v>
      </c>
      <c r="AQ95" s="24">
        <f t="shared" si="54"/>
        <v>11.999984197683858</v>
      </c>
      <c r="AR95" s="24">
        <f t="shared" si="54"/>
        <v>5.1887864033575637</v>
      </c>
      <c r="AS95" s="24">
        <f t="shared" si="54"/>
        <v>6.9073612247583869</v>
      </c>
      <c r="AT95" s="25">
        <f t="shared" si="37"/>
        <v>2.2128499694741794</v>
      </c>
      <c r="AU95" s="25">
        <f t="shared" si="37"/>
        <v>2.1983732743158009</v>
      </c>
      <c r="AV95" s="26">
        <f t="shared" si="38"/>
        <v>6.2430060789705522</v>
      </c>
      <c r="AW95" s="26">
        <f t="shared" si="38"/>
        <v>5.4997274771236819</v>
      </c>
      <c r="AX95" s="27" t="e">
        <f t="shared" si="38"/>
        <v>#NUM!</v>
      </c>
      <c r="AY95" s="27" t="e">
        <f t="shared" si="38"/>
        <v>#NUM!</v>
      </c>
      <c r="AZ95" t="e">
        <f>NA()</f>
        <v>#N/A</v>
      </c>
      <c r="BA95" s="22">
        <f t="shared" si="45"/>
        <v>3.1595234540901544</v>
      </c>
      <c r="BB95" s="22">
        <f t="shared" si="46"/>
        <v>18.261541737293015</v>
      </c>
    </row>
    <row r="96" spans="3:60" x14ac:dyDescent="0.3">
      <c r="D96">
        <v>11</v>
      </c>
      <c r="F96">
        <v>10</v>
      </c>
      <c r="G96" s="21"/>
      <c r="H96" s="21"/>
      <c r="I96" s="21"/>
      <c r="J96" s="21"/>
      <c r="K96" s="21"/>
      <c r="L96" s="22"/>
      <c r="M96" s="21"/>
      <c r="N96" s="23"/>
      <c r="O96" s="23"/>
      <c r="P96" s="24"/>
      <c r="Q96" s="24"/>
      <c r="R96" s="24"/>
      <c r="S96" s="25"/>
      <c r="T96" s="25"/>
      <c r="U96" s="26"/>
      <c r="V96" s="26"/>
      <c r="W96" s="27"/>
      <c r="X96" s="27"/>
      <c r="Y96" t="e">
        <f>NA()</f>
        <v>#N/A</v>
      </c>
      <c r="Z96" s="22">
        <f t="shared" si="39"/>
        <v>0</v>
      </c>
      <c r="AA96" s="22">
        <f t="shared" si="40"/>
        <v>0</v>
      </c>
      <c r="AE96">
        <v>11</v>
      </c>
      <c r="AG96">
        <f t="shared" si="41"/>
        <v>8.1861955575214029</v>
      </c>
      <c r="AH96" s="21">
        <f t="shared" si="35"/>
        <v>1.6917973106724558</v>
      </c>
      <c r="AI96" s="21">
        <f t="shared" si="42"/>
        <v>11.158428230006605</v>
      </c>
      <c r="AJ96" s="21">
        <f t="shared" si="42"/>
        <v>3.3459605429297077</v>
      </c>
      <c r="AK96" s="21">
        <f t="shared" si="42"/>
        <v>11.332610163357888</v>
      </c>
      <c r="AL96" s="21">
        <f t="shared" si="42"/>
        <v>1.156038427305826</v>
      </c>
      <c r="AM96" s="22">
        <f t="shared" si="43"/>
        <v>3.5198639660875943</v>
      </c>
      <c r="AN96" s="21">
        <f t="shared" ref="AN96:AS96" si="55">AN24*AN$12</f>
        <v>2.1670975034468527</v>
      </c>
      <c r="AO96" s="23">
        <f t="shared" si="55"/>
        <v>2.0135749335753355</v>
      </c>
      <c r="AP96" s="23">
        <f t="shared" si="55"/>
        <v>0.40271498671506711</v>
      </c>
      <c r="AQ96" s="24">
        <f t="shared" si="55"/>
        <v>12.717168825697899</v>
      </c>
      <c r="AR96" s="24">
        <f t="shared" si="55"/>
        <v>5.5736889814778774</v>
      </c>
      <c r="AS96" s="24">
        <f t="shared" si="55"/>
        <v>7.7393781878571692</v>
      </c>
      <c r="AT96" s="25">
        <f t="shared" si="37"/>
        <v>2.3548040717280472</v>
      </c>
      <c r="AU96" s="25">
        <f t="shared" si="37"/>
        <v>2.3678195627827665</v>
      </c>
      <c r="AV96" s="26">
        <f t="shared" si="38"/>
        <v>6.6842342246212079</v>
      </c>
      <c r="AW96" s="26">
        <f t="shared" si="38"/>
        <v>5.8843564061467069</v>
      </c>
      <c r="AX96" s="27" t="e">
        <f t="shared" si="38"/>
        <v>#NUM!</v>
      </c>
      <c r="AY96" s="27" t="e">
        <f t="shared" si="38"/>
        <v>#NUM!</v>
      </c>
      <c r="AZ96" t="e">
        <f>NA()</f>
        <v>#N/A</v>
      </c>
      <c r="BA96" s="22">
        <f t="shared" si="45"/>
        <v>3.5198639660875943</v>
      </c>
      <c r="BB96" s="22">
        <f t="shared" si="46"/>
        <v>19.026829879951023</v>
      </c>
    </row>
    <row r="97" spans="4:54" x14ac:dyDescent="0.3">
      <c r="D97">
        <v>12</v>
      </c>
      <c r="F97">
        <v>11</v>
      </c>
      <c r="G97" s="21"/>
      <c r="H97" s="21"/>
      <c r="I97" s="21"/>
      <c r="J97" s="21"/>
      <c r="K97" s="21"/>
      <c r="L97" s="22"/>
      <c r="M97" s="21"/>
      <c r="N97" s="23"/>
      <c r="O97" s="23"/>
      <c r="P97" s="24"/>
      <c r="Q97" s="24"/>
      <c r="R97" s="24"/>
      <c r="S97" s="25"/>
      <c r="T97" s="25"/>
      <c r="U97" s="26"/>
      <c r="V97" s="26"/>
      <c r="W97" s="27"/>
      <c r="X97" s="27"/>
      <c r="Y97" t="e">
        <f>NA()</f>
        <v>#N/A</v>
      </c>
      <c r="Z97" s="22">
        <f t="shared" si="39"/>
        <v>0</v>
      </c>
      <c r="AA97" s="22">
        <f t="shared" si="40"/>
        <v>0</v>
      </c>
      <c r="AE97">
        <v>12</v>
      </c>
      <c r="AG97">
        <f t="shared" si="41"/>
        <v>8.6092677386724414</v>
      </c>
      <c r="AH97" s="21">
        <f t="shared" si="35"/>
        <v>2.0064188707603425</v>
      </c>
      <c r="AI97" s="21">
        <f t="shared" si="42"/>
        <v>11.931535913766654</v>
      </c>
      <c r="AJ97" s="21">
        <f t="shared" si="42"/>
        <v>3.7904856152055864</v>
      </c>
      <c r="AK97" s="21">
        <f t="shared" si="42"/>
        <v>12.113896802191853</v>
      </c>
      <c r="AL97" s="21">
        <f t="shared" si="42"/>
        <v>1.3408496664615894</v>
      </c>
      <c r="AM97" s="22">
        <f t="shared" si="43"/>
        <v>3.9136322338345422</v>
      </c>
      <c r="AN97" s="21">
        <f t="shared" ref="AN97:AS97" si="56">AN25*AN$12</f>
        <v>2.3674543222584972</v>
      </c>
      <c r="AO97" s="23">
        <f t="shared" si="56"/>
        <v>2.1661216414350166</v>
      </c>
      <c r="AP97" s="23">
        <f t="shared" si="56"/>
        <v>0.43322432828700336</v>
      </c>
      <c r="AQ97" s="24">
        <f t="shared" si="56"/>
        <v>13.472245839635139</v>
      </c>
      <c r="AR97" s="24">
        <f t="shared" si="56"/>
        <v>5.9830625535660298</v>
      </c>
      <c r="AS97" s="24">
        <f t="shared" si="56"/>
        <v>8.6530522906097573</v>
      </c>
      <c r="AT97" s="25">
        <f t="shared" si="37"/>
        <v>2.5048296914839656</v>
      </c>
      <c r="AU97" s="25">
        <f t="shared" si="37"/>
        <v>2.5488997590546751</v>
      </c>
      <c r="AV97" s="26">
        <f t="shared" si="38"/>
        <v>7.1538224994411701</v>
      </c>
      <c r="AW97" s="26">
        <f t="shared" si="38"/>
        <v>6.2933466243144593</v>
      </c>
      <c r="AX97" s="27" t="e">
        <f t="shared" si="38"/>
        <v>#NUM!</v>
      </c>
      <c r="AY97" s="27" t="e">
        <f t="shared" si="38"/>
        <v>#NUM!</v>
      </c>
      <c r="AZ97" t="e">
        <f>NA()</f>
        <v>#N/A</v>
      </c>
      <c r="BA97" s="22">
        <f t="shared" si="45"/>
        <v>3.9136322338345422</v>
      </c>
      <c r="BB97" s="22">
        <f t="shared" si="46"/>
        <v>19.815331246827085</v>
      </c>
    </row>
    <row r="98" spans="4:54" x14ac:dyDescent="0.3">
      <c r="D98">
        <v>13</v>
      </c>
      <c r="F98">
        <v>12</v>
      </c>
      <c r="G98" s="21"/>
      <c r="H98" s="21"/>
      <c r="I98" s="21"/>
      <c r="J98" s="21"/>
      <c r="K98" s="21"/>
      <c r="L98" s="22"/>
      <c r="M98" s="21"/>
      <c r="N98" s="23"/>
      <c r="O98" s="23"/>
      <c r="P98" s="24"/>
      <c r="Q98" s="24"/>
      <c r="R98" s="24"/>
      <c r="S98" s="25"/>
      <c r="T98" s="25"/>
      <c r="U98" s="26"/>
      <c r="V98" s="26"/>
      <c r="W98" s="27"/>
      <c r="X98" s="27"/>
      <c r="Y98" t="e">
        <f>NA()</f>
        <v>#N/A</v>
      </c>
      <c r="Z98" s="22">
        <f t="shared" si="39"/>
        <v>0</v>
      </c>
      <c r="AA98" s="22">
        <f t="shared" si="40"/>
        <v>0</v>
      </c>
      <c r="AE98">
        <v>13</v>
      </c>
      <c r="AG98">
        <f t="shared" si="41"/>
        <v>9.0542047860126846</v>
      </c>
      <c r="AH98" s="21">
        <f t="shared" si="35"/>
        <v>2.3733621217616743</v>
      </c>
      <c r="AI98" s="21">
        <f t="shared" si="42"/>
        <v>12.752786135724072</v>
      </c>
      <c r="AJ98" s="21">
        <f t="shared" si="42"/>
        <v>4.2886115548373649</v>
      </c>
      <c r="AK98" s="21">
        <f t="shared" si="42"/>
        <v>12.943348341010529</v>
      </c>
      <c r="AL98" s="21">
        <f t="shared" si="42"/>
        <v>1.5514078526936175</v>
      </c>
      <c r="AM98" s="22">
        <f t="shared" si="43"/>
        <v>4.3426251385065333</v>
      </c>
      <c r="AN98" s="21">
        <f t="shared" ref="AN98:AS98" si="57">AN26*AN$12</f>
        <v>2.5847613506937099</v>
      </c>
      <c r="AO98" s="23">
        <f t="shared" si="57"/>
        <v>2.3293426057079767</v>
      </c>
      <c r="AP98" s="23">
        <f t="shared" si="57"/>
        <v>0.46586852114159544</v>
      </c>
      <c r="AQ98" s="24">
        <f t="shared" si="57"/>
        <v>14.266644698107616</v>
      </c>
      <c r="AR98" s="24">
        <f t="shared" si="57"/>
        <v>6.4179315755567661</v>
      </c>
      <c r="AS98" s="24">
        <f t="shared" si="57"/>
        <v>9.6531240495030097</v>
      </c>
      <c r="AT98" s="25">
        <f t="shared" si="37"/>
        <v>2.6632618501700107</v>
      </c>
      <c r="AU98" s="25">
        <f t="shared" si="37"/>
        <v>2.7422226596159933</v>
      </c>
      <c r="AV98" s="26">
        <f t="shared" si="38"/>
        <v>7.6532361440672236</v>
      </c>
      <c r="AW98" s="26">
        <f t="shared" si="38"/>
        <v>6.7279219425117365</v>
      </c>
      <c r="AX98" s="27" t="e">
        <f t="shared" si="38"/>
        <v>#NUM!</v>
      </c>
      <c r="AY98" s="27" t="e">
        <f t="shared" si="38"/>
        <v>#NUM!</v>
      </c>
      <c r="AZ98" t="e">
        <f>NA()</f>
        <v>#N/A</v>
      </c>
      <c r="BA98" s="22">
        <f t="shared" si="45"/>
        <v>4.3426251385065333</v>
      </c>
      <c r="BB98" s="22">
        <f t="shared" si="46"/>
        <v>20.626889414744454</v>
      </c>
    </row>
    <row r="99" spans="4:54" x14ac:dyDescent="0.3">
      <c r="D99">
        <v>14</v>
      </c>
      <c r="F99">
        <v>13</v>
      </c>
      <c r="G99" s="21"/>
      <c r="H99" s="21"/>
      <c r="I99" s="21"/>
      <c r="J99" s="21"/>
      <c r="K99" s="21"/>
      <c r="L99" s="22"/>
      <c r="M99" s="21"/>
      <c r="N99" s="23"/>
      <c r="O99" s="23"/>
      <c r="P99" s="24"/>
      <c r="Q99" s="24"/>
      <c r="R99" s="24"/>
      <c r="S99" s="25"/>
      <c r="T99" s="25"/>
      <c r="U99" s="26"/>
      <c r="V99" s="26"/>
      <c r="W99" s="27"/>
      <c r="X99" s="27"/>
      <c r="Y99" t="e">
        <f>NA()</f>
        <v>#N/A</v>
      </c>
      <c r="Z99" s="22">
        <f t="shared" si="39"/>
        <v>0</v>
      </c>
      <c r="AA99" s="22">
        <f t="shared" si="40"/>
        <v>0</v>
      </c>
      <c r="AE99">
        <v>14</v>
      </c>
      <c r="AG99">
        <f t="shared" si="41"/>
        <v>9.5221367014538032</v>
      </c>
      <c r="AH99" s="21">
        <f t="shared" si="35"/>
        <v>2.7998237073091685</v>
      </c>
      <c r="AI99" s="21">
        <f t="shared" si="42"/>
        <v>13.624498762602569</v>
      </c>
      <c r="AJ99" s="21">
        <f t="shared" si="42"/>
        <v>4.8457629959641473</v>
      </c>
      <c r="AK99" s="21">
        <f t="shared" si="42"/>
        <v>13.82322343292779</v>
      </c>
      <c r="AL99" s="21">
        <f t="shared" si="42"/>
        <v>1.7904778199615414</v>
      </c>
      <c r="AM99" s="22">
        <f t="shared" si="43"/>
        <v>4.8085134193224865</v>
      </c>
      <c r="AN99" s="21">
        <f t="shared" ref="AN99:AS99" si="58">AN27*AN$12</f>
        <v>2.8202180546128401</v>
      </c>
      <c r="AO99" s="23">
        <f t="shared" si="58"/>
        <v>2.5038684988522526</v>
      </c>
      <c r="AP99" s="23">
        <f t="shared" si="58"/>
        <v>0.50077369977045061</v>
      </c>
      <c r="AQ99" s="24">
        <f t="shared" si="58"/>
        <v>15.101780444482557</v>
      </c>
      <c r="AR99" s="24">
        <f t="shared" si="58"/>
        <v>6.8792920230657488</v>
      </c>
      <c r="AS99" s="24">
        <f t="shared" si="58"/>
        <v>10.74403309673205</v>
      </c>
      <c r="AT99" s="25">
        <f t="shared" si="37"/>
        <v>2.8304341818377572</v>
      </c>
      <c r="AU99" s="25">
        <f t="shared" si="37"/>
        <v>2.9484031920784441</v>
      </c>
      <c r="AV99" s="26">
        <f t="shared" si="38"/>
        <v>8.1839701200606374</v>
      </c>
      <c r="AW99" s="26">
        <f t="shared" si="38"/>
        <v>7.1893267923088464</v>
      </c>
      <c r="AX99" s="27" t="e">
        <f t="shared" si="38"/>
        <v>#NUM!</v>
      </c>
      <c r="AY99" s="27" t="e">
        <f t="shared" si="38"/>
        <v>#NUM!</v>
      </c>
      <c r="AZ99" t="e">
        <f>NA()</f>
        <v>#N/A</v>
      </c>
      <c r="BA99" s="22">
        <f t="shared" si="45"/>
        <v>4.8085134193224865</v>
      </c>
      <c r="BB99" s="22">
        <f t="shared" si="46"/>
        <v>21.461248135405022</v>
      </c>
    </row>
    <row r="100" spans="4:54" x14ac:dyDescent="0.3">
      <c r="D100">
        <v>15</v>
      </c>
      <c r="F100">
        <v>14</v>
      </c>
      <c r="G100" s="21"/>
      <c r="H100" s="21"/>
      <c r="I100" s="21"/>
      <c r="J100" s="21"/>
      <c r="K100" s="21"/>
      <c r="L100" s="22"/>
      <c r="M100" s="21"/>
      <c r="N100" s="23"/>
      <c r="O100" s="23"/>
      <c r="P100" s="24"/>
      <c r="Q100" s="24"/>
      <c r="R100" s="24"/>
      <c r="S100" s="25"/>
      <c r="T100" s="25"/>
      <c r="U100" s="26"/>
      <c r="V100" s="26"/>
      <c r="W100" s="27"/>
      <c r="X100" s="27"/>
      <c r="Y100" t="e">
        <f>NA()</f>
        <v>#N/A</v>
      </c>
      <c r="Z100" s="22">
        <f t="shared" si="39"/>
        <v>0</v>
      </c>
      <c r="AA100" s="22">
        <f t="shared" si="40"/>
        <v>0</v>
      </c>
      <c r="AE100">
        <v>15</v>
      </c>
      <c r="AG100">
        <f t="shared" si="41"/>
        <v>10.014251886730682</v>
      </c>
      <c r="AH100" s="21">
        <f t="shared" si="35"/>
        <v>3.2936379733239312</v>
      </c>
      <c r="AI100" s="21">
        <f t="shared" si="42"/>
        <v>14.549018866577301</v>
      </c>
      <c r="AJ100" s="21">
        <f t="shared" si="42"/>
        <v>5.4677191965940048</v>
      </c>
      <c r="AK100" s="21">
        <f t="shared" si="42"/>
        <v>14.755795990036919</v>
      </c>
      <c r="AL100" s="21">
        <f t="shared" si="42"/>
        <v>2.0609489837609134</v>
      </c>
      <c r="AM100" s="22">
        <f t="shared" si="43"/>
        <v>5.312796098392691</v>
      </c>
      <c r="AN100" s="21">
        <f t="shared" ref="AN100:AS100" si="59">AN28*AN$12</f>
        <v>3.0750737643901025</v>
      </c>
      <c r="AO100" s="23">
        <f t="shared" si="59"/>
        <v>2.6903517951685907</v>
      </c>
      <c r="AP100" s="23">
        <f t="shared" si="59"/>
        <v>0.53807035903371814</v>
      </c>
      <c r="AQ100" s="24">
        <f t="shared" si="59"/>
        <v>15.97904350831603</v>
      </c>
      <c r="AR100" s="24">
        <f t="shared" si="59"/>
        <v>7.3680993741523828</v>
      </c>
      <c r="AS100" s="24">
        <f t="shared" si="59"/>
        <v>11.929796455981192</v>
      </c>
      <c r="AT100" s="25">
        <f t="shared" si="37"/>
        <v>3.0066766101305533</v>
      </c>
      <c r="AU100" s="25">
        <f t="shared" si="37"/>
        <v>3.1680584143278545</v>
      </c>
      <c r="AV100" s="26">
        <f t="shared" si="38"/>
        <v>8.7475430550571751</v>
      </c>
      <c r="AW100" s="26">
        <f t="shared" si="38"/>
        <v>7.6788206107290833</v>
      </c>
      <c r="AX100" s="27" t="e">
        <f t="shared" si="38"/>
        <v>#NUM!</v>
      </c>
      <c r="AY100" s="27" t="e">
        <f t="shared" si="38"/>
        <v>#NUM!</v>
      </c>
      <c r="AZ100" t="e">
        <f>NA()</f>
        <v>#N/A</v>
      </c>
      <c r="BA100" s="22">
        <f t="shared" si="45"/>
        <v>5.312796098392691</v>
      </c>
      <c r="BB100" s="22">
        <f t="shared" si="46"/>
        <v>22.318043106416557</v>
      </c>
    </row>
    <row r="101" spans="4:54" x14ac:dyDescent="0.3">
      <c r="D101">
        <v>16</v>
      </c>
      <c r="F101">
        <v>15</v>
      </c>
      <c r="G101" s="21"/>
      <c r="H101" s="21"/>
      <c r="I101" s="21"/>
      <c r="J101" s="21"/>
      <c r="K101" s="21"/>
      <c r="L101" s="22"/>
      <c r="M101" s="21"/>
      <c r="N101" s="23"/>
      <c r="O101" s="23"/>
      <c r="P101" s="24"/>
      <c r="Q101" s="24"/>
      <c r="R101" s="24"/>
      <c r="S101" s="25"/>
      <c r="T101" s="25"/>
      <c r="U101" s="26"/>
      <c r="V101" s="26"/>
      <c r="W101" s="27"/>
      <c r="X101" s="27"/>
      <c r="Y101" t="e">
        <f>NA()</f>
        <v>#N/A</v>
      </c>
      <c r="Z101" s="22">
        <f t="shared" si="39"/>
        <v>0</v>
      </c>
      <c r="AA101" s="22">
        <f t="shared" si="40"/>
        <v>0</v>
      </c>
      <c r="AE101">
        <v>16</v>
      </c>
      <c r="AG101">
        <f t="shared" si="41"/>
        <v>10.531800161572754</v>
      </c>
      <c r="AH101" s="21">
        <f t="shared" si="35"/>
        <v>3.8632508400336203</v>
      </c>
      <c r="AI101" s="21">
        <f t="shared" si="42"/>
        <v>15.528704126239509</v>
      </c>
      <c r="AJ101" s="21">
        <f t="shared" si="42"/>
        <v>6.160599701652254</v>
      </c>
      <c r="AK101" s="21">
        <f t="shared" si="42"/>
        <v>15.743341619350804</v>
      </c>
      <c r="AL101" s="21">
        <f t="shared" si="42"/>
        <v>2.3658027651333886</v>
      </c>
      <c r="AM101" s="22">
        <f t="shared" si="43"/>
        <v>5.8567510962214326</v>
      </c>
      <c r="AN101" s="21">
        <f t="shared" ref="AN101:AS101" si="60">AN29*AN$12</f>
        <v>3.3506241570498867</v>
      </c>
      <c r="AO101" s="23">
        <f t="shared" si="60"/>
        <v>2.8894653007559969</v>
      </c>
      <c r="AP101" s="23">
        <f t="shared" si="60"/>
        <v>0.57789306015119946</v>
      </c>
      <c r="AQ101" s="24">
        <f t="shared" si="60"/>
        <v>16.899788335779387</v>
      </c>
      <c r="AR101" s="24">
        <f t="shared" si="60"/>
        <v>7.8852553114356683</v>
      </c>
      <c r="AS101" s="24">
        <f t="shared" si="60"/>
        <v>13.21387595504976</v>
      </c>
      <c r="AT101" s="25">
        <f t="shared" si="37"/>
        <v>3.1923127355736325</v>
      </c>
      <c r="AU101" s="25">
        <f t="shared" si="37"/>
        <v>3.401802888132214</v>
      </c>
      <c r="AV101" s="26">
        <f t="shared" si="38"/>
        <v>9.345490094542841</v>
      </c>
      <c r="AW101" s="26">
        <f t="shared" si="38"/>
        <v>8.1976712759888013</v>
      </c>
      <c r="AX101" s="27" t="e">
        <f t="shared" si="38"/>
        <v>#NUM!</v>
      </c>
      <c r="AY101" s="27" t="e">
        <f t="shared" si="38"/>
        <v>#NUM!</v>
      </c>
      <c r="AZ101" t="e">
        <f>NA()</f>
        <v>#N/A</v>
      </c>
      <c r="BA101" s="22">
        <f t="shared" si="45"/>
        <v>5.8567510962214326</v>
      </c>
      <c r="BB101" s="22">
        <f t="shared" si="46"/>
        <v>23.196793732401211</v>
      </c>
    </row>
    <row r="102" spans="4:54" x14ac:dyDescent="0.3">
      <c r="D102">
        <v>17</v>
      </c>
      <c r="F102">
        <v>16</v>
      </c>
      <c r="G102" s="21"/>
      <c r="H102" s="21"/>
      <c r="I102" s="21"/>
      <c r="J102" s="21"/>
      <c r="K102" s="21"/>
      <c r="L102" s="22"/>
      <c r="M102" s="21"/>
      <c r="N102" s="23"/>
      <c r="O102" s="23"/>
      <c r="P102" s="24"/>
      <c r="Q102" s="24"/>
      <c r="R102" s="24"/>
      <c r="S102" s="25"/>
      <c r="T102" s="25"/>
      <c r="U102" s="26"/>
      <c r="V102" s="26"/>
      <c r="W102" s="27"/>
      <c r="X102" s="27"/>
      <c r="Y102" t="e">
        <f>NA()</f>
        <v>#N/A</v>
      </c>
      <c r="Z102" s="22">
        <f t="shared" si="39"/>
        <v>0</v>
      </c>
      <c r="AA102" s="22">
        <f t="shared" si="40"/>
        <v>0</v>
      </c>
      <c r="AE102">
        <v>17</v>
      </c>
      <c r="AG102">
        <f t="shared" si="41"/>
        <v>11.076095937857938</v>
      </c>
      <c r="AH102" s="21">
        <f t="shared" si="35"/>
        <v>4.5176696140154444</v>
      </c>
      <c r="AI102" s="21">
        <f t="shared" si="42"/>
        <v>16.565910296295055</v>
      </c>
      <c r="AJ102" s="21">
        <f t="shared" si="42"/>
        <v>6.9308408042144665</v>
      </c>
      <c r="AK102" s="21">
        <f t="shared" si="42"/>
        <v>16.788122095706118</v>
      </c>
      <c r="AL102" s="21">
        <f t="shared" si="42"/>
        <v>2.7080706626197912</v>
      </c>
      <c r="AM102" s="22">
        <f t="shared" si="43"/>
        <v>6.4413827763758125</v>
      </c>
      <c r="AN102" s="21">
        <f t="shared" ref="AN102:AS102" si="61">AN30*AN$12</f>
        <v>3.6482066033899554</v>
      </c>
      <c r="AO102" s="23">
        <f t="shared" si="61"/>
        <v>3.1019002761418419</v>
      </c>
      <c r="AP102" s="23">
        <f t="shared" si="61"/>
        <v>0.62038005522836837</v>
      </c>
      <c r="AQ102" s="24">
        <f t="shared" si="61"/>
        <v>17.865320797295215</v>
      </c>
      <c r="AR102" s="24">
        <f t="shared" si="61"/>
        <v>8.4315931406378812</v>
      </c>
      <c r="AS102" s="24">
        <f t="shared" si="61"/>
        <v>14.599036833393697</v>
      </c>
      <c r="AT102" s="25">
        <f t="shared" si="37"/>
        <v>3.3876569189119561</v>
      </c>
      <c r="AU102" s="25">
        <f t="shared" si="37"/>
        <v>3.6502433876548785</v>
      </c>
      <c r="AV102" s="26">
        <f t="shared" si="38"/>
        <v>9.9793545675347932</v>
      </c>
      <c r="AW102" s="26">
        <f t="shared" si="38"/>
        <v>8.7471475189496992</v>
      </c>
      <c r="AX102" s="27" t="e">
        <f t="shared" si="38"/>
        <v>#NUM!</v>
      </c>
      <c r="AY102" s="27" t="e">
        <f t="shared" si="38"/>
        <v>#NUM!</v>
      </c>
      <c r="AZ102" t="e">
        <f>NA()</f>
        <v>#N/A</v>
      </c>
      <c r="BA102" s="22">
        <f t="shared" si="45"/>
        <v>6.4413827763758125</v>
      </c>
      <c r="BB102" s="22">
        <f t="shared" si="46"/>
        <v>24.096894979605345</v>
      </c>
    </row>
    <row r="103" spans="4:54" x14ac:dyDescent="0.3">
      <c r="D103">
        <v>18</v>
      </c>
      <c r="F103">
        <v>17</v>
      </c>
      <c r="G103" s="21"/>
      <c r="H103" s="21"/>
      <c r="I103" s="21"/>
      <c r="J103" s="21"/>
      <c r="K103" s="21"/>
      <c r="L103" s="22"/>
      <c r="M103" s="21"/>
      <c r="N103" s="23"/>
      <c r="O103" s="23"/>
      <c r="P103" s="24"/>
      <c r="Q103" s="24"/>
      <c r="R103" s="24"/>
      <c r="S103" s="25"/>
      <c r="T103" s="25"/>
      <c r="U103" s="26"/>
      <c r="V103" s="26"/>
      <c r="W103" s="27"/>
      <c r="X103" s="27"/>
      <c r="Y103" t="e">
        <f>NA()</f>
        <v>#N/A</v>
      </c>
      <c r="Z103" s="22">
        <f t="shared" si="39"/>
        <v>0</v>
      </c>
      <c r="AA103" s="22">
        <f t="shared" si="40"/>
        <v>0</v>
      </c>
      <c r="AE103">
        <v>18</v>
      </c>
      <c r="AG103">
        <f t="shared" si="41"/>
        <v>11.648521557810575</v>
      </c>
      <c r="AH103" s="21">
        <f t="shared" si="35"/>
        <v>5.2663845198147072</v>
      </c>
      <c r="AI103" s="21">
        <f t="shared" si="42"/>
        <v>17.66297461180924</v>
      </c>
      <c r="AJ103" s="21">
        <f t="shared" si="42"/>
        <v>7.785161369876251</v>
      </c>
      <c r="AK103" s="21">
        <f t="shared" si="42"/>
        <v>17.892367748162638</v>
      </c>
      <c r="AL103" s="21">
        <f t="shared" si="42"/>
        <v>3.0907823150454372</v>
      </c>
      <c r="AM103" s="22">
        <f t="shared" si="43"/>
        <v>7.0673674252349006</v>
      </c>
      <c r="AN103" s="21">
        <f t="shared" ref="AN103:AS103" si="62">AN31*AN$12</f>
        <v>3.9691942437525163</v>
      </c>
      <c r="AO103" s="23">
        <f t="shared" si="62"/>
        <v>3.3283641055383222</v>
      </c>
      <c r="AP103" s="23">
        <f t="shared" si="62"/>
        <v>0.66567282110766457</v>
      </c>
      <c r="AQ103" s="24">
        <f t="shared" si="62"/>
        <v>18.876884329838106</v>
      </c>
      <c r="AR103" s="24">
        <f t="shared" si="62"/>
        <v>9.00786194862971</v>
      </c>
      <c r="AS103" s="24">
        <f t="shared" si="62"/>
        <v>16.087200381271753</v>
      </c>
      <c r="AT103" s="25">
        <f t="shared" si="37"/>
        <v>3.5930110484870799</v>
      </c>
      <c r="AU103" s="25">
        <f t="shared" si="37"/>
        <v>3.9139729081910053</v>
      </c>
      <c r="AV103" s="26">
        <f t="shared" si="38"/>
        <v>10.650678374943432</v>
      </c>
      <c r="AW103" s="26">
        <f t="shared" si="38"/>
        <v>9.3285102373516366</v>
      </c>
      <c r="AX103" s="27" t="e">
        <f t="shared" si="38"/>
        <v>#NUM!</v>
      </c>
      <c r="AY103" s="27" t="e">
        <f t="shared" si="38"/>
        <v>#NUM!</v>
      </c>
      <c r="AZ103" t="e">
        <f>NA()</f>
        <v>#N/A</v>
      </c>
      <c r="BA103" s="22">
        <f t="shared" si="45"/>
        <v>7.0673674252349006</v>
      </c>
      <c r="BB103" s="22">
        <f t="shared" si="46"/>
        <v>25.01760944384058</v>
      </c>
    </row>
    <row r="104" spans="4:54" x14ac:dyDescent="0.3">
      <c r="D104">
        <v>19</v>
      </c>
      <c r="F104">
        <v>18</v>
      </c>
      <c r="G104" s="21"/>
      <c r="H104" s="21"/>
      <c r="I104" s="21"/>
      <c r="J104" s="21"/>
      <c r="K104" s="21"/>
      <c r="L104" s="22"/>
      <c r="M104" s="21"/>
      <c r="N104" s="23"/>
      <c r="O104" s="23"/>
      <c r="P104" s="24"/>
      <c r="Q104" s="24"/>
      <c r="R104" s="24"/>
      <c r="S104" s="25"/>
      <c r="T104" s="25"/>
      <c r="U104" s="26"/>
      <c r="V104" s="26"/>
      <c r="W104" s="27"/>
      <c r="X104" s="27"/>
      <c r="Y104" t="e">
        <f>NA()</f>
        <v>#N/A</v>
      </c>
      <c r="Z104" s="22">
        <f t="shared" si="39"/>
        <v>0</v>
      </c>
      <c r="AA104" s="22">
        <f t="shared" si="40"/>
        <v>0</v>
      </c>
      <c r="AE104">
        <v>19</v>
      </c>
      <c r="AG104">
        <f t="shared" si="41"/>
        <v>12.250530804721352</v>
      </c>
      <c r="AH104" s="21">
        <f t="shared" si="35"/>
        <v>6.1192579180419653</v>
      </c>
      <c r="AI104" s="21">
        <f t="shared" si="42"/>
        <v>18.822197001563598</v>
      </c>
      <c r="AJ104" s="21">
        <f t="shared" si="42"/>
        <v>8.7305165730120713</v>
      </c>
      <c r="AK104" s="21">
        <f t="shared" si="42"/>
        <v>19.058257648077177</v>
      </c>
      <c r="AL104" s="21">
        <f t="shared" si="42"/>
        <v>3.5169031783040272</v>
      </c>
      <c r="AM104" s="22">
        <f t="shared" si="43"/>
        <v>7.7349979554772714</v>
      </c>
      <c r="AN104" s="21">
        <f t="shared" ref="AN104:AS104" si="63">AN32*AN$12</f>
        <v>4.3149886536031126</v>
      </c>
      <c r="AO104" s="23">
        <f t="shared" si="63"/>
        <v>3.5695774650277068</v>
      </c>
      <c r="AP104" s="23">
        <f t="shared" si="63"/>
        <v>0.71391549300554136</v>
      </c>
      <c r="AQ104" s="24">
        <f t="shared" si="63"/>
        <v>19.935644783313084</v>
      </c>
      <c r="AR104" s="24">
        <f t="shared" si="63"/>
        <v>9.6147095550981589</v>
      </c>
      <c r="AS104" s="24">
        <f t="shared" si="63"/>
        <v>17.679294269181174</v>
      </c>
      <c r="AT104" s="25">
        <f t="shared" si="37"/>
        <v>3.8086609826272255</v>
      </c>
      <c r="AU104" s="25">
        <f t="shared" si="37"/>
        <v>4.193563947206453</v>
      </c>
      <c r="AV104" s="26">
        <f t="shared" si="38"/>
        <v>11.360991013031935</v>
      </c>
      <c r="AW104" s="26">
        <f t="shared" si="38"/>
        <v>9.9430026441896988</v>
      </c>
      <c r="AX104" s="27" t="e">
        <f t="shared" si="38"/>
        <v>#NUM!</v>
      </c>
      <c r="AY104" s="27" t="e">
        <f t="shared" si="38"/>
        <v>#NUM!</v>
      </c>
      <c r="AZ104" t="e">
        <f>NA()</f>
        <v>#N/A</v>
      </c>
      <c r="BA104" s="22">
        <f t="shared" si="45"/>
        <v>7.7349979554772714</v>
      </c>
      <c r="BB104" s="22">
        <f t="shared" si="46"/>
        <v>25.958059768741798</v>
      </c>
    </row>
    <row r="105" spans="4:54" x14ac:dyDescent="0.3">
      <c r="D105">
        <v>20</v>
      </c>
      <c r="F105">
        <v>19</v>
      </c>
      <c r="G105" s="21"/>
      <c r="H105" s="21"/>
      <c r="I105" s="21"/>
      <c r="J105" s="21"/>
      <c r="K105" s="21"/>
      <c r="L105" s="22"/>
      <c r="M105" s="21"/>
      <c r="N105" s="23"/>
      <c r="O105" s="23"/>
      <c r="P105" s="24"/>
      <c r="Q105" s="24"/>
      <c r="R105" s="24"/>
      <c r="S105" s="25"/>
      <c r="T105" s="25"/>
      <c r="U105" s="26"/>
      <c r="V105" s="26"/>
      <c r="W105" s="27"/>
      <c r="X105" s="27"/>
      <c r="Y105" t="e">
        <f>NA()</f>
        <v>#N/A</v>
      </c>
      <c r="Z105" s="22">
        <f t="shared" si="39"/>
        <v>0</v>
      </c>
      <c r="AA105" s="22">
        <f t="shared" si="40"/>
        <v>0</v>
      </c>
      <c r="AE105">
        <v>20</v>
      </c>
      <c r="AG105">
        <f t="shared" si="41"/>
        <v>12.883652595105344</v>
      </c>
      <c r="AH105" s="21">
        <f t="shared" si="35"/>
        <v>7.0863776510298999</v>
      </c>
      <c r="AI105" s="21">
        <f t="shared" si="42"/>
        <v>20.045818998293822</v>
      </c>
      <c r="AJ105" s="21">
        <f t="shared" si="42"/>
        <v>9.7740381280278683</v>
      </c>
      <c r="AK105" s="21">
        <f t="shared" si="42"/>
        <v>20.287897503499497</v>
      </c>
      <c r="AL105" s="21">
        <f t="shared" si="42"/>
        <v>3.9892618147047738</v>
      </c>
      <c r="AM105" s="22">
        <f t="shared" si="43"/>
        <v>8.4441294084708289</v>
      </c>
      <c r="AN105" s="21">
        <f t="shared" ref="AN105:AS105" si="64">AN33*AN$12</f>
        <v>4.6870109604905448</v>
      </c>
      <c r="AO105" s="23">
        <f t="shared" si="64"/>
        <v>3.8262709409205953</v>
      </c>
      <c r="AP105" s="23">
        <f t="shared" si="64"/>
        <v>0.76525418818411917</v>
      </c>
      <c r="AQ105" s="24">
        <f t="shared" si="64"/>
        <v>21.042673955445593</v>
      </c>
      <c r="AR105" s="24">
        <f t="shared" si="64"/>
        <v>10.252664348300444</v>
      </c>
      <c r="AS105" s="24">
        <f t="shared" si="64"/>
        <v>19.375105055319043</v>
      </c>
      <c r="AT105" s="25">
        <f t="shared" si="37"/>
        <v>4.0348726618186479</v>
      </c>
      <c r="AU105" s="25">
        <f t="shared" si="37"/>
        <v>4.4895610386710674</v>
      </c>
      <c r="AV105" s="26">
        <f t="shared" si="38"/>
        <v>12.111797150590029</v>
      </c>
      <c r="AW105" s="26">
        <f t="shared" si="38"/>
        <v>10.591839188220293</v>
      </c>
      <c r="AX105" s="27" t="e">
        <f t="shared" si="38"/>
        <v>#NUM!</v>
      </c>
      <c r="AY105" s="27" t="e">
        <f t="shared" si="38"/>
        <v>#NUM!</v>
      </c>
      <c r="AZ105" t="e">
        <f>NA()</f>
        <v>#N/A</v>
      </c>
      <c r="BA105" s="22">
        <f t="shared" si="45"/>
        <v>8.4441294084708289</v>
      </c>
      <c r="BB105" s="22">
        <f t="shared" si="46"/>
        <v>26.917221568951458</v>
      </c>
    </row>
    <row r="106" spans="4:54" x14ac:dyDescent="0.3">
      <c r="D106">
        <v>21</v>
      </c>
      <c r="F106">
        <v>20</v>
      </c>
      <c r="G106" s="21"/>
      <c r="H106" s="21"/>
      <c r="I106" s="21"/>
      <c r="J106" s="21"/>
      <c r="K106" s="21"/>
      <c r="L106" s="22"/>
      <c r="M106" s="21"/>
      <c r="N106" s="23"/>
      <c r="O106" s="23"/>
      <c r="P106" s="24"/>
      <c r="Q106" s="24"/>
      <c r="R106" s="24"/>
      <c r="S106" s="25"/>
      <c r="T106" s="25"/>
      <c r="U106" s="26"/>
      <c r="V106" s="26"/>
      <c r="W106" s="27"/>
      <c r="X106" s="27"/>
      <c r="Y106" t="e">
        <f>NA()</f>
        <v>#N/A</v>
      </c>
      <c r="Z106" s="22">
        <f t="shared" si="39"/>
        <v>0</v>
      </c>
      <c r="AA106" s="22">
        <f t="shared" si="40"/>
        <v>0</v>
      </c>
      <c r="AE106">
        <v>21</v>
      </c>
      <c r="AG106">
        <f t="shared" si="41"/>
        <v>13.549494861675118</v>
      </c>
      <c r="AH106" s="21">
        <f t="shared" si="35"/>
        <v>8.1778717750812682</v>
      </c>
      <c r="AI106" s="21">
        <f t="shared" si="42"/>
        <v>21.336000251951745</v>
      </c>
      <c r="AJ106" s="21">
        <f t="shared" si="42"/>
        <v>10.922959696428254</v>
      </c>
      <c r="AK106" s="21">
        <f t="shared" si="42"/>
        <v>21.583295186545662</v>
      </c>
      <c r="AL106" s="21">
        <f t="shared" si="42"/>
        <v>4.5104672671220944</v>
      </c>
      <c r="AM106" s="22">
        <f t="shared" si="43"/>
        <v>9.1941271060496259</v>
      </c>
      <c r="AN106" s="21">
        <f t="shared" ref="AN106:AS106" si="65">AN34*AN$12</f>
        <v>5.0866912780172076</v>
      </c>
      <c r="AO106" s="23">
        <f t="shared" si="65"/>
        <v>4.0991810492310465</v>
      </c>
      <c r="AP106" s="23">
        <f t="shared" si="65"/>
        <v>0.81983620984620942</v>
      </c>
      <c r="AQ106" s="24">
        <f t="shared" si="65"/>
        <v>22.198931818049683</v>
      </c>
      <c r="AR106" s="24">
        <f t="shared" si="65"/>
        <v>10.922116137115802</v>
      </c>
      <c r="AS106" s="24">
        <f t="shared" si="65"/>
        <v>21.173138148282909</v>
      </c>
      <c r="AT106" s="25">
        <f t="shared" ref="AT106:AU125" si="66">AT34</f>
        <v>4.2718878901252095</v>
      </c>
      <c r="AU106" s="25">
        <f t="shared" si="66"/>
        <v>4.8024725330045577</v>
      </c>
      <c r="AV106" s="26">
        <f t="shared" ref="AV106:AY125" si="67">AV34*AV$12</f>
        <v>12.904562687649966</v>
      </c>
      <c r="AW106" s="26">
        <f t="shared" si="67"/>
        <v>11.276193193911295</v>
      </c>
      <c r="AX106" s="27" t="e">
        <f t="shared" si="67"/>
        <v>#NUM!</v>
      </c>
      <c r="AY106" s="27" t="e">
        <f t="shared" si="67"/>
        <v>#NUM!</v>
      </c>
      <c r="AZ106" t="e">
        <f>NA()</f>
        <v>#N/A</v>
      </c>
      <c r="BA106" s="22">
        <f t="shared" si="45"/>
        <v>9.1941271060496259</v>
      </c>
      <c r="BB106" s="22">
        <f t="shared" si="46"/>
        <v>27.89391703056722</v>
      </c>
    </row>
    <row r="107" spans="4:54" x14ac:dyDescent="0.3">
      <c r="D107">
        <v>22</v>
      </c>
      <c r="F107">
        <v>21</v>
      </c>
      <c r="G107" s="21"/>
      <c r="H107" s="21"/>
      <c r="I107" s="21"/>
      <c r="J107" s="21"/>
      <c r="K107" s="21"/>
      <c r="L107" s="22"/>
      <c r="M107" s="21"/>
      <c r="N107" s="23"/>
      <c r="O107" s="23"/>
      <c r="P107" s="24"/>
      <c r="Q107" s="24"/>
      <c r="R107" s="24"/>
      <c r="S107" s="25"/>
      <c r="T107" s="25"/>
      <c r="U107" s="26"/>
      <c r="V107" s="26"/>
      <c r="W107" s="27"/>
      <c r="X107" s="27"/>
      <c r="Y107" t="e">
        <f>NA()</f>
        <v>#N/A</v>
      </c>
      <c r="Z107" s="22">
        <f t="shared" si="39"/>
        <v>0</v>
      </c>
      <c r="AA107" s="22">
        <f t="shared" si="40"/>
        <v>0</v>
      </c>
      <c r="AE107">
        <v>22</v>
      </c>
      <c r="AG107">
        <f t="shared" si="41"/>
        <v>14.249748636990411</v>
      </c>
      <c r="AH107" s="21">
        <f t="shared" si="35"/>
        <v>9.4036831483452996</v>
      </c>
      <c r="AI107" s="21">
        <f t="shared" ref="AI107:AL126" si="68">AI35*AI$12</f>
        <v>22.694792576429975</v>
      </c>
      <c r="AJ107" s="21">
        <f t="shared" si="68"/>
        <v>12.184526324959879</v>
      </c>
      <c r="AK107" s="21">
        <f t="shared" si="68"/>
        <v>22.946333848689431</v>
      </c>
      <c r="AL107" s="21">
        <f t="shared" si="68"/>
        <v>5.0828175588581068</v>
      </c>
      <c r="AM107" s="22">
        <f t="shared" si="43"/>
        <v>9.9838195481303416</v>
      </c>
      <c r="AN107" s="21">
        <f t="shared" ref="AN107:AS107" si="69">AN35*AN$12</f>
        <v>5.5154563309476181</v>
      </c>
      <c r="AO107" s="23">
        <f t="shared" si="69"/>
        <v>4.3890456078590665</v>
      </c>
      <c r="AP107" s="23">
        <f t="shared" si="69"/>
        <v>0.87780912157181334</v>
      </c>
      <c r="AQ107" s="24">
        <f t="shared" si="69"/>
        <v>23.405247459719128</v>
      </c>
      <c r="AR107" s="24">
        <f t="shared" si="69"/>
        <v>11.623296198697872</v>
      </c>
      <c r="AS107" s="24">
        <f t="shared" si="69"/>
        <v>23.070491195865504</v>
      </c>
      <c r="AT107" s="25">
        <f t="shared" si="66"/>
        <v>4.5199197910171751</v>
      </c>
      <c r="AU107" s="25">
        <f t="shared" si="66"/>
        <v>5.1327616289402789</v>
      </c>
      <c r="AV107" s="26">
        <f t="shared" si="67"/>
        <v>13.740699236270338</v>
      </c>
      <c r="AW107" s="26">
        <f t="shared" si="67"/>
        <v>11.997183180592319</v>
      </c>
      <c r="AX107" s="27" t="e">
        <f t="shared" si="67"/>
        <v>#NUM!</v>
      </c>
      <c r="AY107" s="27" t="e">
        <f t="shared" si="67"/>
        <v>#NUM!</v>
      </c>
      <c r="AZ107" t="e">
        <f>NA()</f>
        <v>#N/A</v>
      </c>
      <c r="BA107" s="22">
        <f t="shared" si="45"/>
        <v>9.9838195481303416</v>
      </c>
      <c r="BB107" s="22">
        <f t="shared" si="46"/>
        <v>28.886809378562386</v>
      </c>
    </row>
    <row r="108" spans="4:54" x14ac:dyDescent="0.3">
      <c r="D108">
        <v>23</v>
      </c>
      <c r="F108">
        <v>22</v>
      </c>
      <c r="G108" s="21"/>
      <c r="H108" s="21"/>
      <c r="I108" s="21"/>
      <c r="J108" s="21"/>
      <c r="K108" s="21"/>
      <c r="L108" s="22"/>
      <c r="M108" s="21"/>
      <c r="N108" s="23"/>
      <c r="O108" s="23"/>
      <c r="P108" s="24"/>
      <c r="Q108" s="24"/>
      <c r="R108" s="24"/>
      <c r="S108" s="25"/>
      <c r="T108" s="25"/>
      <c r="U108" s="26"/>
      <c r="V108" s="26"/>
      <c r="W108" s="27"/>
      <c r="X108" s="27"/>
      <c r="Y108" t="e">
        <f>NA()</f>
        <v>#N/A</v>
      </c>
      <c r="Z108" s="22">
        <f t="shared" si="39"/>
        <v>0</v>
      </c>
      <c r="AA108" s="22">
        <f t="shared" si="40"/>
        <v>0</v>
      </c>
      <c r="AE108">
        <v>23</v>
      </c>
      <c r="AG108">
        <f t="shared" si="41"/>
        <v>14.986192348155662</v>
      </c>
      <c r="AH108" s="21">
        <f t="shared" si="35"/>
        <v>10.773303977533738</v>
      </c>
      <c r="AI108" s="21">
        <f t="shared" si="68"/>
        <v>24.12411149117295</v>
      </c>
      <c r="AJ108" s="21">
        <f t="shared" si="68"/>
        <v>13.565887034520195</v>
      </c>
      <c r="AK108" s="21">
        <f t="shared" si="68"/>
        <v>24.378742614209628</v>
      </c>
      <c r="AL108" s="21">
        <f t="shared" si="68"/>
        <v>5.7082010122661613</v>
      </c>
      <c r="AM108" s="22">
        <f t="shared" si="43"/>
        <v>10.811458348307974</v>
      </c>
      <c r="AN108" s="21">
        <f t="shared" ref="AN108:AS108" si="70">AN36*AN$12</f>
        <v>5.9747151593811569</v>
      </c>
      <c r="AO108" s="23">
        <f t="shared" si="70"/>
        <v>4.6965984148753037</v>
      </c>
      <c r="AP108" s="23">
        <f t="shared" si="70"/>
        <v>0.93931968297506085</v>
      </c>
      <c r="AQ108" s="24">
        <f t="shared" si="70"/>
        <v>24.662298796224622</v>
      </c>
      <c r="AR108" s="24">
        <f t="shared" si="70"/>
        <v>12.356256753172859</v>
      </c>
      <c r="AS108" s="24">
        <f t="shared" si="70"/>
        <v>25.062747404463273</v>
      </c>
      <c r="AT108" s="25">
        <f t="shared" si="66"/>
        <v>4.7791479495427547</v>
      </c>
      <c r="AU108" s="25">
        <f t="shared" si="66"/>
        <v>5.4808366804786255</v>
      </c>
      <c r="AV108" s="26">
        <f t="shared" si="67"/>
        <v>14.621546980594159</v>
      </c>
      <c r="AW108" s="26">
        <f t="shared" si="67"/>
        <v>12.755857836525013</v>
      </c>
      <c r="AX108" s="27" t="e">
        <f t="shared" si="67"/>
        <v>#NUM!</v>
      </c>
      <c r="AY108" s="27" t="e">
        <f t="shared" si="67"/>
        <v>#NUM!</v>
      </c>
      <c r="AZ108" t="e">
        <f>NA()</f>
        <v>#N/A</v>
      </c>
      <c r="BA108" s="22">
        <f t="shared" si="45"/>
        <v>10.811458348307974</v>
      </c>
      <c r="BB108" s="22">
        <f t="shared" si="46"/>
        <v>29.894398417343787</v>
      </c>
    </row>
    <row r="109" spans="4:54" x14ac:dyDescent="0.3">
      <c r="D109">
        <v>24</v>
      </c>
      <c r="F109">
        <v>23</v>
      </c>
      <c r="G109" s="21"/>
      <c r="H109" s="21"/>
      <c r="I109" s="21"/>
      <c r="J109" s="21"/>
      <c r="K109" s="21"/>
      <c r="L109" s="22"/>
      <c r="M109" s="21"/>
      <c r="N109" s="23"/>
      <c r="O109" s="23"/>
      <c r="P109" s="24"/>
      <c r="Q109" s="24"/>
      <c r="R109" s="24"/>
      <c r="S109" s="25"/>
      <c r="T109" s="25"/>
      <c r="U109" s="26"/>
      <c r="V109" s="26"/>
      <c r="W109" s="27"/>
      <c r="X109" s="27"/>
      <c r="Y109" t="e">
        <f>NA()</f>
        <v>#N/A</v>
      </c>
      <c r="Z109" s="22">
        <f t="shared" si="39"/>
        <v>0</v>
      </c>
      <c r="AA109" s="22">
        <f t="shared" si="40"/>
        <v>0</v>
      </c>
      <c r="AE109">
        <v>24</v>
      </c>
      <c r="AG109">
        <f t="shared" si="41"/>
        <v>15.760696333472486</v>
      </c>
      <c r="AH109" s="21">
        <f t="shared" si="35"/>
        <v>12.29547249237585</v>
      </c>
      <c r="AI109" s="21">
        <f t="shared" si="68"/>
        <v>25.625705257525212</v>
      </c>
      <c r="AJ109" s="21">
        <f t="shared" si="68"/>
        <v>15.073970046223749</v>
      </c>
      <c r="AK109" s="21">
        <f t="shared" si="68"/>
        <v>25.882064885042073</v>
      </c>
      <c r="AL109" s="21">
        <f t="shared" si="68"/>
        <v>6.3879927933942859</v>
      </c>
      <c r="AM109" s="22">
        <f t="shared" si="43"/>
        <v>11.674687622140109</v>
      </c>
      <c r="AN109" s="21">
        <f t="shared" ref="AN109:AS109" si="71">AN37*AN$12</f>
        <v>6.4658428099088461</v>
      </c>
      <c r="AO109" s="23">
        <f t="shared" si="71"/>
        <v>5.0225631894960445</v>
      </c>
      <c r="AP109" s="23">
        <f t="shared" si="71"/>
        <v>1.0045126378992089</v>
      </c>
      <c r="AQ109" s="24">
        <f t="shared" si="71"/>
        <v>25.970591130465799</v>
      </c>
      <c r="AR109" s="24">
        <f t="shared" si="71"/>
        <v>13.120850153456013</v>
      </c>
      <c r="AS109" s="24">
        <f t="shared" si="71"/>
        <v>27.143895598312671</v>
      </c>
      <c r="AT109" s="25">
        <f t="shared" si="66"/>
        <v>5.0497132606971435</v>
      </c>
      <c r="AU109" s="25">
        <f t="shared" si="66"/>
        <v>5.8470408220190819</v>
      </c>
      <c r="AV109" s="26">
        <f t="shared" si="67"/>
        <v>15.548355894548818</v>
      </c>
      <c r="AW109" s="26">
        <f t="shared" si="67"/>
        <v>13.553179643506102</v>
      </c>
      <c r="AX109" s="27" t="e">
        <f t="shared" si="67"/>
        <v>#NUM!</v>
      </c>
      <c r="AY109" s="27" t="e">
        <f t="shared" si="67"/>
        <v>#NUM!</v>
      </c>
      <c r="AZ109" t="e">
        <f>NA()</f>
        <v>#N/A</v>
      </c>
      <c r="BA109" s="22">
        <f t="shared" si="45"/>
        <v>11.674687622140109</v>
      </c>
      <c r="BB109" s="22">
        <f t="shared" si="46"/>
        <v>30.915017365473059</v>
      </c>
    </row>
    <row r="110" spans="4:54" x14ac:dyDescent="0.3">
      <c r="D110">
        <v>25</v>
      </c>
      <c r="F110">
        <v>24</v>
      </c>
      <c r="G110" s="21"/>
      <c r="H110" s="21"/>
      <c r="I110" s="21"/>
      <c r="J110" s="21"/>
      <c r="K110" s="21"/>
      <c r="L110" s="22"/>
      <c r="M110" s="21"/>
      <c r="N110" s="23"/>
      <c r="O110" s="23"/>
      <c r="P110" s="24"/>
      <c r="Q110" s="24"/>
      <c r="R110" s="24"/>
      <c r="S110" s="25"/>
      <c r="T110" s="25"/>
      <c r="U110" s="26"/>
      <c r="V110" s="26"/>
      <c r="W110" s="27"/>
      <c r="X110" s="27"/>
      <c r="Y110" t="e">
        <f>NA()</f>
        <v>#N/A</v>
      </c>
      <c r="Z110" s="22">
        <f t="shared" si="39"/>
        <v>0</v>
      </c>
      <c r="AA110" s="22">
        <f t="shared" si="40"/>
        <v>0</v>
      </c>
      <c r="AE110">
        <v>25</v>
      </c>
      <c r="AG110">
        <f t="shared" si="41"/>
        <v>16.575227592518086</v>
      </c>
      <c r="AH110" s="21">
        <f t="shared" si="35"/>
        <v>13.97783638744372</v>
      </c>
      <c r="AI110" s="21">
        <f t="shared" si="68"/>
        <v>27.201121456255766</v>
      </c>
      <c r="AJ110" s="21">
        <f t="shared" si="68"/>
        <v>16.715340610203491</v>
      </c>
      <c r="AK110" s="21">
        <f t="shared" si="68"/>
        <v>27.457624341646245</v>
      </c>
      <c r="AL110" s="21">
        <f t="shared" si="68"/>
        <v>7.1229498337648067</v>
      </c>
      <c r="AM110" s="22">
        <f t="shared" si="43"/>
        <v>12.570525268810712</v>
      </c>
      <c r="AN110" s="21">
        <f t="shared" ref="AN110:AS110" si="72">AN38*AN$12</f>
        <v>6.9901619487695292</v>
      </c>
      <c r="AO110" s="23">
        <f t="shared" si="72"/>
        <v>5.367646737169351</v>
      </c>
      <c r="AP110" s="23">
        <f t="shared" si="72"/>
        <v>1.0735293474338703</v>
      </c>
      <c r="AQ110" s="24">
        <f t="shared" si="72"/>
        <v>27.330434678927809</v>
      </c>
      <c r="AR110" s="24">
        <f t="shared" si="72"/>
        <v>13.916708138472403</v>
      </c>
      <c r="AS110" s="24">
        <f t="shared" si="72"/>
        <v>29.306283834020238</v>
      </c>
      <c r="AT110" s="25">
        <f t="shared" si="66"/>
        <v>5.3317125129654839</v>
      </c>
      <c r="AU110" s="25">
        <f t="shared" si="66"/>
        <v>6.2316409778325834</v>
      </c>
      <c r="AV110" s="26">
        <f t="shared" si="67"/>
        <v>16.522265321688494</v>
      </c>
      <c r="AW110" s="26">
        <f t="shared" si="67"/>
        <v>14.390007171829003</v>
      </c>
      <c r="AX110" s="27" t="e">
        <f t="shared" si="67"/>
        <v>#NUM!</v>
      </c>
      <c r="AY110" s="27" t="e">
        <f t="shared" si="67"/>
        <v>#NUM!</v>
      </c>
      <c r="AZ110" t="e">
        <f>NA()</f>
        <v>#N/A</v>
      </c>
      <c r="BA110" s="22">
        <f t="shared" si="45"/>
        <v>12.570525268810712</v>
      </c>
      <c r="BB110" s="22">
        <f t="shared" si="46"/>
        <v>31.94683121805673</v>
      </c>
    </row>
    <row r="111" spans="4:54" x14ac:dyDescent="0.3">
      <c r="D111">
        <v>26</v>
      </c>
      <c r="F111">
        <v>25</v>
      </c>
      <c r="G111" s="21"/>
      <c r="H111" s="21"/>
      <c r="I111" s="21"/>
      <c r="J111" s="21"/>
      <c r="K111" s="21"/>
      <c r="L111" s="22"/>
      <c r="M111" s="21"/>
      <c r="N111" s="23"/>
      <c r="O111" s="23"/>
      <c r="P111" s="24"/>
      <c r="Q111" s="24"/>
      <c r="R111" s="24"/>
      <c r="S111" s="25"/>
      <c r="T111" s="25"/>
      <c r="U111" s="26"/>
      <c r="V111" s="26"/>
      <c r="W111" s="27"/>
      <c r="X111" s="27"/>
      <c r="Y111" t="e">
        <f>NA()</f>
        <v>#N/A</v>
      </c>
      <c r="Z111" s="22">
        <f t="shared" si="39"/>
        <v>0</v>
      </c>
      <c r="AA111" s="22">
        <f t="shared" si="40"/>
        <v>0</v>
      </c>
      <c r="AE111">
        <v>26</v>
      </c>
      <c r="AG111">
        <f t="shared" si="41"/>
        <v>17.431854781713245</v>
      </c>
      <c r="AH111" s="21">
        <f t="shared" si="35"/>
        <v>15.826590477865325</v>
      </c>
      <c r="AI111" s="21">
        <f t="shared" si="68"/>
        <v>28.85167120807645</v>
      </c>
      <c r="AJ111" s="21">
        <f t="shared" si="68"/>
        <v>18.496042001176683</v>
      </c>
      <c r="AK111" s="21">
        <f t="shared" si="68"/>
        <v>29.106488784728317</v>
      </c>
      <c r="AL111" s="21">
        <f t="shared" si="68"/>
        <v>7.9131080100424658</v>
      </c>
      <c r="AM111" s="22">
        <f t="shared" si="43"/>
        <v>13.495358493862168</v>
      </c>
      <c r="AN111" s="21">
        <f t="shared" ref="AN111:AS111" si="73">AN39*AN$12</f>
        <v>7.5489223670968899</v>
      </c>
      <c r="AO111" s="23">
        <f t="shared" si="73"/>
        <v>5.7325313069296202</v>
      </c>
      <c r="AP111" s="23">
        <f t="shared" si="73"/>
        <v>1.146506261385924</v>
      </c>
      <c r="AQ111" s="24">
        <f t="shared" si="73"/>
        <v>28.741921221344036</v>
      </c>
      <c r="AR111" s="24">
        <f t="shared" si="73"/>
        <v>14.743221560586713</v>
      </c>
      <c r="AS111" s="24">
        <f t="shared" si="73"/>
        <v>31.54061302941393</v>
      </c>
      <c r="AT111" s="25">
        <f t="shared" si="66"/>
        <v>5.6251927463637026</v>
      </c>
      <c r="AU111" s="25">
        <f t="shared" si="66"/>
        <v>6.6348163482758196</v>
      </c>
      <c r="AV111" s="26">
        <f t="shared" si="67"/>
        <v>17.544281953236013</v>
      </c>
      <c r="AW111" s="26">
        <f t="shared" si="67"/>
        <v>15.267076094310333</v>
      </c>
      <c r="AX111" s="27" t="e">
        <f t="shared" si="67"/>
        <v>#NUM!</v>
      </c>
      <c r="AY111" s="27" t="e">
        <f t="shared" si="67"/>
        <v>#NUM!</v>
      </c>
      <c r="AZ111" t="e">
        <f>NA()</f>
        <v>#N/A</v>
      </c>
      <c r="BA111" s="22">
        <f t="shared" si="45"/>
        <v>13.495358493862168</v>
      </c>
      <c r="BB111" s="22">
        <f t="shared" si="46"/>
        <v>32.987836879500364</v>
      </c>
    </row>
    <row r="112" spans="4:54" x14ac:dyDescent="0.3">
      <c r="D112">
        <v>27</v>
      </c>
      <c r="F112">
        <v>26</v>
      </c>
      <c r="G112" s="21"/>
      <c r="H112" s="21"/>
      <c r="I112" s="21"/>
      <c r="J112" s="21"/>
      <c r="K112" s="21"/>
      <c r="L112" s="22"/>
      <c r="M112" s="21"/>
      <c r="N112" s="23"/>
      <c r="O112" s="23"/>
      <c r="P112" s="24"/>
      <c r="Q112" s="24"/>
      <c r="R112" s="24"/>
      <c r="S112" s="25"/>
      <c r="T112" s="25"/>
      <c r="U112" s="26"/>
      <c r="V112" s="26"/>
      <c r="W112" s="27"/>
      <c r="X112" s="27"/>
      <c r="Y112" t="e">
        <f>NA()</f>
        <v>#N/A</v>
      </c>
      <c r="Z112" s="22">
        <f t="shared" si="39"/>
        <v>0</v>
      </c>
      <c r="AA112" s="22">
        <f t="shared" si="40"/>
        <v>0</v>
      </c>
      <c r="AE112">
        <v>27</v>
      </c>
      <c r="AG112">
        <f t="shared" si="41"/>
        <v>18.332753468067196</v>
      </c>
      <c r="AH112" s="21">
        <f t="shared" si="35"/>
        <v>17.846099040278144</v>
      </c>
      <c r="AI112" s="21">
        <f t="shared" si="68"/>
        <v>30.578391203652519</v>
      </c>
      <c r="AJ112" s="21">
        <f t="shared" si="68"/>
        <v>20.421420964337806</v>
      </c>
      <c r="AK112" s="21">
        <f t="shared" si="68"/>
        <v>30.829432032128878</v>
      </c>
      <c r="AL112" s="21">
        <f t="shared" si="68"/>
        <v>8.7576861230967324</v>
      </c>
      <c r="AM112" s="22">
        <f t="shared" si="43"/>
        <v>14.444955689473447</v>
      </c>
      <c r="AN112" s="21">
        <f t="shared" ref="AN112:AS112" si="74">AN40*AN$12</f>
        <v>8.143278392207483</v>
      </c>
      <c r="AO112" s="23">
        <f t="shared" si="74"/>
        <v>6.1178661180924898</v>
      </c>
      <c r="AP112" s="23">
        <f t="shared" si="74"/>
        <v>1.2235732236184982</v>
      </c>
      <c r="AQ112" s="24">
        <f t="shared" si="74"/>
        <v>30.204900074668323</v>
      </c>
      <c r="AR112" s="24">
        <f t="shared" si="74"/>
        <v>15.599521061159233</v>
      </c>
      <c r="AS112" s="24">
        <f t="shared" si="74"/>
        <v>33.835976294403523</v>
      </c>
      <c r="AT112" s="25">
        <f t="shared" si="66"/>
        <v>5.9301454358653096</v>
      </c>
      <c r="AU112" s="25">
        <f t="shared" si="66"/>
        <v>7.0566464944496383</v>
      </c>
      <c r="AV112" s="26">
        <f t="shared" si="67"/>
        <v>18.615256277757585</v>
      </c>
      <c r="AW112" s="26">
        <f t="shared" si="67"/>
        <v>16.184979001922699</v>
      </c>
      <c r="AX112" s="27" t="e">
        <f t="shared" si="67"/>
        <v>#NUM!</v>
      </c>
      <c r="AY112" s="27" t="e">
        <f t="shared" si="67"/>
        <v>#NUM!</v>
      </c>
      <c r="AZ112" t="e">
        <f>NA()</f>
        <v>#N/A</v>
      </c>
      <c r="BA112" s="22">
        <f t="shared" si="45"/>
        <v>14.444955689473447</v>
      </c>
      <c r="BB112" s="22">
        <f t="shared" si="46"/>
        <v>34.035865314207868</v>
      </c>
    </row>
    <row r="113" spans="4:54" x14ac:dyDescent="0.3">
      <c r="D113">
        <v>28</v>
      </c>
      <c r="F113">
        <v>27</v>
      </c>
      <c r="G113" s="21"/>
      <c r="H113" s="21"/>
      <c r="I113" s="21"/>
      <c r="J113" s="21"/>
      <c r="K113" s="21"/>
      <c r="L113" s="22"/>
      <c r="M113" s="21"/>
      <c r="N113" s="23"/>
      <c r="O113" s="23"/>
      <c r="P113" s="24"/>
      <c r="Q113" s="24"/>
      <c r="R113" s="24"/>
      <c r="S113" s="25"/>
      <c r="T113" s="25"/>
      <c r="U113" s="26"/>
      <c r="V113" s="26"/>
      <c r="W113" s="27"/>
      <c r="X113" s="27"/>
      <c r="Y113" t="e">
        <f>NA()</f>
        <v>#N/A</v>
      </c>
      <c r="Z113" s="22">
        <f t="shared" si="39"/>
        <v>0</v>
      </c>
      <c r="AA113" s="22">
        <f t="shared" si="40"/>
        <v>0</v>
      </c>
      <c r="AE113">
        <v>28</v>
      </c>
      <c r="AG113">
        <f t="shared" si="41"/>
        <v>19.280211654442091</v>
      </c>
      <c r="AH113" s="21">
        <f t="shared" si="35"/>
        <v>20.038516381918853</v>
      </c>
      <c r="AI113" s="21">
        <f t="shared" si="68"/>
        <v>32.382003783905191</v>
      </c>
      <c r="AJ113" s="21">
        <f t="shared" si="68"/>
        <v>22.49593973090894</v>
      </c>
      <c r="AK113" s="21">
        <f t="shared" si="68"/>
        <v>32.626894164012967</v>
      </c>
      <c r="AL113" s="21">
        <f t="shared" si="68"/>
        <v>9.6550017463877129</v>
      </c>
      <c r="AM113" s="22">
        <f t="shared" si="43"/>
        <v>15.414496405679966</v>
      </c>
      <c r="AN113" s="21">
        <f t="shared" ref="AN113:AS113" si="75">AN41*AN$12</f>
        <v>8.7742642721870823</v>
      </c>
      <c r="AO113" s="23">
        <f t="shared" si="75"/>
        <v>6.5242580447303213</v>
      </c>
      <c r="AP113" s="23">
        <f t="shared" si="75"/>
        <v>1.3048516089460642</v>
      </c>
      <c r="AQ113" s="24">
        <f t="shared" si="75"/>
        <v>31.718953641356816</v>
      </c>
      <c r="AR113" s="24">
        <f t="shared" si="75"/>
        <v>16.484459229672609</v>
      </c>
      <c r="AS113" s="24">
        <f t="shared" si="75"/>
        <v>36.179948432637289</v>
      </c>
      <c r="AT113" s="25">
        <f t="shared" si="66"/>
        <v>6.2465005638298106</v>
      </c>
      <c r="AU113" s="25">
        <f t="shared" si="66"/>
        <v>7.4970991751089739</v>
      </c>
      <c r="AV113" s="26">
        <f t="shared" si="67"/>
        <v>19.735857619399859</v>
      </c>
      <c r="AW113" s="26">
        <f t="shared" si="67"/>
        <v>17.144144142555295</v>
      </c>
      <c r="AX113" s="27" t="e">
        <f t="shared" si="67"/>
        <v>#NUM!</v>
      </c>
      <c r="AY113" s="27" t="e">
        <f t="shared" si="67"/>
        <v>#NUM!</v>
      </c>
      <c r="AZ113" t="e">
        <f>NA()</f>
        <v>#N/A</v>
      </c>
      <c r="BA113" s="22">
        <f t="shared" si="45"/>
        <v>15.414496405679966</v>
      </c>
      <c r="BB113" s="22">
        <f t="shared" si="46"/>
        <v>35.088585962273733</v>
      </c>
    </row>
    <row r="114" spans="4:54" x14ac:dyDescent="0.3">
      <c r="D114">
        <v>29</v>
      </c>
      <c r="F114">
        <v>28</v>
      </c>
      <c r="G114" s="21"/>
      <c r="H114" s="21"/>
      <c r="I114" s="21"/>
      <c r="J114" s="21"/>
      <c r="K114" s="21"/>
      <c r="L114" s="22"/>
      <c r="M114" s="21"/>
      <c r="N114" s="23"/>
      <c r="O114" s="23"/>
      <c r="P114" s="24"/>
      <c r="Q114" s="24"/>
      <c r="R114" s="24"/>
      <c r="S114" s="25"/>
      <c r="T114" s="25"/>
      <c r="U114" s="26"/>
      <c r="V114" s="26"/>
      <c r="W114" s="27"/>
      <c r="X114" s="27"/>
      <c r="Y114" t="e">
        <f>NA()</f>
        <v>#N/A</v>
      </c>
      <c r="Z114" s="22">
        <f t="shared" si="39"/>
        <v>0</v>
      </c>
      <c r="AA114" s="22">
        <f t="shared" si="40"/>
        <v>0</v>
      </c>
      <c r="AE114">
        <v>29</v>
      </c>
      <c r="AG114">
        <f t="shared" si="41"/>
        <v>20.276635590369683</v>
      </c>
      <c r="AH114" s="21">
        <f t="shared" si="35"/>
        <v>22.403422075825166</v>
      </c>
      <c r="AI114" s="21">
        <f t="shared" si="68"/>
        <v>34.262875395402681</v>
      </c>
      <c r="AJ114" s="21">
        <f t="shared" si="68"/>
        <v>24.722977661428889</v>
      </c>
      <c r="AK114" s="21">
        <f t="shared" si="68"/>
        <v>34.498940497536829</v>
      </c>
      <c r="AL114" s="21">
        <f t="shared" si="68"/>
        <v>10.602404341035006</v>
      </c>
      <c r="AM114" s="22">
        <f t="shared" si="43"/>
        <v>16.39862060538076</v>
      </c>
      <c r="AN114" s="21">
        <f t="shared" ref="AN114:AS114" si="76">AN42*AN$12</f>
        <v>9.4427676642443625</v>
      </c>
      <c r="AO114" s="23">
        <f t="shared" si="76"/>
        <v>6.9522614604578035</v>
      </c>
      <c r="AP114" s="23">
        <f t="shared" si="76"/>
        <v>1.3904522920915607</v>
      </c>
      <c r="AQ114" s="24">
        <f t="shared" si="76"/>
        <v>33.28337283500904</v>
      </c>
      <c r="AR114" s="24">
        <f t="shared" si="76"/>
        <v>17.396594839148701</v>
      </c>
      <c r="AS114" s="24">
        <f t="shared" si="76"/>
        <v>38.55872841074325</v>
      </c>
      <c r="AT114" s="25">
        <f t="shared" si="66"/>
        <v>6.5741206588318093</v>
      </c>
      <c r="AU114" s="25">
        <f t="shared" si="66"/>
        <v>7.9560181241060501</v>
      </c>
      <c r="AV114" s="26">
        <f t="shared" si="67"/>
        <v>20.906547931405019</v>
      </c>
      <c r="AW114" s="26">
        <f t="shared" si="67"/>
        <v>18.144813248613154</v>
      </c>
      <c r="AX114" s="27" t="e">
        <f t="shared" si="67"/>
        <v>#NUM!</v>
      </c>
      <c r="AY114" s="27" t="e">
        <f t="shared" si="67"/>
        <v>#NUM!</v>
      </c>
      <c r="AZ114" t="e">
        <f>NA()</f>
        <v>#N/A</v>
      </c>
      <c r="BA114" s="22">
        <f t="shared" si="45"/>
        <v>16.39862060538076</v>
      </c>
      <c r="BB114" s="22">
        <f t="shared" si="46"/>
        <v>36.143513660075698</v>
      </c>
    </row>
    <row r="115" spans="4:54" x14ac:dyDescent="0.3">
      <c r="D115">
        <v>30</v>
      </c>
      <c r="F115">
        <v>29</v>
      </c>
      <c r="G115" s="21"/>
      <c r="H115" s="21"/>
      <c r="I115" s="21"/>
      <c r="J115" s="21"/>
      <c r="K115" s="21"/>
      <c r="L115" s="22"/>
      <c r="M115" s="21"/>
      <c r="N115" s="23"/>
      <c r="O115" s="23"/>
      <c r="P115" s="24"/>
      <c r="Q115" s="24"/>
      <c r="R115" s="24"/>
      <c r="S115" s="25"/>
      <c r="T115" s="25"/>
      <c r="U115" s="26"/>
      <c r="V115" s="26"/>
      <c r="W115" s="27"/>
      <c r="X115" s="27"/>
      <c r="Y115" t="e">
        <f>NA()</f>
        <v>#N/A</v>
      </c>
      <c r="Z115" s="22">
        <f t="shared" si="39"/>
        <v>0</v>
      </c>
      <c r="AA115" s="22">
        <f t="shared" si="40"/>
        <v>0</v>
      </c>
      <c r="AE115">
        <v>30</v>
      </c>
      <c r="AG115">
        <f t="shared" si="41"/>
        <v>21.324555883177815</v>
      </c>
      <c r="AH115" s="21">
        <f t="shared" si="35"/>
        <v>24.937489751069243</v>
      </c>
      <c r="AI115" s="21">
        <f t="shared" si="68"/>
        <v>36.220973839073821</v>
      </c>
      <c r="AJ115" s="21">
        <f t="shared" si="68"/>
        <v>27.10462659328185</v>
      </c>
      <c r="AK115" s="21">
        <f t="shared" si="68"/>
        <v>36.445219768869997</v>
      </c>
      <c r="AL115" s="21">
        <f t="shared" si="68"/>
        <v>11.5962310926936</v>
      </c>
      <c r="AM115" s="22">
        <f t="shared" si="43"/>
        <v>17.391497702821979</v>
      </c>
      <c r="AN115" s="21">
        <f t="shared" ref="AN115:AS115" si="77">AN43*AN$12</f>
        <v>10.149501430578022</v>
      </c>
      <c r="AO115" s="23">
        <f t="shared" si="77"/>
        <v>7.4023672631131596</v>
      </c>
      <c r="AP115" s="23">
        <f t="shared" si="77"/>
        <v>1.480473452622632</v>
      </c>
      <c r="AQ115" s="24">
        <f t="shared" si="77"/>
        <v>34.897132743046868</v>
      </c>
      <c r="AR115" s="24">
        <f t="shared" si="77"/>
        <v>18.334179800439617</v>
      </c>
      <c r="AS115" s="24">
        <f t="shared" si="77"/>
        <v>40.957335495221919</v>
      </c>
      <c r="AT115" s="25">
        <f t="shared" si="66"/>
        <v>6.9127948929557528</v>
      </c>
      <c r="AU115" s="25">
        <f t="shared" si="66"/>
        <v>8.4331109928447034</v>
      </c>
      <c r="AV115" s="26">
        <f t="shared" si="67"/>
        <v>22.127554567688126</v>
      </c>
      <c r="AW115" s="26">
        <f t="shared" si="67"/>
        <v>19.187018668459078</v>
      </c>
      <c r="AX115" s="27" t="e">
        <f t="shared" si="67"/>
        <v>#NUM!</v>
      </c>
      <c r="AY115" s="27" t="e">
        <f t="shared" si="67"/>
        <v>#NUM!</v>
      </c>
      <c r="AZ115" t="e">
        <f>NA()</f>
        <v>#N/A</v>
      </c>
      <c r="BA115" s="22">
        <f t="shared" si="45"/>
        <v>17.391497702821979</v>
      </c>
      <c r="BB115" s="22">
        <f t="shared" si="46"/>
        <v>37.198018290692637</v>
      </c>
    </row>
    <row r="116" spans="4:54" x14ac:dyDescent="0.3">
      <c r="D116">
        <v>31</v>
      </c>
      <c r="F116">
        <v>30</v>
      </c>
      <c r="G116" s="21"/>
      <c r="H116" s="21"/>
      <c r="I116" s="21"/>
      <c r="J116" s="21"/>
      <c r="K116" s="21"/>
      <c r="L116" s="22"/>
      <c r="M116" s="21"/>
      <c r="N116" s="23"/>
      <c r="O116" s="23"/>
      <c r="P116" s="24"/>
      <c r="Q116" s="24"/>
      <c r="R116" s="24"/>
      <c r="S116" s="25"/>
      <c r="T116" s="25"/>
      <c r="U116" s="26"/>
      <c r="V116" s="26"/>
      <c r="W116" s="27"/>
      <c r="X116" s="27"/>
      <c r="Y116" t="e">
        <f>NA()</f>
        <v>#N/A</v>
      </c>
      <c r="Z116" s="22">
        <f t="shared" si="39"/>
        <v>0</v>
      </c>
      <c r="AA116" s="22">
        <f t="shared" si="40"/>
        <v>0</v>
      </c>
      <c r="AE116">
        <v>31</v>
      </c>
      <c r="AG116">
        <f t="shared" si="41"/>
        <v>22.426633924947051</v>
      </c>
      <c r="AH116" s="21">
        <f t="shared" si="35"/>
        <v>27.634210036561832</v>
      </c>
      <c r="AI116" s="21">
        <f t="shared" si="68"/>
        <v>38.255824832697115</v>
      </c>
      <c r="AJ116" s="21">
        <f t="shared" si="68"/>
        <v>29.641485032292135</v>
      </c>
      <c r="AK116" s="21">
        <f t="shared" si="68"/>
        <v>38.464922104832688</v>
      </c>
      <c r="AL116" s="21">
        <f t="shared" si="68"/>
        <v>12.631790651504042</v>
      </c>
      <c r="AM116" s="22">
        <f t="shared" si="43"/>
        <v>18.386915056770484</v>
      </c>
      <c r="AN116" s="21">
        <f t="shared" ref="AN116:AS116" si="78">AN44*AN$12</f>
        <v>10.894974028617812</v>
      </c>
      <c r="AO116" s="23">
        <f t="shared" si="78"/>
        <v>7.8749911191512796</v>
      </c>
      <c r="AP116" s="23">
        <f t="shared" si="78"/>
        <v>1.574998223830256</v>
      </c>
      <c r="AQ116" s="24">
        <f t="shared" si="78"/>
        <v>36.558868945476227</v>
      </c>
      <c r="AR116" s="24">
        <f t="shared" si="78"/>
        <v>19.295149516816448</v>
      </c>
      <c r="AS116" s="24">
        <f t="shared" si="78"/>
        <v>43.359857302912047</v>
      </c>
      <c r="AT116" s="25">
        <f t="shared" si="66"/>
        <v>7.2622333449199168</v>
      </c>
      <c r="AU116" s="25">
        <f t="shared" si="66"/>
        <v>8.9279377192543539</v>
      </c>
      <c r="AV116" s="26">
        <f t="shared" si="67"/>
        <v>23.398842317379685</v>
      </c>
      <c r="AW116" s="26">
        <f t="shared" si="67"/>
        <v>20.270560070784505</v>
      </c>
      <c r="AX116" s="27" t="e">
        <f t="shared" si="67"/>
        <v>#NUM!</v>
      </c>
      <c r="AY116" s="27" t="e">
        <f t="shared" si="67"/>
        <v>#NUM!</v>
      </c>
      <c r="AZ116" t="e">
        <f>NA()</f>
        <v>#N/A</v>
      </c>
      <c r="BA116" s="22">
        <f t="shared" si="45"/>
        <v>18.386915056770484</v>
      </c>
      <c r="BB116" s="22">
        <f t="shared" si="46"/>
        <v>38.249337365013531</v>
      </c>
    </row>
    <row r="117" spans="4:54" x14ac:dyDescent="0.3">
      <c r="D117">
        <v>32</v>
      </c>
      <c r="F117">
        <v>31</v>
      </c>
      <c r="G117" s="21"/>
      <c r="H117" s="21"/>
      <c r="I117" s="21"/>
      <c r="J117" s="21"/>
      <c r="K117" s="21"/>
      <c r="L117" s="22"/>
      <c r="M117" s="21"/>
      <c r="N117" s="23"/>
      <c r="O117" s="23"/>
      <c r="P117" s="24"/>
      <c r="Q117" s="24"/>
      <c r="R117" s="24"/>
      <c r="S117" s="25"/>
      <c r="T117" s="25"/>
      <c r="U117" s="26"/>
      <c r="V117" s="26"/>
      <c r="W117" s="27"/>
      <c r="X117" s="27"/>
      <c r="Y117" t="e">
        <f>NA()</f>
        <v>#N/A</v>
      </c>
      <c r="Z117" s="22">
        <f t="shared" si="39"/>
        <v>0</v>
      </c>
      <c r="AA117" s="22">
        <f t="shared" si="40"/>
        <v>0</v>
      </c>
      <c r="AE117">
        <v>32</v>
      </c>
      <c r="AG117">
        <f t="shared" si="41"/>
        <v>23.585668651620018</v>
      </c>
      <c r="AH117" s="21">
        <f t="shared" si="35"/>
        <v>30.483688921552314</v>
      </c>
      <c r="AI117" s="21">
        <f t="shared" si="68"/>
        <v>40.366468517462479</v>
      </c>
      <c r="AJ117" s="21">
        <f t="shared" si="68"/>
        <v>32.332457389337925</v>
      </c>
      <c r="AK117" s="21">
        <f t="shared" si="68"/>
        <v>40.556737476928944</v>
      </c>
      <c r="AL117" s="21">
        <f t="shared" si="68"/>
        <v>13.703379303509548</v>
      </c>
      <c r="AM117" s="22">
        <f t="shared" si="43"/>
        <v>19.378384656738067</v>
      </c>
      <c r="AN117" s="21">
        <f t="shared" ref="AN117:AS117" si="79">AN45*AN$12</f>
        <v>11.679458874728885</v>
      </c>
      <c r="AO117" s="23">
        <f t="shared" si="79"/>
        <v>8.3704609911220995</v>
      </c>
      <c r="AP117" s="23">
        <f t="shared" si="79"/>
        <v>1.6740921982244199</v>
      </c>
      <c r="AQ117" s="24">
        <f t="shared" si="79"/>
        <v>38.266854969724129</v>
      </c>
      <c r="AR117" s="24">
        <f t="shared" si="79"/>
        <v>20.277117344087475</v>
      </c>
      <c r="AS117" s="24">
        <f t="shared" si="79"/>
        <v>45.749745307764641</v>
      </c>
      <c r="AT117" s="25">
        <f t="shared" si="66"/>
        <v>7.6220615519872235</v>
      </c>
      <c r="AU117" s="25">
        <f t="shared" si="66"/>
        <v>9.4398996215043329</v>
      </c>
      <c r="AV117" s="26">
        <f t="shared" si="67"/>
        <v>24.720085054890966</v>
      </c>
      <c r="AW117" s="26">
        <f t="shared" si="67"/>
        <v>21.394981049292184</v>
      </c>
      <c r="AX117" s="27" t="e">
        <f t="shared" si="67"/>
        <v>#NUM!</v>
      </c>
      <c r="AY117" s="27" t="e">
        <f t="shared" si="67"/>
        <v>#NUM!</v>
      </c>
      <c r="AZ117" t="e">
        <f>NA()</f>
        <v>#N/A</v>
      </c>
      <c r="BA117" s="22">
        <f t="shared" si="45"/>
        <v>19.378384656738067</v>
      </c>
      <c r="BB117" s="22">
        <f t="shared" si="46"/>
        <v>39.294591700091722</v>
      </c>
    </row>
    <row r="118" spans="4:54" x14ac:dyDescent="0.3">
      <c r="D118">
        <v>33</v>
      </c>
      <c r="F118">
        <v>32</v>
      </c>
      <c r="G118" s="21"/>
      <c r="H118" s="21"/>
      <c r="I118" s="21"/>
      <c r="J118" s="21"/>
      <c r="K118" s="21"/>
      <c r="L118" s="22"/>
      <c r="M118" s="21"/>
      <c r="N118" s="23"/>
      <c r="O118" s="23"/>
      <c r="P118" s="24"/>
      <c r="Q118" s="24"/>
      <c r="R118" s="24"/>
      <c r="S118" s="25"/>
      <c r="T118" s="25"/>
      <c r="U118" s="26"/>
      <c r="V118" s="26"/>
      <c r="W118" s="27"/>
      <c r="X118" s="27"/>
      <c r="Y118" t="e">
        <f>NA()</f>
        <v>#N/A</v>
      </c>
      <c r="Z118" s="22">
        <f t="shared" si="39"/>
        <v>0</v>
      </c>
      <c r="AA118" s="22">
        <f t="shared" si="40"/>
        <v>0</v>
      </c>
      <c r="AE118">
        <v>33</v>
      </c>
      <c r="AG118">
        <f t="shared" si="41"/>
        <v>24.804603651429346</v>
      </c>
      <c r="AH118" s="21">
        <f t="shared" ref="AH118:AH149" si="80">AH46*AH$12</f>
        <v>33.472542135767675</v>
      </c>
      <c r="AI118" s="21">
        <f t="shared" si="68"/>
        <v>42.551416654628909</v>
      </c>
      <c r="AJ118" s="21">
        <f t="shared" si="68"/>
        <v>35.174565462269044</v>
      </c>
      <c r="AK118" s="21">
        <f t="shared" si="68"/>
        <v>42.718815445044442</v>
      </c>
      <c r="AL118" s="21">
        <f t="shared" si="68"/>
        <v>14.804333045513221</v>
      </c>
      <c r="AM118" s="22">
        <f t="shared" si="43"/>
        <v>20.359265748104963</v>
      </c>
      <c r="AN118" s="21">
        <f t="shared" ref="AN118:AS118" si="81">AN46*AN$12</f>
        <v>12.502963160487042</v>
      </c>
      <c r="AO118" s="23">
        <f t="shared" si="81"/>
        <v>8.8890040385624101</v>
      </c>
      <c r="AP118" s="23">
        <f t="shared" si="81"/>
        <v>1.7778008077124821</v>
      </c>
      <c r="AQ118" s="24">
        <f t="shared" si="81"/>
        <v>40.01898142256524</v>
      </c>
      <c r="AR118" s="24">
        <f t="shared" si="81"/>
        <v>21.277373865967505</v>
      </c>
      <c r="AS118" s="24">
        <f t="shared" si="81"/>
        <v>48.110150542242458</v>
      </c>
      <c r="AT118" s="25">
        <f t="shared" si="66"/>
        <v>7.9918154890745221</v>
      </c>
      <c r="AU118" s="25">
        <f t="shared" si="66"/>
        <v>9.9682295496368738</v>
      </c>
      <c r="AV118" s="26">
        <f t="shared" si="67"/>
        <v>26.090637430398143</v>
      </c>
      <c r="AW118" s="26">
        <f t="shared" si="67"/>
        <v>22.55954601670464</v>
      </c>
      <c r="AX118" s="27" t="e">
        <f t="shared" si="67"/>
        <v>#NUM!</v>
      </c>
      <c r="AY118" s="27" t="e">
        <f t="shared" si="67"/>
        <v>#NUM!</v>
      </c>
      <c r="AZ118" t="e">
        <f>NA()</f>
        <v>#N/A</v>
      </c>
      <c r="BA118" s="22">
        <f t="shared" si="45"/>
        <v>20.359265748104963</v>
      </c>
      <c r="BB118" s="22">
        <f t="shared" si="46"/>
        <v>40.330804315685278</v>
      </c>
    </row>
    <row r="119" spans="4:54" x14ac:dyDescent="0.3">
      <c r="D119">
        <v>34</v>
      </c>
      <c r="F119">
        <v>33</v>
      </c>
      <c r="G119" s="21"/>
      <c r="H119" s="21"/>
      <c r="I119" s="21"/>
      <c r="J119" s="21"/>
      <c r="K119" s="21"/>
      <c r="L119" s="22"/>
      <c r="M119" s="21"/>
      <c r="N119" s="23"/>
      <c r="O119" s="23"/>
      <c r="P119" s="24"/>
      <c r="Q119" s="24"/>
      <c r="R119" s="24"/>
      <c r="S119" s="25"/>
      <c r="T119" s="25"/>
      <c r="U119" s="26"/>
      <c r="V119" s="26"/>
      <c r="W119" s="27"/>
      <c r="X119" s="27"/>
      <c r="Y119" t="e">
        <f>NA()</f>
        <v>#N/A</v>
      </c>
      <c r="Z119" s="22">
        <f t="shared" si="39"/>
        <v>0</v>
      </c>
      <c r="AA119" s="22">
        <f t="shared" si="40"/>
        <v>0</v>
      </c>
      <c r="AE119">
        <v>34</v>
      </c>
      <c r="AG119">
        <f t="shared" si="41"/>
        <v>26.08653464069765</v>
      </c>
      <c r="AH119" s="21">
        <f t="shared" si="80"/>
        <v>36.583903947572075</v>
      </c>
      <c r="AI119" s="21">
        <f t="shared" si="68"/>
        <v>44.808611377491438</v>
      </c>
      <c r="AJ119" s="21">
        <f t="shared" si="68"/>
        <v>38.162780229757246</v>
      </c>
      <c r="AK119" s="21">
        <f t="shared" si="68"/>
        <v>44.948727113653185</v>
      </c>
      <c r="AL119" s="21">
        <f t="shared" si="68"/>
        <v>15.927117581548599</v>
      </c>
      <c r="AM119" s="22">
        <f t="shared" si="43"/>
        <v>21.322900147084127</v>
      </c>
      <c r="AN119" s="21">
        <f t="shared" ref="AN119:AS119" si="82">AN47*AN$12</f>
        <v>13.365196706407128</v>
      </c>
      <c r="AO119" s="23">
        <f t="shared" si="82"/>
        <v>9.4307330129482398</v>
      </c>
      <c r="AP119" s="23">
        <f t="shared" si="82"/>
        <v>1.8861466025896481</v>
      </c>
      <c r="AQ119" s="24">
        <f t="shared" si="82"/>
        <v>41.812737399355591</v>
      </c>
      <c r="AR119" s="24">
        <f t="shared" si="82"/>
        <v>22.292891675193761</v>
      </c>
      <c r="AS119" s="24">
        <f t="shared" si="82"/>
        <v>50.424289507031254</v>
      </c>
      <c r="AT119" s="25">
        <f t="shared" si="66"/>
        <v>8.3709371282458314</v>
      </c>
      <c r="AU119" s="25">
        <f t="shared" si="66"/>
        <v>10.51198345977644</v>
      </c>
      <c r="AV119" s="26">
        <f t="shared" si="67"/>
        <v>27.509507101414616</v>
      </c>
      <c r="AW119" s="26">
        <f t="shared" si="67"/>
        <v>23.763217840841509</v>
      </c>
      <c r="AX119" s="27" t="e">
        <f t="shared" si="67"/>
        <v>#NUM!</v>
      </c>
      <c r="AY119" s="27" t="e">
        <f t="shared" si="67"/>
        <v>#NUM!</v>
      </c>
      <c r="AZ119" t="e">
        <f>NA()</f>
        <v>#N/A</v>
      </c>
      <c r="BA119" s="22">
        <f t="shared" si="45"/>
        <v>21.322900147084127</v>
      </c>
      <c r="BB119" s="22">
        <f t="shared" si="46"/>
        <v>41.354922612177866</v>
      </c>
    </row>
    <row r="120" spans="4:54" x14ac:dyDescent="0.3">
      <c r="D120">
        <v>35</v>
      </c>
      <c r="F120">
        <v>34</v>
      </c>
      <c r="G120" s="21"/>
      <c r="H120" s="21"/>
      <c r="I120" s="21"/>
      <c r="J120" s="21"/>
      <c r="K120" s="21"/>
      <c r="L120" s="22"/>
      <c r="M120" s="21"/>
      <c r="N120" s="23"/>
      <c r="O120" s="23"/>
      <c r="P120" s="24"/>
      <c r="Q120" s="24"/>
      <c r="R120" s="24"/>
      <c r="S120" s="25"/>
      <c r="T120" s="25"/>
      <c r="U120" s="26"/>
      <c r="V120" s="26"/>
      <c r="W120" s="27"/>
      <c r="X120" s="27"/>
      <c r="Y120" t="e">
        <f>NA()</f>
        <v>#N/A</v>
      </c>
      <c r="Z120" s="22">
        <f t="shared" si="39"/>
        <v>0</v>
      </c>
      <c r="AA120" s="22">
        <f t="shared" si="40"/>
        <v>0</v>
      </c>
      <c r="AE120">
        <v>35</v>
      </c>
      <c r="AG120">
        <f t="shared" si="41"/>
        <v>27.434717325995447</v>
      </c>
      <c r="AH120" s="21">
        <f t="shared" si="80"/>
        <v>39.797564908566265</v>
      </c>
      <c r="AI120" s="21">
        <f t="shared" si="68"/>
        <v>47.135386483347382</v>
      </c>
      <c r="AJ120" s="21">
        <f t="shared" si="68"/>
        <v>41.28988267640915</v>
      </c>
      <c r="AK120" s="21">
        <f t="shared" si="68"/>
        <v>47.24343033636903</v>
      </c>
      <c r="AL120" s="21">
        <f t="shared" si="68"/>
        <v>17.063456450988738</v>
      </c>
      <c r="AM120" s="22">
        <f t="shared" si="43"/>
        <v>22.26275606615323</v>
      </c>
      <c r="AN120" s="21">
        <f t="shared" ref="AN120:AS120" si="83">AN48*AN$12</f>
        <v>14.265541546698151</v>
      </c>
      <c r="AO120" s="23">
        <f t="shared" si="83"/>
        <v>9.9956323008684898</v>
      </c>
      <c r="AP120" s="23">
        <f t="shared" si="83"/>
        <v>1.999126460173698</v>
      </c>
      <c r="AQ120" s="24">
        <f t="shared" si="83"/>
        <v>43.645194825868003</v>
      </c>
      <c r="AR120" s="24">
        <f t="shared" si="83"/>
        <v>23.320336303643465</v>
      </c>
      <c r="AS120" s="24">
        <f t="shared" si="83"/>
        <v>52.675827861053833</v>
      </c>
      <c r="AT120" s="25">
        <f t="shared" si="66"/>
        <v>8.7587707452176495</v>
      </c>
      <c r="AU120" s="25">
        <f t="shared" si="66"/>
        <v>11.070033801568348</v>
      </c>
      <c r="AV120" s="26">
        <f t="shared" si="67"/>
        <v>28.975328083626618</v>
      </c>
      <c r="AW120" s="26">
        <f t="shared" si="67"/>
        <v>25.004636739701617</v>
      </c>
      <c r="AX120" s="27" t="e">
        <f t="shared" si="67"/>
        <v>#NUM!</v>
      </c>
      <c r="AY120" s="27" t="e">
        <f t="shared" si="67"/>
        <v>#NUM!</v>
      </c>
      <c r="AZ120" t="e">
        <f>NA()</f>
        <v>#N/A</v>
      </c>
      <c r="BA120" s="22">
        <f t="shared" si="45"/>
        <v>22.26275606615323</v>
      </c>
      <c r="BB120" s="22">
        <f t="shared" si="46"/>
        <v>42.363843822678163</v>
      </c>
    </row>
    <row r="121" spans="4:54" x14ac:dyDescent="0.3">
      <c r="D121">
        <v>36</v>
      </c>
      <c r="F121">
        <v>35</v>
      </c>
      <c r="G121" s="21"/>
      <c r="H121" s="21"/>
      <c r="I121" s="21"/>
      <c r="J121" s="21"/>
      <c r="K121" s="21"/>
      <c r="L121" s="22"/>
      <c r="M121" s="21"/>
      <c r="N121" s="23"/>
      <c r="O121" s="23"/>
      <c r="P121" s="24"/>
      <c r="Q121" s="24"/>
      <c r="R121" s="24"/>
      <c r="S121" s="25"/>
      <c r="T121" s="25"/>
      <c r="U121" s="26"/>
      <c r="V121" s="26"/>
      <c r="W121" s="27"/>
      <c r="X121" s="27"/>
      <c r="Y121" t="e">
        <f>NA()</f>
        <v>#N/A</v>
      </c>
      <c r="Z121" s="22">
        <f t="shared" si="39"/>
        <v>0</v>
      </c>
      <c r="AA121" s="22">
        <f t="shared" si="40"/>
        <v>0</v>
      </c>
      <c r="AE121">
        <v>36</v>
      </c>
      <c r="AG121">
        <f t="shared" si="41"/>
        <v>28.852575672624699</v>
      </c>
      <c r="AH121" s="21">
        <f t="shared" si="80"/>
        <v>43.090247551379086</v>
      </c>
      <c r="AI121" s="21">
        <f t="shared" si="68"/>
        <v>49.528432365913623</v>
      </c>
      <c r="AJ121" s="21">
        <f t="shared" si="68"/>
        <v>44.546362721104209</v>
      </c>
      <c r="AK121" s="21">
        <f t="shared" si="68"/>
        <v>49.59923931059533</v>
      </c>
      <c r="AL121" s="21">
        <f t="shared" si="68"/>
        <v>18.20449541901981</v>
      </c>
      <c r="AM121" s="22">
        <f t="shared" si="43"/>
        <v>23.172575477182981</v>
      </c>
      <c r="AN121" s="21">
        <f t="shared" ref="AN121:AS121" si="84">AN49*AN$12</f>
        <v>15.203023046505278</v>
      </c>
      <c r="AO121" s="23">
        <f t="shared" si="84"/>
        <v>10.583543805954958</v>
      </c>
      <c r="AP121" s="23">
        <f t="shared" si="84"/>
        <v>2.116708761190992</v>
      </c>
      <c r="AQ121" s="24">
        <f t="shared" si="84"/>
        <v>45.51299643624877</v>
      </c>
      <c r="AR121" s="24">
        <f t="shared" si="84"/>
        <v>24.356083865545301</v>
      </c>
      <c r="AS121" s="24">
        <f t="shared" si="84"/>
        <v>54.849267514661271</v>
      </c>
      <c r="AT121" s="25">
        <f t="shared" si="66"/>
        <v>9.1545601508545627</v>
      </c>
      <c r="AU121" s="25">
        <f t="shared" si="66"/>
        <v>11.641065127757885</v>
      </c>
      <c r="AV121" s="26">
        <f t="shared" si="67"/>
        <v>30.486335876201089</v>
      </c>
      <c r="AW121" s="26">
        <f t="shared" si="67"/>
        <v>26.282101015070285</v>
      </c>
      <c r="AX121" s="27" t="e">
        <f t="shared" si="67"/>
        <v>#NUM!</v>
      </c>
      <c r="AY121" s="27" t="e">
        <f t="shared" si="67"/>
        <v>#NUM!</v>
      </c>
      <c r="AZ121" t="e">
        <f>NA()</f>
        <v>#N/A</v>
      </c>
      <c r="BA121" s="22">
        <f t="shared" si="45"/>
        <v>23.172575477182981</v>
      </c>
      <c r="BB121" s="22">
        <f t="shared" si="46"/>
        <v>43.354443648965038</v>
      </c>
    </row>
    <row r="122" spans="4:54" x14ac:dyDescent="0.3">
      <c r="D122">
        <v>37</v>
      </c>
      <c r="F122">
        <v>36</v>
      </c>
      <c r="G122" s="21"/>
      <c r="H122" s="21"/>
      <c r="I122" s="21"/>
      <c r="J122" s="21"/>
      <c r="K122" s="21"/>
      <c r="L122" s="22"/>
      <c r="M122" s="21"/>
      <c r="N122" s="23"/>
      <c r="O122" s="23"/>
      <c r="P122" s="24"/>
      <c r="Q122" s="24"/>
      <c r="R122" s="24"/>
      <c r="S122" s="25"/>
      <c r="T122" s="25"/>
      <c r="U122" s="26"/>
      <c r="V122" s="26"/>
      <c r="W122" s="27"/>
      <c r="X122" s="27"/>
      <c r="Y122" t="e">
        <f>NA()</f>
        <v>#N/A</v>
      </c>
      <c r="Z122" s="22">
        <f t="shared" si="39"/>
        <v>0</v>
      </c>
      <c r="AA122" s="22">
        <f t="shared" si="40"/>
        <v>0</v>
      </c>
      <c r="AE122">
        <v>37</v>
      </c>
      <c r="AG122">
        <f t="shared" si="41"/>
        <v>30.343710600427304</v>
      </c>
      <c r="AH122" s="21">
        <f t="shared" si="80"/>
        <v>46.436022050442858</v>
      </c>
      <c r="AI122" s="21">
        <f t="shared" si="68"/>
        <v>51.983765795823778</v>
      </c>
      <c r="AJ122" s="21">
        <f t="shared" si="68"/>
        <v>47.920365286113764</v>
      </c>
      <c r="AK122" s="21">
        <f t="shared" si="68"/>
        <v>52.01179979751948</v>
      </c>
      <c r="AL122" s="21">
        <f t="shared" si="68"/>
        <v>19.340999032340459</v>
      </c>
      <c r="AM122" s="22">
        <f t="shared" si="43"/>
        <v>24.046519454839157</v>
      </c>
      <c r="AN122" s="21">
        <f t="shared" ref="AN122:AS122" si="85">AN50*AN$12</f>
        <v>16.176283455529799</v>
      </c>
      <c r="AO122" s="23">
        <f t="shared" si="85"/>
        <v>11.19415289880455</v>
      </c>
      <c r="AP122" s="23">
        <f t="shared" si="85"/>
        <v>2.23883057976091</v>
      </c>
      <c r="AQ122" s="24">
        <f t="shared" si="85"/>
        <v>47.412348128836889</v>
      </c>
      <c r="AR122" s="24">
        <f t="shared" si="85"/>
        <v>25.396245863591265</v>
      </c>
      <c r="AS122" s="24">
        <f t="shared" si="85"/>
        <v>56.930321489266355</v>
      </c>
      <c r="AT122" s="25">
        <f t="shared" si="66"/>
        <v>9.5574470340239781</v>
      </c>
      <c r="AU122" s="25">
        <f t="shared" si="66"/>
        <v>12.223572342888975</v>
      </c>
      <c r="AV122" s="26">
        <f t="shared" si="67"/>
        <v>32.040345090590357</v>
      </c>
      <c r="AW122" s="26">
        <f t="shared" si="67"/>
        <v>27.593550262613924</v>
      </c>
      <c r="AX122" s="27" t="e">
        <f t="shared" si="67"/>
        <v>#NUM!</v>
      </c>
      <c r="AY122" s="27" t="e">
        <f t="shared" si="67"/>
        <v>#NUM!</v>
      </c>
      <c r="AZ122" t="e">
        <f>NA()</f>
        <v>#N/A</v>
      </c>
      <c r="BA122" s="22">
        <f t="shared" si="45"/>
        <v>24.046519454839157</v>
      </c>
      <c r="BB122" s="22">
        <f t="shared" si="46"/>
        <v>44.323607895542146</v>
      </c>
    </row>
    <row r="123" spans="4:54" x14ac:dyDescent="0.3">
      <c r="D123">
        <v>38</v>
      </c>
      <c r="F123">
        <v>37</v>
      </c>
      <c r="G123" s="21"/>
      <c r="H123" s="21"/>
      <c r="I123" s="21"/>
      <c r="J123" s="21"/>
      <c r="K123" s="21"/>
      <c r="L123" s="22"/>
      <c r="M123" s="21"/>
      <c r="N123" s="23"/>
      <c r="O123" s="23"/>
      <c r="P123" s="24"/>
      <c r="Q123" s="24"/>
      <c r="R123" s="24"/>
      <c r="S123" s="25"/>
      <c r="T123" s="25"/>
      <c r="U123" s="26"/>
      <c r="V123" s="26"/>
      <c r="W123" s="27"/>
      <c r="X123" s="27"/>
      <c r="Y123" t="e">
        <f>NA()</f>
        <v>#N/A</v>
      </c>
      <c r="Z123" s="22">
        <f t="shared" si="39"/>
        <v>0</v>
      </c>
      <c r="AA123" s="22">
        <f t="shared" si="40"/>
        <v>0</v>
      </c>
      <c r="AE123">
        <v>38</v>
      </c>
      <c r="AG123">
        <f t="shared" si="41"/>
        <v>31.911909129003085</v>
      </c>
      <c r="AH123" s="21">
        <f t="shared" si="80"/>
        <v>49.806855736285051</v>
      </c>
      <c r="AI123" s="21">
        <f t="shared" si="68"/>
        <v>54.496705849679358</v>
      </c>
      <c r="AJ123" s="21">
        <f t="shared" si="68"/>
        <v>51.39769204247817</v>
      </c>
      <c r="AK123" s="21">
        <f t="shared" si="68"/>
        <v>54.476071277604447</v>
      </c>
      <c r="AL123" s="21">
        <f t="shared" si="68"/>
        <v>20.463573022837991</v>
      </c>
      <c r="AM123" s="22">
        <f t="shared" si="43"/>
        <v>24.879305631475354</v>
      </c>
      <c r="AN123" s="21">
        <f t="shared" ref="AN123:AS123" si="86">AN51*AN$12</f>
        <v>17.18355889331583</v>
      </c>
      <c r="AO123" s="23">
        <f t="shared" si="86"/>
        <v>11.826974704392503</v>
      </c>
      <c r="AP123" s="23">
        <f t="shared" si="86"/>
        <v>2.3653949408785011</v>
      </c>
      <c r="AQ123" s="24">
        <f t="shared" si="86"/>
        <v>49.339016466271872</v>
      </c>
      <c r="AR123" s="24">
        <f t="shared" si="86"/>
        <v>26.436701456246066</v>
      </c>
      <c r="AS123" s="24">
        <f t="shared" si="86"/>
        <v>58.906260499771015</v>
      </c>
      <c r="AT123" s="25">
        <f t="shared" si="66"/>
        <v>9.9664706066512636</v>
      </c>
      <c r="AU123" s="25">
        <f t="shared" si="66"/>
        <v>12.815862003413343</v>
      </c>
      <c r="AV123" s="26">
        <f t="shared" si="67"/>
        <v>33.634730379148877</v>
      </c>
      <c r="AW123" s="26">
        <f t="shared" si="67"/>
        <v>28.936551747720937</v>
      </c>
      <c r="AX123" s="27" t="e">
        <f t="shared" si="67"/>
        <v>#NUM!</v>
      </c>
      <c r="AY123" s="27" t="e">
        <f t="shared" si="67"/>
        <v>#NUM!</v>
      </c>
      <c r="AZ123" t="e">
        <f>NA()</f>
        <v>#N/A</v>
      </c>
      <c r="BA123" s="22">
        <f t="shared" si="45"/>
        <v>24.879305631475354</v>
      </c>
      <c r="BB123" s="22">
        <f t="shared" si="46"/>
        <v>45.268266809530104</v>
      </c>
    </row>
    <row r="124" spans="4:54" x14ac:dyDescent="0.3">
      <c r="D124">
        <v>39</v>
      </c>
      <c r="F124">
        <v>38</v>
      </c>
      <c r="G124" s="21"/>
      <c r="H124" s="21"/>
      <c r="I124" s="21"/>
      <c r="J124" s="21"/>
      <c r="K124" s="21"/>
      <c r="L124" s="22"/>
      <c r="M124" s="21"/>
      <c r="N124" s="23"/>
      <c r="O124" s="23"/>
      <c r="P124" s="24"/>
      <c r="Q124" s="24"/>
      <c r="R124" s="24"/>
      <c r="S124" s="25"/>
      <c r="T124" s="25"/>
      <c r="U124" s="26"/>
      <c r="V124" s="26"/>
      <c r="W124" s="27"/>
      <c r="X124" s="27"/>
      <c r="Y124" t="e">
        <f>NA()</f>
        <v>#N/A</v>
      </c>
      <c r="Z124" s="22">
        <f t="shared" si="39"/>
        <v>0</v>
      </c>
      <c r="AA124" s="22">
        <f t="shared" si="40"/>
        <v>0</v>
      </c>
      <c r="AE124">
        <v>39</v>
      </c>
      <c r="AG124">
        <f t="shared" si="41"/>
        <v>33.561153995563402</v>
      </c>
      <c r="AH124" s="21">
        <f t="shared" si="80"/>
        <v>53.173281636118595</v>
      </c>
      <c r="AI124" s="21">
        <f t="shared" si="68"/>
        <v>57.061857360060209</v>
      </c>
      <c r="AJ124" s="21">
        <f t="shared" si="68"/>
        <v>54.961866331268929</v>
      </c>
      <c r="AK124" s="21">
        <f t="shared" si="68"/>
        <v>56.986317401137811</v>
      </c>
      <c r="AL124" s="21">
        <f t="shared" si="68"/>
        <v>21.56290420879423</v>
      </c>
      <c r="AM124" s="22">
        <f t="shared" si="43"/>
        <v>25.666331906742723</v>
      </c>
      <c r="AN124" s="21">
        <f t="shared" ref="AN124:AS124" si="87">AN52*AN$12</f>
        <v>18.222660835414416</v>
      </c>
      <c r="AO124" s="23">
        <f t="shared" si="87"/>
        <v>12.481341037274994</v>
      </c>
      <c r="AP124" s="23">
        <f t="shared" si="87"/>
        <v>2.4962682074549987</v>
      </c>
      <c r="AQ124" s="24">
        <f t="shared" si="87"/>
        <v>51.288332093601127</v>
      </c>
      <c r="AR124" s="24">
        <f t="shared" si="87"/>
        <v>27.473137295214425</v>
      </c>
      <c r="AS124" s="24">
        <f t="shared" si="87"/>
        <v>60.766215770844944</v>
      </c>
      <c r="AT124" s="25">
        <f t="shared" si="66"/>
        <v>10.380568741342602</v>
      </c>
      <c r="AU124" s="25">
        <f t="shared" si="66"/>
        <v>13.416057061489964</v>
      </c>
      <c r="AV124" s="26">
        <f t="shared" si="67"/>
        <v>35.266411516779613</v>
      </c>
      <c r="AW124" s="26">
        <f t="shared" si="67"/>
        <v>30.308290677042681</v>
      </c>
      <c r="AX124" s="27" t="e">
        <f t="shared" si="67"/>
        <v>#NUM!</v>
      </c>
      <c r="AY124" s="27" t="e">
        <f t="shared" si="67"/>
        <v>#NUM!</v>
      </c>
      <c r="AZ124" t="e">
        <f>NA()</f>
        <v>#N/A</v>
      </c>
      <c r="BA124" s="22">
        <f t="shared" si="45"/>
        <v>25.666331906742723</v>
      </c>
      <c r="BB124" s="22">
        <f t="shared" si="46"/>
        <v>46.185431718387854</v>
      </c>
    </row>
    <row r="125" spans="4:54" x14ac:dyDescent="0.3">
      <c r="D125">
        <v>40</v>
      </c>
      <c r="F125">
        <v>39</v>
      </c>
      <c r="G125" s="21"/>
      <c r="H125" s="21"/>
      <c r="I125" s="21"/>
      <c r="J125" s="21"/>
      <c r="K125" s="21"/>
      <c r="L125" s="22"/>
      <c r="M125" s="21"/>
      <c r="N125" s="23"/>
      <c r="O125" s="23"/>
      <c r="P125" s="24"/>
      <c r="Q125" s="24"/>
      <c r="R125" s="24"/>
      <c r="S125" s="25"/>
      <c r="T125" s="25"/>
      <c r="U125" s="26"/>
      <c r="V125" s="26"/>
      <c r="W125" s="27"/>
      <c r="X125" s="27"/>
      <c r="Y125" t="e">
        <f>NA()</f>
        <v>#N/A</v>
      </c>
      <c r="Z125" s="22">
        <f t="shared" si="39"/>
        <v>0</v>
      </c>
      <c r="AA125" s="22">
        <f t="shared" si="40"/>
        <v>0</v>
      </c>
      <c r="AE125">
        <v>40</v>
      </c>
      <c r="AG125">
        <f t="shared" si="41"/>
        <v>35.295633769846724</v>
      </c>
      <c r="AH125" s="21">
        <f t="shared" si="80"/>
        <v>56.505162562922557</v>
      </c>
      <c r="AI125" s="21">
        <f t="shared" si="68"/>
        <v>59.673103302590349</v>
      </c>
      <c r="AJ125" s="21">
        <f t="shared" si="68"/>
        <v>58.594267148295025</v>
      </c>
      <c r="AK125" s="21">
        <f t="shared" si="68"/>
        <v>59.536106109804905</v>
      </c>
      <c r="AL125" s="21">
        <f t="shared" si="68"/>
        <v>22.6300078832056</v>
      </c>
      <c r="AM125" s="22">
        <f t="shared" si="43"/>
        <v>26.403780919449058</v>
      </c>
      <c r="AN125" s="21">
        <f t="shared" ref="AN125:AS125" si="88">AN53*AN$12</f>
        <v>19.290963218912257</v>
      </c>
      <c r="AO125" s="23">
        <f t="shared" si="88"/>
        <v>13.156388334903268</v>
      </c>
      <c r="AP125" s="23">
        <f t="shared" si="88"/>
        <v>2.6312776669806537</v>
      </c>
      <c r="AQ125" s="24">
        <f t="shared" si="88"/>
        <v>53.255199833889321</v>
      </c>
      <c r="AR125" s="24">
        <f t="shared" si="88"/>
        <v>28.501094816174923</v>
      </c>
      <c r="AS125" s="24">
        <f t="shared" si="88"/>
        <v>62.501424151808514</v>
      </c>
      <c r="AT125" s="25">
        <f t="shared" si="66"/>
        <v>10.798580785456407</v>
      </c>
      <c r="AU125" s="25">
        <f t="shared" si="66"/>
        <v>14.022105406999696</v>
      </c>
      <c r="AV125" s="26">
        <f t="shared" si="67"/>
        <v>36.931843530959256</v>
      </c>
      <c r="AW125" s="26">
        <f t="shared" si="67"/>
        <v>31.705565121920809</v>
      </c>
      <c r="AX125" s="27" t="e">
        <f t="shared" si="67"/>
        <v>#NUM!</v>
      </c>
      <c r="AY125" s="27" t="e">
        <f t="shared" si="67"/>
        <v>#NUM!</v>
      </c>
      <c r="AZ125" t="e">
        <f>NA()</f>
        <v>#N/A</v>
      </c>
      <c r="BA125" s="22">
        <f t="shared" si="45"/>
        <v>26.403780919449058</v>
      </c>
      <c r="BB125" s="22">
        <f t="shared" si="46"/>
        <v>47.072233435346298</v>
      </c>
    </row>
    <row r="126" spans="4:54" x14ac:dyDescent="0.3">
      <c r="D126">
        <v>41</v>
      </c>
      <c r="F126">
        <v>40</v>
      </c>
      <c r="G126" s="21"/>
      <c r="H126" s="21"/>
      <c r="I126" s="21"/>
      <c r="J126" s="21"/>
      <c r="K126" s="21"/>
      <c r="L126" s="22"/>
      <c r="M126" s="21"/>
      <c r="N126" s="23"/>
      <c r="O126" s="23"/>
      <c r="P126" s="24"/>
      <c r="Q126" s="24"/>
      <c r="R126" s="24"/>
      <c r="S126" s="25"/>
      <c r="T126" s="25"/>
      <c r="U126" s="26"/>
      <c r="V126" s="26"/>
      <c r="W126" s="27"/>
      <c r="X126" s="27"/>
      <c r="Y126" t="e">
        <f>NA()</f>
        <v>#N/A</v>
      </c>
      <c r="Z126" s="22">
        <f t="shared" si="39"/>
        <v>0</v>
      </c>
      <c r="AA126" s="22">
        <f t="shared" si="40"/>
        <v>0</v>
      </c>
      <c r="AE126">
        <v>41</v>
      </c>
      <c r="AG126">
        <f t="shared" si="41"/>
        <v>37.119753491784877</v>
      </c>
      <c r="AH126" s="21">
        <f t="shared" si="80"/>
        <v>59.77251944629559</v>
      </c>
      <c r="AI126" s="21">
        <f t="shared" si="68"/>
        <v>62.323607543717543</v>
      </c>
      <c r="AJ126" s="21">
        <f t="shared" si="68"/>
        <v>62.274335882056185</v>
      </c>
      <c r="AK126" s="21">
        <f t="shared" si="68"/>
        <v>62.11832078078546</v>
      </c>
      <c r="AL126" s="21">
        <f t="shared" si="68"/>
        <v>23.656471566322175</v>
      </c>
      <c r="AM126" s="22">
        <f t="shared" si="43"/>
        <v>27.088700508270747</v>
      </c>
      <c r="AN126" s="21">
        <f t="shared" ref="AN126:AS126" si="89">AN54*AN$12</f>
        <v>20.385396302782571</v>
      </c>
      <c r="AO126" s="23">
        <f t="shared" si="89"/>
        <v>13.85104697700479</v>
      </c>
      <c r="AP126" s="23">
        <f t="shared" si="89"/>
        <v>2.7702093954009586</v>
      </c>
      <c r="AQ126" s="24">
        <f t="shared" si="89"/>
        <v>55.234116180944483</v>
      </c>
      <c r="AR126" s="24">
        <f t="shared" si="89"/>
        <v>29.51602460713687</v>
      </c>
      <c r="AS126" s="24">
        <f t="shared" si="89"/>
        <v>64.105404102056099</v>
      </c>
      <c r="AT126" s="25">
        <f t="shared" ref="AT126:AU145" si="90">AT54</f>
        <v>11.219252221949404</v>
      </c>
      <c r="AU126" s="25">
        <f t="shared" si="90"/>
        <v>14.631792504710454</v>
      </c>
      <c r="AV126" s="26">
        <f t="shared" ref="AV126:AY145" si="91">AV54*AV$12</f>
        <v>38.627012798030457</v>
      </c>
      <c r="AW126" s="26">
        <f t="shared" si="91"/>
        <v>33.124786357476729</v>
      </c>
      <c r="AX126" s="27" t="e">
        <f t="shared" si="91"/>
        <v>#NUM!</v>
      </c>
      <c r="AY126" s="27" t="e">
        <f t="shared" si="91"/>
        <v>#NUM!</v>
      </c>
      <c r="AZ126" t="e">
        <f>NA()</f>
        <v>#N/A</v>
      </c>
      <c r="BA126" s="22">
        <f t="shared" si="45"/>
        <v>27.088700508270747</v>
      </c>
      <c r="BB126" s="22">
        <f t="shared" si="46"/>
        <v>47.925961777759468</v>
      </c>
    </row>
    <row r="127" spans="4:54" x14ac:dyDescent="0.3">
      <c r="D127">
        <v>42</v>
      </c>
      <c r="F127">
        <v>41</v>
      </c>
      <c r="G127" s="21"/>
      <c r="H127" s="21"/>
      <c r="I127" s="21"/>
      <c r="J127" s="21"/>
      <c r="K127" s="21"/>
      <c r="L127" s="22"/>
      <c r="M127" s="21"/>
      <c r="N127" s="23"/>
      <c r="O127" s="23"/>
      <c r="P127" s="24"/>
      <c r="Q127" s="24"/>
      <c r="R127" s="24"/>
      <c r="S127" s="25"/>
      <c r="T127" s="25"/>
      <c r="U127" s="26"/>
      <c r="V127" s="26"/>
      <c r="W127" s="27"/>
      <c r="X127" s="27"/>
      <c r="Y127" t="e">
        <f>NA()</f>
        <v>#N/A</v>
      </c>
      <c r="Z127" s="22">
        <f t="shared" si="39"/>
        <v>0</v>
      </c>
      <c r="AA127" s="22">
        <f t="shared" si="40"/>
        <v>0</v>
      </c>
      <c r="AE127">
        <v>42</v>
      </c>
      <c r="AG127">
        <f t="shared" si="41"/>
        <v>38.85778775562828</v>
      </c>
      <c r="AH127" s="21">
        <f t="shared" si="80"/>
        <v>62.659350919968503</v>
      </c>
      <c r="AI127" s="21">
        <f t="shared" ref="AI127:AL146" si="92">AI55*AI$12</f>
        <v>64.758227705504183</v>
      </c>
      <c r="AJ127" s="21">
        <f t="shared" si="92"/>
        <v>65.638880248477719</v>
      </c>
      <c r="AK127" s="21">
        <f t="shared" si="92"/>
        <v>64.484807681463209</v>
      </c>
      <c r="AL127" s="21">
        <f t="shared" si="92"/>
        <v>24.546984384403594</v>
      </c>
      <c r="AM127" s="22">
        <f t="shared" si="43"/>
        <v>27.663440422697555</v>
      </c>
      <c r="AN127" s="21">
        <f t="shared" ref="AN127:AS127" si="93">AN55*AN$12</f>
        <v>21.398951032261941</v>
      </c>
      <c r="AO127" s="23">
        <f t="shared" si="93"/>
        <v>14.49778392436912</v>
      </c>
      <c r="AP127" s="23">
        <f t="shared" si="93"/>
        <v>2.8995567848738246</v>
      </c>
      <c r="AQ127" s="24">
        <f t="shared" si="93"/>
        <v>57.036675548601124</v>
      </c>
      <c r="AR127" s="24">
        <f t="shared" si="93"/>
        <v>30.422550800884562</v>
      </c>
      <c r="AS127" s="24">
        <f t="shared" si="93"/>
        <v>65.444797293017373</v>
      </c>
      <c r="AT127" s="25">
        <f t="shared" si="90"/>
        <v>11.602443444976037</v>
      </c>
      <c r="AU127" s="25">
        <f t="shared" si="90"/>
        <v>15.186623419945304</v>
      </c>
      <c r="AV127" s="26">
        <f t="shared" si="91"/>
        <v>40.18840955246533</v>
      </c>
      <c r="AW127" s="26">
        <f t="shared" si="91"/>
        <v>34.42927162083236</v>
      </c>
      <c r="AX127" s="27" t="e">
        <f t="shared" si="91"/>
        <v>#NUM!</v>
      </c>
      <c r="AY127" s="27" t="e">
        <f t="shared" si="91"/>
        <v>#NUM!</v>
      </c>
      <c r="AZ127" t="e">
        <f>NA()</f>
        <v>#N/A</v>
      </c>
      <c r="BA127" s="22">
        <f t="shared" si="45"/>
        <v>27.663440422697555</v>
      </c>
      <c r="BB127" s="22">
        <f t="shared" si="46"/>
        <v>48.670466484916439</v>
      </c>
    </row>
    <row r="128" spans="4:54" x14ac:dyDescent="0.3">
      <c r="D128">
        <v>43</v>
      </c>
      <c r="F128">
        <v>42</v>
      </c>
      <c r="G128" s="21"/>
      <c r="H128" s="21"/>
      <c r="I128" s="21"/>
      <c r="J128" s="21"/>
      <c r="K128" s="21"/>
      <c r="L128" s="22"/>
      <c r="M128" s="21"/>
      <c r="N128" s="23"/>
      <c r="O128" s="23"/>
      <c r="P128" s="24"/>
      <c r="Q128" s="24"/>
      <c r="R128" s="24"/>
      <c r="S128" s="25"/>
      <c r="T128" s="25"/>
      <c r="U128" s="26"/>
      <c r="V128" s="26"/>
      <c r="W128" s="27"/>
      <c r="X128" s="27"/>
      <c r="Y128" t="e">
        <f>NA()</f>
        <v>#N/A</v>
      </c>
      <c r="Z128" s="22">
        <f t="shared" si="39"/>
        <v>0</v>
      </c>
      <c r="AA128" s="22">
        <f t="shared" si="40"/>
        <v>0</v>
      </c>
      <c r="AE128">
        <v>43</v>
      </c>
      <c r="AG128">
        <f t="shared" si="41"/>
        <v>40.467341024247702</v>
      </c>
      <c r="AH128" s="21">
        <f t="shared" si="80"/>
        <v>65.138866414333222</v>
      </c>
      <c r="AI128" s="21">
        <f t="shared" si="92"/>
        <v>66.934611589601928</v>
      </c>
      <c r="AJ128" s="21">
        <f t="shared" si="92"/>
        <v>68.626539398157462</v>
      </c>
      <c r="AK128" s="21">
        <f t="shared" si="92"/>
        <v>66.595767190538538</v>
      </c>
      <c r="AL128" s="21">
        <f t="shared" si="92"/>
        <v>25.299492354885651</v>
      </c>
      <c r="AM128" s="22">
        <f t="shared" si="43"/>
        <v>28.134849574443813</v>
      </c>
      <c r="AN128" s="21">
        <f t="shared" ref="AN128:AS128" si="94">AN56*AN$12</f>
        <v>22.311189821297322</v>
      </c>
      <c r="AO128" s="23">
        <f t="shared" si="94"/>
        <v>15.083166305654746</v>
      </c>
      <c r="AP128" s="23">
        <f t="shared" si="94"/>
        <v>3.0166332611309494</v>
      </c>
      <c r="AQ128" s="24">
        <f t="shared" si="94"/>
        <v>58.63598784762187</v>
      </c>
      <c r="AR128" s="24">
        <f t="shared" si="94"/>
        <v>31.211710604191474</v>
      </c>
      <c r="AS128" s="24">
        <f t="shared" si="94"/>
        <v>66.538245613777136</v>
      </c>
      <c r="AT128" s="25">
        <f t="shared" si="90"/>
        <v>11.942376385109759</v>
      </c>
      <c r="AU128" s="25">
        <f t="shared" si="90"/>
        <v>15.678127760540162</v>
      </c>
      <c r="AV128" s="26">
        <f t="shared" si="91"/>
        <v>41.587788371409395</v>
      </c>
      <c r="AW128" s="26">
        <f t="shared" si="91"/>
        <v>35.596111598381157</v>
      </c>
      <c r="AX128" s="27" t="e">
        <f t="shared" si="91"/>
        <v>#NUM!</v>
      </c>
      <c r="AY128" s="27" t="e">
        <f t="shared" si="91"/>
        <v>#NUM!</v>
      </c>
      <c r="AZ128" t="e">
        <f>NA()</f>
        <v>#N/A</v>
      </c>
      <c r="BA128" s="22">
        <f t="shared" si="45"/>
        <v>28.134849574443813</v>
      </c>
      <c r="BB128" s="22">
        <f t="shared" si="46"/>
        <v>49.304872587549553</v>
      </c>
    </row>
    <row r="129" spans="4:54" x14ac:dyDescent="0.3">
      <c r="D129">
        <v>44</v>
      </c>
      <c r="F129">
        <v>43</v>
      </c>
      <c r="G129" s="21"/>
      <c r="H129" s="21"/>
      <c r="I129" s="21"/>
      <c r="J129" s="21"/>
      <c r="K129" s="21"/>
      <c r="L129" s="22"/>
      <c r="M129" s="21"/>
      <c r="N129" s="23"/>
      <c r="O129" s="23"/>
      <c r="P129" s="24"/>
      <c r="Q129" s="24"/>
      <c r="R129" s="24"/>
      <c r="S129" s="25"/>
      <c r="T129" s="25"/>
      <c r="U129" s="26"/>
      <c r="V129" s="26"/>
      <c r="W129" s="27"/>
      <c r="X129" s="27"/>
      <c r="Y129" t="e">
        <f>NA()</f>
        <v>#N/A</v>
      </c>
      <c r="Z129" s="22">
        <f t="shared" si="39"/>
        <v>0</v>
      </c>
      <c r="AA129" s="22">
        <f t="shared" si="40"/>
        <v>0</v>
      </c>
      <c r="AE129">
        <v>44</v>
      </c>
      <c r="AG129">
        <f t="shared" si="41"/>
        <v>41.95047391357199</v>
      </c>
      <c r="AH129" s="21">
        <f t="shared" si="80"/>
        <v>67.263054294641265</v>
      </c>
      <c r="AI129" s="21">
        <f t="shared" si="92"/>
        <v>68.874264027899585</v>
      </c>
      <c r="AJ129" s="21">
        <f t="shared" si="92"/>
        <v>71.268198679995351</v>
      </c>
      <c r="AK129" s="21">
        <f t="shared" si="92"/>
        <v>68.473410193832777</v>
      </c>
      <c r="AL129" s="21">
        <f t="shared" si="92"/>
        <v>25.934963634826442</v>
      </c>
      <c r="AM129" s="22">
        <f t="shared" si="43"/>
        <v>28.522578267882011</v>
      </c>
      <c r="AN129" s="21">
        <f t="shared" ref="AN129:AS129" si="95">AN57*AN$12</f>
        <v>23.128765095555583</v>
      </c>
      <c r="AO129" s="23">
        <f t="shared" si="95"/>
        <v>15.610820257888683</v>
      </c>
      <c r="AP129" s="23">
        <f t="shared" si="95"/>
        <v>3.1221640515777369</v>
      </c>
      <c r="AQ129" s="24">
        <f t="shared" si="95"/>
        <v>60.051899559552183</v>
      </c>
      <c r="AR129" s="24">
        <f t="shared" si="95"/>
        <v>31.897899224109153</v>
      </c>
      <c r="AS129" s="24">
        <f t="shared" si="95"/>
        <v>67.433649692848931</v>
      </c>
      <c r="AT129" s="25">
        <f t="shared" si="90"/>
        <v>12.243244341855014</v>
      </c>
      <c r="AU129" s="25">
        <f t="shared" si="90"/>
        <v>16.112414325787558</v>
      </c>
      <c r="AV129" s="26">
        <f t="shared" si="91"/>
        <v>42.837904933108128</v>
      </c>
      <c r="AW129" s="26">
        <f t="shared" si="91"/>
        <v>36.636621512130162</v>
      </c>
      <c r="AX129" s="27" t="e">
        <f t="shared" si="91"/>
        <v>#NUM!</v>
      </c>
      <c r="AY129" s="27" t="e">
        <f t="shared" si="91"/>
        <v>#NUM!</v>
      </c>
      <c r="AZ129" t="e">
        <f>NA()</f>
        <v>#N/A</v>
      </c>
      <c r="BA129" s="22">
        <f t="shared" si="45"/>
        <v>28.522578267882011</v>
      </c>
      <c r="BB129" s="22">
        <f t="shared" si="46"/>
        <v>49.846184577083804</v>
      </c>
    </row>
    <row r="130" spans="4:54" x14ac:dyDescent="0.3">
      <c r="D130">
        <v>45</v>
      </c>
      <c r="F130">
        <v>44</v>
      </c>
      <c r="G130" s="21"/>
      <c r="H130" s="21"/>
      <c r="I130" s="21"/>
      <c r="J130" s="21"/>
      <c r="K130" s="21"/>
      <c r="L130" s="22"/>
      <c r="M130" s="21"/>
      <c r="N130" s="23"/>
      <c r="O130" s="23"/>
      <c r="P130" s="24"/>
      <c r="Q130" s="24"/>
      <c r="R130" s="24"/>
      <c r="S130" s="25"/>
      <c r="T130" s="25"/>
      <c r="U130" s="26"/>
      <c r="V130" s="26"/>
      <c r="W130" s="27"/>
      <c r="X130" s="27"/>
      <c r="Y130" t="e">
        <f>NA()</f>
        <v>#N/A</v>
      </c>
      <c r="Z130" s="22">
        <f t="shared" si="39"/>
        <v>0</v>
      </c>
      <c r="AA130" s="22">
        <f t="shared" si="40"/>
        <v>0</v>
      </c>
      <c r="AE130">
        <v>45</v>
      </c>
      <c r="AG130">
        <f t="shared" si="41"/>
        <v>43.317115956604354</v>
      </c>
      <c r="AH130" s="21">
        <f t="shared" si="80"/>
        <v>69.088707002932082</v>
      </c>
      <c r="AI130" s="21">
        <f t="shared" si="92"/>
        <v>70.606498828995043</v>
      </c>
      <c r="AJ130" s="21">
        <f t="shared" si="92"/>
        <v>73.60703735532077</v>
      </c>
      <c r="AK130" s="21">
        <f t="shared" si="92"/>
        <v>70.147234521118136</v>
      </c>
      <c r="AL130" s="21">
        <f t="shared" si="92"/>
        <v>26.474223602988989</v>
      </c>
      <c r="AM130" s="22">
        <f t="shared" si="43"/>
        <v>28.843989565247227</v>
      </c>
      <c r="AN130" s="21">
        <f t="shared" ref="AN130:AS130" si="96">AN58*AN$12</f>
        <v>23.862291658994277</v>
      </c>
      <c r="AO130" s="23">
        <f t="shared" si="96"/>
        <v>16.086930277088712</v>
      </c>
      <c r="AP130" s="23">
        <f t="shared" si="96"/>
        <v>3.2173860554177427</v>
      </c>
      <c r="AQ130" s="24">
        <f t="shared" si="96"/>
        <v>61.308969363257553</v>
      </c>
      <c r="AR130" s="24">
        <f t="shared" si="96"/>
        <v>32.496874277274216</v>
      </c>
      <c r="AS130" s="24">
        <f t="shared" si="96"/>
        <v>68.172871030214097</v>
      </c>
      <c r="AT130" s="25">
        <f t="shared" si="90"/>
        <v>12.510263432908914</v>
      </c>
      <c r="AU130" s="25">
        <f t="shared" si="90"/>
        <v>16.497126276523623</v>
      </c>
      <c r="AV130" s="26">
        <f t="shared" si="91"/>
        <v>43.956763368614737</v>
      </c>
      <c r="AW130" s="26">
        <f t="shared" si="91"/>
        <v>37.566348747619614</v>
      </c>
      <c r="AX130" s="27" t="e">
        <f t="shared" si="91"/>
        <v>#NUM!</v>
      </c>
      <c r="AY130" s="27" t="e">
        <f t="shared" si="91"/>
        <v>#NUM!</v>
      </c>
      <c r="AZ130" t="e">
        <f>NA()</f>
        <v>#N/A</v>
      </c>
      <c r="BA130" s="22">
        <f t="shared" si="45"/>
        <v>28.843989565247227</v>
      </c>
      <c r="BB130" s="22">
        <f t="shared" si="46"/>
        <v>50.310862595438714</v>
      </c>
    </row>
    <row r="131" spans="4:54" x14ac:dyDescent="0.3">
      <c r="D131">
        <v>46</v>
      </c>
      <c r="F131">
        <v>45</v>
      </c>
      <c r="G131" s="21"/>
      <c r="H131" s="21"/>
      <c r="I131" s="21"/>
      <c r="J131" s="21"/>
      <c r="K131" s="21"/>
      <c r="L131" s="22"/>
      <c r="M131" s="21"/>
      <c r="N131" s="23"/>
      <c r="O131" s="23"/>
      <c r="P131" s="24"/>
      <c r="Q131" s="24"/>
      <c r="R131" s="24"/>
      <c r="S131" s="25"/>
      <c r="T131" s="25"/>
      <c r="U131" s="26"/>
      <c r="V131" s="26"/>
      <c r="W131" s="27"/>
      <c r="X131" s="27"/>
      <c r="Y131" t="e">
        <f>NA()</f>
        <v>#N/A</v>
      </c>
      <c r="Z131" s="22">
        <f t="shared" si="39"/>
        <v>0</v>
      </c>
      <c r="AA131" s="22">
        <f t="shared" si="40"/>
        <v>0</v>
      </c>
      <c r="AE131">
        <v>46</v>
      </c>
      <c r="AG131">
        <f t="shared" si="41"/>
        <v>44.576416783406593</v>
      </c>
      <c r="AH131" s="21">
        <f t="shared" si="80"/>
        <v>70.663378296034892</v>
      </c>
      <c r="AI131" s="21">
        <f t="shared" si="92"/>
        <v>72.15662027071626</v>
      </c>
      <c r="AJ131" s="21">
        <f t="shared" si="92"/>
        <v>75.681188301065262</v>
      </c>
      <c r="AK131" s="21">
        <f t="shared" si="92"/>
        <v>71.642596640583704</v>
      </c>
      <c r="AL131" s="21">
        <f t="shared" si="92"/>
        <v>26.934118203864628</v>
      </c>
      <c r="AM131" s="22">
        <f t="shared" si="43"/>
        <v>29.11243034959076</v>
      </c>
      <c r="AN131" s="21">
        <f t="shared" ref="AN131:AS131" si="97">AN59*AN$12</f>
        <v>24.521220422304573</v>
      </c>
      <c r="AO131" s="23">
        <f t="shared" si="97"/>
        <v>16.517003875813732</v>
      </c>
      <c r="AP131" s="23">
        <f t="shared" si="97"/>
        <v>3.3034007751627468</v>
      </c>
      <c r="AQ131" s="24">
        <f t="shared" si="97"/>
        <v>62.427989652460582</v>
      </c>
      <c r="AR131" s="24">
        <f t="shared" si="97"/>
        <v>33.021673257957076</v>
      </c>
      <c r="AS131" s="24">
        <f t="shared" si="97"/>
        <v>68.787921945963291</v>
      </c>
      <c r="AT131" s="25">
        <f t="shared" si="90"/>
        <v>12.747860051294412</v>
      </c>
      <c r="AU131" s="25">
        <f t="shared" si="90"/>
        <v>16.83878114143317</v>
      </c>
      <c r="AV131" s="26">
        <f t="shared" si="91"/>
        <v>44.959989093730009</v>
      </c>
      <c r="AW131" s="26">
        <f t="shared" si="91"/>
        <v>38.398730901832451</v>
      </c>
      <c r="AX131" s="27" t="e">
        <f t="shared" si="91"/>
        <v>#NUM!</v>
      </c>
      <c r="AY131" s="27" t="e">
        <f t="shared" si="91"/>
        <v>#NUM!</v>
      </c>
      <c r="AZ131" t="e">
        <f>NA()</f>
        <v>#N/A</v>
      </c>
      <c r="BA131" s="22">
        <f t="shared" si="45"/>
        <v>29.11243034959076</v>
      </c>
      <c r="BB131" s="22">
        <f t="shared" si="46"/>
        <v>50.711982759521817</v>
      </c>
    </row>
    <row r="132" spans="4:54" x14ac:dyDescent="0.3">
      <c r="D132">
        <v>47</v>
      </c>
      <c r="F132">
        <v>46</v>
      </c>
      <c r="G132" s="21"/>
      <c r="H132" s="21"/>
      <c r="I132" s="21"/>
      <c r="J132" s="21"/>
      <c r="K132" s="21"/>
      <c r="L132" s="22"/>
      <c r="M132" s="21"/>
      <c r="N132" s="23"/>
      <c r="O132" s="23"/>
      <c r="P132" s="24"/>
      <c r="Q132" s="24"/>
      <c r="R132" s="24"/>
      <c r="S132" s="25"/>
      <c r="T132" s="25"/>
      <c r="U132" s="26"/>
      <c r="V132" s="26"/>
      <c r="W132" s="27"/>
      <c r="X132" s="27"/>
      <c r="Y132" t="e">
        <f>NA()</f>
        <v>#N/A</v>
      </c>
      <c r="Z132" s="22">
        <f t="shared" si="39"/>
        <v>0</v>
      </c>
      <c r="AA132" s="22">
        <f t="shared" si="40"/>
        <v>0</v>
      </c>
      <c r="AE132">
        <v>47</v>
      </c>
      <c r="AG132">
        <f t="shared" si="41"/>
        <v>45.736807377615186</v>
      </c>
      <c r="AH132" s="21">
        <f t="shared" si="80"/>
        <v>72.026633070075491</v>
      </c>
      <c r="AI132" s="21">
        <f t="shared" si="92"/>
        <v>73.546482246909889</v>
      </c>
      <c r="AJ132" s="21">
        <f t="shared" si="92"/>
        <v>77.523995768929851</v>
      </c>
      <c r="AK132" s="21">
        <f t="shared" si="92"/>
        <v>72.981311592015658</v>
      </c>
      <c r="AL132" s="21">
        <f t="shared" si="92"/>
        <v>27.328265839692442</v>
      </c>
      <c r="AM132" s="22">
        <f t="shared" si="43"/>
        <v>29.338228432598754</v>
      </c>
      <c r="AN132" s="21">
        <f t="shared" ref="AN132:AS132" si="98">AN60*AN$12</f>
        <v>25.11391615197536</v>
      </c>
      <c r="AO132" s="23">
        <f t="shared" si="98"/>
        <v>16.90592998996113</v>
      </c>
      <c r="AP132" s="23">
        <f t="shared" si="98"/>
        <v>3.3811859979922265</v>
      </c>
      <c r="AQ132" s="24">
        <f t="shared" si="98"/>
        <v>63.426619829662442</v>
      </c>
      <c r="AR132" s="24">
        <f t="shared" si="98"/>
        <v>33.48311625356758</v>
      </c>
      <c r="AS132" s="24">
        <f t="shared" si="98"/>
        <v>69.303450857739278</v>
      </c>
      <c r="AT132" s="25">
        <f t="shared" si="90"/>
        <v>12.959799612108347</v>
      </c>
      <c r="AU132" s="25">
        <f t="shared" si="90"/>
        <v>17.142939185243627</v>
      </c>
      <c r="AV132" s="26">
        <f t="shared" si="91"/>
        <v>45.861142654676009</v>
      </c>
      <c r="AW132" s="26">
        <f t="shared" si="91"/>
        <v>39.145386427197721</v>
      </c>
      <c r="AX132" s="27" t="e">
        <f t="shared" si="91"/>
        <v>#NUM!</v>
      </c>
      <c r="AY132" s="27" t="e">
        <f t="shared" si="91"/>
        <v>#NUM!</v>
      </c>
      <c r="AZ132" t="e">
        <f>NA()</f>
        <v>#N/A</v>
      </c>
      <c r="BA132" s="22">
        <f t="shared" si="45"/>
        <v>29.338228432598754</v>
      </c>
      <c r="BB132" s="22">
        <f t="shared" si="46"/>
        <v>51.060019162642718</v>
      </c>
    </row>
    <row r="133" spans="4:54" x14ac:dyDescent="0.3">
      <c r="D133">
        <v>48</v>
      </c>
      <c r="F133">
        <v>47</v>
      </c>
      <c r="G133" s="21"/>
      <c r="H133" s="21"/>
      <c r="I133" s="21"/>
      <c r="J133" s="21"/>
      <c r="K133" s="21"/>
      <c r="L133" s="22"/>
      <c r="M133" s="21"/>
      <c r="N133" s="23"/>
      <c r="O133" s="23"/>
      <c r="P133" s="24"/>
      <c r="Q133" s="24"/>
      <c r="R133" s="24"/>
      <c r="S133" s="25"/>
      <c r="T133" s="25"/>
      <c r="U133" s="26"/>
      <c r="V133" s="26"/>
      <c r="W133" s="27"/>
      <c r="X133" s="27"/>
      <c r="Y133" t="e">
        <f>NA()</f>
        <v>#N/A</v>
      </c>
      <c r="Z133" s="22">
        <f t="shared" si="39"/>
        <v>0</v>
      </c>
      <c r="AA133" s="22">
        <f t="shared" si="40"/>
        <v>0</v>
      </c>
      <c r="AE133">
        <v>48</v>
      </c>
      <c r="AG133">
        <f t="shared" si="41"/>
        <v>46.806056521639796</v>
      </c>
      <c r="AH133" s="21">
        <f t="shared" si="80"/>
        <v>73.211296843594539</v>
      </c>
      <c r="AI133" s="21">
        <f t="shared" si="92"/>
        <v>74.794982731805746</v>
      </c>
      <c r="AJ133" s="21">
        <f t="shared" si="92"/>
        <v>79.16444401854433</v>
      </c>
      <c r="AK133" s="21">
        <f t="shared" si="92"/>
        <v>74.182177139209841</v>
      </c>
      <c r="AL133" s="21">
        <f t="shared" si="92"/>
        <v>27.667691859955827</v>
      </c>
      <c r="AM133" s="22">
        <f t="shared" si="43"/>
        <v>29.529432540857261</v>
      </c>
      <c r="AN133" s="21">
        <f t="shared" ref="AN133:AS133" si="99">AN61*AN$12</f>
        <v>25.647756374661853</v>
      </c>
      <c r="AO133" s="23">
        <f t="shared" si="99"/>
        <v>17.258041180448611</v>
      </c>
      <c r="AP133" s="23">
        <f t="shared" si="99"/>
        <v>3.4516082360897227</v>
      </c>
      <c r="AQ133" s="24">
        <f t="shared" si="99"/>
        <v>64.319909409143122</v>
      </c>
      <c r="AR133" s="24">
        <f t="shared" si="99"/>
        <v>33.890215527105241</v>
      </c>
      <c r="AS133" s="24">
        <f t="shared" si="99"/>
        <v>69.738576202212073</v>
      </c>
      <c r="AT133" s="25">
        <f t="shared" si="90"/>
        <v>13.149294411950184</v>
      </c>
      <c r="AU133" s="25">
        <f t="shared" si="90"/>
        <v>17.41435067313472</v>
      </c>
      <c r="AV133" s="26">
        <f t="shared" si="91"/>
        <v>46.672002507261233</v>
      </c>
      <c r="AW133" s="26">
        <f t="shared" si="91"/>
        <v>39.816372701595569</v>
      </c>
      <c r="AX133" s="27" t="e">
        <f t="shared" si="91"/>
        <v>#NUM!</v>
      </c>
      <c r="AY133" s="27" t="e">
        <f t="shared" si="91"/>
        <v>#NUM!</v>
      </c>
      <c r="AZ133" t="e">
        <f>NA()</f>
        <v>#N/A</v>
      </c>
      <c r="BA133" s="22">
        <f t="shared" si="45"/>
        <v>29.529432540857261</v>
      </c>
      <c r="BB133" s="22">
        <f t="shared" si="46"/>
        <v>51.363427522310694</v>
      </c>
    </row>
    <row r="134" spans="4:54" x14ac:dyDescent="0.3">
      <c r="D134">
        <v>49</v>
      </c>
      <c r="F134">
        <v>48</v>
      </c>
      <c r="G134" s="21"/>
      <c r="H134" s="21"/>
      <c r="I134" s="21"/>
      <c r="J134" s="21"/>
      <c r="K134" s="21"/>
      <c r="L134" s="22"/>
      <c r="M134" s="21"/>
      <c r="N134" s="23"/>
      <c r="O134" s="23"/>
      <c r="P134" s="24"/>
      <c r="Q134" s="24"/>
      <c r="R134" s="24"/>
      <c r="S134" s="25"/>
      <c r="T134" s="25"/>
      <c r="U134" s="26"/>
      <c r="V134" s="26"/>
      <c r="W134" s="27"/>
      <c r="X134" s="27"/>
      <c r="Y134" t="e">
        <f>NA()</f>
        <v>#N/A</v>
      </c>
      <c r="Z134" s="22">
        <f t="shared" si="39"/>
        <v>0</v>
      </c>
      <c r="AA134" s="22">
        <f t="shared" si="40"/>
        <v>0</v>
      </c>
      <c r="AE134">
        <v>49</v>
      </c>
      <c r="AG134">
        <f t="shared" si="41"/>
        <v>47.791322808443105</v>
      </c>
      <c r="AH134" s="21">
        <f t="shared" si="80"/>
        <v>74.244590609263994</v>
      </c>
      <c r="AI134" s="21">
        <f t="shared" si="92"/>
        <v>75.918492906011778</v>
      </c>
      <c r="AJ134" s="21">
        <f t="shared" si="92"/>
        <v>80.627644258937394</v>
      </c>
      <c r="AK134" s="21">
        <f t="shared" si="92"/>
        <v>75.261424393595476</v>
      </c>
      <c r="AL134" s="21">
        <f t="shared" si="92"/>
        <v>27.9613474792476</v>
      </c>
      <c r="AM134" s="22">
        <f t="shared" si="43"/>
        <v>29.692361439170433</v>
      </c>
      <c r="AN134" s="21">
        <f t="shared" ref="AN134:AS134" si="100">AN62*AN$12</f>
        <v>26.129235896566126</v>
      </c>
      <c r="AO134" s="23">
        <f t="shared" si="100"/>
        <v>17.577174558432116</v>
      </c>
      <c r="AP134" s="23">
        <f t="shared" si="100"/>
        <v>3.5154349116864236</v>
      </c>
      <c r="AQ134" s="24">
        <f t="shared" si="100"/>
        <v>65.12072895958292</v>
      </c>
      <c r="AR134" s="24">
        <f t="shared" si="100"/>
        <v>34.250507148804118</v>
      </c>
      <c r="AS134" s="24">
        <f t="shared" si="100"/>
        <v>70.108239823108619</v>
      </c>
      <c r="AT134" s="25">
        <f t="shared" si="90"/>
        <v>13.319093409237606</v>
      </c>
      <c r="AU134" s="25">
        <f t="shared" si="90"/>
        <v>17.657082123041278</v>
      </c>
      <c r="AV134" s="26">
        <f t="shared" si="91"/>
        <v>47.402813877187342</v>
      </c>
      <c r="AW134" s="26">
        <f t="shared" si="91"/>
        <v>40.420410686569682</v>
      </c>
      <c r="AX134" s="27" t="e">
        <f t="shared" si="91"/>
        <v>#NUM!</v>
      </c>
      <c r="AY134" s="27" t="e">
        <f t="shared" si="91"/>
        <v>#NUM!</v>
      </c>
      <c r="AZ134" t="e">
        <f>NA()</f>
        <v>#N/A</v>
      </c>
      <c r="BA134" s="22">
        <f t="shared" si="45"/>
        <v>29.692361439170433</v>
      </c>
      <c r="BB134" s="22">
        <f t="shared" si="46"/>
        <v>51.629084828034706</v>
      </c>
    </row>
    <row r="135" spans="4:54" x14ac:dyDescent="0.3">
      <c r="D135">
        <v>50</v>
      </c>
      <c r="F135">
        <v>49</v>
      </c>
      <c r="G135" s="21"/>
      <c r="H135" s="21"/>
      <c r="I135" s="21"/>
      <c r="J135" s="21"/>
      <c r="K135" s="21"/>
      <c r="L135" s="22"/>
      <c r="M135" s="21"/>
      <c r="N135" s="23"/>
      <c r="O135" s="23"/>
      <c r="P135" s="24"/>
      <c r="Q135" s="24"/>
      <c r="R135" s="24"/>
      <c r="S135" s="25"/>
      <c r="T135" s="25"/>
      <c r="U135" s="26"/>
      <c r="V135" s="26"/>
      <c r="W135" s="27"/>
      <c r="X135" s="27"/>
      <c r="Y135" t="e">
        <f>NA()</f>
        <v>#N/A</v>
      </c>
      <c r="Z135" s="22">
        <f t="shared" si="39"/>
        <v>0</v>
      </c>
      <c r="AA135" s="22">
        <f t="shared" si="40"/>
        <v>0</v>
      </c>
      <c r="AE135">
        <v>50</v>
      </c>
      <c r="AG135">
        <f t="shared" si="41"/>
        <v>48.699202568119411</v>
      </c>
      <c r="AH135" s="21">
        <f t="shared" si="80"/>
        <v>75.149112124329065</v>
      </c>
      <c r="AI135" s="21">
        <f t="shared" si="92"/>
        <v>76.931225362678106</v>
      </c>
      <c r="AJ135" s="21">
        <f t="shared" si="92"/>
        <v>81.935319454418462</v>
      </c>
      <c r="AK135" s="21">
        <f t="shared" si="92"/>
        <v>76.233101494710269</v>
      </c>
      <c r="AL135" s="21">
        <f t="shared" si="92"/>
        <v>28.21652685415815</v>
      </c>
      <c r="AM135" s="22">
        <f t="shared" si="43"/>
        <v>29.832012498987883</v>
      </c>
      <c r="AN135" s="21">
        <f t="shared" ref="AN135:AS135" si="101">AN63*AN$12</f>
        <v>26.564068482403886</v>
      </c>
      <c r="AO135" s="23">
        <f t="shared" si="101"/>
        <v>17.866728828358923</v>
      </c>
      <c r="AP135" s="23">
        <f t="shared" si="101"/>
        <v>3.5733457656717853</v>
      </c>
      <c r="AQ135" s="24">
        <f t="shared" si="101"/>
        <v>65.840124907574292</v>
      </c>
      <c r="AR135" s="24">
        <f t="shared" si="101"/>
        <v>34.570318778297136</v>
      </c>
      <c r="AS135" s="24">
        <f t="shared" si="101"/>
        <v>70.4242085930115</v>
      </c>
      <c r="AT135" s="25">
        <f t="shared" si="90"/>
        <v>13.471556714324009</v>
      </c>
      <c r="AU135" s="25">
        <f t="shared" si="90"/>
        <v>17.874623256712127</v>
      </c>
      <c r="AV135" s="26">
        <f t="shared" si="91"/>
        <v>48.062504658543766</v>
      </c>
      <c r="AW135" s="26">
        <f t="shared" si="91"/>
        <v>40.965078165888961</v>
      </c>
      <c r="AX135" s="27" t="e">
        <f t="shared" si="91"/>
        <v>#NUM!</v>
      </c>
      <c r="AY135" s="27" t="e">
        <f t="shared" si="91"/>
        <v>#NUM!</v>
      </c>
      <c r="AZ135" t="e">
        <f>NA()</f>
        <v>#N/A</v>
      </c>
      <c r="BA135" s="22">
        <f t="shared" si="45"/>
        <v>29.832012498987883</v>
      </c>
      <c r="BB135" s="22">
        <f t="shared" si="46"/>
        <v>51.862623433392777</v>
      </c>
    </row>
    <row r="136" spans="4:54" x14ac:dyDescent="0.3">
      <c r="D136">
        <v>51</v>
      </c>
      <c r="F136">
        <v>50</v>
      </c>
      <c r="G136" s="21"/>
      <c r="H136" s="21"/>
      <c r="I136" s="21"/>
      <c r="J136" s="21"/>
      <c r="K136" s="21"/>
      <c r="L136" s="22"/>
      <c r="M136" s="21"/>
      <c r="N136" s="23"/>
      <c r="O136" s="23"/>
      <c r="P136" s="24"/>
      <c r="Q136" s="24"/>
      <c r="R136" s="24"/>
      <c r="S136" s="25"/>
      <c r="T136" s="25"/>
      <c r="U136" s="26"/>
      <c r="V136" s="26"/>
      <c r="W136" s="27"/>
      <c r="X136" s="27"/>
      <c r="Y136" t="e">
        <f>NA()</f>
        <v>#N/A</v>
      </c>
      <c r="Z136" s="22">
        <f t="shared" si="39"/>
        <v>0</v>
      </c>
      <c r="AA136" s="22">
        <f t="shared" si="40"/>
        <v>0</v>
      </c>
      <c r="AE136">
        <v>51</v>
      </c>
      <c r="AG136">
        <f t="shared" si="41"/>
        <v>49.535774030139265</v>
      </c>
      <c r="AH136" s="21">
        <f t="shared" si="80"/>
        <v>75.943661173931176</v>
      </c>
      <c r="AI136" s="21">
        <f t="shared" si="92"/>
        <v>77.845547882988924</v>
      </c>
      <c r="AJ136" s="21">
        <f t="shared" si="92"/>
        <v>83.1062567592205</v>
      </c>
      <c r="AK136" s="21">
        <f t="shared" si="92"/>
        <v>77.109398441316046</v>
      </c>
      <c r="AL136" s="21">
        <f t="shared" si="92"/>
        <v>28.439199139034855</v>
      </c>
      <c r="AM136" s="22">
        <f t="shared" si="43"/>
        <v>29.952367007554216</v>
      </c>
      <c r="AN136" s="21">
        <f t="shared" ref="AN136:AS136" si="102">AN64*AN$12</f>
        <v>26.957281415848559</v>
      </c>
      <c r="AO136" s="23">
        <f t="shared" si="102"/>
        <v>18.129716278276227</v>
      </c>
      <c r="AP136" s="23">
        <f t="shared" si="102"/>
        <v>3.6259432556552458</v>
      </c>
      <c r="AQ136" s="24">
        <f t="shared" si="102"/>
        <v>66.487611868077551</v>
      </c>
      <c r="AR136" s="24">
        <f t="shared" si="102"/>
        <v>34.854985783113406</v>
      </c>
      <c r="AS136" s="24">
        <f t="shared" si="102"/>
        <v>70.695819086075389</v>
      </c>
      <c r="AT136" s="25">
        <f t="shared" si="90"/>
        <v>13.60871732204769</v>
      </c>
      <c r="AU136" s="25">
        <f t="shared" si="90"/>
        <v>18.069976961408109</v>
      </c>
      <c r="AV136" s="26">
        <f t="shared" si="91"/>
        <v>48.658871074977696</v>
      </c>
      <c r="AW136" s="26">
        <f t="shared" si="91"/>
        <v>41.456974753950284</v>
      </c>
      <c r="AX136" s="27" t="e">
        <f t="shared" si="91"/>
        <v>#NUM!</v>
      </c>
      <c r="AY136" s="27" t="e">
        <f t="shared" si="91"/>
        <v>#NUM!</v>
      </c>
      <c r="AZ136" t="e">
        <f>NA()</f>
        <v>#N/A</v>
      </c>
      <c r="BA136" s="22">
        <f t="shared" si="45"/>
        <v>29.952367007554216</v>
      </c>
      <c r="BB136" s="22">
        <f t="shared" si="46"/>
        <v>52.068687058687935</v>
      </c>
    </row>
    <row r="137" spans="4:54" x14ac:dyDescent="0.3">
      <c r="D137">
        <v>52</v>
      </c>
      <c r="F137">
        <v>51</v>
      </c>
      <c r="G137" s="21"/>
      <c r="H137" s="21"/>
      <c r="I137" s="21"/>
      <c r="J137" s="21"/>
      <c r="K137" s="21"/>
      <c r="L137" s="22"/>
      <c r="M137" s="21"/>
      <c r="N137" s="23"/>
      <c r="O137" s="23"/>
      <c r="P137" s="24"/>
      <c r="Q137" s="24"/>
      <c r="R137" s="24"/>
      <c r="S137" s="25"/>
      <c r="T137" s="25"/>
      <c r="U137" s="26"/>
      <c r="V137" s="26"/>
      <c r="W137" s="27"/>
      <c r="X137" s="27"/>
      <c r="Y137" t="e">
        <f>NA()</f>
        <v>#N/A</v>
      </c>
      <c r="Z137" s="22">
        <f t="shared" si="39"/>
        <v>0</v>
      </c>
      <c r="AA137" s="22">
        <f t="shared" si="40"/>
        <v>0</v>
      </c>
      <c r="AE137">
        <v>52</v>
      </c>
      <c r="AG137">
        <f t="shared" si="41"/>
        <v>50.306638016924872</v>
      </c>
      <c r="AH137" s="21">
        <f t="shared" si="80"/>
        <v>76.643922381837399</v>
      </c>
      <c r="AI137" s="21">
        <f t="shared" si="92"/>
        <v>78.672249775730748</v>
      </c>
      <c r="AJ137" s="21">
        <f t="shared" si="92"/>
        <v>84.156714529067216</v>
      </c>
      <c r="AK137" s="21">
        <f t="shared" si="92"/>
        <v>77.900921251600295</v>
      </c>
      <c r="AL137" s="21">
        <f t="shared" si="92"/>
        <v>28.634271620672738</v>
      </c>
      <c r="AM137" s="22">
        <f t="shared" si="43"/>
        <v>30.056619542590166</v>
      </c>
      <c r="AN137" s="21">
        <f t="shared" ref="AN137:AS137" si="103">AN65*AN$12</f>
        <v>27.313301094228397</v>
      </c>
      <c r="AO137" s="23">
        <f t="shared" si="103"/>
        <v>18.368809367669019</v>
      </c>
      <c r="AP137" s="23">
        <f t="shared" si="103"/>
        <v>3.6737618735338047</v>
      </c>
      <c r="AQ137" s="24">
        <f t="shared" si="103"/>
        <v>67.07141389420886</v>
      </c>
      <c r="AR137" s="24">
        <f t="shared" si="103"/>
        <v>35.109025832599123</v>
      </c>
      <c r="AS137" s="24">
        <f t="shared" si="103"/>
        <v>70.930534328554742</v>
      </c>
      <c r="AT137" s="25">
        <f t="shared" si="90"/>
        <v>13.732332283577637</v>
      </c>
      <c r="AU137" s="25">
        <f t="shared" si="90"/>
        <v>18.245734662998739</v>
      </c>
      <c r="AV137" s="26">
        <f t="shared" si="91"/>
        <v>49.198736493184128</v>
      </c>
      <c r="AW137" s="26">
        <f t="shared" si="91"/>
        <v>41.901862202592774</v>
      </c>
      <c r="AX137" s="27" t="e">
        <f t="shared" si="91"/>
        <v>#NUM!</v>
      </c>
      <c r="AY137" s="27" t="e">
        <f t="shared" si="91"/>
        <v>#NUM!</v>
      </c>
      <c r="AZ137" t="e">
        <f>NA()</f>
        <v>#N/A</v>
      </c>
      <c r="BA137" s="22">
        <f t="shared" si="45"/>
        <v>30.056619542590166</v>
      </c>
      <c r="BB137" s="22">
        <f t="shared" si="46"/>
        <v>52.251128516169139</v>
      </c>
    </row>
    <row r="138" spans="4:54" x14ac:dyDescent="0.3">
      <c r="D138">
        <v>53</v>
      </c>
      <c r="F138">
        <v>52</v>
      </c>
      <c r="G138" s="21"/>
      <c r="H138" s="21"/>
      <c r="I138" s="21"/>
      <c r="J138" s="21"/>
      <c r="K138" s="21"/>
      <c r="L138" s="22"/>
      <c r="M138" s="21"/>
      <c r="N138" s="23"/>
      <c r="O138" s="23"/>
      <c r="P138" s="24"/>
      <c r="Q138" s="24"/>
      <c r="R138" s="24"/>
      <c r="S138" s="25"/>
      <c r="T138" s="25"/>
      <c r="U138" s="26"/>
      <c r="V138" s="26"/>
      <c r="W138" s="27"/>
      <c r="X138" s="27"/>
      <c r="Y138" t="e">
        <f>NA()</f>
        <v>#N/A</v>
      </c>
      <c r="Z138" s="22">
        <f t="shared" si="39"/>
        <v>0</v>
      </c>
      <c r="AA138" s="22">
        <f t="shared" si="40"/>
        <v>0</v>
      </c>
      <c r="AE138">
        <v>53</v>
      </c>
      <c r="AG138">
        <f t="shared" si="41"/>
        <v>51.016955441198782</v>
      </c>
      <c r="AH138" s="21">
        <f t="shared" si="80"/>
        <v>77.263024785615528</v>
      </c>
      <c r="AI138" s="21">
        <f t="shared" si="92"/>
        <v>79.420767503809273</v>
      </c>
      <c r="AJ138" s="21">
        <f t="shared" si="92"/>
        <v>85.10078035671134</v>
      </c>
      <c r="AK138" s="21">
        <f t="shared" si="92"/>
        <v>78.616923046704258</v>
      </c>
      <c r="AL138" s="21">
        <f t="shared" si="92"/>
        <v>28.805797906156378</v>
      </c>
      <c r="AM138" s="22">
        <f t="shared" si="43"/>
        <v>30.147351333531091</v>
      </c>
      <c r="AN138" s="21">
        <f t="shared" ref="AN138:AS138" si="104">AN66*AN$12</f>
        <v>27.636029192101258</v>
      </c>
      <c r="AO138" s="23">
        <f t="shared" si="104"/>
        <v>18.586382017203594</v>
      </c>
      <c r="AP138" s="23">
        <f t="shared" si="104"/>
        <v>3.7172764034407186</v>
      </c>
      <c r="AQ138" s="24">
        <f t="shared" si="104"/>
        <v>67.598664017032348</v>
      </c>
      <c r="AR138" s="24">
        <f t="shared" si="104"/>
        <v>35.336280224458939</v>
      </c>
      <c r="AS138" s="24">
        <f t="shared" si="104"/>
        <v>71.13436264901496</v>
      </c>
      <c r="AT138" s="25">
        <f t="shared" si="90"/>
        <v>13.843925174264252</v>
      </c>
      <c r="AU138" s="25">
        <f t="shared" si="90"/>
        <v>18.404139358761597</v>
      </c>
      <c r="AV138" s="26">
        <f t="shared" si="91"/>
        <v>49.688086865346506</v>
      </c>
      <c r="AW138" s="26">
        <f t="shared" si="91"/>
        <v>42.304783441491942</v>
      </c>
      <c r="AX138" s="27" t="e">
        <f t="shared" si="91"/>
        <v>#NUM!</v>
      </c>
      <c r="AY138" s="27" t="e">
        <f t="shared" si="91"/>
        <v>#NUM!</v>
      </c>
      <c r="AZ138" t="e">
        <f>NA()</f>
        <v>#N/A</v>
      </c>
      <c r="BA138" s="22">
        <f t="shared" si="45"/>
        <v>30.147351333531091</v>
      </c>
      <c r="BB138" s="22">
        <f t="shared" si="46"/>
        <v>52.41316357961427</v>
      </c>
    </row>
    <row r="139" spans="4:54" x14ac:dyDescent="0.3">
      <c r="D139">
        <v>54</v>
      </c>
      <c r="F139">
        <v>53</v>
      </c>
      <c r="G139" s="21"/>
      <c r="H139" s="21"/>
      <c r="I139" s="21"/>
      <c r="J139" s="21"/>
      <c r="K139" s="21"/>
      <c r="L139" s="22"/>
      <c r="M139" s="21"/>
      <c r="N139" s="23"/>
      <c r="O139" s="23"/>
      <c r="P139" s="24"/>
      <c r="Q139" s="24"/>
      <c r="R139" s="24"/>
      <c r="S139" s="25"/>
      <c r="T139" s="25"/>
      <c r="U139" s="26"/>
      <c r="V139" s="26"/>
      <c r="W139" s="27"/>
      <c r="X139" s="27"/>
      <c r="Y139" t="e">
        <f>NA()</f>
        <v>#N/A</v>
      </c>
      <c r="Z139" s="22">
        <f t="shared" si="39"/>
        <v>0</v>
      </c>
      <c r="AA139" s="22">
        <f t="shared" si="40"/>
        <v>0</v>
      </c>
      <c r="AE139">
        <v>54</v>
      </c>
      <c r="AG139">
        <f t="shared" si="41"/>
        <v>51.671481858149477</v>
      </c>
      <c r="AH139" s="21">
        <f t="shared" si="80"/>
        <v>77.811997993925473</v>
      </c>
      <c r="AI139" s="21">
        <f t="shared" si="92"/>
        <v>80.099375699439591</v>
      </c>
      <c r="AJ139" s="21">
        <f t="shared" si="92"/>
        <v>85.950681585250464</v>
      </c>
      <c r="AK139" s="21">
        <f t="shared" si="92"/>
        <v>79.265498800060016</v>
      </c>
      <c r="AL139" s="21">
        <f t="shared" si="92"/>
        <v>28.957142710018474</v>
      </c>
      <c r="AM139" s="22">
        <f t="shared" si="43"/>
        <v>30.226662120891906</v>
      </c>
      <c r="AN139" s="21">
        <f t="shared" ref="AN139:AS139" si="105">AN67*AN$12</f>
        <v>27.92890968218391</v>
      </c>
      <c r="AO139" s="23">
        <f t="shared" si="105"/>
        <v>18.784545940612571</v>
      </c>
      <c r="AP139" s="23">
        <f t="shared" si="105"/>
        <v>3.7569091881225143</v>
      </c>
      <c r="AQ139" s="24">
        <f t="shared" si="105"/>
        <v>68.075569723396612</v>
      </c>
      <c r="AR139" s="24">
        <f t="shared" si="105"/>
        <v>35.540028585510377</v>
      </c>
      <c r="AS139" s="24">
        <f t="shared" si="105"/>
        <v>71.312174860279299</v>
      </c>
      <c r="AT139" s="25">
        <f t="shared" si="90"/>
        <v>13.944821402630344</v>
      </c>
      <c r="AU139" s="25">
        <f t="shared" si="90"/>
        <v>18.547138307436764</v>
      </c>
      <c r="AV139" s="26">
        <f t="shared" si="91"/>
        <v>50.132186077846981</v>
      </c>
      <c r="AW139" s="26">
        <f t="shared" si="91"/>
        <v>42.670163494296048</v>
      </c>
      <c r="AX139" s="27" t="e">
        <f t="shared" si="91"/>
        <v>#NUM!</v>
      </c>
      <c r="AY139" s="27" t="e">
        <f t="shared" si="91"/>
        <v>#NUM!</v>
      </c>
      <c r="AZ139" t="e">
        <f>NA()</f>
        <v>#N/A</v>
      </c>
      <c r="BA139" s="22">
        <f t="shared" si="45"/>
        <v>30.226662120891906</v>
      </c>
      <c r="BB139" s="22">
        <f t="shared" si="46"/>
        <v>52.557491588187062</v>
      </c>
    </row>
    <row r="140" spans="4:54" x14ac:dyDescent="0.3">
      <c r="D140">
        <v>55</v>
      </c>
      <c r="F140">
        <v>54</v>
      </c>
      <c r="G140" s="21"/>
      <c r="H140" s="21"/>
      <c r="I140" s="21"/>
      <c r="J140" s="21"/>
      <c r="K140" s="21"/>
      <c r="L140" s="22"/>
      <c r="M140" s="21"/>
      <c r="N140" s="23"/>
      <c r="O140" s="23"/>
      <c r="P140" s="24"/>
      <c r="Q140" s="24"/>
      <c r="R140" s="24"/>
      <c r="S140" s="25"/>
      <c r="T140" s="25"/>
      <c r="U140" s="26"/>
      <c r="V140" s="26"/>
      <c r="W140" s="27"/>
      <c r="X140" s="27"/>
      <c r="Y140" t="e">
        <f>NA()</f>
        <v>#N/A</v>
      </c>
      <c r="Z140" s="22">
        <f t="shared" si="39"/>
        <v>0</v>
      </c>
      <c r="AA140" s="22">
        <f t="shared" si="40"/>
        <v>0</v>
      </c>
      <c r="AE140">
        <v>55</v>
      </c>
      <c r="AG140">
        <f t="shared" si="41"/>
        <v>52.274599303739727</v>
      </c>
      <c r="AH140" s="21">
        <f t="shared" si="80"/>
        <v>78.30014310862407</v>
      </c>
      <c r="AI140" s="21">
        <f t="shared" si="92"/>
        <v>80.715348927976521</v>
      </c>
      <c r="AJ140" s="21">
        <f t="shared" si="92"/>
        <v>86.717052169346815</v>
      </c>
      <c r="AK140" s="21">
        <f t="shared" si="92"/>
        <v>79.853749583440774</v>
      </c>
      <c r="AL140" s="21">
        <f t="shared" si="92"/>
        <v>29.09111252314122</v>
      </c>
      <c r="AM140" s="22">
        <f t="shared" si="43"/>
        <v>30.296271103552549</v>
      </c>
      <c r="AN140" s="21">
        <f t="shared" ref="AN140:AS140" si="106">AN68*AN$12</f>
        <v>28.194987383024415</v>
      </c>
      <c r="AO140" s="23">
        <f t="shared" si="106"/>
        <v>18.965182466221215</v>
      </c>
      <c r="AP140" s="23">
        <f t="shared" si="106"/>
        <v>3.7930364932442431</v>
      </c>
      <c r="AQ140" s="24">
        <f t="shared" si="106"/>
        <v>68.50755058731184</v>
      </c>
      <c r="AR140" s="24">
        <f t="shared" si="106"/>
        <v>35.723082251306856</v>
      </c>
      <c r="AS140" s="24">
        <f t="shared" si="106"/>
        <v>71.467946071521396</v>
      </c>
      <c r="AT140" s="25">
        <f t="shared" si="90"/>
        <v>14.036177634440525</v>
      </c>
      <c r="AU140" s="25">
        <f t="shared" si="90"/>
        <v>18.676427098532187</v>
      </c>
      <c r="AV140" s="26">
        <f t="shared" si="91"/>
        <v>50.535674158956859</v>
      </c>
      <c r="AW140" s="26">
        <f t="shared" si="91"/>
        <v>43.00189504544948</v>
      </c>
      <c r="AX140" s="27" t="e">
        <f t="shared" si="91"/>
        <v>#NUM!</v>
      </c>
      <c r="AY140" s="27" t="e">
        <f t="shared" si="91"/>
        <v>#NUM!</v>
      </c>
      <c r="AZ140" t="e">
        <f>NA()</f>
        <v>#N/A</v>
      </c>
      <c r="BA140" s="22">
        <f t="shared" si="45"/>
        <v>30.296271103552549</v>
      </c>
      <c r="BB140" s="22">
        <f t="shared" si="46"/>
        <v>52.686390625628981</v>
      </c>
    </row>
    <row r="141" spans="4:54" x14ac:dyDescent="0.3">
      <c r="D141">
        <v>56</v>
      </c>
      <c r="F141">
        <v>55</v>
      </c>
      <c r="G141" s="21"/>
      <c r="H141" s="21"/>
      <c r="I141" s="21"/>
      <c r="J141" s="21"/>
      <c r="K141" s="21"/>
      <c r="L141" s="22"/>
      <c r="M141" s="21"/>
      <c r="N141" s="23"/>
      <c r="O141" s="23"/>
      <c r="P141" s="24"/>
      <c r="Q141" s="24"/>
      <c r="R141" s="24"/>
      <c r="S141" s="25"/>
      <c r="T141" s="25"/>
      <c r="U141" s="26"/>
      <c r="V141" s="26"/>
      <c r="W141" s="27"/>
      <c r="X141" s="27"/>
      <c r="Y141" t="e">
        <f>NA()</f>
        <v>#N/A</v>
      </c>
      <c r="Z141" s="22">
        <f t="shared" si="39"/>
        <v>0</v>
      </c>
      <c r="AA141" s="22">
        <f t="shared" si="40"/>
        <v>0</v>
      </c>
      <c r="AE141">
        <v>56</v>
      </c>
      <c r="AG141">
        <f t="shared" si="41"/>
        <v>52.830345632314121</v>
      </c>
      <c r="AH141" s="21">
        <f t="shared" si="80"/>
        <v>78.735334153268511</v>
      </c>
      <c r="AI141" s="21">
        <f t="shared" si="92"/>
        <v>81.275098815744826</v>
      </c>
      <c r="AJ141" s="21">
        <f t="shared" si="92"/>
        <v>87.409160707791173</v>
      </c>
      <c r="AK141" s="21">
        <f t="shared" si="92"/>
        <v>80.387921271115829</v>
      </c>
      <c r="AL141" s="21">
        <f t="shared" si="92"/>
        <v>29.210059509189321</v>
      </c>
      <c r="AM141" s="22">
        <f t="shared" si="43"/>
        <v>30.357594728370898</v>
      </c>
      <c r="AN141" s="21">
        <f t="shared" ref="AN141:AS141" si="107">AN69*AN$12</f>
        <v>28.436958865485554</v>
      </c>
      <c r="AO141" s="23">
        <f t="shared" si="107"/>
        <v>19.129970328548161</v>
      </c>
      <c r="AP141" s="23">
        <f t="shared" si="107"/>
        <v>3.8259940657096325</v>
      </c>
      <c r="AQ141" s="24">
        <f t="shared" si="107"/>
        <v>68.899353096131179</v>
      </c>
      <c r="AR141" s="24">
        <f t="shared" si="107"/>
        <v>35.887860546136174</v>
      </c>
      <c r="AS141" s="24">
        <f t="shared" si="107"/>
        <v>71.604941289736288</v>
      </c>
      <c r="AT141" s="25">
        <f t="shared" si="90"/>
        <v>14.119006376476712</v>
      </c>
      <c r="AU141" s="25">
        <f t="shared" si="90"/>
        <v>18.793486558302035</v>
      </c>
      <c r="AV141" s="26">
        <f t="shared" si="91"/>
        <v>50.902650935249696</v>
      </c>
      <c r="AW141" s="26">
        <f t="shared" si="91"/>
        <v>43.303411056597056</v>
      </c>
      <c r="AX141" s="27" t="e">
        <f t="shared" si="91"/>
        <v>#NUM!</v>
      </c>
      <c r="AY141" s="27" t="e">
        <f t="shared" si="91"/>
        <v>#NUM!</v>
      </c>
      <c r="AZ141" t="e">
        <f>NA()</f>
        <v>#N/A</v>
      </c>
      <c r="BA141" s="22">
        <f t="shared" si="45"/>
        <v>30.357594728370898</v>
      </c>
      <c r="BB141" s="22">
        <f t="shared" si="46"/>
        <v>52.801793126797122</v>
      </c>
    </row>
    <row r="142" spans="4:54" x14ac:dyDescent="0.3">
      <c r="D142">
        <v>57</v>
      </c>
      <c r="F142">
        <v>56</v>
      </c>
      <c r="G142" s="21"/>
      <c r="H142" s="21"/>
      <c r="I142" s="21"/>
      <c r="J142" s="21"/>
      <c r="K142" s="21"/>
      <c r="L142" s="22"/>
      <c r="M142" s="21"/>
      <c r="N142" s="23"/>
      <c r="O142" s="23"/>
      <c r="P142" s="24"/>
      <c r="Q142" s="24"/>
      <c r="R142" s="24"/>
      <c r="S142" s="25"/>
      <c r="T142" s="25"/>
      <c r="U142" s="26"/>
      <c r="V142" s="26"/>
      <c r="W142" s="27"/>
      <c r="X142" s="27"/>
      <c r="Y142" t="e">
        <f>NA()</f>
        <v>#N/A</v>
      </c>
      <c r="Z142" s="22">
        <f t="shared" si="39"/>
        <v>0</v>
      </c>
      <c r="AA142" s="22">
        <f t="shared" si="40"/>
        <v>0</v>
      </c>
      <c r="AE142">
        <v>57</v>
      </c>
      <c r="AG142">
        <f t="shared" si="41"/>
        <v>53.342441549920437</v>
      </c>
      <c r="AH142" s="21">
        <f t="shared" si="80"/>
        <v>79.124263197678474</v>
      </c>
      <c r="AI142" s="21">
        <f t="shared" si="92"/>
        <v>81.784290466245352</v>
      </c>
      <c r="AJ142" s="21">
        <f t="shared" si="92"/>
        <v>88.035104625226438</v>
      </c>
      <c r="AK142" s="21">
        <f t="shared" si="92"/>
        <v>80.873521880672385</v>
      </c>
      <c r="AL142" s="21">
        <f t="shared" si="92"/>
        <v>29.315964389876271</v>
      </c>
      <c r="AM142" s="22">
        <f t="shared" si="43"/>
        <v>30.411807025856568</v>
      </c>
      <c r="AN142" s="21">
        <f t="shared" ref="AN142:AS142" si="108">AN70*AN$12</f>
        <v>28.657216588268565</v>
      </c>
      <c r="AO142" s="23">
        <f t="shared" si="108"/>
        <v>19.280409901842766</v>
      </c>
      <c r="AP142" s="23">
        <f t="shared" si="108"/>
        <v>3.8560819803685535</v>
      </c>
      <c r="AQ142" s="24">
        <f t="shared" si="108"/>
        <v>69.255146758570248</v>
      </c>
      <c r="AR142" s="24">
        <f t="shared" si="108"/>
        <v>36.03645331827758</v>
      </c>
      <c r="AS142" s="24">
        <f t="shared" si="108"/>
        <v>71.725858835239734</v>
      </c>
      <c r="AT142" s="25">
        <f t="shared" si="90"/>
        <v>14.19419657410301</v>
      </c>
      <c r="AU142" s="25">
        <f t="shared" si="90"/>
        <v>18.899613711816336</v>
      </c>
      <c r="AV142" s="26">
        <f t="shared" si="91"/>
        <v>51.236747370218474</v>
      </c>
      <c r="AW142" s="26">
        <f t="shared" si="91"/>
        <v>43.577746478606933</v>
      </c>
      <c r="AX142" s="27" t="e">
        <f t="shared" si="91"/>
        <v>#NUM!</v>
      </c>
      <c r="AY142" s="27" t="e">
        <f t="shared" si="91"/>
        <v>#NUM!</v>
      </c>
      <c r="AZ142" t="e">
        <f>NA()</f>
        <v>#N/A</v>
      </c>
      <c r="BA142" s="22">
        <f t="shared" si="45"/>
        <v>30.411807025856568</v>
      </c>
      <c r="BB142" s="22">
        <f t="shared" si="46"/>
        <v>52.905346312337798</v>
      </c>
    </row>
    <row r="143" spans="4:54" x14ac:dyDescent="0.3">
      <c r="D143">
        <v>58</v>
      </c>
      <c r="F143">
        <v>57</v>
      </c>
      <c r="G143" s="21"/>
      <c r="H143" s="21"/>
      <c r="I143" s="21"/>
      <c r="J143" s="21"/>
      <c r="K143" s="21"/>
      <c r="L143" s="22"/>
      <c r="M143" s="21"/>
      <c r="N143" s="23"/>
      <c r="O143" s="23"/>
      <c r="P143" s="24"/>
      <c r="Q143" s="24"/>
      <c r="R143" s="24"/>
      <c r="S143" s="25"/>
      <c r="T143" s="25"/>
      <c r="U143" s="26"/>
      <c r="V143" s="26"/>
      <c r="W143" s="27"/>
      <c r="X143" s="27"/>
      <c r="Y143" t="e">
        <f>NA()</f>
        <v>#N/A</v>
      </c>
      <c r="Z143" s="22">
        <f t="shared" si="39"/>
        <v>0</v>
      </c>
      <c r="AA143" s="22">
        <f t="shared" si="40"/>
        <v>0</v>
      </c>
      <c r="AE143">
        <v>58</v>
      </c>
      <c r="AG143">
        <f t="shared" si="41"/>
        <v>53.814315524332059</v>
      </c>
      <c r="AH143" s="21">
        <f t="shared" si="80"/>
        <v>79.472640016049596</v>
      </c>
      <c r="AI143" s="21">
        <f t="shared" si="92"/>
        <v>82.247941474817921</v>
      </c>
      <c r="AJ143" s="21">
        <f t="shared" si="92"/>
        <v>88.601975223544898</v>
      </c>
      <c r="AK143" s="21">
        <f t="shared" si="92"/>
        <v>81.315421047212354</v>
      </c>
      <c r="AL143" s="21">
        <f t="shared" si="92"/>
        <v>29.41050281638238</v>
      </c>
      <c r="AM143" s="22">
        <f t="shared" si="43"/>
        <v>30.459886709001456</v>
      </c>
      <c r="AN143" s="21">
        <f t="shared" ref="AN143:AS143" si="109">AN71*AN$12</f>
        <v>28.857887102852715</v>
      </c>
      <c r="AO143" s="23">
        <f t="shared" si="109"/>
        <v>19.417844317095049</v>
      </c>
      <c r="AP143" s="23">
        <f t="shared" si="109"/>
        <v>3.88356886341901</v>
      </c>
      <c r="AQ143" s="24">
        <f t="shared" si="109"/>
        <v>69.578604809996392</v>
      </c>
      <c r="AR143" s="24">
        <f t="shared" si="109"/>
        <v>36.170672397045685</v>
      </c>
      <c r="AS143" s="24">
        <f t="shared" si="109"/>
        <v>71.832941893046808</v>
      </c>
      <c r="AT143" s="25">
        <f t="shared" si="90"/>
        <v>14.26253092005682</v>
      </c>
      <c r="AU143" s="25">
        <f t="shared" si="90"/>
        <v>18.995947814122406</v>
      </c>
      <c r="AV143" s="26">
        <f t="shared" si="91"/>
        <v>51.54118649058249</v>
      </c>
      <c r="AW143" s="26">
        <f t="shared" si="91"/>
        <v>43.827590789300707</v>
      </c>
      <c r="AX143" s="27" t="e">
        <f t="shared" si="91"/>
        <v>#NUM!</v>
      </c>
      <c r="AY143" s="27" t="e">
        <f t="shared" si="91"/>
        <v>#NUM!</v>
      </c>
      <c r="AZ143" t="e">
        <f>NA()</f>
        <v>#N/A</v>
      </c>
      <c r="BA143" s="22">
        <f t="shared" si="45"/>
        <v>30.459886709001456</v>
      </c>
      <c r="BB143" s="22">
        <f t="shared" si="46"/>
        <v>52.99846078504936</v>
      </c>
    </row>
    <row r="144" spans="4:54" x14ac:dyDescent="0.3">
      <c r="D144">
        <v>59</v>
      </c>
      <c r="F144">
        <v>58</v>
      </c>
      <c r="G144" s="21"/>
      <c r="H144" s="21"/>
      <c r="I144" s="21"/>
      <c r="J144" s="21"/>
      <c r="K144" s="21"/>
      <c r="L144" s="22"/>
      <c r="M144" s="21"/>
      <c r="N144" s="23"/>
      <c r="O144" s="23"/>
      <c r="P144" s="24"/>
      <c r="Q144" s="24"/>
      <c r="R144" s="24"/>
      <c r="S144" s="25"/>
      <c r="T144" s="25"/>
      <c r="U144" s="26"/>
      <c r="V144" s="26"/>
      <c r="W144" s="27"/>
      <c r="X144" s="27"/>
      <c r="Y144" t="e">
        <f>NA()</f>
        <v>#N/A</v>
      </c>
      <c r="Z144" s="22">
        <f t="shared" si="39"/>
        <v>0</v>
      </c>
      <c r="AA144" s="22">
        <f t="shared" si="40"/>
        <v>0</v>
      </c>
      <c r="AE144">
        <v>59</v>
      </c>
      <c r="AG144">
        <f t="shared" si="41"/>
        <v>54.249126738543261</v>
      </c>
      <c r="AH144" s="21">
        <f t="shared" si="80"/>
        <v>79.785355077944089</v>
      </c>
      <c r="AI144" s="21">
        <f t="shared" si="92"/>
        <v>82.670506319603874</v>
      </c>
      <c r="AJ144" s="21">
        <f t="shared" si="92"/>
        <v>89.115997876879277</v>
      </c>
      <c r="AK144" s="21">
        <f t="shared" si="92"/>
        <v>81.717934545673302</v>
      </c>
      <c r="AL144" s="21">
        <f t="shared" si="92"/>
        <v>29.495098730759494</v>
      </c>
      <c r="AM144" s="22">
        <f t="shared" si="43"/>
        <v>30.502654170666109</v>
      </c>
      <c r="AN144" s="21">
        <f t="shared" ref="AN144:AS144" si="110">AN72*AN$12</f>
        <v>29.040864104105058</v>
      </c>
      <c r="AO144" s="23">
        <f t="shared" si="110"/>
        <v>19.543477863723137</v>
      </c>
      <c r="AP144" s="23">
        <f t="shared" si="110"/>
        <v>3.9086955727446275</v>
      </c>
      <c r="AQ144" s="24">
        <f t="shared" si="110"/>
        <v>69.872972208098957</v>
      </c>
      <c r="AR144" s="24">
        <f t="shared" si="110"/>
        <v>36.292094093538935</v>
      </c>
      <c r="AS144" s="24">
        <f t="shared" si="110"/>
        <v>71.928065841111305</v>
      </c>
      <c r="AT144" s="25">
        <f t="shared" si="90"/>
        <v>14.324700443958738</v>
      </c>
      <c r="AU144" s="25">
        <f t="shared" si="90"/>
        <v>19.083492288395817</v>
      </c>
      <c r="AV144" s="26">
        <f t="shared" si="91"/>
        <v>51.818835514607088</v>
      </c>
      <c r="AW144" s="26">
        <f t="shared" si="91"/>
        <v>44.055332811838319</v>
      </c>
      <c r="AX144" s="27" t="e">
        <f t="shared" si="91"/>
        <v>#NUM!</v>
      </c>
      <c r="AY144" s="27" t="e">
        <f t="shared" si="91"/>
        <v>#NUM!</v>
      </c>
      <c r="AZ144" t="e">
        <f>NA()</f>
        <v>#N/A</v>
      </c>
      <c r="BA144" s="22">
        <f t="shared" si="45"/>
        <v>30.502654170666109</v>
      </c>
      <c r="BB144" s="22">
        <f t="shared" si="46"/>
        <v>53.082349830661038</v>
      </c>
    </row>
    <row r="145" spans="1:54" x14ac:dyDescent="0.3">
      <c r="D145">
        <v>60</v>
      </c>
      <c r="F145">
        <v>59</v>
      </c>
      <c r="G145" s="21"/>
      <c r="H145" s="21"/>
      <c r="I145" s="21"/>
      <c r="J145" s="21"/>
      <c r="K145" s="21"/>
      <c r="L145" s="22"/>
      <c r="M145" s="21"/>
      <c r="N145" s="23"/>
      <c r="O145" s="23"/>
      <c r="P145" s="24"/>
      <c r="Q145" s="24"/>
      <c r="R145" s="24"/>
      <c r="S145" s="25"/>
      <c r="T145" s="25"/>
      <c r="U145" s="26"/>
      <c r="V145" s="26"/>
      <c r="W145" s="27"/>
      <c r="X145" s="27"/>
      <c r="Y145" t="e">
        <f>NA()</f>
        <v>#N/A</v>
      </c>
      <c r="Z145" s="22">
        <f t="shared" si="39"/>
        <v>0</v>
      </c>
      <c r="AA145" s="22">
        <f t="shared" si="40"/>
        <v>0</v>
      </c>
      <c r="AE145">
        <v>60</v>
      </c>
      <c r="AG145">
        <f t="shared" si="41"/>
        <v>54.649786241410681</v>
      </c>
      <c r="AH145" s="21">
        <f t="shared" si="80"/>
        <v>80.066612965705588</v>
      </c>
      <c r="AI145" s="21">
        <f t="shared" si="92"/>
        <v>83.055948452952194</v>
      </c>
      <c r="AJ145" s="21">
        <f t="shared" si="92"/>
        <v>89.582651132819208</v>
      </c>
      <c r="AK145" s="21">
        <f t="shared" si="92"/>
        <v>82.084896285696928</v>
      </c>
      <c r="AL145" s="21">
        <f t="shared" si="92"/>
        <v>29.570967446949989</v>
      </c>
      <c r="AM145" s="22">
        <f t="shared" si="43"/>
        <v>30.540800724299068</v>
      </c>
      <c r="AN145" s="21">
        <f t="shared" ref="AN145:AS145" si="111">AN73*AN$12</f>
        <v>29.207837024260243</v>
      </c>
      <c r="AO145" s="23">
        <f t="shared" si="111"/>
        <v>19.658392033655193</v>
      </c>
      <c r="AP145" s="23">
        <f t="shared" si="111"/>
        <v>3.9316784067310389</v>
      </c>
      <c r="AQ145" s="24">
        <f t="shared" si="111"/>
        <v>70.141123110604866</v>
      </c>
      <c r="AR145" s="24">
        <f t="shared" si="111"/>
        <v>36.402094436860153</v>
      </c>
      <c r="AS145" s="24">
        <f t="shared" si="111"/>
        <v>72.012807046107298</v>
      </c>
      <c r="AT145" s="25">
        <f t="shared" si="90"/>
        <v>14.38131684792547</v>
      </c>
      <c r="AU145" s="25">
        <f t="shared" si="90"/>
        <v>19.163133262497642</v>
      </c>
      <c r="AV145" s="26">
        <f t="shared" si="91"/>
        <v>52.072250544040173</v>
      </c>
      <c r="AW145" s="26">
        <f t="shared" si="91"/>
        <v>44.263099033261149</v>
      </c>
      <c r="AX145" s="27" t="e">
        <f t="shared" si="91"/>
        <v>#NUM!</v>
      </c>
      <c r="AY145" s="27" t="e">
        <f t="shared" si="91"/>
        <v>#NUM!</v>
      </c>
      <c r="AZ145" t="e">
        <f>NA()</f>
        <v>#N/A</v>
      </c>
      <c r="BA145" s="22">
        <f t="shared" si="45"/>
        <v>30.540800724299068</v>
      </c>
      <c r="BB145" s="22">
        <f t="shared" si="46"/>
        <v>53.158061375472215</v>
      </c>
    </row>
    <row r="146" spans="1:54" x14ac:dyDescent="0.3">
      <c r="D146">
        <v>61</v>
      </c>
      <c r="F146">
        <v>60</v>
      </c>
      <c r="G146" s="21"/>
      <c r="H146" s="21"/>
      <c r="I146" s="21"/>
      <c r="J146" s="21"/>
      <c r="K146" s="21"/>
      <c r="L146" s="22"/>
      <c r="M146" s="21"/>
      <c r="N146" s="23"/>
      <c r="O146" s="23"/>
      <c r="P146" s="24"/>
      <c r="Q146" s="24"/>
      <c r="R146" s="24"/>
      <c r="S146" s="25"/>
      <c r="T146" s="25"/>
      <c r="U146" s="26"/>
      <c r="V146" s="26"/>
      <c r="W146" s="27"/>
      <c r="X146" s="27"/>
      <c r="Y146" t="e">
        <f>NA()</f>
        <v>#N/A</v>
      </c>
      <c r="Z146" s="22">
        <f t="shared" si="39"/>
        <v>0</v>
      </c>
      <c r="AA146" s="22">
        <f t="shared" si="40"/>
        <v>0</v>
      </c>
      <c r="AE146">
        <v>61</v>
      </c>
      <c r="AG146">
        <f t="shared" si="41"/>
        <v>55.01897643704347</v>
      </c>
      <c r="AH146" s="21">
        <f t="shared" si="80"/>
        <v>80.320041913745314</v>
      </c>
      <c r="AI146" s="21">
        <f t="shared" si="92"/>
        <v>83.407802034706677</v>
      </c>
      <c r="AJ146" s="21">
        <f t="shared" si="92"/>
        <v>90.006767973532064</v>
      </c>
      <c r="AK146" s="21">
        <f t="shared" si="92"/>
        <v>82.419719793768238</v>
      </c>
      <c r="AL146" s="21">
        <f t="shared" si="92"/>
        <v>29.639150580494402</v>
      </c>
      <c r="AM146" s="22">
        <f t="shared" si="43"/>
        <v>30.574911851956173</v>
      </c>
      <c r="AN146" s="21">
        <f t="shared" ref="AN146:AS146" si="112">AN74*AN$12</f>
        <v>29.360315786327806</v>
      </c>
      <c r="AO146" s="23">
        <f t="shared" si="112"/>
        <v>19.763559522732841</v>
      </c>
      <c r="AP146" s="23">
        <f t="shared" si="112"/>
        <v>3.9527119045465682</v>
      </c>
      <c r="AQ146" s="24">
        <f t="shared" si="112"/>
        <v>70.385609622583118</v>
      </c>
      <c r="AR146" s="24">
        <f t="shared" si="112"/>
        <v>36.501878497892321</v>
      </c>
      <c r="AS146" s="24">
        <f t="shared" si="112"/>
        <v>72.088497391052911</v>
      </c>
      <c r="AT146" s="25">
        <f t="shared" ref="AT146:AU156" si="113">AT74</f>
        <v>14.432922969116431</v>
      </c>
      <c r="AU146" s="25">
        <f t="shared" si="113"/>
        <v>19.23565527389967</v>
      </c>
      <c r="AV146" s="26">
        <f t="shared" ref="AV146:AY156" si="114">AV74*AV$12</f>
        <v>52.303714965060763</v>
      </c>
      <c r="AW146" s="26">
        <f t="shared" si="114"/>
        <v>44.452786443486069</v>
      </c>
      <c r="AX146" s="27" t="e">
        <f t="shared" si="114"/>
        <v>#NUM!</v>
      </c>
      <c r="AY146" s="27" t="e">
        <f t="shared" si="114"/>
        <v>#NUM!</v>
      </c>
      <c r="AZ146" t="e">
        <f>NA()</f>
        <v>#N/A</v>
      </c>
      <c r="BA146" s="22">
        <f t="shared" si="45"/>
        <v>30.574911851956173</v>
      </c>
      <c r="BB146" s="22">
        <f t="shared" si="46"/>
        <v>53.226504109622454</v>
      </c>
    </row>
    <row r="147" spans="1:54" x14ac:dyDescent="0.3">
      <c r="D147">
        <v>62</v>
      </c>
      <c r="F147">
        <v>61</v>
      </c>
      <c r="G147" s="21"/>
      <c r="H147" s="21"/>
      <c r="I147" s="21"/>
      <c r="J147" s="21"/>
      <c r="K147" s="21"/>
      <c r="L147" s="22"/>
      <c r="M147" s="21"/>
      <c r="N147" s="23"/>
      <c r="O147" s="23"/>
      <c r="P147" s="24"/>
      <c r="Q147" s="24"/>
      <c r="R147" s="24"/>
      <c r="S147" s="25"/>
      <c r="T147" s="25"/>
      <c r="U147" s="26"/>
      <c r="V147" s="26"/>
      <c r="W147" s="27"/>
      <c r="X147" s="27"/>
      <c r="Y147" t="e">
        <f>NA()</f>
        <v>#N/A</v>
      </c>
      <c r="Z147" s="22">
        <f t="shared" si="39"/>
        <v>0</v>
      </c>
      <c r="AA147" s="22">
        <f t="shared" si="40"/>
        <v>0</v>
      </c>
      <c r="AE147">
        <v>62</v>
      </c>
      <c r="AG147">
        <f t="shared" si="41"/>
        <v>55.359169043423464</v>
      </c>
      <c r="AH147" s="21">
        <f t="shared" si="80"/>
        <v>80.548784033908902</v>
      </c>
      <c r="AI147" s="21">
        <f t="shared" ref="AI147:AL156" si="115">AI75*AI$12</f>
        <v>83.729224928193773</v>
      </c>
      <c r="AJ147" s="21">
        <f t="shared" si="115"/>
        <v>90.392622017387609</v>
      </c>
      <c r="AK147" s="21">
        <f t="shared" si="115"/>
        <v>82.725450856817758</v>
      </c>
      <c r="AL147" s="21">
        <f t="shared" si="115"/>
        <v>29.700544491084472</v>
      </c>
      <c r="AM147" s="22">
        <f t="shared" si="43"/>
        <v>30.605485794592401</v>
      </c>
      <c r="AN147" s="21">
        <f t="shared" ref="AN147:AS147" si="116">AN75*AN$12</f>
        <v>29.499652254453792</v>
      </c>
      <c r="AO147" s="23">
        <f t="shared" si="116"/>
        <v>19.859856464307015</v>
      </c>
      <c r="AP147" s="23">
        <f t="shared" si="116"/>
        <v>3.971971292861403</v>
      </c>
      <c r="AQ147" s="24">
        <f t="shared" si="116"/>
        <v>70.608703274881947</v>
      </c>
      <c r="AR147" s="24">
        <f t="shared" si="116"/>
        <v>36.592504884233193</v>
      </c>
      <c r="AS147" s="24">
        <f t="shared" si="116"/>
        <v>72.156267749965764</v>
      </c>
      <c r="AT147" s="25">
        <f t="shared" si="113"/>
        <v>14.480001681414958</v>
      </c>
      <c r="AU147" s="25">
        <f t="shared" si="113"/>
        <v>19.301754612798511</v>
      </c>
      <c r="AV147" s="26">
        <f t="shared" si="114"/>
        <v>52.515272520414491</v>
      </c>
      <c r="AW147" s="26">
        <f t="shared" si="114"/>
        <v>44.626090747735127</v>
      </c>
      <c r="AX147" s="27" t="e">
        <f t="shared" si="114"/>
        <v>#NUM!</v>
      </c>
      <c r="AY147" s="27" t="e">
        <f t="shared" si="114"/>
        <v>#NUM!</v>
      </c>
      <c r="AZ147" t="e">
        <f>NA()</f>
        <v>#N/A</v>
      </c>
      <c r="BA147" s="22">
        <f t="shared" si="45"/>
        <v>30.605485794592401</v>
      </c>
      <c r="BB147" s="22">
        <f t="shared" si="46"/>
        <v>53.288468949044784</v>
      </c>
    </row>
    <row r="148" spans="1:54" x14ac:dyDescent="0.3">
      <c r="D148">
        <v>63</v>
      </c>
      <c r="F148">
        <v>62</v>
      </c>
      <c r="G148" s="21"/>
      <c r="H148" s="21"/>
      <c r="I148" s="21"/>
      <c r="J148" s="21"/>
      <c r="K148" s="21"/>
      <c r="L148" s="22"/>
      <c r="M148" s="21"/>
      <c r="N148" s="23"/>
      <c r="O148" s="23"/>
      <c r="P148" s="24"/>
      <c r="Q148" s="24"/>
      <c r="R148" s="24"/>
      <c r="S148" s="25"/>
      <c r="T148" s="25"/>
      <c r="U148" s="26"/>
      <c r="V148" s="26"/>
      <c r="W148" s="27"/>
      <c r="X148" s="27"/>
      <c r="Y148" t="e">
        <f>NA()</f>
        <v>#N/A</v>
      </c>
      <c r="Z148" s="22">
        <f t="shared" si="39"/>
        <v>0</v>
      </c>
      <c r="AA148" s="22">
        <f t="shared" si="40"/>
        <v>0</v>
      </c>
      <c r="AE148">
        <v>63</v>
      </c>
      <c r="AG148">
        <f t="shared" si="41"/>
        <v>55.672641640487548</v>
      </c>
      <c r="AH148" s="21">
        <f t="shared" si="80"/>
        <v>80.755569883030219</v>
      </c>
      <c r="AI148" s="21">
        <f t="shared" si="115"/>
        <v>84.023044312289088</v>
      </c>
      <c r="AJ148" s="21">
        <f t="shared" si="115"/>
        <v>90.74400101886846</v>
      </c>
      <c r="AK148" s="21">
        <f t="shared" si="115"/>
        <v>83.004812719349417</v>
      </c>
      <c r="AL148" s="21">
        <f t="shared" si="115"/>
        <v>29.75592354227939</v>
      </c>
      <c r="AM148" s="22">
        <f t="shared" si="43"/>
        <v>30.632948500953919</v>
      </c>
      <c r="AN148" s="21">
        <f t="shared" ref="AN148:AS148" si="117">AN76*AN$12</f>
        <v>29.627058846453711</v>
      </c>
      <c r="AO148" s="23">
        <f t="shared" si="117"/>
        <v>19.948073133522634</v>
      </c>
      <c r="AP148" s="23">
        <f t="shared" si="117"/>
        <v>3.9896146267045265</v>
      </c>
      <c r="AQ148" s="24">
        <f t="shared" si="117"/>
        <v>70.812430431853315</v>
      </c>
      <c r="AR148" s="24">
        <f t="shared" si="117"/>
        <v>36.674906277343659</v>
      </c>
      <c r="AS148" s="24">
        <f t="shared" si="117"/>
        <v>72.217082848608896</v>
      </c>
      <c r="AT148" s="25">
        <f t="shared" si="113"/>
        <v>14.522983492721071</v>
      </c>
      <c r="AU148" s="25">
        <f t="shared" si="113"/>
        <v>19.362050690946976</v>
      </c>
      <c r="AV148" s="26">
        <f t="shared" si="114"/>
        <v>52.708755860607511</v>
      </c>
      <c r="AW148" s="26">
        <f t="shared" si="114"/>
        <v>44.78453066553115</v>
      </c>
      <c r="AX148" s="27" t="e">
        <f t="shared" si="114"/>
        <v>#NUM!</v>
      </c>
      <c r="AY148" s="27" t="e">
        <f t="shared" si="114"/>
        <v>#NUM!</v>
      </c>
      <c r="AZ148" t="e">
        <f>NA()</f>
        <v>#N/A</v>
      </c>
      <c r="BA148" s="22">
        <f t="shared" si="45"/>
        <v>30.632948500953919</v>
      </c>
      <c r="BB148" s="22">
        <f t="shared" si="46"/>
        <v>53.34464675348972</v>
      </c>
    </row>
    <row r="149" spans="1:54" x14ac:dyDescent="0.3">
      <c r="D149">
        <v>64</v>
      </c>
      <c r="F149">
        <v>63</v>
      </c>
      <c r="G149" s="21"/>
      <c r="H149" s="21"/>
      <c r="I149" s="21"/>
      <c r="J149" s="21"/>
      <c r="K149" s="21"/>
      <c r="L149" s="22"/>
      <c r="M149" s="21"/>
      <c r="N149" s="23"/>
      <c r="O149" s="23"/>
      <c r="P149" s="24"/>
      <c r="Q149" s="24"/>
      <c r="R149" s="24"/>
      <c r="S149" s="25"/>
      <c r="T149" s="25"/>
      <c r="U149" s="26"/>
      <c r="V149" s="26"/>
      <c r="W149" s="27"/>
      <c r="X149" s="27"/>
      <c r="Y149" t="e">
        <f>NA()</f>
        <v>#N/A</v>
      </c>
      <c r="Z149" s="22">
        <f t="shared" si="39"/>
        <v>0</v>
      </c>
      <c r="AA149" s="22">
        <f t="shared" si="40"/>
        <v>0</v>
      </c>
      <c r="AE149">
        <v>64</v>
      </c>
      <c r="AG149">
        <f t="shared" si="41"/>
        <v>55.961492918461353</v>
      </c>
      <c r="AH149" s="21">
        <f t="shared" si="80"/>
        <v>80.942780303196628</v>
      </c>
      <c r="AI149" s="21">
        <f t="shared" si="115"/>
        <v>84.291796040445846</v>
      </c>
      <c r="AJ149" s="21">
        <f t="shared" si="115"/>
        <v>91.064269655777551</v>
      </c>
      <c r="AK149" s="21">
        <f t="shared" si="115"/>
        <v>83.260244992822535</v>
      </c>
      <c r="AL149" s="21">
        <f t="shared" si="115"/>
        <v>29.805959203909811</v>
      </c>
      <c r="AM149" s="22">
        <f t="shared" si="43"/>
        <v>30.657665713361851</v>
      </c>
      <c r="AN149" s="21">
        <f t="shared" ref="AN149:AS149" si="118">AN77*AN$12</f>
        <v>29.743624708933989</v>
      </c>
      <c r="AO149" s="23">
        <f t="shared" si="118"/>
        <v>20.028923328401696</v>
      </c>
      <c r="AP149" s="23">
        <f t="shared" si="118"/>
        <v>4.0057846656803395</v>
      </c>
      <c r="AQ149" s="24">
        <f t="shared" si="118"/>
        <v>70.998602613309743</v>
      </c>
      <c r="AR149" s="24">
        <f t="shared" si="118"/>
        <v>36.749906714332802</v>
      </c>
      <c r="AS149" s="24">
        <f t="shared" si="118"/>
        <v>72.271769372803575</v>
      </c>
      <c r="AT149" s="25">
        <f t="shared" si="113"/>
        <v>14.562253049044083</v>
      </c>
      <c r="AU149" s="25">
        <f t="shared" si="113"/>
        <v>19.417095756228584</v>
      </c>
      <c r="AV149" s="26">
        <f t="shared" si="114"/>
        <v>52.885811252603681</v>
      </c>
      <c r="AW149" s="26">
        <f t="shared" si="114"/>
        <v>44.929468912828725</v>
      </c>
      <c r="AX149" s="27" t="e">
        <f t="shared" si="114"/>
        <v>#NUM!</v>
      </c>
      <c r="AY149" s="27" t="e">
        <f t="shared" si="114"/>
        <v>#NUM!</v>
      </c>
      <c r="AZ149" t="e">
        <f>NA()</f>
        <v>#N/A</v>
      </c>
      <c r="BA149" s="22">
        <f t="shared" si="45"/>
        <v>30.657665713361851</v>
      </c>
      <c r="BB149" s="22">
        <f t="shared" si="46"/>
        <v>53.395643022102327</v>
      </c>
    </row>
    <row r="150" spans="1:54" x14ac:dyDescent="0.3">
      <c r="D150">
        <v>65</v>
      </c>
      <c r="F150">
        <v>64</v>
      </c>
      <c r="G150" s="21"/>
      <c r="H150" s="21"/>
      <c r="I150" s="21"/>
      <c r="J150" s="21"/>
      <c r="K150" s="21"/>
      <c r="L150" s="22"/>
      <c r="M150" s="21"/>
      <c r="N150" s="23"/>
      <c r="O150" s="23"/>
      <c r="P150" s="24"/>
      <c r="Q150" s="24"/>
      <c r="R150" s="24"/>
      <c r="S150" s="25"/>
      <c r="T150" s="25"/>
      <c r="U150" s="26"/>
      <c r="V150" s="26"/>
      <c r="W150" s="27"/>
      <c r="X150" s="27"/>
      <c r="Y150" t="e">
        <f>NA()</f>
        <v>#N/A</v>
      </c>
      <c r="Z150" s="22">
        <f t="shared" si="39"/>
        <v>0</v>
      </c>
      <c r="AA150" s="22">
        <f t="shared" si="40"/>
        <v>0</v>
      </c>
      <c r="AE150">
        <v>65</v>
      </c>
      <c r="AG150">
        <f t="shared" si="41"/>
        <v>56.227656728531329</v>
      </c>
      <c r="AH150" s="21">
        <f t="shared" ref="AH150:AH156" si="119">AH78*AH$12</f>
        <v>81.112497886906397</v>
      </c>
      <c r="AI150" s="21">
        <f t="shared" si="115"/>
        <v>84.537758692718668</v>
      </c>
      <c r="AJ150" s="21">
        <f t="shared" si="115"/>
        <v>91.356423276200545</v>
      </c>
      <c r="AK150" s="21">
        <f t="shared" si="115"/>
        <v>83.493937243176561</v>
      </c>
      <c r="AL150" s="21">
        <f t="shared" si="115"/>
        <v>29.851235806282574</v>
      </c>
      <c r="AM150" s="22">
        <f t="shared" si="43"/>
        <v>30.6799527898376</v>
      </c>
      <c r="AN150" s="21">
        <f t="shared" ref="AN150:AS150" si="120">AN78*AN$12</f>
        <v>29.850329798374315</v>
      </c>
      <c r="AO150" s="23">
        <f t="shared" si="120"/>
        <v>20.103052605380814</v>
      </c>
      <c r="AP150" s="23">
        <f t="shared" si="120"/>
        <v>4.0206105210761631</v>
      </c>
      <c r="AQ150" s="24">
        <f t="shared" si="120"/>
        <v>71.168842542679585</v>
      </c>
      <c r="AR150" s="24">
        <f t="shared" si="120"/>
        <v>36.818236182672223</v>
      </c>
      <c r="AS150" s="24">
        <f t="shared" si="120"/>
        <v>72.321038753409312</v>
      </c>
      <c r="AT150" s="25">
        <f t="shared" si="113"/>
        <v>14.598154719720961</v>
      </c>
      <c r="AU150" s="25">
        <f t="shared" si="113"/>
        <v>19.467383217666793</v>
      </c>
      <c r="AV150" s="26">
        <f t="shared" si="114"/>
        <v>53.047920016174295</v>
      </c>
      <c r="AW150" s="26">
        <f t="shared" si="114"/>
        <v>45.062130366857268</v>
      </c>
      <c r="AX150" s="27" t="e">
        <f t="shared" si="114"/>
        <v>#NUM!</v>
      </c>
      <c r="AY150" s="27" t="e">
        <f t="shared" si="114"/>
        <v>#NUM!</v>
      </c>
      <c r="AZ150" t="e">
        <f>NA()</f>
        <v>#N/A</v>
      </c>
      <c r="BA150" s="22">
        <f t="shared" si="45"/>
        <v>30.6799527898376</v>
      </c>
      <c r="BB150" s="22">
        <f t="shared" si="46"/>
        <v>53.441990137028888</v>
      </c>
    </row>
    <row r="151" spans="1:54" x14ac:dyDescent="0.3">
      <c r="D151">
        <v>66</v>
      </c>
      <c r="F151">
        <v>65</v>
      </c>
      <c r="G151" s="21"/>
      <c r="H151" s="21"/>
      <c r="I151" s="21"/>
      <c r="J151" s="21"/>
      <c r="K151" s="21"/>
      <c r="L151" s="22"/>
      <c r="M151" s="21"/>
      <c r="N151" s="23"/>
      <c r="O151" s="23"/>
      <c r="P151" s="24"/>
      <c r="Q151" s="24"/>
      <c r="R151" s="24"/>
      <c r="S151" s="25"/>
      <c r="T151" s="25"/>
      <c r="U151" s="26"/>
      <c r="V151" s="26"/>
      <c r="W151" s="27"/>
      <c r="X151" s="27"/>
      <c r="Y151" t="e">
        <f>NA()</f>
        <v>#N/A</v>
      </c>
      <c r="Z151" s="22">
        <f t="shared" ref="Z151:Z156" si="121">Z79*Z$12</f>
        <v>0</v>
      </c>
      <c r="AA151" s="22">
        <f t="shared" ref="AA151:AA156" si="122">AA79</f>
        <v>0</v>
      </c>
      <c r="AE151">
        <v>66</v>
      </c>
      <c r="AG151">
        <f t="shared" ref="AG151:AG156" si="123">AE79</f>
        <v>56.472915029924017</v>
      </c>
      <c r="AH151" s="21">
        <f t="shared" si="119"/>
        <v>81.266549958726998</v>
      </c>
      <c r="AI151" s="21">
        <f t="shared" si="115"/>
        <v>84.762983113321553</v>
      </c>
      <c r="AJ151" s="21">
        <f t="shared" si="115"/>
        <v>91.623134008832977</v>
      </c>
      <c r="AK151" s="21">
        <f t="shared" si="115"/>
        <v>83.707858063006697</v>
      </c>
      <c r="AL151" s="21">
        <f t="shared" si="115"/>
        <v>29.89226358688903</v>
      </c>
      <c r="AM151" s="22">
        <f t="shared" ref="AM151:AM156" si="124">BA151+AM235*(BB151-BA151)</f>
        <v>30.700082726882204</v>
      </c>
      <c r="AN151" s="21">
        <f t="shared" ref="AN151:AS151" si="125">AN79*AN$12</f>
        <v>29.948057161928261</v>
      </c>
      <c r="AO151" s="23">
        <f t="shared" si="125"/>
        <v>20.171045522189271</v>
      </c>
      <c r="AP151" s="23">
        <f t="shared" si="125"/>
        <v>4.0342091044378545</v>
      </c>
      <c r="AQ151" s="24">
        <f t="shared" si="125"/>
        <v>71.324606592651378</v>
      </c>
      <c r="AR151" s="24">
        <f t="shared" si="125"/>
        <v>36.880542989146683</v>
      </c>
      <c r="AS151" s="24">
        <f t="shared" si="125"/>
        <v>72.36550573148719</v>
      </c>
      <c r="AT151" s="25">
        <f t="shared" si="113"/>
        <v>14.630997408029019</v>
      </c>
      <c r="AU151" s="25">
        <f t="shared" si="113"/>
        <v>19.513354800195156</v>
      </c>
      <c r="AV151" s="26">
        <f t="shared" si="114"/>
        <v>53.196417167555879</v>
      </c>
      <c r="AW151" s="26">
        <f t="shared" si="114"/>
        <v>45.183617832598848</v>
      </c>
      <c r="AX151" s="27" t="e">
        <f t="shared" si="114"/>
        <v>#NUM!</v>
      </c>
      <c r="AY151" s="27" t="e">
        <f t="shared" si="114"/>
        <v>#NUM!</v>
      </c>
      <c r="AZ151" t="e">
        <f>NA()</f>
        <v>#N/A</v>
      </c>
      <c r="BA151" s="22">
        <f t="shared" ref="BA151:BA156" si="126">BA79*BA$12</f>
        <v>30.700082726882204</v>
      </c>
      <c r="BB151" s="22">
        <f t="shared" ref="BB151:BB156" si="127">BB79*($AM$166/0.778237)</f>
        <v>53.484157608468792</v>
      </c>
    </row>
    <row r="152" spans="1:54" x14ac:dyDescent="0.3">
      <c r="D152">
        <v>67</v>
      </c>
      <c r="F152">
        <v>66</v>
      </c>
      <c r="G152" s="21"/>
      <c r="H152" s="21"/>
      <c r="I152" s="21"/>
      <c r="J152" s="21"/>
      <c r="K152" s="21"/>
      <c r="L152" s="22"/>
      <c r="M152" s="21"/>
      <c r="N152" s="23"/>
      <c r="O152" s="23"/>
      <c r="P152" s="24"/>
      <c r="Q152" s="24"/>
      <c r="R152" s="24"/>
      <c r="S152" s="25"/>
      <c r="T152" s="25"/>
      <c r="U152" s="26"/>
      <c r="V152" s="26"/>
      <c r="W152" s="27"/>
      <c r="X152" s="27"/>
      <c r="Y152" t="e">
        <f>NA()</f>
        <v>#N/A</v>
      </c>
      <c r="Z152" s="22">
        <f t="shared" si="121"/>
        <v>0</v>
      </c>
      <c r="AA152" s="22">
        <f t="shared" si="122"/>
        <v>0</v>
      </c>
      <c r="AE152">
        <v>67</v>
      </c>
      <c r="AG152">
        <f t="shared" si="123"/>
        <v>56.698909820073034</v>
      </c>
      <c r="AH152" s="21">
        <f t="shared" si="119"/>
        <v>81.406544598198835</v>
      </c>
      <c r="AI152" s="21">
        <f t="shared" si="115"/>
        <v>84.969318098779752</v>
      </c>
      <c r="AJ152" s="21">
        <f t="shared" si="115"/>
        <v>91.866790413579778</v>
      </c>
      <c r="AK152" s="21">
        <f t="shared" si="115"/>
        <v>83.903780303092105</v>
      </c>
      <c r="AL152" s="21">
        <f t="shared" si="115"/>
        <v>29.929489538878489</v>
      </c>
      <c r="AM152" s="22">
        <f t="shared" si="124"/>
        <v>30.718292744531592</v>
      </c>
      <c r="AN152" s="21">
        <f t="shared" ref="AN152:AS152" si="128">AN80*AN$12</f>
        <v>30.037603668905923</v>
      </c>
      <c r="AO152" s="23">
        <f t="shared" si="128"/>
        <v>20.233432019530206</v>
      </c>
      <c r="AP152" s="23">
        <f t="shared" si="128"/>
        <v>4.0466864039060413</v>
      </c>
      <c r="AQ152" s="24">
        <f t="shared" si="128"/>
        <v>71.467204184898279</v>
      </c>
      <c r="AR152" s="24">
        <f t="shared" si="128"/>
        <v>36.937404278758557</v>
      </c>
      <c r="AS152" s="24">
        <f t="shared" si="128"/>
        <v>72.405703560570302</v>
      </c>
      <c r="AT152" s="25">
        <f t="shared" si="113"/>
        <v>14.661058706901896</v>
      </c>
      <c r="AU152" s="25">
        <f t="shared" si="113"/>
        <v>19.555406711295003</v>
      </c>
      <c r="AV152" s="26">
        <f t="shared" si="114"/>
        <v>53.332507674492462</v>
      </c>
      <c r="AW152" s="26">
        <f t="shared" si="114"/>
        <v>45.294925762754573</v>
      </c>
      <c r="AX152" s="27" t="e">
        <f t="shared" si="114"/>
        <v>#NUM!</v>
      </c>
      <c r="AY152" s="27" t="e">
        <f t="shared" si="114"/>
        <v>#NUM!</v>
      </c>
      <c r="AZ152" t="e">
        <f>NA()</f>
        <v>#N/A</v>
      </c>
      <c r="BA152" s="22">
        <f t="shared" si="126"/>
        <v>30.718292744531592</v>
      </c>
      <c r="BB152" s="22">
        <f t="shared" si="127"/>
        <v>53.522560683342164</v>
      </c>
    </row>
    <row r="153" spans="1:54" x14ac:dyDescent="0.3">
      <c r="D153">
        <v>68</v>
      </c>
      <c r="F153">
        <v>67</v>
      </c>
      <c r="G153" s="21"/>
      <c r="H153" s="21"/>
      <c r="I153" s="21"/>
      <c r="J153" s="21"/>
      <c r="K153" s="21"/>
      <c r="L153" s="22"/>
      <c r="M153" s="21"/>
      <c r="N153" s="23"/>
      <c r="O153" s="23"/>
      <c r="P153" s="24"/>
      <c r="Q153" s="24"/>
      <c r="R153" s="24"/>
      <c r="S153" s="25"/>
      <c r="T153" s="25"/>
      <c r="U153" s="26"/>
      <c r="V153" s="26"/>
      <c r="W153" s="27"/>
      <c r="X153" s="27"/>
      <c r="Y153" t="e">
        <f>NA()</f>
        <v>#N/A</v>
      </c>
      <c r="Z153" s="22">
        <f t="shared" si="121"/>
        <v>0</v>
      </c>
      <c r="AA153" s="22">
        <f t="shared" si="122"/>
        <v>0</v>
      </c>
      <c r="AE153">
        <v>68</v>
      </c>
      <c r="AG153">
        <f t="shared" si="123"/>
        <v>56.907154127745713</v>
      </c>
      <c r="AH153" s="21">
        <f t="shared" si="119"/>
        <v>81.533900936200482</v>
      </c>
      <c r="AI153" s="21">
        <f t="shared" si="115"/>
        <v>85.158432795790077</v>
      </c>
      <c r="AJ153" s="21">
        <f t="shared" si="115"/>
        <v>92.089531659079142</v>
      </c>
      <c r="AK153" s="21">
        <f t="shared" si="115"/>
        <v>84.083303028863966</v>
      </c>
      <c r="AL153" s="21">
        <f t="shared" si="115"/>
        <v>29.9633064676358</v>
      </c>
      <c r="AM153" s="22">
        <f t="shared" si="124"/>
        <v>30.734789716840911</v>
      </c>
      <c r="AN153" s="21">
        <f t="shared" ref="AN153:AS153" si="129">AN81*AN$12</f>
        <v>30.119689407204387</v>
      </c>
      <c r="AO153" s="23">
        <f t="shared" si="129"/>
        <v>20.290693054578593</v>
      </c>
      <c r="AP153" s="23">
        <f t="shared" si="129"/>
        <v>4.0581386109157185</v>
      </c>
      <c r="AQ153" s="24">
        <f t="shared" si="129"/>
        <v>71.597814606706919</v>
      </c>
      <c r="AR153" s="24">
        <f t="shared" si="129"/>
        <v>36.989335010619129</v>
      </c>
      <c r="AS153" s="24">
        <f t="shared" si="129"/>
        <v>72.442096515130629</v>
      </c>
      <c r="AT153" s="25">
        <f t="shared" si="113"/>
        <v>14.688588499345814</v>
      </c>
      <c r="AU153" s="25">
        <f t="shared" si="113"/>
        <v>19.593894971034548</v>
      </c>
      <c r="AV153" s="26">
        <f t="shared" si="114"/>
        <v>53.457280663606916</v>
      </c>
      <c r="AW153" s="26">
        <f t="shared" si="114"/>
        <v>45.39695222725036</v>
      </c>
      <c r="AX153" s="27" t="e">
        <f t="shared" si="114"/>
        <v>#NUM!</v>
      </c>
      <c r="AY153" s="27" t="e">
        <f t="shared" si="114"/>
        <v>#NUM!</v>
      </c>
      <c r="AZ153" t="e">
        <f>NA()</f>
        <v>#N/A</v>
      </c>
      <c r="BA153" s="22">
        <f t="shared" si="126"/>
        <v>30.734789716840911</v>
      </c>
      <c r="BB153" s="22">
        <f t="shared" si="127"/>
        <v>53.557567608246565</v>
      </c>
    </row>
    <row r="154" spans="1:54" x14ac:dyDescent="0.3">
      <c r="D154">
        <v>69</v>
      </c>
      <c r="F154">
        <v>68</v>
      </c>
      <c r="G154" s="21"/>
      <c r="H154" s="21"/>
      <c r="I154" s="21"/>
      <c r="J154" s="21"/>
      <c r="K154" s="21"/>
      <c r="L154" s="22"/>
      <c r="M154" s="21"/>
      <c r="N154" s="23"/>
      <c r="O154" s="23"/>
      <c r="P154" s="24"/>
      <c r="Q154" s="24"/>
      <c r="R154" s="24"/>
      <c r="S154" s="25"/>
      <c r="T154" s="25"/>
      <c r="U154" s="26"/>
      <c r="V154" s="26"/>
      <c r="W154" s="27"/>
      <c r="X154" s="27"/>
      <c r="Y154" t="e">
        <f>NA()</f>
        <v>#N/A</v>
      </c>
      <c r="Z154" s="22">
        <f t="shared" si="121"/>
        <v>0</v>
      </c>
      <c r="AA154" s="22">
        <f t="shared" si="122"/>
        <v>0</v>
      </c>
      <c r="AE154">
        <v>69</v>
      </c>
      <c r="AG154">
        <f t="shared" si="123"/>
        <v>57.099042142728173</v>
      </c>
      <c r="AH154" s="21">
        <f t="shared" si="119"/>
        <v>81.649874723368512</v>
      </c>
      <c r="AI154" s="21">
        <f t="shared" si="115"/>
        <v>85.331836279768268</v>
      </c>
      <c r="AJ154" s="21">
        <f t="shared" si="115"/>
        <v>92.293277054630579</v>
      </c>
      <c r="AK154" s="21">
        <f t="shared" si="115"/>
        <v>84.247870676948679</v>
      </c>
      <c r="AL154" s="21">
        <f t="shared" si="115"/>
        <v>29.994060580933013</v>
      </c>
      <c r="AM154" s="22">
        <f t="shared" si="124"/>
        <v>30.749754670663773</v>
      </c>
      <c r="AN154" s="21">
        <f t="shared" ref="AN154:AS154" si="130">AN82*AN$12</f>
        <v>30.194965927607054</v>
      </c>
      <c r="AO154" s="23">
        <f t="shared" si="130"/>
        <v>20.343265583473066</v>
      </c>
      <c r="AP154" s="23">
        <f t="shared" si="130"/>
        <v>4.0686531166946134</v>
      </c>
      <c r="AQ154" s="24">
        <f t="shared" si="130"/>
        <v>71.717501630474402</v>
      </c>
      <c r="AR154" s="24">
        <f t="shared" si="130"/>
        <v>37.036795642567107</v>
      </c>
      <c r="AS154" s="24">
        <f t="shared" si="130"/>
        <v>72.475090230453574</v>
      </c>
      <c r="AT154" s="25">
        <f t="shared" si="113"/>
        <v>14.713812086644133</v>
      </c>
      <c r="AU154" s="25">
        <f t="shared" si="113"/>
        <v>19.629140031893094</v>
      </c>
      <c r="AV154" s="26">
        <f t="shared" si="114"/>
        <v>53.57172186828334</v>
      </c>
      <c r="AW154" s="26">
        <f t="shared" si="114"/>
        <v>45.490509381861102</v>
      </c>
      <c r="AX154" s="27" t="e">
        <f t="shared" si="114"/>
        <v>#NUM!</v>
      </c>
      <c r="AY154" s="27" t="e">
        <f t="shared" si="114"/>
        <v>#NUM!</v>
      </c>
      <c r="AZ154" t="e">
        <f>NA()</f>
        <v>#N/A</v>
      </c>
      <c r="BA154" s="22">
        <f t="shared" si="126"/>
        <v>30.749754670663773</v>
      </c>
      <c r="BB154" s="22">
        <f t="shared" si="127"/>
        <v>53.58950578106716</v>
      </c>
    </row>
    <row r="155" spans="1:54" x14ac:dyDescent="0.3">
      <c r="D155">
        <v>70</v>
      </c>
      <c r="F155">
        <v>69</v>
      </c>
      <c r="G155" s="21"/>
      <c r="H155" s="21"/>
      <c r="I155" s="21"/>
      <c r="J155" s="21"/>
      <c r="K155" s="21"/>
      <c r="L155" s="22"/>
      <c r="M155" s="21"/>
      <c r="N155" s="23"/>
      <c r="O155" s="23"/>
      <c r="P155" s="24"/>
      <c r="Q155" s="24"/>
      <c r="R155" s="24"/>
      <c r="S155" s="25"/>
      <c r="T155" s="25"/>
      <c r="U155" s="26"/>
      <c r="V155" s="26"/>
      <c r="W155" s="27"/>
      <c r="X155" s="27"/>
      <c r="Y155" t="e">
        <f>NA()</f>
        <v>#N/A</v>
      </c>
      <c r="Z155" s="22">
        <f t="shared" si="121"/>
        <v>0</v>
      </c>
      <c r="AA155" s="22">
        <f t="shared" si="122"/>
        <v>0</v>
      </c>
      <c r="AE155">
        <v>70</v>
      </c>
      <c r="AG155">
        <f t="shared" si="123"/>
        <v>57.275858549886756</v>
      </c>
      <c r="AH155" s="21">
        <f t="shared" si="119"/>
        <v>81.755579982199066</v>
      </c>
      <c r="AI155" s="21">
        <f t="shared" si="115"/>
        <v>85.490894711643634</v>
      </c>
      <c r="AJ155" s="21">
        <f t="shared" si="115"/>
        <v>92.479751631075715</v>
      </c>
      <c r="AK155" s="21">
        <f t="shared" si="115"/>
        <v>84.398789811826674</v>
      </c>
      <c r="AL155" s="21">
        <f t="shared" si="115"/>
        <v>30.022057874355269</v>
      </c>
      <c r="AM155" s="22">
        <f t="shared" si="124"/>
        <v>30.763346529026553</v>
      </c>
      <c r="AN155" s="21">
        <f t="shared" ref="AN155:AS155" si="131">AN83*AN$12</f>
        <v>30.264023492170431</v>
      </c>
      <c r="AO155" s="23">
        <f t="shared" si="131"/>
        <v>20.391546976409426</v>
      </c>
      <c r="AP155" s="23">
        <f t="shared" si="131"/>
        <v>4.0783093952818854</v>
      </c>
      <c r="AQ155" s="24">
        <f t="shared" si="131"/>
        <v>71.827226258861373</v>
      </c>
      <c r="AR155" s="24">
        <f t="shared" si="131"/>
        <v>37.080198731599666</v>
      </c>
      <c r="AS155" s="24">
        <f t="shared" si="131"/>
        <v>72.505040288324992</v>
      </c>
      <c r="AT155" s="25">
        <f t="shared" si="113"/>
        <v>14.736932913854124</v>
      </c>
      <c r="AU155" s="25">
        <f t="shared" si="113"/>
        <v>19.66143079402822</v>
      </c>
      <c r="AV155" s="26">
        <f t="shared" si="114"/>
        <v>53.676724561103597</v>
      </c>
      <c r="AW155" s="26">
        <f t="shared" si="114"/>
        <v>45.576332646783797</v>
      </c>
      <c r="AX155" s="27" t="e">
        <f t="shared" si="114"/>
        <v>#NUM!</v>
      </c>
      <c r="AY155" s="27" t="e">
        <f t="shared" si="114"/>
        <v>#NUM!</v>
      </c>
      <c r="AZ155" t="e">
        <f>NA()</f>
        <v>#N/A</v>
      </c>
      <c r="BA155" s="22">
        <f t="shared" si="126"/>
        <v>30.763346529026553</v>
      </c>
      <c r="BB155" s="22">
        <f t="shared" si="127"/>
        <v>53.618666981042665</v>
      </c>
    </row>
    <row r="156" spans="1:54" x14ac:dyDescent="0.3">
      <c r="D156">
        <v>71</v>
      </c>
      <c r="F156">
        <v>70</v>
      </c>
      <c r="G156" s="21"/>
      <c r="H156" s="21"/>
      <c r="I156" s="21"/>
      <c r="J156" s="21"/>
      <c r="K156" s="21"/>
      <c r="L156" s="22"/>
      <c r="M156" s="21"/>
      <c r="N156" s="23"/>
      <c r="O156" s="23"/>
      <c r="P156" s="24"/>
      <c r="Q156" s="24"/>
      <c r="R156" s="24"/>
      <c r="S156" s="25"/>
      <c r="T156" s="25"/>
      <c r="U156" s="26"/>
      <c r="V156" s="26"/>
      <c r="W156" s="27"/>
      <c r="X156" s="27"/>
      <c r="Y156" t="e">
        <f>NA()</f>
        <v>#N/A</v>
      </c>
      <c r="Z156" s="22">
        <f t="shared" si="121"/>
        <v>0</v>
      </c>
      <c r="AA156" s="22">
        <f t="shared" si="122"/>
        <v>0</v>
      </c>
      <c r="AE156">
        <v>71</v>
      </c>
      <c r="AG156">
        <f t="shared" si="123"/>
        <v>57.43878713009709</v>
      </c>
      <c r="AH156" s="21">
        <f t="shared" si="119"/>
        <v>81.852007404484453</v>
      </c>
      <c r="AI156" s="21">
        <f t="shared" si="115"/>
        <v>85.636846409210833</v>
      </c>
      <c r="AJ156" s="21">
        <f t="shared" si="115"/>
        <v>92.650508354278415</v>
      </c>
      <c r="AK156" s="21">
        <f t="shared" si="115"/>
        <v>84.537243820186148</v>
      </c>
      <c r="AL156" s="21">
        <f t="shared" si="115"/>
        <v>30.047569523230678</v>
      </c>
      <c r="AM156" s="22">
        <f t="shared" si="124"/>
        <v>30.775705239244701</v>
      </c>
      <c r="AN156" s="21">
        <f t="shared" ref="AN156:AS156" si="132">AN84*AN$12</f>
        <v>30.327397460208065</v>
      </c>
      <c r="AO156" s="23">
        <f t="shared" si="132"/>
        <v>20.435898937332762</v>
      </c>
      <c r="AP156" s="23">
        <f t="shared" si="132"/>
        <v>4.0871797874665523</v>
      </c>
      <c r="AQ156" s="24">
        <f t="shared" si="132"/>
        <v>71.927857866321062</v>
      </c>
      <c r="AR156" s="24">
        <f t="shared" si="132"/>
        <v>37.119914621021941</v>
      </c>
      <c r="AS156" s="24">
        <f t="shared" si="132"/>
        <v>72.532259377138573</v>
      </c>
      <c r="AT156" s="25">
        <f t="shared" si="113"/>
        <v>14.758134950893949</v>
      </c>
      <c r="AU156" s="25">
        <f t="shared" si="113"/>
        <v>19.691028104531277</v>
      </c>
      <c r="AV156" s="26">
        <f t="shared" si="114"/>
        <v>53.773099177912975</v>
      </c>
      <c r="AW156" s="26">
        <f t="shared" si="114"/>
        <v>45.655088773634411</v>
      </c>
      <c r="AX156" s="27" t="e">
        <f t="shared" si="114"/>
        <v>#NUM!</v>
      </c>
      <c r="AY156" s="27" t="e">
        <f t="shared" si="114"/>
        <v>#NUM!</v>
      </c>
      <c r="AZ156" t="e">
        <f>NA()</f>
        <v>#N/A</v>
      </c>
      <c r="BA156" s="22">
        <f t="shared" si="126"/>
        <v>30.775705239244701</v>
      </c>
      <c r="BB156" s="22">
        <f t="shared" si="127"/>
        <v>53.645311831655803</v>
      </c>
    </row>
    <row r="158" spans="1:54" x14ac:dyDescent="0.3">
      <c r="A158" t="s">
        <v>39</v>
      </c>
      <c r="B158" s="8">
        <f>Settings!K6</f>
        <v>91</v>
      </c>
      <c r="F158" t="s">
        <v>33</v>
      </c>
      <c r="G158" s="21"/>
      <c r="H158" s="21"/>
      <c r="I158" s="21"/>
      <c r="J158" s="21"/>
      <c r="K158" s="21"/>
      <c r="L158" s="22"/>
      <c r="M158" s="20"/>
      <c r="N158" s="23"/>
      <c r="O158" s="23"/>
      <c r="P158" s="24"/>
      <c r="Q158" s="24"/>
      <c r="R158" s="24"/>
      <c r="S158" s="25"/>
      <c r="T158" s="25"/>
      <c r="U158" s="26"/>
      <c r="V158" s="26"/>
      <c r="W158" s="27"/>
      <c r="X158" s="27"/>
      <c r="AB158" t="s">
        <v>39</v>
      </c>
      <c r="AC158" s="8">
        <f>B158</f>
        <v>91</v>
      </c>
      <c r="AG158" t="s">
        <v>33</v>
      </c>
      <c r="AH158" s="21"/>
      <c r="AI158" s="21"/>
      <c r="AJ158" s="21"/>
      <c r="AK158" s="21"/>
      <c r="AL158" s="21"/>
      <c r="AM158" s="22"/>
      <c r="AN158" s="20">
        <f>2*(1-EXP(-0.104*(AC158-70)))</f>
        <v>1.7748194647088766</v>
      </c>
      <c r="AO158" s="23"/>
      <c r="AP158" s="23"/>
      <c r="AQ158" s="24">
        <f>4*(1-EXP(-0.025*AQ11))</f>
        <v>3.5784031017525426</v>
      </c>
      <c r="AR158" s="24">
        <f>10*(1-EXP(-0.013*AR11))</f>
        <v>6.8963305873451493</v>
      </c>
      <c r="AS158" s="24">
        <f>12*(1-EXP(-0.0166*AS11))</f>
        <v>9.3063244140365704</v>
      </c>
      <c r="AT158" s="25"/>
      <c r="AU158" s="25"/>
      <c r="AV158" s="26"/>
      <c r="AW158" s="26"/>
      <c r="AX158" s="27"/>
      <c r="AY158" s="27"/>
    </row>
    <row r="159" spans="1:54" x14ac:dyDescent="0.3">
      <c r="A159" t="s">
        <v>22</v>
      </c>
      <c r="B159" s="8">
        <f>Settings!J6</f>
        <v>90</v>
      </c>
      <c r="F159" t="s">
        <v>34</v>
      </c>
      <c r="G159" s="21"/>
      <c r="H159" s="21"/>
      <c r="I159" s="21"/>
      <c r="J159" s="21"/>
      <c r="K159" s="21"/>
      <c r="L159" s="22"/>
      <c r="M159" s="20"/>
      <c r="N159" s="23"/>
      <c r="O159" s="23"/>
      <c r="P159" s="24"/>
      <c r="Q159" s="24"/>
      <c r="R159" s="24"/>
      <c r="S159" s="25"/>
      <c r="T159" s="25"/>
      <c r="U159" s="26"/>
      <c r="V159" s="26"/>
      <c r="W159" s="27"/>
      <c r="X159" s="27"/>
      <c r="AB159" t="s">
        <v>22</v>
      </c>
      <c r="AC159" s="8">
        <f>B159</f>
        <v>90</v>
      </c>
      <c r="AG159" t="s">
        <v>34</v>
      </c>
      <c r="AH159" s="21"/>
      <c r="AI159" s="21"/>
      <c r="AJ159" s="21"/>
      <c r="AK159" s="21"/>
      <c r="AL159" s="21"/>
      <c r="AM159" s="22"/>
      <c r="AN159" s="20">
        <f>1.5*(1-EXP(-0.0201*AN11))</f>
        <v>1.2542731908092133</v>
      </c>
      <c r="AO159" s="23"/>
      <c r="AP159" s="23"/>
      <c r="AQ159" s="24">
        <f>4*(1-EXP(-0.034*AQ11))</f>
        <v>3.8124492191200461</v>
      </c>
      <c r="AR159" s="24">
        <f>6*(1-EXP(-0.06*AR11))</f>
        <v>5.9729005143443246</v>
      </c>
      <c r="AS159" s="24">
        <f>20*(1-EXP(-0.021*AS11))</f>
        <v>16.978563823272584</v>
      </c>
      <c r="AT159" s="25"/>
      <c r="AU159" s="25"/>
      <c r="AV159" s="26"/>
      <c r="AW159" s="26"/>
      <c r="AX159" s="27"/>
      <c r="AY159" s="27"/>
    </row>
    <row r="160" spans="1:54" x14ac:dyDescent="0.3">
      <c r="A160" t="s">
        <v>46</v>
      </c>
      <c r="B160" s="8">
        <f>Settings!I6</f>
        <v>100</v>
      </c>
      <c r="F160" t="s">
        <v>32</v>
      </c>
      <c r="G160" s="21"/>
      <c r="H160" s="21"/>
      <c r="I160" s="21"/>
      <c r="J160" s="21"/>
      <c r="K160" s="21"/>
      <c r="L160" s="22"/>
      <c r="M160" s="20"/>
      <c r="N160" s="23"/>
      <c r="O160" s="23"/>
      <c r="P160" s="24"/>
      <c r="Q160" s="24"/>
      <c r="R160" s="24"/>
      <c r="S160" s="25"/>
      <c r="T160" s="25"/>
      <c r="U160" s="26"/>
      <c r="V160" s="26"/>
      <c r="W160" s="27"/>
      <c r="X160" s="27"/>
      <c r="AB160" t="s">
        <v>46</v>
      </c>
      <c r="AC160" s="8">
        <f>B160</f>
        <v>100</v>
      </c>
      <c r="AG160" t="s">
        <v>32</v>
      </c>
      <c r="AH160" s="21">
        <f>IF(AC158&gt;84, 0.75+0.75*(1-EXP(-0.23*(AC158-84)))^0.5, 0.75-0.75*(1-EXP(0.23*(AC158-84)))^0.5)</f>
        <v>1.4208675108266395</v>
      </c>
      <c r="AI160" s="21">
        <f>5*(1-EXP(-0.0115*AI11))</f>
        <v>3.2238680953752423</v>
      </c>
      <c r="AJ160" s="21">
        <f>5*(1-EXP(-0.0164*AJ11))^2.24</f>
        <v>2.7960141186210832</v>
      </c>
      <c r="AK160" s="21">
        <f>5*(1-EXP(-0.0164*AK11))^2.24</f>
        <v>2.7960141186210832</v>
      </c>
      <c r="AL160" s="21">
        <f>5*(1-EXP(-0.0149*AL11))^2.48</f>
        <v>2.3569848759726133</v>
      </c>
      <c r="AM160" s="22">
        <f>5*(1-EXP(-0.0149*AM11))^2.48</f>
        <v>2.3569848759726133</v>
      </c>
      <c r="AN160" s="20">
        <f>AN158+AN159</f>
        <v>3.0290926555180899</v>
      </c>
      <c r="AO160" s="23">
        <f>1.5*(1-EXP(-0.0183*AO11))</f>
        <v>1.2110596148458825</v>
      </c>
      <c r="AP160" s="23">
        <f>1.5*(1-EXP(-0.0183*AP11))</f>
        <v>1.2110596148458825</v>
      </c>
      <c r="AQ160" s="24">
        <f>AQ158+AQ159</f>
        <v>7.3908523208725887</v>
      </c>
      <c r="AR160" s="24">
        <f>AR158+AR159</f>
        <v>12.869231101689474</v>
      </c>
      <c r="AS160" s="24">
        <f>AS158+AS159</f>
        <v>26.284888237309154</v>
      </c>
      <c r="AT160" s="25">
        <f>AC161/10</f>
        <v>0.35</v>
      </c>
      <c r="AU160" s="25">
        <f>AC161/10</f>
        <v>0.35</v>
      </c>
      <c r="AV160" s="26">
        <f>($C$5/100*$H$160)+((100-$C$5)/100*$N$160)</f>
        <v>0</v>
      </c>
      <c r="AW160" s="26">
        <f>($C$5/100*$H$160)+((100-$C$5)/100*$N$160)</f>
        <v>0</v>
      </c>
      <c r="AX160" s="27">
        <f>5*(1-EXP(-0.0115*AX11))</f>
        <v>3.2238680953752423</v>
      </c>
      <c r="AY160" s="27">
        <f>5*(1-EXP(-0.0115*AY11))</f>
        <v>3.2238680953752423</v>
      </c>
    </row>
    <row r="161" spans="1:51" x14ac:dyDescent="0.3">
      <c r="A161" t="s">
        <v>41</v>
      </c>
      <c r="B161" s="8">
        <f>Settings!L6</f>
        <v>3.5</v>
      </c>
      <c r="G161" s="21"/>
      <c r="H161" s="21"/>
      <c r="I161" s="21"/>
      <c r="J161" s="21"/>
      <c r="K161" s="21"/>
      <c r="L161" s="22"/>
      <c r="M161" s="20"/>
      <c r="N161" s="23"/>
      <c r="O161" s="23"/>
      <c r="P161" s="24"/>
      <c r="Q161" s="24"/>
      <c r="R161" s="24"/>
      <c r="S161" s="25"/>
      <c r="T161" s="25"/>
      <c r="U161" s="26"/>
      <c r="V161" s="26"/>
      <c r="W161" s="27"/>
      <c r="X161" s="27"/>
      <c r="AB161" t="s">
        <v>41</v>
      </c>
      <c r="AC161" s="8">
        <f>B161</f>
        <v>3.5</v>
      </c>
      <c r="AH161" s="21"/>
      <c r="AI161" s="21"/>
      <c r="AJ161" s="21"/>
      <c r="AK161" s="21"/>
      <c r="AL161" s="21"/>
      <c r="AM161" s="22"/>
      <c r="AN161" s="20"/>
      <c r="AO161" s="23"/>
      <c r="AP161" s="23"/>
      <c r="AQ161" s="24"/>
      <c r="AR161" s="24"/>
      <c r="AS161" s="24"/>
      <c r="AT161" s="25"/>
      <c r="AU161" s="25"/>
      <c r="AV161" s="26"/>
      <c r="AW161" s="26"/>
      <c r="AX161" s="27"/>
      <c r="AY161" s="27"/>
    </row>
    <row r="162" spans="1:51" x14ac:dyDescent="0.3">
      <c r="A162" t="s">
        <v>51</v>
      </c>
      <c r="B162" s="8">
        <f>C5</f>
        <v>50</v>
      </c>
      <c r="F162" t="s">
        <v>36</v>
      </c>
      <c r="G162" s="21"/>
      <c r="H162" s="21"/>
      <c r="I162" s="21"/>
      <c r="J162" s="21"/>
      <c r="K162" s="21"/>
      <c r="L162" s="3"/>
      <c r="M162" s="20"/>
      <c r="N162" s="23"/>
      <c r="O162" s="23"/>
      <c r="P162" s="24"/>
      <c r="Q162" s="24"/>
      <c r="R162" s="24"/>
      <c r="S162" s="25"/>
      <c r="T162" s="25"/>
      <c r="U162" s="26"/>
      <c r="V162" s="26"/>
      <c r="W162" s="27"/>
      <c r="X162" s="27"/>
      <c r="AB162" t="s">
        <v>51</v>
      </c>
      <c r="AC162" s="8">
        <f>B162</f>
        <v>50</v>
      </c>
      <c r="AG162" t="s">
        <v>36</v>
      </c>
      <c r="AH162" s="21">
        <v>2</v>
      </c>
      <c r="AI162" s="21">
        <v>3</v>
      </c>
      <c r="AJ162" s="21">
        <v>8</v>
      </c>
      <c r="AK162" s="21">
        <v>4</v>
      </c>
      <c r="AL162" s="21">
        <v>18</v>
      </c>
      <c r="AM162" s="3">
        <f>$AC$162</f>
        <v>50</v>
      </c>
      <c r="AN162" s="20">
        <v>10</v>
      </c>
      <c r="AO162" s="23"/>
      <c r="AP162" s="23"/>
      <c r="AQ162" s="24"/>
      <c r="AR162" s="24"/>
      <c r="AS162" s="24"/>
      <c r="AT162" s="25"/>
      <c r="AU162" s="25"/>
      <c r="AV162" s="26">
        <v>6</v>
      </c>
      <c r="AW162" s="26">
        <v>6</v>
      </c>
      <c r="AX162" s="27">
        <v>6</v>
      </c>
      <c r="AY162" s="27">
        <v>6</v>
      </c>
    </row>
    <row r="163" spans="1:51" x14ac:dyDescent="0.3">
      <c r="F163" t="s">
        <v>37</v>
      </c>
      <c r="G163" s="21"/>
      <c r="H163" s="21"/>
      <c r="I163" s="21"/>
      <c r="J163" s="21"/>
      <c r="K163" s="21"/>
      <c r="L163" s="22"/>
      <c r="M163" s="20"/>
      <c r="N163" s="23"/>
      <c r="O163" s="23"/>
      <c r="P163" s="24"/>
      <c r="Q163" s="24"/>
      <c r="R163" s="24"/>
      <c r="S163" s="25"/>
      <c r="T163" s="25"/>
      <c r="U163" s="26"/>
      <c r="V163" s="26"/>
      <c r="W163" s="27"/>
      <c r="X163" s="27"/>
      <c r="AG163" t="s">
        <v>37</v>
      </c>
      <c r="AH163" s="21">
        <v>0.75</v>
      </c>
      <c r="AI163" s="21">
        <v>0.8</v>
      </c>
      <c r="AJ163" s="21">
        <v>1.1499999999999999</v>
      </c>
      <c r="AK163" s="21">
        <v>1.2</v>
      </c>
      <c r="AL163" s="21">
        <v>1.2</v>
      </c>
      <c r="AM163" s="22">
        <v>1.8</v>
      </c>
      <c r="AN163" s="20">
        <v>0.5</v>
      </c>
      <c r="AO163" s="23"/>
      <c r="AP163" s="23"/>
      <c r="AQ163" s="24"/>
      <c r="AR163" s="24"/>
      <c r="AS163" s="24"/>
      <c r="AT163" s="25"/>
      <c r="AU163" s="25"/>
      <c r="AV163" s="26">
        <v>0.8</v>
      </c>
      <c r="AW163" s="26">
        <v>0.8</v>
      </c>
      <c r="AX163" s="27">
        <v>0.8</v>
      </c>
      <c r="AY163" s="27">
        <v>0.8</v>
      </c>
    </row>
    <row r="164" spans="1:51" x14ac:dyDescent="0.3">
      <c r="F164" t="s">
        <v>35</v>
      </c>
      <c r="G164" s="21"/>
      <c r="H164" s="21"/>
      <c r="I164" s="21"/>
      <c r="J164" s="21"/>
      <c r="K164" s="21"/>
      <c r="L164" s="22"/>
      <c r="M164" s="20"/>
      <c r="N164" s="23"/>
      <c r="O164" s="23"/>
      <c r="P164" s="24"/>
      <c r="Q164" s="24"/>
      <c r="R164" s="24"/>
      <c r="S164" s="25"/>
      <c r="T164" s="25"/>
      <c r="U164" s="26"/>
      <c r="V164" s="26"/>
      <c r="W164" s="27"/>
      <c r="X164" s="27"/>
      <c r="AG164" t="s">
        <v>35</v>
      </c>
      <c r="AH164" s="21">
        <f t="shared" ref="AH164:AN164" si="133">0.001*AH162^1.5*(460+25.9*$B$160)^1.5</f>
        <v>476.4252302303056</v>
      </c>
      <c r="AI164" s="21">
        <f t="shared" si="133"/>
        <v>875.24903598918581</v>
      </c>
      <c r="AJ164" s="21">
        <f t="shared" si="133"/>
        <v>3811.401841842443</v>
      </c>
      <c r="AK164" s="21">
        <f t="shared" si="133"/>
        <v>1347.5340440968448</v>
      </c>
      <c r="AL164" s="21">
        <f t="shared" si="133"/>
        <v>12863.481216218244</v>
      </c>
      <c r="AM164" s="22">
        <f t="shared" si="133"/>
        <v>59553.153778788175</v>
      </c>
      <c r="AN164" s="20">
        <f t="shared" si="133"/>
        <v>5326.5960049547575</v>
      </c>
      <c r="AO164" s="23"/>
      <c r="AP164" s="23"/>
      <c r="AQ164" s="24"/>
      <c r="AR164" s="24"/>
      <c r="AS164" s="24"/>
      <c r="AT164" s="25"/>
      <c r="AU164" s="25"/>
      <c r="AV164" s="26">
        <f>0.001*AV162^1.5*(460+25.9*$B$160)^1.5</f>
        <v>2475.5781142997675</v>
      </c>
      <c r="AW164" s="26">
        <f>0.001*AW162^1.5*(460+25.9*$B$160)^1.5</f>
        <v>2475.5781142997675</v>
      </c>
      <c r="AX164" s="27">
        <f>0.001*AX162^1.5*(460+25.9*$B$160)^1.5</f>
        <v>2475.5781142997675</v>
      </c>
      <c r="AY164" s="27">
        <f>0.001*AY162^1.5*(460+25.9*$B$160)^1.5</f>
        <v>2475.5781142997675</v>
      </c>
    </row>
    <row r="165" spans="1:51" x14ac:dyDescent="0.3">
      <c r="F165" t="s">
        <v>69</v>
      </c>
      <c r="G165" s="21"/>
      <c r="H165" s="21"/>
      <c r="I165" s="21"/>
      <c r="J165" s="21"/>
      <c r="K165" s="21"/>
      <c r="L165" s="22"/>
      <c r="M165" s="20"/>
      <c r="N165" s="23"/>
      <c r="O165" s="23"/>
      <c r="P165" s="24"/>
      <c r="Q165" s="24"/>
      <c r="R165" s="24"/>
      <c r="S165" s="25"/>
      <c r="T165" s="25"/>
      <c r="U165" s="26"/>
      <c r="V165" s="26"/>
      <c r="W165" s="27"/>
      <c r="X165" s="27"/>
      <c r="AG165" t="s">
        <v>69</v>
      </c>
      <c r="AH165" s="21">
        <f t="shared" ref="AH165:AN165" si="134">AH164/(300*AH160)</f>
        <v>1.117686264670632</v>
      </c>
      <c r="AI165" s="21">
        <f t="shared" si="134"/>
        <v>0.90496779034349328</v>
      </c>
      <c r="AJ165" s="21">
        <f t="shared" si="134"/>
        <v>4.5438514496511448</v>
      </c>
      <c r="AK165" s="21">
        <f t="shared" si="134"/>
        <v>1.6064940863763251</v>
      </c>
      <c r="AL165" s="21">
        <f t="shared" si="134"/>
        <v>18.192000787885284</v>
      </c>
      <c r="AM165" s="22">
        <f t="shared" si="134"/>
        <v>84.222225869839292</v>
      </c>
      <c r="AN165" s="20">
        <f t="shared" si="134"/>
        <v>5.8615968660354572</v>
      </c>
      <c r="AO165" s="23"/>
      <c r="AP165" s="23"/>
      <c r="AQ165" s="24"/>
      <c r="AR165" s="24"/>
      <c r="AS165" s="24"/>
      <c r="AT165" s="25"/>
      <c r="AU165" s="25"/>
      <c r="AV165" s="26" t="e">
        <f>AV164/(300*AV160)</f>
        <v>#DIV/0!</v>
      </c>
      <c r="AW165" s="26" t="e">
        <f>AW164/(300*AW160)</f>
        <v>#DIV/0!</v>
      </c>
      <c r="AX165" s="27">
        <f>AX164/(300*AX160)</f>
        <v>2.5596354452291599</v>
      </c>
      <c r="AY165" s="27">
        <f>AY164/(300*AY160)</f>
        <v>2.5596354452291599</v>
      </c>
    </row>
    <row r="166" spans="1:51" x14ac:dyDescent="0.3">
      <c r="F166" t="s">
        <v>47</v>
      </c>
      <c r="G166" s="21"/>
      <c r="H166" s="21"/>
      <c r="I166" s="21"/>
      <c r="J166" s="21"/>
      <c r="K166" s="21"/>
      <c r="L166" s="22"/>
      <c r="M166" s="20"/>
      <c r="N166" s="23"/>
      <c r="O166" s="23"/>
      <c r="P166" s="24"/>
      <c r="Q166" s="24"/>
      <c r="R166" s="24"/>
      <c r="S166" s="25"/>
      <c r="T166" s="25"/>
      <c r="U166" s="26"/>
      <c r="V166" s="26"/>
      <c r="W166" s="27"/>
      <c r="X166" s="27"/>
      <c r="AG166" t="s">
        <v>47</v>
      </c>
      <c r="AH166" s="21"/>
      <c r="AI166" s="21"/>
      <c r="AJ166" s="21"/>
      <c r="AK166" s="21"/>
      <c r="AL166" s="21"/>
      <c r="AM166" s="22">
        <f>((1.5-0.00275*AC160)^4)/(460+(25.9*AC160))*1000</f>
        <v>0.73831980020491839</v>
      </c>
      <c r="AN166" s="20"/>
      <c r="AO166" s="23"/>
      <c r="AP166" s="23"/>
      <c r="AQ166" s="24"/>
      <c r="AR166" s="24"/>
      <c r="AS166" s="24"/>
      <c r="AT166" s="25"/>
      <c r="AU166" s="25"/>
      <c r="AV166" s="26"/>
      <c r="AW166" s="26"/>
      <c r="AX166" s="27"/>
      <c r="AY166" s="27"/>
    </row>
    <row r="168" spans="1:51" x14ac:dyDescent="0.3">
      <c r="G168" s="28"/>
      <c r="H168" s="28"/>
      <c r="I168" s="28"/>
      <c r="J168" s="28"/>
      <c r="K168" s="28"/>
      <c r="L168" s="29"/>
      <c r="M168" s="30"/>
      <c r="N168" s="31"/>
      <c r="O168" s="31"/>
      <c r="P168" s="32"/>
      <c r="Q168" s="32"/>
      <c r="R168" s="32"/>
      <c r="S168" s="33"/>
      <c r="T168" s="33"/>
      <c r="U168" s="34"/>
      <c r="V168" s="34"/>
      <c r="W168" s="35"/>
      <c r="X168" s="35"/>
      <c r="AH168" s="28" t="s">
        <v>4</v>
      </c>
      <c r="AI168" s="28" t="s">
        <v>5</v>
      </c>
      <c r="AJ168" s="28" t="s">
        <v>6</v>
      </c>
      <c r="AK168" s="28" t="s">
        <v>7</v>
      </c>
      <c r="AL168" s="28" t="s">
        <v>8</v>
      </c>
      <c r="AM168" s="29" t="s">
        <v>50</v>
      </c>
      <c r="AN168" s="30" t="s">
        <v>9</v>
      </c>
      <c r="AO168" s="31" t="s">
        <v>10</v>
      </c>
      <c r="AP168" s="31" t="s">
        <v>11</v>
      </c>
      <c r="AQ168" s="32" t="s">
        <v>12</v>
      </c>
      <c r="AR168" s="32" t="s">
        <v>13</v>
      </c>
      <c r="AS168" s="32" t="s">
        <v>14</v>
      </c>
      <c r="AT168" s="33" t="s">
        <v>20</v>
      </c>
      <c r="AU168" s="33" t="s">
        <v>21</v>
      </c>
      <c r="AV168" s="34" t="s">
        <v>16</v>
      </c>
      <c r="AW168" s="34" t="s">
        <v>17</v>
      </c>
      <c r="AX168" s="35" t="s">
        <v>18</v>
      </c>
      <c r="AY168" s="35" t="s">
        <v>24</v>
      </c>
    </row>
    <row r="170" spans="1:51" x14ac:dyDescent="0.3">
      <c r="E170" s="1" t="s">
        <v>65</v>
      </c>
      <c r="F170">
        <v>0</v>
      </c>
      <c r="G170" s="28"/>
      <c r="H170" s="28"/>
      <c r="I170" s="28"/>
      <c r="J170" s="28"/>
      <c r="K170" s="28"/>
      <c r="L170" s="29"/>
      <c r="M170" s="30"/>
      <c r="N170" s="31"/>
      <c r="O170" s="31"/>
      <c r="P170" s="32"/>
      <c r="Q170" s="32"/>
      <c r="R170" s="32"/>
      <c r="S170" s="33"/>
      <c r="T170" s="33"/>
      <c r="U170" s="34"/>
      <c r="V170" s="34"/>
      <c r="W170" s="35"/>
      <c r="X170" s="35"/>
      <c r="AF170" s="1" t="s">
        <v>65</v>
      </c>
      <c r="AG170">
        <f>AE14</f>
        <v>4.9458521066739074</v>
      </c>
      <c r="AH170" s="28">
        <f t="shared" ref="AH170:AL185" si="135">IF(1-EXP(-0.23*(AH86-AH$165))&lt;0, 0, 1-EXP(-0.23*(AH86-AH$165)))</f>
        <v>0</v>
      </c>
      <c r="AI170" s="28">
        <f t="shared" si="135"/>
        <v>0.66035521474125147</v>
      </c>
      <c r="AJ170" s="28">
        <f t="shared" si="135"/>
        <v>0</v>
      </c>
      <c r="AK170" s="28">
        <f t="shared" si="135"/>
        <v>0.61011002429703387</v>
      </c>
      <c r="AL170" s="28">
        <f t="shared" si="135"/>
        <v>0</v>
      </c>
      <c r="AM170" s="29">
        <f>IF(1-EXP(-0.23*(BA86-AM$165))&lt;0, 0, 1-EXP(-0.23*(BA86-AM$165)))</f>
        <v>0</v>
      </c>
      <c r="AN170" s="30">
        <f t="shared" ref="AN170:AN185" si="136">IF(1-EXP(-0.23*(AN86-AN$165))&lt;0, 0, 1-EXP(-0.23*(AN86-AN$165)))</f>
        <v>0</v>
      </c>
      <c r="AO170" s="31"/>
      <c r="AP170" s="31"/>
      <c r="AQ170" s="32"/>
      <c r="AR170" s="32"/>
      <c r="AS170" s="32"/>
      <c r="AT170" s="33"/>
      <c r="AU170" s="33"/>
      <c r="AV170" s="34" t="e">
        <f t="shared" ref="AV170:AY189" si="137">IF(1-EXP(-0.23*(AV86-AV$165))&lt;0, 0, 1-EXP(-0.23*(AV86-AV$165)))</f>
        <v>#DIV/0!</v>
      </c>
      <c r="AW170" s="34" t="e">
        <f t="shared" si="137"/>
        <v>#DIV/0!</v>
      </c>
      <c r="AX170" s="35" t="e">
        <f t="shared" si="137"/>
        <v>#NUM!</v>
      </c>
      <c r="AY170" s="35" t="e">
        <f t="shared" si="137"/>
        <v>#NUM!</v>
      </c>
    </row>
    <row r="171" spans="1:51" x14ac:dyDescent="0.3">
      <c r="F171">
        <v>1</v>
      </c>
      <c r="G171" s="28"/>
      <c r="H171" s="28"/>
      <c r="I171" s="28"/>
      <c r="J171" s="28"/>
      <c r="K171" s="28"/>
      <c r="L171" s="29"/>
      <c r="M171" s="30"/>
      <c r="N171" s="31"/>
      <c r="O171" s="31"/>
      <c r="P171" s="32"/>
      <c r="Q171" s="32"/>
      <c r="R171" s="32"/>
      <c r="S171" s="33"/>
      <c r="T171" s="33"/>
      <c r="U171" s="34"/>
      <c r="V171" s="34"/>
      <c r="W171" s="35"/>
      <c r="X171" s="35"/>
      <c r="AG171">
        <f t="shared" ref="AG171:AG234" si="138">AE15</f>
        <v>5.2014595403979236</v>
      </c>
      <c r="AH171" s="28">
        <f t="shared" si="135"/>
        <v>0</v>
      </c>
      <c r="AI171" s="28">
        <f t="shared" si="135"/>
        <v>0.69077018373366394</v>
      </c>
      <c r="AJ171" s="28">
        <f t="shared" si="135"/>
        <v>0</v>
      </c>
      <c r="AK171" s="28">
        <f t="shared" si="135"/>
        <v>0.64552855573122847</v>
      </c>
      <c r="AL171" s="28">
        <f t="shared" si="135"/>
        <v>0</v>
      </c>
      <c r="AM171" s="29">
        <f t="shared" ref="AM171:AM225" si="139">IF(1-EXP(-0.23*(BA87-AM$165))&lt;0, 0, 1-EXP(-0.23*(BA87-AM$165)))</f>
        <v>0</v>
      </c>
      <c r="AN171" s="30">
        <f t="shared" si="136"/>
        <v>0</v>
      </c>
      <c r="AO171" s="31"/>
      <c r="AP171" s="31"/>
      <c r="AQ171" s="32"/>
      <c r="AR171" s="32"/>
      <c r="AS171" s="32"/>
      <c r="AT171" s="33"/>
      <c r="AU171" s="33"/>
      <c r="AV171" s="34" t="e">
        <f t="shared" si="137"/>
        <v>#DIV/0!</v>
      </c>
      <c r="AW171" s="34" t="e">
        <f t="shared" si="137"/>
        <v>#DIV/0!</v>
      </c>
      <c r="AX171" s="35" t="e">
        <f t="shared" si="137"/>
        <v>#NUM!</v>
      </c>
      <c r="AY171" s="35" t="e">
        <f t="shared" si="137"/>
        <v>#NUM!</v>
      </c>
    </row>
    <row r="172" spans="1:51" x14ac:dyDescent="0.3">
      <c r="F172">
        <v>2</v>
      </c>
      <c r="G172" s="28"/>
      <c r="H172" s="28"/>
      <c r="I172" s="28"/>
      <c r="J172" s="28"/>
      <c r="K172" s="28"/>
      <c r="L172" s="29"/>
      <c r="M172" s="30"/>
      <c r="N172" s="31"/>
      <c r="O172" s="31"/>
      <c r="P172" s="32"/>
      <c r="Q172" s="32"/>
      <c r="R172" s="32"/>
      <c r="S172" s="33"/>
      <c r="T172" s="33"/>
      <c r="U172" s="34"/>
      <c r="V172" s="34"/>
      <c r="W172" s="35"/>
      <c r="X172" s="35"/>
      <c r="AG172">
        <f t="shared" si="138"/>
        <v>5.4702770658848543</v>
      </c>
      <c r="AH172" s="28">
        <f t="shared" si="135"/>
        <v>0</v>
      </c>
      <c r="AI172" s="28">
        <f t="shared" si="135"/>
        <v>0.72026864911640365</v>
      </c>
      <c r="AJ172" s="28">
        <f t="shared" si="135"/>
        <v>0</v>
      </c>
      <c r="AK172" s="28">
        <f t="shared" si="135"/>
        <v>0.67981777566000257</v>
      </c>
      <c r="AL172" s="28">
        <f t="shared" si="135"/>
        <v>0</v>
      </c>
      <c r="AM172" s="29">
        <f t="shared" si="139"/>
        <v>0</v>
      </c>
      <c r="AN172" s="30">
        <f t="shared" si="136"/>
        <v>0</v>
      </c>
      <c r="AO172" s="31"/>
      <c r="AP172" s="31"/>
      <c r="AQ172" s="32"/>
      <c r="AR172" s="32"/>
      <c r="AS172" s="32"/>
      <c r="AT172" s="33"/>
      <c r="AU172" s="33"/>
      <c r="AV172" s="34" t="e">
        <f t="shared" si="137"/>
        <v>#DIV/0!</v>
      </c>
      <c r="AW172" s="34" t="e">
        <f t="shared" si="137"/>
        <v>#DIV/0!</v>
      </c>
      <c r="AX172" s="35" t="e">
        <f t="shared" si="137"/>
        <v>#NUM!</v>
      </c>
      <c r="AY172" s="35" t="e">
        <f t="shared" si="137"/>
        <v>#NUM!</v>
      </c>
    </row>
    <row r="173" spans="1:51" x14ac:dyDescent="0.3">
      <c r="F173">
        <v>3</v>
      </c>
      <c r="G173" s="28"/>
      <c r="H173" s="28"/>
      <c r="I173" s="28"/>
      <c r="J173" s="28"/>
      <c r="K173" s="28"/>
      <c r="L173" s="29"/>
      <c r="M173" s="30"/>
      <c r="N173" s="31"/>
      <c r="O173" s="31"/>
      <c r="P173" s="32"/>
      <c r="Q173" s="32"/>
      <c r="R173" s="32"/>
      <c r="S173" s="33"/>
      <c r="T173" s="33"/>
      <c r="U173" s="34"/>
      <c r="V173" s="34"/>
      <c r="W173" s="35"/>
      <c r="X173" s="35"/>
      <c r="AG173">
        <f t="shared" si="138"/>
        <v>5.7529873961600746</v>
      </c>
      <c r="AH173" s="28">
        <f t="shared" si="135"/>
        <v>0</v>
      </c>
      <c r="AI173" s="28">
        <f t="shared" si="135"/>
        <v>0.74867578757896525</v>
      </c>
      <c r="AJ173" s="28">
        <f t="shared" si="135"/>
        <v>0</v>
      </c>
      <c r="AK173" s="28">
        <f t="shared" si="135"/>
        <v>0.71277619870286169</v>
      </c>
      <c r="AL173" s="28">
        <f t="shared" si="135"/>
        <v>0</v>
      </c>
      <c r="AM173" s="29">
        <f t="shared" si="139"/>
        <v>0</v>
      </c>
      <c r="AN173" s="30">
        <f t="shared" si="136"/>
        <v>0</v>
      </c>
      <c r="AO173" s="31"/>
      <c r="AP173" s="31"/>
      <c r="AQ173" s="32"/>
      <c r="AR173" s="32"/>
      <c r="AS173" s="32"/>
      <c r="AT173" s="33"/>
      <c r="AU173" s="33"/>
      <c r="AV173" s="34" t="e">
        <f t="shared" si="137"/>
        <v>#DIV/0!</v>
      </c>
      <c r="AW173" s="34" t="e">
        <f t="shared" si="137"/>
        <v>#DIV/0!</v>
      </c>
      <c r="AX173" s="35" t="e">
        <f t="shared" si="137"/>
        <v>#NUM!</v>
      </c>
      <c r="AY173" s="35" t="e">
        <f t="shared" si="137"/>
        <v>#NUM!</v>
      </c>
    </row>
    <row r="174" spans="1:51" x14ac:dyDescent="0.3">
      <c r="F174">
        <v>4</v>
      </c>
      <c r="G174" s="28"/>
      <c r="H174" s="28"/>
      <c r="I174" s="28"/>
      <c r="J174" s="28"/>
      <c r="K174" s="28"/>
      <c r="L174" s="29"/>
      <c r="M174" s="30"/>
      <c r="N174" s="31"/>
      <c r="O174" s="31"/>
      <c r="P174" s="32"/>
      <c r="Q174" s="32"/>
      <c r="R174" s="32"/>
      <c r="S174" s="33"/>
      <c r="T174" s="33"/>
      <c r="U174" s="34"/>
      <c r="V174" s="34"/>
      <c r="W174" s="35"/>
      <c r="X174" s="35"/>
      <c r="AG174">
        <f t="shared" si="138"/>
        <v>6.0503085276582826</v>
      </c>
      <c r="AH174" s="28">
        <f t="shared" si="135"/>
        <v>0</v>
      </c>
      <c r="AI174" s="28">
        <f t="shared" si="135"/>
        <v>0.77582690657300724</v>
      </c>
      <c r="AJ174" s="28">
        <f t="shared" si="135"/>
        <v>0</v>
      </c>
      <c r="AK174" s="28">
        <f t="shared" si="135"/>
        <v>0.74421553319369882</v>
      </c>
      <c r="AL174" s="28">
        <f t="shared" si="135"/>
        <v>0</v>
      </c>
      <c r="AM174" s="29">
        <f t="shared" si="139"/>
        <v>0</v>
      </c>
      <c r="AN174" s="30">
        <f t="shared" si="136"/>
        <v>0</v>
      </c>
      <c r="AO174" s="31"/>
      <c r="AP174" s="31"/>
      <c r="AQ174" s="32"/>
      <c r="AR174" s="32"/>
      <c r="AS174" s="32"/>
      <c r="AT174" s="33"/>
      <c r="AU174" s="33"/>
      <c r="AV174" s="34" t="e">
        <f t="shared" si="137"/>
        <v>#DIV/0!</v>
      </c>
      <c r="AW174" s="34" t="e">
        <f t="shared" si="137"/>
        <v>#DIV/0!</v>
      </c>
      <c r="AX174" s="35" t="e">
        <f t="shared" si="137"/>
        <v>#NUM!</v>
      </c>
      <c r="AY174" s="35" t="e">
        <f t="shared" si="137"/>
        <v>#NUM!</v>
      </c>
    </row>
    <row r="175" spans="1:51" x14ac:dyDescent="0.3">
      <c r="F175">
        <v>5</v>
      </c>
      <c r="G175" s="28"/>
      <c r="H175" s="28"/>
      <c r="I175" s="28"/>
      <c r="J175" s="28"/>
      <c r="K175" s="28"/>
      <c r="L175" s="29"/>
      <c r="M175" s="30"/>
      <c r="N175" s="31"/>
      <c r="O175" s="31"/>
      <c r="P175" s="32"/>
      <c r="Q175" s="32"/>
      <c r="R175" s="32"/>
      <c r="S175" s="33"/>
      <c r="T175" s="33"/>
      <c r="U175" s="34"/>
      <c r="V175" s="34"/>
      <c r="W175" s="35"/>
      <c r="X175" s="35"/>
      <c r="AG175">
        <f t="shared" si="138"/>
        <v>6.3629955637114666</v>
      </c>
      <c r="AH175" s="28">
        <f t="shared" si="135"/>
        <v>0</v>
      </c>
      <c r="AI175" s="28">
        <f t="shared" si="135"/>
        <v>0.80157163842918966</v>
      </c>
      <c r="AJ175" s="28">
        <f t="shared" si="135"/>
        <v>0</v>
      </c>
      <c r="AK175" s="28">
        <f t="shared" si="135"/>
        <v>0.77396553937266965</v>
      </c>
      <c r="AL175" s="28">
        <f t="shared" si="135"/>
        <v>0</v>
      </c>
      <c r="AM175" s="29">
        <f t="shared" si="139"/>
        <v>0</v>
      </c>
      <c r="AN175" s="30">
        <f t="shared" si="136"/>
        <v>0</v>
      </c>
      <c r="AO175" s="31"/>
      <c r="AP175" s="31"/>
      <c r="AQ175" s="32"/>
      <c r="AR175" s="32"/>
      <c r="AS175" s="32"/>
      <c r="AT175" s="33"/>
      <c r="AU175" s="33"/>
      <c r="AV175" s="34" t="e">
        <f t="shared" si="137"/>
        <v>#DIV/0!</v>
      </c>
      <c r="AW175" s="34" t="e">
        <f t="shared" si="137"/>
        <v>#DIV/0!</v>
      </c>
      <c r="AX175" s="35" t="e">
        <f t="shared" si="137"/>
        <v>#NUM!</v>
      </c>
      <c r="AY175" s="35" t="e">
        <f t="shared" si="137"/>
        <v>#NUM!</v>
      </c>
    </row>
    <row r="176" spans="1:51" x14ac:dyDescent="0.3">
      <c r="F176">
        <v>6</v>
      </c>
      <c r="G176" s="28"/>
      <c r="H176" s="28"/>
      <c r="I176" s="28"/>
      <c r="J176" s="28"/>
      <c r="K176" s="28"/>
      <c r="L176" s="29"/>
      <c r="M176" s="30"/>
      <c r="N176" s="31"/>
      <c r="O176" s="31"/>
      <c r="P176" s="32"/>
      <c r="Q176" s="32"/>
      <c r="R176" s="32"/>
      <c r="S176" s="33"/>
      <c r="T176" s="33"/>
      <c r="U176" s="34"/>
      <c r="V176" s="34"/>
      <c r="W176" s="35"/>
      <c r="X176" s="35"/>
      <c r="AG176">
        <f t="shared" si="138"/>
        <v>6.6918426322768392</v>
      </c>
      <c r="AH176" s="28">
        <f t="shared" si="135"/>
        <v>0</v>
      </c>
      <c r="AI176" s="28">
        <f t="shared" si="135"/>
        <v>0.82577801281977803</v>
      </c>
      <c r="AJ176" s="28">
        <f t="shared" si="135"/>
        <v>0</v>
      </c>
      <c r="AK176" s="28">
        <f t="shared" si="135"/>
        <v>0.80187868221858427</v>
      </c>
      <c r="AL176" s="28">
        <f t="shared" si="135"/>
        <v>0</v>
      </c>
      <c r="AM176" s="29">
        <f t="shared" si="139"/>
        <v>0</v>
      </c>
      <c r="AN176" s="30">
        <f t="shared" si="136"/>
        <v>0</v>
      </c>
      <c r="AO176" s="31"/>
      <c r="AP176" s="31"/>
      <c r="AQ176" s="32"/>
      <c r="AR176" s="32"/>
      <c r="AS176" s="32"/>
      <c r="AT176" s="33"/>
      <c r="AU176" s="33"/>
      <c r="AV176" s="34" t="e">
        <f t="shared" si="137"/>
        <v>#DIV/0!</v>
      </c>
      <c r="AW176" s="34" t="e">
        <f t="shared" si="137"/>
        <v>#DIV/0!</v>
      </c>
      <c r="AX176" s="35" t="e">
        <f t="shared" si="137"/>
        <v>#NUM!</v>
      </c>
      <c r="AY176" s="35" t="e">
        <f t="shared" si="137"/>
        <v>#NUM!</v>
      </c>
    </row>
    <row r="177" spans="6:51" x14ac:dyDescent="0.3">
      <c r="F177">
        <v>7</v>
      </c>
      <c r="G177" s="28"/>
      <c r="H177" s="28"/>
      <c r="I177" s="28"/>
      <c r="J177" s="28"/>
      <c r="K177" s="28"/>
      <c r="L177" s="29"/>
      <c r="M177" s="30"/>
      <c r="N177" s="31"/>
      <c r="O177" s="31"/>
      <c r="P177" s="32"/>
      <c r="Q177" s="32"/>
      <c r="R177" s="32"/>
      <c r="S177" s="33"/>
      <c r="T177" s="33"/>
      <c r="U177" s="34"/>
      <c r="V177" s="34"/>
      <c r="W177" s="35"/>
      <c r="X177" s="35"/>
      <c r="AG177">
        <f t="shared" si="138"/>
        <v>7.0376849027752071</v>
      </c>
      <c r="AH177" s="28">
        <f t="shared" si="135"/>
        <v>0</v>
      </c>
      <c r="AI177" s="28">
        <f t="shared" si="135"/>
        <v>0.84833621348132116</v>
      </c>
      <c r="AJ177" s="28">
        <f t="shared" si="135"/>
        <v>0</v>
      </c>
      <c r="AK177" s="28">
        <f t="shared" si="135"/>
        <v>0.82783435010784268</v>
      </c>
      <c r="AL177" s="28">
        <f t="shared" si="135"/>
        <v>0</v>
      </c>
      <c r="AM177" s="29">
        <f t="shared" si="139"/>
        <v>0</v>
      </c>
      <c r="AN177" s="30">
        <f t="shared" si="136"/>
        <v>0</v>
      </c>
      <c r="AO177" s="31"/>
      <c r="AP177" s="31"/>
      <c r="AQ177" s="32"/>
      <c r="AR177" s="32"/>
      <c r="AS177" s="32"/>
      <c r="AT177" s="33"/>
      <c r="AU177" s="33"/>
      <c r="AV177" s="34" t="e">
        <f t="shared" si="137"/>
        <v>#DIV/0!</v>
      </c>
      <c r="AW177" s="34" t="e">
        <f t="shared" si="137"/>
        <v>#DIV/0!</v>
      </c>
      <c r="AX177" s="35" t="e">
        <f t="shared" si="137"/>
        <v>#NUM!</v>
      </c>
      <c r="AY177" s="35" t="e">
        <f t="shared" si="137"/>
        <v>#NUM!</v>
      </c>
    </row>
    <row r="178" spans="6:51" x14ac:dyDescent="0.3">
      <c r="F178">
        <v>8</v>
      </c>
      <c r="G178" s="28"/>
      <c r="H178" s="28"/>
      <c r="I178" s="28"/>
      <c r="J178" s="28"/>
      <c r="K178" s="28"/>
      <c r="L178" s="29"/>
      <c r="M178" s="30"/>
      <c r="N178" s="31"/>
      <c r="O178" s="31"/>
      <c r="P178" s="32"/>
      <c r="Q178" s="32"/>
      <c r="R178" s="32"/>
      <c r="S178" s="33"/>
      <c r="T178" s="33"/>
      <c r="U178" s="34"/>
      <c r="V178" s="34"/>
      <c r="W178" s="35"/>
      <c r="X178" s="35"/>
      <c r="AG178">
        <f t="shared" si="138"/>
        <v>7.4014007071619208</v>
      </c>
      <c r="AH178" s="28">
        <f t="shared" si="135"/>
        <v>1.7386086072705642E-2</v>
      </c>
      <c r="AI178" s="28">
        <f t="shared" si="135"/>
        <v>0.86916181661433223</v>
      </c>
      <c r="AJ178" s="28">
        <f t="shared" si="135"/>
        <v>0</v>
      </c>
      <c r="AK178" s="28">
        <f t="shared" si="135"/>
        <v>0.85174240503779064</v>
      </c>
      <c r="AL178" s="28">
        <f t="shared" si="135"/>
        <v>0</v>
      </c>
      <c r="AM178" s="29">
        <f t="shared" si="139"/>
        <v>0</v>
      </c>
      <c r="AN178" s="30">
        <f t="shared" si="136"/>
        <v>0</v>
      </c>
      <c r="AO178" s="31"/>
      <c r="AP178" s="31"/>
      <c r="AQ178" s="32"/>
      <c r="AR178" s="32"/>
      <c r="AS178" s="32"/>
      <c r="AT178" s="33"/>
      <c r="AU178" s="33"/>
      <c r="AV178" s="34" t="e">
        <f t="shared" si="137"/>
        <v>#DIV/0!</v>
      </c>
      <c r="AW178" s="34" t="e">
        <f t="shared" si="137"/>
        <v>#DIV/0!</v>
      </c>
      <c r="AX178" s="35" t="e">
        <f t="shared" si="137"/>
        <v>#NUM!</v>
      </c>
      <c r="AY178" s="35" t="e">
        <f t="shared" si="137"/>
        <v>#NUM!</v>
      </c>
    </row>
    <row r="179" spans="6:51" x14ac:dyDescent="0.3">
      <c r="F179">
        <v>9</v>
      </c>
      <c r="G179" s="28"/>
      <c r="H179" s="28"/>
      <c r="I179" s="28"/>
      <c r="J179" s="28"/>
      <c r="K179" s="28"/>
      <c r="L179" s="29"/>
      <c r="M179" s="30"/>
      <c r="N179" s="31"/>
      <c r="O179" s="31"/>
      <c r="P179" s="32"/>
      <c r="Q179" s="32"/>
      <c r="R179" s="32"/>
      <c r="S179" s="33"/>
      <c r="T179" s="33"/>
      <c r="U179" s="34"/>
      <c r="V179" s="34"/>
      <c r="W179" s="35"/>
      <c r="X179" s="35"/>
      <c r="AG179">
        <f t="shared" si="138"/>
        <v>7.7839137706172403</v>
      </c>
      <c r="AH179" s="28">
        <f t="shared" si="135"/>
        <v>6.780145075286792E-2</v>
      </c>
      <c r="AI179" s="28">
        <f t="shared" si="135"/>
        <v>0.88819831324779086</v>
      </c>
      <c r="AJ179" s="28">
        <f t="shared" si="135"/>
        <v>0</v>
      </c>
      <c r="AK179" s="28">
        <f t="shared" si="135"/>
        <v>0.87354584094243326</v>
      </c>
      <c r="AL179" s="28">
        <f t="shared" si="135"/>
        <v>0</v>
      </c>
      <c r="AM179" s="29">
        <f t="shared" si="139"/>
        <v>0</v>
      </c>
      <c r="AN179" s="30">
        <f t="shared" si="136"/>
        <v>0</v>
      </c>
      <c r="AO179" s="31"/>
      <c r="AP179" s="31"/>
      <c r="AQ179" s="32"/>
      <c r="AR179" s="32"/>
      <c r="AS179" s="32"/>
      <c r="AT179" s="33"/>
      <c r="AU179" s="33"/>
      <c r="AV179" s="34" t="e">
        <f t="shared" si="137"/>
        <v>#DIV/0!</v>
      </c>
      <c r="AW179" s="34" t="e">
        <f t="shared" si="137"/>
        <v>#DIV/0!</v>
      </c>
      <c r="AX179" s="35" t="e">
        <f t="shared" si="137"/>
        <v>#NUM!</v>
      </c>
      <c r="AY179" s="35" t="e">
        <f t="shared" si="137"/>
        <v>#NUM!</v>
      </c>
    </row>
    <row r="180" spans="6:51" x14ac:dyDescent="0.3">
      <c r="F180">
        <v>10</v>
      </c>
      <c r="G180" s="28"/>
      <c r="H180" s="28"/>
      <c r="I180" s="28"/>
      <c r="J180" s="28"/>
      <c r="K180" s="28"/>
      <c r="L180" s="29"/>
      <c r="M180" s="30"/>
      <c r="N180" s="31"/>
      <c r="O180" s="31"/>
      <c r="P180" s="32"/>
      <c r="Q180" s="32"/>
      <c r="R180" s="32"/>
      <c r="S180" s="33"/>
      <c r="T180" s="33"/>
      <c r="U180" s="34"/>
      <c r="V180" s="34"/>
      <c r="W180" s="35"/>
      <c r="X180" s="35"/>
      <c r="AG180">
        <f t="shared" si="138"/>
        <v>8.1861955575214029</v>
      </c>
      <c r="AH180" s="28">
        <f t="shared" si="135"/>
        <v>0.12369891308946046</v>
      </c>
      <c r="AI180" s="28">
        <f t="shared" si="135"/>
        <v>0.9054187382334844</v>
      </c>
      <c r="AJ180" s="28">
        <f t="shared" si="135"/>
        <v>0</v>
      </c>
      <c r="AK180" s="28">
        <f t="shared" si="135"/>
        <v>0.89322235573255493</v>
      </c>
      <c r="AL180" s="28">
        <f t="shared" si="135"/>
        <v>0</v>
      </c>
      <c r="AM180" s="29">
        <f t="shared" si="139"/>
        <v>0</v>
      </c>
      <c r="AN180" s="30">
        <f t="shared" si="136"/>
        <v>0</v>
      </c>
      <c r="AO180" s="31"/>
      <c r="AP180" s="31"/>
      <c r="AQ180" s="32"/>
      <c r="AR180" s="32"/>
      <c r="AS180" s="32"/>
      <c r="AT180" s="33"/>
      <c r="AU180" s="33"/>
      <c r="AV180" s="34" t="e">
        <f t="shared" si="137"/>
        <v>#DIV/0!</v>
      </c>
      <c r="AW180" s="34" t="e">
        <f t="shared" si="137"/>
        <v>#DIV/0!</v>
      </c>
      <c r="AX180" s="35" t="e">
        <f t="shared" si="137"/>
        <v>#NUM!</v>
      </c>
      <c r="AY180" s="35" t="e">
        <f t="shared" si="137"/>
        <v>#NUM!</v>
      </c>
    </row>
    <row r="181" spans="6:51" x14ac:dyDescent="0.3">
      <c r="F181">
        <v>11</v>
      </c>
      <c r="G181" s="28"/>
      <c r="H181" s="28"/>
      <c r="I181" s="28"/>
      <c r="J181" s="28"/>
      <c r="K181" s="28"/>
      <c r="L181" s="29"/>
      <c r="M181" s="30"/>
      <c r="N181" s="31"/>
      <c r="O181" s="31"/>
      <c r="P181" s="32"/>
      <c r="Q181" s="32"/>
      <c r="R181" s="32"/>
      <c r="S181" s="33"/>
      <c r="T181" s="33"/>
      <c r="U181" s="34"/>
      <c r="V181" s="34"/>
      <c r="W181" s="35"/>
      <c r="X181" s="35"/>
      <c r="AG181">
        <f t="shared" si="138"/>
        <v>8.6092677386724414</v>
      </c>
      <c r="AH181" s="28">
        <f t="shared" si="135"/>
        <v>0.18487067667301949</v>
      </c>
      <c r="AI181" s="28">
        <f t="shared" si="135"/>
        <v>0.92082626535127043</v>
      </c>
      <c r="AJ181" s="28">
        <f t="shared" si="135"/>
        <v>0</v>
      </c>
      <c r="AK181" s="28">
        <f t="shared" si="135"/>
        <v>0.91078469064991507</v>
      </c>
      <c r="AL181" s="28">
        <f t="shared" si="135"/>
        <v>0</v>
      </c>
      <c r="AM181" s="29">
        <f t="shared" si="139"/>
        <v>0</v>
      </c>
      <c r="AN181" s="30">
        <f t="shared" si="136"/>
        <v>0</v>
      </c>
      <c r="AO181" s="31"/>
      <c r="AP181" s="31"/>
      <c r="AQ181" s="32"/>
      <c r="AR181" s="32"/>
      <c r="AS181" s="32"/>
      <c r="AT181" s="33"/>
      <c r="AU181" s="33"/>
      <c r="AV181" s="34" t="e">
        <f t="shared" si="137"/>
        <v>#DIV/0!</v>
      </c>
      <c r="AW181" s="34" t="e">
        <f t="shared" si="137"/>
        <v>#DIV/0!</v>
      </c>
      <c r="AX181" s="35" t="e">
        <f t="shared" si="137"/>
        <v>#NUM!</v>
      </c>
      <c r="AY181" s="35" t="e">
        <f t="shared" si="137"/>
        <v>#NUM!</v>
      </c>
    </row>
    <row r="182" spans="6:51" x14ac:dyDescent="0.3">
      <c r="F182">
        <v>12</v>
      </c>
      <c r="G182" s="28"/>
      <c r="H182" s="28"/>
      <c r="I182" s="28"/>
      <c r="J182" s="28"/>
      <c r="K182" s="28"/>
      <c r="L182" s="29"/>
      <c r="M182" s="30"/>
      <c r="N182" s="31"/>
      <c r="O182" s="31"/>
      <c r="P182" s="32"/>
      <c r="Q182" s="32"/>
      <c r="R182" s="32"/>
      <c r="S182" s="33"/>
      <c r="T182" s="33"/>
      <c r="U182" s="34"/>
      <c r="V182" s="34"/>
      <c r="W182" s="35"/>
      <c r="X182" s="35"/>
      <c r="AG182">
        <f t="shared" si="138"/>
        <v>9.0542047860126846</v>
      </c>
      <c r="AH182" s="28">
        <f t="shared" si="135"/>
        <v>0.25084205794752645</v>
      </c>
      <c r="AI182" s="28">
        <f t="shared" si="135"/>
        <v>0.93445368057276335</v>
      </c>
      <c r="AJ182" s="28">
        <f t="shared" si="135"/>
        <v>0</v>
      </c>
      <c r="AK182" s="28">
        <f t="shared" si="135"/>
        <v>0.92627965590264516</v>
      </c>
      <c r="AL182" s="28">
        <f t="shared" si="135"/>
        <v>0</v>
      </c>
      <c r="AM182" s="29">
        <f t="shared" si="139"/>
        <v>0</v>
      </c>
      <c r="AN182" s="30">
        <f t="shared" si="136"/>
        <v>0</v>
      </c>
      <c r="AO182" s="31"/>
      <c r="AP182" s="31"/>
      <c r="AQ182" s="32"/>
      <c r="AR182" s="32"/>
      <c r="AS182" s="32"/>
      <c r="AT182" s="33"/>
      <c r="AU182" s="33"/>
      <c r="AV182" s="34" t="e">
        <f t="shared" si="137"/>
        <v>#DIV/0!</v>
      </c>
      <c r="AW182" s="34" t="e">
        <f t="shared" si="137"/>
        <v>#DIV/0!</v>
      </c>
      <c r="AX182" s="35" t="e">
        <f t="shared" si="137"/>
        <v>#NUM!</v>
      </c>
      <c r="AY182" s="35" t="e">
        <f t="shared" si="137"/>
        <v>#NUM!</v>
      </c>
    </row>
    <row r="183" spans="6:51" x14ac:dyDescent="0.3">
      <c r="F183">
        <v>13</v>
      </c>
      <c r="G183" s="28"/>
      <c r="H183" s="28"/>
      <c r="I183" s="28"/>
      <c r="J183" s="28"/>
      <c r="K183" s="28"/>
      <c r="L183" s="29"/>
      <c r="M183" s="30"/>
      <c r="N183" s="31"/>
      <c r="O183" s="31"/>
      <c r="P183" s="32"/>
      <c r="Q183" s="32"/>
      <c r="R183" s="32"/>
      <c r="S183" s="33"/>
      <c r="T183" s="33"/>
      <c r="U183" s="34"/>
      <c r="V183" s="34"/>
      <c r="W183" s="35"/>
      <c r="X183" s="35"/>
      <c r="AG183">
        <f t="shared" si="138"/>
        <v>9.5221367014538032</v>
      </c>
      <c r="AH183" s="28">
        <f t="shared" si="135"/>
        <v>0.32083529562748359</v>
      </c>
      <c r="AI183" s="28">
        <f t="shared" si="135"/>
        <v>0.94636171125235458</v>
      </c>
      <c r="AJ183" s="28">
        <f t="shared" si="135"/>
        <v>6.7083572080399501E-2</v>
      </c>
      <c r="AK183" s="28">
        <f t="shared" si="135"/>
        <v>0.93978584068206894</v>
      </c>
      <c r="AL183" s="28">
        <f t="shared" si="135"/>
        <v>0</v>
      </c>
      <c r="AM183" s="29">
        <f t="shared" si="139"/>
        <v>0</v>
      </c>
      <c r="AN183" s="30">
        <f t="shared" si="136"/>
        <v>0</v>
      </c>
      <c r="AO183" s="31"/>
      <c r="AP183" s="31"/>
      <c r="AQ183" s="32"/>
      <c r="AR183" s="32"/>
      <c r="AS183" s="32"/>
      <c r="AT183" s="33"/>
      <c r="AU183" s="33"/>
      <c r="AV183" s="34" t="e">
        <f t="shared" si="137"/>
        <v>#DIV/0!</v>
      </c>
      <c r="AW183" s="34" t="e">
        <f t="shared" si="137"/>
        <v>#DIV/0!</v>
      </c>
      <c r="AX183" s="35" t="e">
        <f t="shared" si="137"/>
        <v>#NUM!</v>
      </c>
      <c r="AY183" s="35" t="e">
        <f t="shared" si="137"/>
        <v>#NUM!</v>
      </c>
    </row>
    <row r="184" spans="6:51" x14ac:dyDescent="0.3">
      <c r="F184">
        <v>14</v>
      </c>
      <c r="G184" s="28"/>
      <c r="H184" s="28"/>
      <c r="I184" s="28"/>
      <c r="J184" s="28"/>
      <c r="K184" s="28"/>
      <c r="L184" s="29"/>
      <c r="M184" s="30"/>
      <c r="N184" s="31"/>
      <c r="O184" s="31"/>
      <c r="P184" s="32"/>
      <c r="Q184" s="32"/>
      <c r="R184" s="32"/>
      <c r="S184" s="33"/>
      <c r="T184" s="33"/>
      <c r="U184" s="34"/>
      <c r="V184" s="34"/>
      <c r="W184" s="35"/>
      <c r="X184" s="35"/>
      <c r="AG184">
        <f t="shared" si="138"/>
        <v>10.014251886730682</v>
      </c>
      <c r="AH184" s="28">
        <f t="shared" si="135"/>
        <v>0.39375367159639463</v>
      </c>
      <c r="AI184" s="28">
        <f t="shared" si="135"/>
        <v>0.95663626332061558</v>
      </c>
      <c r="AJ184" s="28">
        <f t="shared" si="135"/>
        <v>0.19143125988903908</v>
      </c>
      <c r="AK184" s="28">
        <f t="shared" si="135"/>
        <v>0.95141009267453081</v>
      </c>
      <c r="AL184" s="28">
        <f t="shared" si="135"/>
        <v>0</v>
      </c>
      <c r="AM184" s="29">
        <f t="shared" si="139"/>
        <v>0</v>
      </c>
      <c r="AN184" s="30">
        <f t="shared" si="136"/>
        <v>0</v>
      </c>
      <c r="AO184" s="31"/>
      <c r="AP184" s="31"/>
      <c r="AQ184" s="32"/>
      <c r="AR184" s="32"/>
      <c r="AS184" s="32"/>
      <c r="AT184" s="33"/>
      <c r="AU184" s="33"/>
      <c r="AV184" s="34" t="e">
        <f t="shared" si="137"/>
        <v>#DIV/0!</v>
      </c>
      <c r="AW184" s="34" t="e">
        <f t="shared" si="137"/>
        <v>#DIV/0!</v>
      </c>
      <c r="AX184" s="35" t="e">
        <f t="shared" si="137"/>
        <v>#NUM!</v>
      </c>
      <c r="AY184" s="35" t="e">
        <f t="shared" si="137"/>
        <v>#NUM!</v>
      </c>
    </row>
    <row r="185" spans="6:51" x14ac:dyDescent="0.3">
      <c r="F185">
        <v>15</v>
      </c>
      <c r="G185" s="28"/>
      <c r="H185" s="28"/>
      <c r="I185" s="28"/>
      <c r="J185" s="28"/>
      <c r="K185" s="28"/>
      <c r="L185" s="29"/>
      <c r="M185" s="30"/>
      <c r="N185" s="31"/>
      <c r="O185" s="31"/>
      <c r="P185" s="32"/>
      <c r="Q185" s="32"/>
      <c r="R185" s="32"/>
      <c r="S185" s="33"/>
      <c r="T185" s="33"/>
      <c r="U185" s="34"/>
      <c r="V185" s="34"/>
      <c r="W185" s="35"/>
      <c r="X185" s="35"/>
      <c r="AG185">
        <f t="shared" si="138"/>
        <v>10.531800161572754</v>
      </c>
      <c r="AH185" s="28">
        <f t="shared" si="135"/>
        <v>0.46819577332203499</v>
      </c>
      <c r="AI185" s="28">
        <f t="shared" si="135"/>
        <v>0.96538469512371961</v>
      </c>
      <c r="AJ185" s="28">
        <f t="shared" si="135"/>
        <v>0.31054379303701307</v>
      </c>
      <c r="AK185" s="28">
        <f t="shared" si="135"/>
        <v>0.96128293935634801</v>
      </c>
      <c r="AL185" s="28">
        <f t="shared" si="135"/>
        <v>0</v>
      </c>
      <c r="AM185" s="29">
        <f t="shared" si="139"/>
        <v>0</v>
      </c>
      <c r="AN185" s="30">
        <f t="shared" si="136"/>
        <v>0</v>
      </c>
      <c r="AO185" s="31"/>
      <c r="AP185" s="31"/>
      <c r="AQ185" s="32"/>
      <c r="AR185" s="32"/>
      <c r="AS185" s="32"/>
      <c r="AT185" s="33"/>
      <c r="AU185" s="33"/>
      <c r="AV185" s="34" t="e">
        <f t="shared" si="137"/>
        <v>#DIV/0!</v>
      </c>
      <c r="AW185" s="34" t="e">
        <f t="shared" si="137"/>
        <v>#DIV/0!</v>
      </c>
      <c r="AX185" s="35" t="e">
        <f t="shared" si="137"/>
        <v>#NUM!</v>
      </c>
      <c r="AY185" s="35" t="e">
        <f t="shared" si="137"/>
        <v>#NUM!</v>
      </c>
    </row>
    <row r="186" spans="6:51" x14ac:dyDescent="0.3">
      <c r="F186">
        <v>16</v>
      </c>
      <c r="G186" s="28"/>
      <c r="H186" s="28"/>
      <c r="I186" s="28"/>
      <c r="J186" s="28"/>
      <c r="K186" s="28"/>
      <c r="L186" s="29"/>
      <c r="M186" s="30"/>
      <c r="N186" s="31"/>
      <c r="O186" s="31"/>
      <c r="P186" s="32"/>
      <c r="Q186" s="32"/>
      <c r="R186" s="32"/>
      <c r="S186" s="33"/>
      <c r="T186" s="33"/>
      <c r="U186" s="34"/>
      <c r="V186" s="34"/>
      <c r="W186" s="35"/>
      <c r="X186" s="35"/>
      <c r="AG186">
        <f t="shared" si="138"/>
        <v>11.076095937857938</v>
      </c>
      <c r="AH186" s="28">
        <f t="shared" ref="AH186:AL201" si="140">IF(1-EXP(-0.23*(AH102-AH$165))&lt;0, 0, 1-EXP(-0.23*(AH102-AH$165)))</f>
        <v>0.54250813248557417</v>
      </c>
      <c r="AI186" s="28">
        <f t="shared" si="140"/>
        <v>0.97273132785971006</v>
      </c>
      <c r="AJ186" s="28">
        <f t="shared" si="140"/>
        <v>0.42247731244571163</v>
      </c>
      <c r="AK186" s="28">
        <f t="shared" si="140"/>
        <v>0.96955320187202942</v>
      </c>
      <c r="AL186" s="28">
        <f t="shared" si="140"/>
        <v>0</v>
      </c>
      <c r="AM186" s="29">
        <f t="shared" si="139"/>
        <v>0</v>
      </c>
      <c r="AN186" s="30">
        <f t="shared" ref="AN186:AN240" si="141">IF(1-EXP(-0.23*(AN102-AN$165))&lt;0, 0, 1-EXP(-0.23*(AN102-AN$165)))</f>
        <v>0</v>
      </c>
      <c r="AO186" s="31"/>
      <c r="AP186" s="31"/>
      <c r="AQ186" s="32"/>
      <c r="AR186" s="32"/>
      <c r="AS186" s="32"/>
      <c r="AT186" s="33"/>
      <c r="AU186" s="33"/>
      <c r="AV186" s="34" t="e">
        <f t="shared" si="137"/>
        <v>#DIV/0!</v>
      </c>
      <c r="AW186" s="34" t="e">
        <f t="shared" si="137"/>
        <v>#DIV/0!</v>
      </c>
      <c r="AX186" s="35" t="e">
        <f t="shared" si="137"/>
        <v>#NUM!</v>
      </c>
      <c r="AY186" s="35" t="e">
        <f t="shared" si="137"/>
        <v>#NUM!</v>
      </c>
    </row>
    <row r="187" spans="6:51" x14ac:dyDescent="0.3">
      <c r="F187">
        <v>17</v>
      </c>
      <c r="G187" s="28"/>
      <c r="H187" s="28"/>
      <c r="I187" s="28"/>
      <c r="J187" s="28"/>
      <c r="K187" s="28"/>
      <c r="L187" s="29"/>
      <c r="M187" s="30"/>
      <c r="N187" s="31"/>
      <c r="O187" s="31"/>
      <c r="P187" s="32"/>
      <c r="Q187" s="32"/>
      <c r="R187" s="32"/>
      <c r="S187" s="33"/>
      <c r="T187" s="33"/>
      <c r="U187" s="34"/>
      <c r="V187" s="34"/>
      <c r="W187" s="35"/>
      <c r="X187" s="35"/>
      <c r="AG187">
        <f t="shared" si="138"/>
        <v>11.648521557810575</v>
      </c>
      <c r="AH187" s="28">
        <f t="shared" si="140"/>
        <v>0.6148801131235001</v>
      </c>
      <c r="AI187" s="28">
        <f t="shared" si="140"/>
        <v>0.97881245074103185</v>
      </c>
      <c r="AJ187" s="28">
        <f t="shared" si="140"/>
        <v>0.52550361601768136</v>
      </c>
      <c r="AK187" s="28">
        <f t="shared" si="140"/>
        <v>0.97638211328128788</v>
      </c>
      <c r="AL187" s="28">
        <f t="shared" si="140"/>
        <v>0</v>
      </c>
      <c r="AM187" s="29">
        <f t="shared" si="139"/>
        <v>0</v>
      </c>
      <c r="AN187" s="30">
        <f t="shared" si="141"/>
        <v>0</v>
      </c>
      <c r="AO187" s="31"/>
      <c r="AP187" s="31"/>
      <c r="AQ187" s="32"/>
      <c r="AR187" s="32"/>
      <c r="AS187" s="32"/>
      <c r="AT187" s="33"/>
      <c r="AU187" s="33"/>
      <c r="AV187" s="34" t="e">
        <f t="shared" si="137"/>
        <v>#DIV/0!</v>
      </c>
      <c r="AW187" s="34" t="e">
        <f t="shared" si="137"/>
        <v>#DIV/0!</v>
      </c>
      <c r="AX187" s="35" t="e">
        <f t="shared" si="137"/>
        <v>#NUM!</v>
      </c>
      <c r="AY187" s="35" t="e">
        <f t="shared" si="137"/>
        <v>#NUM!</v>
      </c>
    </row>
    <row r="188" spans="6:51" x14ac:dyDescent="0.3">
      <c r="F188">
        <v>18</v>
      </c>
      <c r="G188" s="28"/>
      <c r="H188" s="28"/>
      <c r="I188" s="28"/>
      <c r="J188" s="28"/>
      <c r="K188" s="28"/>
      <c r="L188" s="29"/>
      <c r="M188" s="30"/>
      <c r="N188" s="31"/>
      <c r="O188" s="31"/>
      <c r="P188" s="32"/>
      <c r="Q188" s="32"/>
      <c r="R188" s="32"/>
      <c r="S188" s="33"/>
      <c r="T188" s="33"/>
      <c r="U188" s="34"/>
      <c r="V188" s="34"/>
      <c r="W188" s="35"/>
      <c r="X188" s="35"/>
      <c r="AG188">
        <f t="shared" si="138"/>
        <v>12.250530804721352</v>
      </c>
      <c r="AH188" s="28">
        <f t="shared" si="140"/>
        <v>0.68347766788289321</v>
      </c>
      <c r="AI188" s="28">
        <f t="shared" si="140"/>
        <v>0.98377111692842401</v>
      </c>
      <c r="AJ188" s="28">
        <f t="shared" si="140"/>
        <v>0.61822848529592056</v>
      </c>
      <c r="AK188" s="28">
        <f t="shared" si="140"/>
        <v>0.98193728877736586</v>
      </c>
      <c r="AL188" s="28">
        <f t="shared" si="140"/>
        <v>0</v>
      </c>
      <c r="AM188" s="29">
        <f t="shared" si="139"/>
        <v>0</v>
      </c>
      <c r="AN188" s="30">
        <f t="shared" si="141"/>
        <v>0</v>
      </c>
      <c r="AO188" s="31"/>
      <c r="AP188" s="31"/>
      <c r="AQ188" s="32"/>
      <c r="AR188" s="32"/>
      <c r="AS188" s="32"/>
      <c r="AT188" s="33"/>
      <c r="AU188" s="33"/>
      <c r="AV188" s="34" t="e">
        <f t="shared" si="137"/>
        <v>#DIV/0!</v>
      </c>
      <c r="AW188" s="34" t="e">
        <f t="shared" si="137"/>
        <v>#DIV/0!</v>
      </c>
      <c r="AX188" s="35" t="e">
        <f t="shared" si="137"/>
        <v>#NUM!</v>
      </c>
      <c r="AY188" s="35" t="e">
        <f t="shared" si="137"/>
        <v>#NUM!</v>
      </c>
    </row>
    <row r="189" spans="6:51" x14ac:dyDescent="0.3">
      <c r="F189">
        <v>19</v>
      </c>
      <c r="G189" s="28"/>
      <c r="H189" s="28"/>
      <c r="I189" s="28"/>
      <c r="J189" s="28"/>
      <c r="K189" s="28"/>
      <c r="L189" s="29"/>
      <c r="M189" s="30"/>
      <c r="N189" s="31"/>
      <c r="O189" s="31"/>
      <c r="P189" s="32"/>
      <c r="Q189" s="32"/>
      <c r="R189" s="32"/>
      <c r="S189" s="33"/>
      <c r="T189" s="33"/>
      <c r="U189" s="34"/>
      <c r="V189" s="34"/>
      <c r="W189" s="35"/>
      <c r="X189" s="35"/>
      <c r="AG189">
        <f t="shared" si="138"/>
        <v>12.883652595105344</v>
      </c>
      <c r="AH189" s="28">
        <f t="shared" si="140"/>
        <v>0.74660329614685517</v>
      </c>
      <c r="AI189" s="28">
        <f t="shared" si="140"/>
        <v>0.98775203866934691</v>
      </c>
      <c r="AJ189" s="28">
        <f t="shared" si="140"/>
        <v>0.69969088036127658</v>
      </c>
      <c r="AK189" s="28">
        <f t="shared" si="140"/>
        <v>0.98638690097168791</v>
      </c>
      <c r="AL189" s="28">
        <f t="shared" si="140"/>
        <v>0</v>
      </c>
      <c r="AM189" s="29">
        <f t="shared" si="139"/>
        <v>0</v>
      </c>
      <c r="AN189" s="30">
        <f t="shared" si="141"/>
        <v>0</v>
      </c>
      <c r="AO189" s="31"/>
      <c r="AP189" s="31"/>
      <c r="AQ189" s="32"/>
      <c r="AR189" s="32"/>
      <c r="AS189" s="32"/>
      <c r="AT189" s="33"/>
      <c r="AU189" s="33"/>
      <c r="AV189" s="34" t="e">
        <f t="shared" si="137"/>
        <v>#DIV/0!</v>
      </c>
      <c r="AW189" s="34" t="e">
        <f t="shared" si="137"/>
        <v>#DIV/0!</v>
      </c>
      <c r="AX189" s="35" t="e">
        <f t="shared" si="137"/>
        <v>#NUM!</v>
      </c>
      <c r="AY189" s="35" t="e">
        <f t="shared" si="137"/>
        <v>#NUM!</v>
      </c>
    </row>
    <row r="190" spans="6:51" x14ac:dyDescent="0.3">
      <c r="F190">
        <v>20</v>
      </c>
      <c r="G190" s="28"/>
      <c r="H190" s="28"/>
      <c r="I190" s="28"/>
      <c r="J190" s="28"/>
      <c r="K190" s="28"/>
      <c r="L190" s="29"/>
      <c r="M190" s="30"/>
      <c r="N190" s="31"/>
      <c r="O190" s="31"/>
      <c r="P190" s="32"/>
      <c r="Q190" s="32"/>
      <c r="R190" s="32"/>
      <c r="S190" s="33"/>
      <c r="T190" s="33"/>
      <c r="U190" s="34"/>
      <c r="V190" s="34"/>
      <c r="W190" s="35"/>
      <c r="X190" s="35"/>
      <c r="AG190">
        <f t="shared" si="138"/>
        <v>13.549494861675118</v>
      </c>
      <c r="AH190" s="28">
        <f t="shared" si="140"/>
        <v>0.80286030056919344</v>
      </c>
      <c r="AI190" s="28">
        <f t="shared" si="140"/>
        <v>0.99089687452985475</v>
      </c>
      <c r="AJ190" s="28">
        <f t="shared" si="140"/>
        <v>0.76942864464678873</v>
      </c>
      <c r="AK190" s="28">
        <f t="shared" si="140"/>
        <v>0.98989438685963882</v>
      </c>
      <c r="AL190" s="28">
        <f t="shared" si="140"/>
        <v>0</v>
      </c>
      <c r="AM190" s="29">
        <f t="shared" si="139"/>
        <v>0</v>
      </c>
      <c r="AN190" s="30">
        <f t="shared" si="141"/>
        <v>0</v>
      </c>
      <c r="AO190" s="31"/>
      <c r="AP190" s="31"/>
      <c r="AQ190" s="32"/>
      <c r="AR190" s="32"/>
      <c r="AS190" s="32"/>
      <c r="AT190" s="33"/>
      <c r="AU190" s="33"/>
      <c r="AV190" s="34" t="e">
        <f t="shared" ref="AV190:AY209" si="142">IF(1-EXP(-0.23*(AV106-AV$165))&lt;0, 0, 1-EXP(-0.23*(AV106-AV$165)))</f>
        <v>#DIV/0!</v>
      </c>
      <c r="AW190" s="34" t="e">
        <f t="shared" si="142"/>
        <v>#DIV/0!</v>
      </c>
      <c r="AX190" s="35" t="e">
        <f t="shared" si="142"/>
        <v>#NUM!</v>
      </c>
      <c r="AY190" s="35" t="e">
        <f t="shared" si="142"/>
        <v>#NUM!</v>
      </c>
    </row>
    <row r="191" spans="6:51" x14ac:dyDescent="0.3">
      <c r="F191">
        <v>21</v>
      </c>
      <c r="G191" s="28"/>
      <c r="H191" s="28"/>
      <c r="I191" s="28"/>
      <c r="J191" s="28"/>
      <c r="K191" s="28"/>
      <c r="L191" s="29"/>
      <c r="M191" s="30"/>
      <c r="N191" s="31"/>
      <c r="O191" s="31"/>
      <c r="P191" s="32"/>
      <c r="Q191" s="32"/>
      <c r="R191" s="32"/>
      <c r="S191" s="33"/>
      <c r="T191" s="33"/>
      <c r="U191" s="34"/>
      <c r="V191" s="34"/>
      <c r="W191" s="35"/>
      <c r="X191" s="35"/>
      <c r="AG191">
        <f t="shared" si="138"/>
        <v>14.249748636990411</v>
      </c>
      <c r="AH191" s="28">
        <f t="shared" si="140"/>
        <v>0.85129328719280939</v>
      </c>
      <c r="AI191" s="28">
        <f t="shared" si="140"/>
        <v>0.99334015921452146</v>
      </c>
      <c r="AJ191" s="28">
        <f t="shared" si="140"/>
        <v>0.82749951334408789</v>
      </c>
      <c r="AK191" s="28">
        <f t="shared" si="140"/>
        <v>0.99261395703388999</v>
      </c>
      <c r="AL191" s="28">
        <f t="shared" si="140"/>
        <v>0</v>
      </c>
      <c r="AM191" s="29">
        <f t="shared" si="139"/>
        <v>0</v>
      </c>
      <c r="AN191" s="30">
        <f t="shared" si="141"/>
        <v>0</v>
      </c>
      <c r="AO191" s="31"/>
      <c r="AP191" s="31"/>
      <c r="AQ191" s="32"/>
      <c r="AR191" s="32"/>
      <c r="AS191" s="32"/>
      <c r="AT191" s="33"/>
      <c r="AU191" s="33"/>
      <c r="AV191" s="34" t="e">
        <f t="shared" si="142"/>
        <v>#DIV/0!</v>
      </c>
      <c r="AW191" s="34" t="e">
        <f t="shared" si="142"/>
        <v>#DIV/0!</v>
      </c>
      <c r="AX191" s="35" t="e">
        <f t="shared" si="142"/>
        <v>#NUM!</v>
      </c>
      <c r="AY191" s="35" t="e">
        <f t="shared" si="142"/>
        <v>#NUM!</v>
      </c>
    </row>
    <row r="192" spans="6:51" x14ac:dyDescent="0.3">
      <c r="F192">
        <v>22</v>
      </c>
      <c r="G192" s="28"/>
      <c r="H192" s="28"/>
      <c r="I192" s="28"/>
      <c r="J192" s="28"/>
      <c r="K192" s="28"/>
      <c r="L192" s="29"/>
      <c r="M192" s="30"/>
      <c r="N192" s="31"/>
      <c r="O192" s="31"/>
      <c r="P192" s="32"/>
      <c r="Q192" s="32"/>
      <c r="R192" s="32"/>
      <c r="S192" s="33"/>
      <c r="T192" s="33"/>
      <c r="U192" s="34"/>
      <c r="V192" s="34"/>
      <c r="W192" s="35"/>
      <c r="X192" s="35"/>
      <c r="AG192">
        <f t="shared" si="138"/>
        <v>14.986192348155662</v>
      </c>
      <c r="AH192" s="28">
        <f t="shared" si="140"/>
        <v>0.89147688356113908</v>
      </c>
      <c r="AI192" s="28">
        <f t="shared" si="140"/>
        <v>0.99520606188161131</v>
      </c>
      <c r="AJ192" s="28">
        <f t="shared" si="140"/>
        <v>0.87445213321967208</v>
      </c>
      <c r="AK192" s="28">
        <f t="shared" si="140"/>
        <v>0.99468709844838454</v>
      </c>
      <c r="AL192" s="28">
        <f t="shared" si="140"/>
        <v>0</v>
      </c>
      <c r="AM192" s="29">
        <f t="shared" si="139"/>
        <v>0</v>
      </c>
      <c r="AN192" s="30">
        <f t="shared" si="141"/>
        <v>2.5681676088350591E-2</v>
      </c>
      <c r="AO192" s="31"/>
      <c r="AP192" s="31"/>
      <c r="AQ192" s="32"/>
      <c r="AR192" s="32"/>
      <c r="AS192" s="32"/>
      <c r="AT192" s="33"/>
      <c r="AU192" s="33"/>
      <c r="AV192" s="34" t="e">
        <f t="shared" si="142"/>
        <v>#DIV/0!</v>
      </c>
      <c r="AW192" s="34" t="e">
        <f t="shared" si="142"/>
        <v>#DIV/0!</v>
      </c>
      <c r="AX192" s="35" t="e">
        <f t="shared" si="142"/>
        <v>#NUM!</v>
      </c>
      <c r="AY192" s="35" t="e">
        <f t="shared" si="142"/>
        <v>#NUM!</v>
      </c>
    </row>
    <row r="193" spans="6:51" x14ac:dyDescent="0.3">
      <c r="F193">
        <v>23</v>
      </c>
      <c r="G193" s="28"/>
      <c r="H193" s="28"/>
      <c r="I193" s="28"/>
      <c r="J193" s="28"/>
      <c r="K193" s="28"/>
      <c r="L193" s="29"/>
      <c r="M193" s="30"/>
      <c r="N193" s="31"/>
      <c r="O193" s="31"/>
      <c r="P193" s="32"/>
      <c r="Q193" s="32"/>
      <c r="R193" s="32"/>
      <c r="S193" s="33"/>
      <c r="T193" s="33"/>
      <c r="U193" s="34"/>
      <c r="V193" s="34"/>
      <c r="W193" s="35"/>
      <c r="X193" s="35"/>
      <c r="AG193">
        <f t="shared" si="138"/>
        <v>15.760696333472486</v>
      </c>
      <c r="AH193" s="28">
        <f t="shared" si="140"/>
        <v>0.92353260455796427</v>
      </c>
      <c r="AI193" s="28">
        <f t="shared" si="140"/>
        <v>0.99660607977598847</v>
      </c>
      <c r="AJ193" s="28">
        <f t="shared" si="140"/>
        <v>0.91124959410849837</v>
      </c>
      <c r="AK193" s="28">
        <f t="shared" si="140"/>
        <v>0.99624016905374357</v>
      </c>
      <c r="AL193" s="28">
        <f t="shared" si="140"/>
        <v>0</v>
      </c>
      <c r="AM193" s="29">
        <f t="shared" si="139"/>
        <v>0</v>
      </c>
      <c r="AN193" s="30">
        <f t="shared" si="141"/>
        <v>0.12975157932851988</v>
      </c>
      <c r="AO193" s="31"/>
      <c r="AP193" s="31"/>
      <c r="AQ193" s="32"/>
      <c r="AR193" s="32"/>
      <c r="AS193" s="32"/>
      <c r="AT193" s="33"/>
      <c r="AU193" s="33"/>
      <c r="AV193" s="34" t="e">
        <f t="shared" si="142"/>
        <v>#DIV/0!</v>
      </c>
      <c r="AW193" s="34" t="e">
        <f t="shared" si="142"/>
        <v>#DIV/0!</v>
      </c>
      <c r="AX193" s="35" t="e">
        <f t="shared" si="142"/>
        <v>#NUM!</v>
      </c>
      <c r="AY193" s="35" t="e">
        <f t="shared" si="142"/>
        <v>#NUM!</v>
      </c>
    </row>
    <row r="194" spans="6:51" x14ac:dyDescent="0.3">
      <c r="F194">
        <v>24</v>
      </c>
      <c r="G194" s="28"/>
      <c r="H194" s="28"/>
      <c r="I194" s="28"/>
      <c r="J194" s="28"/>
      <c r="K194" s="28"/>
      <c r="L194" s="29"/>
      <c r="M194" s="30"/>
      <c r="N194" s="31"/>
      <c r="O194" s="31"/>
      <c r="P194" s="32"/>
      <c r="Q194" s="32"/>
      <c r="R194" s="32"/>
      <c r="S194" s="33"/>
      <c r="T194" s="33"/>
      <c r="U194" s="34"/>
      <c r="V194" s="34"/>
      <c r="W194" s="35"/>
      <c r="X194" s="35"/>
      <c r="AG194">
        <f t="shared" si="138"/>
        <v>16.575227592518086</v>
      </c>
      <c r="AH194" s="28">
        <f t="shared" si="140"/>
        <v>0.94806874884124903</v>
      </c>
      <c r="AI194" s="28">
        <f t="shared" si="140"/>
        <v>0.99763769004263714</v>
      </c>
      <c r="AJ194" s="28">
        <f t="shared" si="140"/>
        <v>0.93915602673450693</v>
      </c>
      <c r="AK194" s="28">
        <f t="shared" si="140"/>
        <v>0.9973830871532271</v>
      </c>
      <c r="AL194" s="28">
        <f t="shared" si="140"/>
        <v>0</v>
      </c>
      <c r="AM194" s="29">
        <f t="shared" si="139"/>
        <v>0</v>
      </c>
      <c r="AN194" s="30">
        <f t="shared" si="141"/>
        <v>0.2286167668299649</v>
      </c>
      <c r="AO194" s="31"/>
      <c r="AP194" s="31"/>
      <c r="AQ194" s="32"/>
      <c r="AR194" s="32"/>
      <c r="AS194" s="32"/>
      <c r="AT194" s="33"/>
      <c r="AU194" s="33"/>
      <c r="AV194" s="34" t="e">
        <f t="shared" si="142"/>
        <v>#DIV/0!</v>
      </c>
      <c r="AW194" s="34" t="e">
        <f t="shared" si="142"/>
        <v>#DIV/0!</v>
      </c>
      <c r="AX194" s="35" t="e">
        <f t="shared" si="142"/>
        <v>#NUM!</v>
      </c>
      <c r="AY194" s="35" t="e">
        <f t="shared" si="142"/>
        <v>#NUM!</v>
      </c>
    </row>
    <row r="195" spans="6:51" x14ac:dyDescent="0.3">
      <c r="F195">
        <v>25</v>
      </c>
      <c r="G195" s="28"/>
      <c r="H195" s="28"/>
      <c r="I195" s="28"/>
      <c r="J195" s="28"/>
      <c r="K195" s="28"/>
      <c r="L195" s="29"/>
      <c r="M195" s="30"/>
      <c r="N195" s="31"/>
      <c r="O195" s="31"/>
      <c r="P195" s="32"/>
      <c r="Q195" s="32"/>
      <c r="R195" s="32"/>
      <c r="S195" s="33"/>
      <c r="T195" s="33"/>
      <c r="U195" s="34"/>
      <c r="V195" s="34"/>
      <c r="W195" s="35"/>
      <c r="X195" s="35"/>
      <c r="AG195">
        <f t="shared" si="138"/>
        <v>17.431854781713245</v>
      </c>
      <c r="AH195" s="28">
        <f t="shared" si="140"/>
        <v>0.96605616286131457</v>
      </c>
      <c r="AI195" s="28">
        <f t="shared" si="140"/>
        <v>0.99838390379212394</v>
      </c>
      <c r="AJ195" s="28">
        <f t="shared" si="140"/>
        <v>0.9596031645226234</v>
      </c>
      <c r="AK195" s="28">
        <f t="shared" si="140"/>
        <v>0.99820903156559071</v>
      </c>
      <c r="AL195" s="28">
        <f t="shared" si="140"/>
        <v>0</v>
      </c>
      <c r="AM195" s="29">
        <f t="shared" si="139"/>
        <v>0</v>
      </c>
      <c r="AN195" s="30">
        <f t="shared" si="141"/>
        <v>0.3216452279220966</v>
      </c>
      <c r="AO195" s="31"/>
      <c r="AP195" s="31"/>
      <c r="AQ195" s="32"/>
      <c r="AR195" s="32"/>
      <c r="AS195" s="32"/>
      <c r="AT195" s="33"/>
      <c r="AU195" s="33"/>
      <c r="AV195" s="34" t="e">
        <f t="shared" si="142"/>
        <v>#DIV/0!</v>
      </c>
      <c r="AW195" s="34" t="e">
        <f t="shared" si="142"/>
        <v>#DIV/0!</v>
      </c>
      <c r="AX195" s="35" t="e">
        <f t="shared" si="142"/>
        <v>#NUM!</v>
      </c>
      <c r="AY195" s="35" t="e">
        <f t="shared" si="142"/>
        <v>#NUM!</v>
      </c>
    </row>
    <row r="196" spans="6:51" x14ac:dyDescent="0.3">
      <c r="F196">
        <v>26</v>
      </c>
      <c r="G196" s="28"/>
      <c r="H196" s="28"/>
      <c r="I196" s="28"/>
      <c r="J196" s="28"/>
      <c r="K196" s="28"/>
      <c r="L196" s="29"/>
      <c r="M196" s="30"/>
      <c r="N196" s="31"/>
      <c r="O196" s="31"/>
      <c r="P196" s="32"/>
      <c r="Q196" s="32"/>
      <c r="R196" s="32"/>
      <c r="S196" s="33"/>
      <c r="T196" s="33"/>
      <c r="U196" s="34"/>
      <c r="V196" s="34"/>
      <c r="W196" s="35"/>
      <c r="X196" s="35"/>
      <c r="AG196">
        <f t="shared" si="138"/>
        <v>18.332753468067196</v>
      </c>
      <c r="AH196" s="28">
        <f t="shared" si="140"/>
        <v>0.97866774299362913</v>
      </c>
      <c r="AI196" s="28">
        <f t="shared" si="140"/>
        <v>0.99891360172074894</v>
      </c>
      <c r="AJ196" s="28">
        <f t="shared" si="140"/>
        <v>0.97405667656920869</v>
      </c>
      <c r="AK196" s="28">
        <f t="shared" si="140"/>
        <v>0.99879500001865773</v>
      </c>
      <c r="AL196" s="28">
        <f t="shared" si="140"/>
        <v>0</v>
      </c>
      <c r="AM196" s="29">
        <f t="shared" si="139"/>
        <v>0</v>
      </c>
      <c r="AN196" s="30">
        <f t="shared" si="141"/>
        <v>0.40831847360337936</v>
      </c>
      <c r="AO196" s="31"/>
      <c r="AP196" s="31"/>
      <c r="AQ196" s="32"/>
      <c r="AR196" s="32"/>
      <c r="AS196" s="32"/>
      <c r="AT196" s="33"/>
      <c r="AU196" s="33"/>
      <c r="AV196" s="34" t="e">
        <f t="shared" si="142"/>
        <v>#DIV/0!</v>
      </c>
      <c r="AW196" s="34" t="e">
        <f t="shared" si="142"/>
        <v>#DIV/0!</v>
      </c>
      <c r="AX196" s="35" t="e">
        <f t="shared" si="142"/>
        <v>#NUM!</v>
      </c>
      <c r="AY196" s="35" t="e">
        <f t="shared" si="142"/>
        <v>#NUM!</v>
      </c>
    </row>
    <row r="197" spans="6:51" x14ac:dyDescent="0.3">
      <c r="F197">
        <v>27</v>
      </c>
      <c r="G197" s="28"/>
      <c r="H197" s="28"/>
      <c r="I197" s="28"/>
      <c r="J197" s="28"/>
      <c r="K197" s="28"/>
      <c r="L197" s="29"/>
      <c r="M197" s="30"/>
      <c r="N197" s="31"/>
      <c r="O197" s="31"/>
      <c r="P197" s="32"/>
      <c r="Q197" s="32"/>
      <c r="R197" s="32"/>
      <c r="S197" s="33"/>
      <c r="T197" s="33"/>
      <c r="U197" s="34"/>
      <c r="V197" s="34"/>
      <c r="W197" s="35"/>
      <c r="X197" s="35"/>
      <c r="AG197">
        <f t="shared" si="138"/>
        <v>19.280211654442091</v>
      </c>
      <c r="AH197" s="28">
        <f t="shared" si="140"/>
        <v>0.98711628189180034</v>
      </c>
      <c r="AI197" s="28">
        <f t="shared" si="140"/>
        <v>0.99928248612929127</v>
      </c>
      <c r="AJ197" s="28">
        <f t="shared" si="140"/>
        <v>0.98390071317713479</v>
      </c>
      <c r="AK197" s="28">
        <f t="shared" si="140"/>
        <v>0.9992030288020094</v>
      </c>
      <c r="AL197" s="28">
        <f t="shared" si="140"/>
        <v>0</v>
      </c>
      <c r="AM197" s="29">
        <f t="shared" si="139"/>
        <v>0</v>
      </c>
      <c r="AN197" s="30">
        <f t="shared" si="141"/>
        <v>0.48824715925462936</v>
      </c>
      <c r="AO197" s="31"/>
      <c r="AP197" s="31"/>
      <c r="AQ197" s="32"/>
      <c r="AR197" s="32"/>
      <c r="AS197" s="32"/>
      <c r="AT197" s="33"/>
      <c r="AU197" s="33"/>
      <c r="AV197" s="34" t="e">
        <f t="shared" si="142"/>
        <v>#DIV/0!</v>
      </c>
      <c r="AW197" s="34" t="e">
        <f t="shared" si="142"/>
        <v>#DIV/0!</v>
      </c>
      <c r="AX197" s="35" t="e">
        <f t="shared" si="142"/>
        <v>#NUM!</v>
      </c>
      <c r="AY197" s="35" t="e">
        <f t="shared" si="142"/>
        <v>#NUM!</v>
      </c>
    </row>
    <row r="198" spans="6:51" x14ac:dyDescent="0.3">
      <c r="F198">
        <v>28</v>
      </c>
      <c r="G198" s="28"/>
      <c r="H198" s="28"/>
      <c r="I198" s="28"/>
      <c r="J198" s="28"/>
      <c r="K198" s="28"/>
      <c r="L198" s="29"/>
      <c r="M198" s="30"/>
      <c r="N198" s="31"/>
      <c r="O198" s="31"/>
      <c r="P198" s="32"/>
      <c r="Q198" s="32"/>
      <c r="R198" s="32"/>
      <c r="S198" s="33"/>
      <c r="T198" s="33"/>
      <c r="U198" s="34"/>
      <c r="V198" s="34"/>
      <c r="W198" s="35"/>
      <c r="X198" s="35"/>
      <c r="AG198">
        <f t="shared" si="138"/>
        <v>20.276635590369683</v>
      </c>
      <c r="AH198" s="28">
        <f t="shared" si="140"/>
        <v>0.99252147154201464</v>
      </c>
      <c r="AI198" s="28">
        <f t="shared" si="140"/>
        <v>0.99953446289254622</v>
      </c>
      <c r="AJ198" s="28">
        <f t="shared" si="140"/>
        <v>0.9903538752896629</v>
      </c>
      <c r="AK198" s="28">
        <f t="shared" si="140"/>
        <v>0.99948185875263651</v>
      </c>
      <c r="AL198" s="28">
        <f t="shared" si="140"/>
        <v>0</v>
      </c>
      <c r="AM198" s="29">
        <f t="shared" si="139"/>
        <v>0</v>
      </c>
      <c r="AN198" s="30">
        <f t="shared" si="141"/>
        <v>0.56118145285150223</v>
      </c>
      <c r="AO198" s="31"/>
      <c r="AP198" s="31"/>
      <c r="AQ198" s="32"/>
      <c r="AR198" s="32"/>
      <c r="AS198" s="32"/>
      <c r="AT198" s="33"/>
      <c r="AU198" s="33"/>
      <c r="AV198" s="34" t="e">
        <f t="shared" si="142"/>
        <v>#DIV/0!</v>
      </c>
      <c r="AW198" s="34" t="e">
        <f t="shared" si="142"/>
        <v>#DIV/0!</v>
      </c>
      <c r="AX198" s="35" t="e">
        <f t="shared" si="142"/>
        <v>#NUM!</v>
      </c>
      <c r="AY198" s="35" t="e">
        <f t="shared" si="142"/>
        <v>#NUM!</v>
      </c>
    </row>
    <row r="199" spans="6:51" x14ac:dyDescent="0.3">
      <c r="F199">
        <v>29</v>
      </c>
      <c r="G199" s="28"/>
      <c r="H199" s="28"/>
      <c r="I199" s="28"/>
      <c r="J199" s="28"/>
      <c r="K199" s="28"/>
      <c r="L199" s="29"/>
      <c r="M199" s="30"/>
      <c r="N199" s="31"/>
      <c r="O199" s="31"/>
      <c r="P199" s="32"/>
      <c r="Q199" s="32"/>
      <c r="R199" s="32"/>
      <c r="S199" s="33"/>
      <c r="T199" s="33"/>
      <c r="U199" s="34"/>
      <c r="V199" s="34"/>
      <c r="W199" s="35"/>
      <c r="X199" s="35"/>
      <c r="AG199">
        <f t="shared" si="138"/>
        <v>21.324555883177815</v>
      </c>
      <c r="AH199" s="28">
        <f t="shared" si="140"/>
        <v>0.99582464043849583</v>
      </c>
      <c r="AI199" s="28">
        <f t="shared" si="140"/>
        <v>0.99970326806165344</v>
      </c>
      <c r="AJ199" s="28">
        <f t="shared" si="140"/>
        <v>0.99442229726187326</v>
      </c>
      <c r="AK199" s="28">
        <f t="shared" si="140"/>
        <v>0.99966883933479156</v>
      </c>
      <c r="AL199" s="28">
        <f t="shared" si="140"/>
        <v>0</v>
      </c>
      <c r="AM199" s="29">
        <f t="shared" si="139"/>
        <v>0</v>
      </c>
      <c r="AN199" s="30">
        <f t="shared" si="141"/>
        <v>0.62701536374249045</v>
      </c>
      <c r="AO199" s="31"/>
      <c r="AP199" s="31"/>
      <c r="AQ199" s="32"/>
      <c r="AR199" s="32"/>
      <c r="AS199" s="32"/>
      <c r="AT199" s="33"/>
      <c r="AU199" s="33"/>
      <c r="AV199" s="34" t="e">
        <f t="shared" si="142"/>
        <v>#DIV/0!</v>
      </c>
      <c r="AW199" s="34" t="e">
        <f t="shared" si="142"/>
        <v>#DIV/0!</v>
      </c>
      <c r="AX199" s="35" t="e">
        <f t="shared" si="142"/>
        <v>#NUM!</v>
      </c>
      <c r="AY199" s="35" t="e">
        <f t="shared" si="142"/>
        <v>#NUM!</v>
      </c>
    </row>
    <row r="200" spans="6:51" x14ac:dyDescent="0.3">
      <c r="F200">
        <v>30</v>
      </c>
      <c r="G200" s="28"/>
      <c r="H200" s="28"/>
      <c r="I200" s="28"/>
      <c r="J200" s="28"/>
      <c r="K200" s="28"/>
      <c r="L200" s="29"/>
      <c r="M200" s="30"/>
      <c r="N200" s="31"/>
      <c r="O200" s="31"/>
      <c r="P200" s="32"/>
      <c r="Q200" s="32"/>
      <c r="R200" s="32"/>
      <c r="S200" s="33"/>
      <c r="T200" s="33"/>
      <c r="U200" s="34"/>
      <c r="V200" s="34"/>
      <c r="W200" s="35"/>
      <c r="X200" s="35"/>
      <c r="AG200">
        <f t="shared" si="138"/>
        <v>22.426633924947051</v>
      </c>
      <c r="AH200" s="28">
        <f t="shared" si="140"/>
        <v>0.99775444027361793</v>
      </c>
      <c r="AI200" s="28">
        <f t="shared" si="140"/>
        <v>0.99981417350083002</v>
      </c>
      <c r="AJ200" s="28">
        <f t="shared" si="140"/>
        <v>0.99688789434998126</v>
      </c>
      <c r="AK200" s="28">
        <f t="shared" si="140"/>
        <v>0.99979188889125903</v>
      </c>
      <c r="AL200" s="28">
        <f t="shared" si="140"/>
        <v>0</v>
      </c>
      <c r="AM200" s="29">
        <f t="shared" si="139"/>
        <v>0</v>
      </c>
      <c r="AN200" s="30">
        <f t="shared" si="141"/>
        <v>0.68578466485389211</v>
      </c>
      <c r="AO200" s="31"/>
      <c r="AP200" s="31"/>
      <c r="AQ200" s="32"/>
      <c r="AR200" s="32"/>
      <c r="AS200" s="32"/>
      <c r="AT200" s="33"/>
      <c r="AU200" s="33"/>
      <c r="AV200" s="34" t="e">
        <f t="shared" si="142"/>
        <v>#DIV/0!</v>
      </c>
      <c r="AW200" s="34" t="e">
        <f t="shared" si="142"/>
        <v>#DIV/0!</v>
      </c>
      <c r="AX200" s="35" t="e">
        <f t="shared" si="142"/>
        <v>#NUM!</v>
      </c>
      <c r="AY200" s="35" t="e">
        <f t="shared" si="142"/>
        <v>#NUM!</v>
      </c>
    </row>
    <row r="201" spans="6:51" x14ac:dyDescent="0.3">
      <c r="F201">
        <v>31</v>
      </c>
      <c r="G201" s="28"/>
      <c r="H201" s="28"/>
      <c r="I201" s="28"/>
      <c r="J201" s="28"/>
      <c r="K201" s="28"/>
      <c r="L201" s="29"/>
      <c r="M201" s="30"/>
      <c r="N201" s="31"/>
      <c r="O201" s="31"/>
      <c r="P201" s="32"/>
      <c r="Q201" s="32"/>
      <c r="R201" s="32"/>
      <c r="S201" s="33"/>
      <c r="T201" s="33"/>
      <c r="U201" s="34"/>
      <c r="V201" s="34"/>
      <c r="W201" s="35"/>
      <c r="X201" s="35"/>
      <c r="AG201">
        <f t="shared" si="138"/>
        <v>23.585668651620018</v>
      </c>
      <c r="AH201" s="28">
        <f t="shared" si="140"/>
        <v>0.99883400515374232</v>
      </c>
      <c r="AI201" s="28">
        <f t="shared" si="140"/>
        <v>0.9998856383962873</v>
      </c>
      <c r="AJ201" s="28">
        <f t="shared" si="140"/>
        <v>0.99832405713253503</v>
      </c>
      <c r="AK201" s="28">
        <f t="shared" si="140"/>
        <v>0.99987136813330191</v>
      </c>
      <c r="AL201" s="28">
        <f t="shared" si="140"/>
        <v>0</v>
      </c>
      <c r="AM201" s="29">
        <f t="shared" si="139"/>
        <v>0</v>
      </c>
      <c r="AN201" s="30">
        <f t="shared" si="141"/>
        <v>0.73765851919259817</v>
      </c>
      <c r="AO201" s="31"/>
      <c r="AP201" s="31"/>
      <c r="AQ201" s="32"/>
      <c r="AR201" s="32"/>
      <c r="AS201" s="32"/>
      <c r="AT201" s="33"/>
      <c r="AU201" s="33"/>
      <c r="AV201" s="34" t="e">
        <f t="shared" si="142"/>
        <v>#DIV/0!</v>
      </c>
      <c r="AW201" s="34" t="e">
        <f t="shared" si="142"/>
        <v>#DIV/0!</v>
      </c>
      <c r="AX201" s="35" t="e">
        <f t="shared" si="142"/>
        <v>#NUM!</v>
      </c>
      <c r="AY201" s="35" t="e">
        <f t="shared" si="142"/>
        <v>#NUM!</v>
      </c>
    </row>
    <row r="202" spans="6:51" x14ac:dyDescent="0.3">
      <c r="F202">
        <v>32</v>
      </c>
      <c r="G202" s="28"/>
      <c r="H202" s="28"/>
      <c r="I202" s="28"/>
      <c r="J202" s="28"/>
      <c r="K202" s="28"/>
      <c r="L202" s="29"/>
      <c r="M202" s="30"/>
      <c r="N202" s="31"/>
      <c r="O202" s="31"/>
      <c r="P202" s="32"/>
      <c r="Q202" s="32"/>
      <c r="R202" s="32"/>
      <c r="S202" s="33"/>
      <c r="T202" s="33"/>
      <c r="U202" s="34"/>
      <c r="V202" s="34"/>
      <c r="W202" s="35"/>
      <c r="X202" s="35"/>
      <c r="AG202">
        <f t="shared" si="138"/>
        <v>24.804603651429346</v>
      </c>
      <c r="AH202" s="28">
        <f t="shared" ref="AH202:AL217" si="143">IF(1-EXP(-0.23*(AH118-AH$165))&lt;0, 0, 1-EXP(-0.23*(AH118-AH$165)))</f>
        <v>0.99941366358750416</v>
      </c>
      <c r="AI202" s="28">
        <f t="shared" si="143"/>
        <v>0.99993081200816436</v>
      </c>
      <c r="AJ202" s="28">
        <f t="shared" si="143"/>
        <v>0.99912829912215873</v>
      </c>
      <c r="AK202" s="28">
        <f t="shared" si="143"/>
        <v>0.99992176816628497</v>
      </c>
      <c r="AL202" s="28">
        <f t="shared" si="143"/>
        <v>0</v>
      </c>
      <c r="AM202" s="29">
        <f t="shared" si="139"/>
        <v>0</v>
      </c>
      <c r="AN202" s="30">
        <f t="shared" si="141"/>
        <v>0.78292540911835684</v>
      </c>
      <c r="AO202" s="31"/>
      <c r="AP202" s="31"/>
      <c r="AQ202" s="32"/>
      <c r="AR202" s="32"/>
      <c r="AS202" s="32"/>
      <c r="AT202" s="33"/>
      <c r="AU202" s="33"/>
      <c r="AV202" s="34" t="e">
        <f t="shared" si="142"/>
        <v>#DIV/0!</v>
      </c>
      <c r="AW202" s="34" t="e">
        <f t="shared" si="142"/>
        <v>#DIV/0!</v>
      </c>
      <c r="AX202" s="35" t="e">
        <f t="shared" si="142"/>
        <v>#NUM!</v>
      </c>
      <c r="AY202" s="35" t="e">
        <f t="shared" si="142"/>
        <v>#NUM!</v>
      </c>
    </row>
    <row r="203" spans="6:51" x14ac:dyDescent="0.3">
      <c r="F203">
        <v>33</v>
      </c>
      <c r="G203" s="28"/>
      <c r="H203" s="28"/>
      <c r="I203" s="28"/>
      <c r="J203" s="28"/>
      <c r="K203" s="28"/>
      <c r="L203" s="29"/>
      <c r="M203" s="30"/>
      <c r="N203" s="31"/>
      <c r="O203" s="31"/>
      <c r="P203" s="32"/>
      <c r="Q203" s="32"/>
      <c r="R203" s="32"/>
      <c r="S203" s="33"/>
      <c r="T203" s="33"/>
      <c r="U203" s="34"/>
      <c r="V203" s="34"/>
      <c r="W203" s="35"/>
      <c r="X203" s="35"/>
      <c r="AG203">
        <f t="shared" si="138"/>
        <v>26.08653464069765</v>
      </c>
      <c r="AH203" s="28">
        <f t="shared" si="143"/>
        <v>0.99971334468788409</v>
      </c>
      <c r="AI203" s="28">
        <f t="shared" si="143"/>
        <v>0.99995883153573017</v>
      </c>
      <c r="AJ203" s="28">
        <f t="shared" si="143"/>
        <v>0.99956158895090674</v>
      </c>
      <c r="AK203" s="28">
        <f t="shared" si="143"/>
        <v>0.99995315721654576</v>
      </c>
      <c r="AL203" s="28">
        <f t="shared" si="143"/>
        <v>0</v>
      </c>
      <c r="AM203" s="29">
        <f t="shared" si="139"/>
        <v>0</v>
      </c>
      <c r="AN203" s="30">
        <f t="shared" si="141"/>
        <v>0.82197440791840304</v>
      </c>
      <c r="AO203" s="31"/>
      <c r="AP203" s="31"/>
      <c r="AQ203" s="32"/>
      <c r="AR203" s="32"/>
      <c r="AS203" s="32"/>
      <c r="AT203" s="33"/>
      <c r="AU203" s="33"/>
      <c r="AV203" s="34" t="e">
        <f t="shared" si="142"/>
        <v>#DIV/0!</v>
      </c>
      <c r="AW203" s="34" t="e">
        <f t="shared" si="142"/>
        <v>#DIV/0!</v>
      </c>
      <c r="AX203" s="35" t="e">
        <f t="shared" si="142"/>
        <v>#NUM!</v>
      </c>
      <c r="AY203" s="35" t="e">
        <f t="shared" si="142"/>
        <v>#NUM!</v>
      </c>
    </row>
    <row r="204" spans="6:51" x14ac:dyDescent="0.3">
      <c r="F204">
        <v>34</v>
      </c>
      <c r="G204" s="28"/>
      <c r="H204" s="28"/>
      <c r="I204" s="28"/>
      <c r="J204" s="28"/>
      <c r="K204" s="28"/>
      <c r="L204" s="29"/>
      <c r="M204" s="30"/>
      <c r="N204" s="31"/>
      <c r="O204" s="31"/>
      <c r="P204" s="32"/>
      <c r="Q204" s="32"/>
      <c r="R204" s="32"/>
      <c r="S204" s="33"/>
      <c r="T204" s="33"/>
      <c r="U204" s="34"/>
      <c r="V204" s="34"/>
      <c r="W204" s="35"/>
      <c r="X204" s="35"/>
      <c r="AG204">
        <f t="shared" si="138"/>
        <v>27.434717325995447</v>
      </c>
      <c r="AH204" s="28">
        <f t="shared" si="143"/>
        <v>0.99986311536786354</v>
      </c>
      <c r="AI204" s="28">
        <f t="shared" si="143"/>
        <v>0.99997589271062215</v>
      </c>
      <c r="AJ204" s="28">
        <f t="shared" si="143"/>
        <v>0.99978643881427354</v>
      </c>
      <c r="AK204" s="28">
        <f t="shared" si="143"/>
        <v>0.9999723668753806</v>
      </c>
      <c r="AL204" s="28">
        <f t="shared" si="143"/>
        <v>0</v>
      </c>
      <c r="AM204" s="29">
        <f t="shared" si="139"/>
        <v>0</v>
      </c>
      <c r="AN204" s="30">
        <f t="shared" si="141"/>
        <v>0.85527317464954256</v>
      </c>
      <c r="AO204" s="31"/>
      <c r="AP204" s="31"/>
      <c r="AQ204" s="32"/>
      <c r="AR204" s="32"/>
      <c r="AS204" s="32"/>
      <c r="AT204" s="33"/>
      <c r="AU204" s="33"/>
      <c r="AV204" s="34" t="e">
        <f t="shared" si="142"/>
        <v>#DIV/0!</v>
      </c>
      <c r="AW204" s="34" t="e">
        <f t="shared" si="142"/>
        <v>#DIV/0!</v>
      </c>
      <c r="AX204" s="35" t="e">
        <f t="shared" si="142"/>
        <v>#NUM!</v>
      </c>
      <c r="AY204" s="35" t="e">
        <f t="shared" si="142"/>
        <v>#NUM!</v>
      </c>
    </row>
    <row r="205" spans="6:51" x14ac:dyDescent="0.3">
      <c r="F205">
        <v>35</v>
      </c>
      <c r="G205" s="28"/>
      <c r="H205" s="28"/>
      <c r="I205" s="28"/>
      <c r="J205" s="28"/>
      <c r="K205" s="28"/>
      <c r="L205" s="29"/>
      <c r="M205" s="30"/>
      <c r="N205" s="31"/>
      <c r="O205" s="31"/>
      <c r="P205" s="32"/>
      <c r="Q205" s="32"/>
      <c r="R205" s="32"/>
      <c r="S205" s="33"/>
      <c r="T205" s="33"/>
      <c r="U205" s="34"/>
      <c r="V205" s="34"/>
      <c r="W205" s="35"/>
      <c r="X205" s="35"/>
      <c r="AG205">
        <f t="shared" si="138"/>
        <v>28.852575672624699</v>
      </c>
      <c r="AH205" s="28">
        <f t="shared" si="143"/>
        <v>0.99993581166720458</v>
      </c>
      <c r="AI205" s="28">
        <f t="shared" si="143"/>
        <v>0.99998609687401885</v>
      </c>
      <c r="AJ205" s="28">
        <f t="shared" si="143"/>
        <v>0.99989901894090616</v>
      </c>
      <c r="AK205" s="28">
        <f t="shared" si="143"/>
        <v>0.99998392638421862</v>
      </c>
      <c r="AL205" s="28">
        <f t="shared" si="143"/>
        <v>2.869639850511585E-3</v>
      </c>
      <c r="AM205" s="29">
        <f t="shared" si="139"/>
        <v>0</v>
      </c>
      <c r="AN205" s="30">
        <f t="shared" si="141"/>
        <v>0.88334425379535053</v>
      </c>
      <c r="AO205" s="31"/>
      <c r="AP205" s="31"/>
      <c r="AQ205" s="32"/>
      <c r="AR205" s="32"/>
      <c r="AS205" s="32"/>
      <c r="AT205" s="33"/>
      <c r="AU205" s="33"/>
      <c r="AV205" s="34" t="e">
        <f t="shared" si="142"/>
        <v>#DIV/0!</v>
      </c>
      <c r="AW205" s="34" t="e">
        <f t="shared" si="142"/>
        <v>#DIV/0!</v>
      </c>
      <c r="AX205" s="35" t="e">
        <f t="shared" si="142"/>
        <v>#NUM!</v>
      </c>
      <c r="AY205" s="35" t="e">
        <f t="shared" si="142"/>
        <v>#NUM!</v>
      </c>
    </row>
    <row r="206" spans="6:51" x14ac:dyDescent="0.3">
      <c r="F206">
        <v>36</v>
      </c>
      <c r="G206" s="28"/>
      <c r="H206" s="28"/>
      <c r="I206" s="28"/>
      <c r="J206" s="28"/>
      <c r="K206" s="28"/>
      <c r="L206" s="29"/>
      <c r="M206" s="30"/>
      <c r="N206" s="31"/>
      <c r="O206" s="31"/>
      <c r="P206" s="32"/>
      <c r="Q206" s="32"/>
      <c r="R206" s="32"/>
      <c r="S206" s="33"/>
      <c r="T206" s="33"/>
      <c r="U206" s="34"/>
      <c r="V206" s="34"/>
      <c r="W206" s="35"/>
      <c r="X206" s="35"/>
      <c r="AG206">
        <f t="shared" si="138"/>
        <v>30.343710600427304</v>
      </c>
      <c r="AH206" s="28">
        <f t="shared" si="143"/>
        <v>0.99997026593592175</v>
      </c>
      <c r="AI206" s="28">
        <f t="shared" si="143"/>
        <v>0.99999209585728199</v>
      </c>
      <c r="AJ206" s="28">
        <f t="shared" si="143"/>
        <v>0.99995352510029434</v>
      </c>
      <c r="AK206" s="28">
        <f t="shared" si="143"/>
        <v>0.99999077155793048</v>
      </c>
      <c r="AL206" s="28">
        <f t="shared" si="143"/>
        <v>0.23223347520378101</v>
      </c>
      <c r="AM206" s="29">
        <f t="shared" si="139"/>
        <v>0</v>
      </c>
      <c r="AN206" s="30">
        <f t="shared" si="141"/>
        <v>0.90674129891453115</v>
      </c>
      <c r="AO206" s="31"/>
      <c r="AP206" s="31"/>
      <c r="AQ206" s="32"/>
      <c r="AR206" s="32"/>
      <c r="AS206" s="32"/>
      <c r="AT206" s="33"/>
      <c r="AU206" s="33"/>
      <c r="AV206" s="34" t="e">
        <f t="shared" si="142"/>
        <v>#DIV/0!</v>
      </c>
      <c r="AW206" s="34" t="e">
        <f t="shared" si="142"/>
        <v>#DIV/0!</v>
      </c>
      <c r="AX206" s="35" t="e">
        <f t="shared" si="142"/>
        <v>#NUM!</v>
      </c>
      <c r="AY206" s="35" t="e">
        <f t="shared" si="142"/>
        <v>#NUM!</v>
      </c>
    </row>
    <row r="207" spans="6:51" x14ac:dyDescent="0.3">
      <c r="F207">
        <v>37</v>
      </c>
      <c r="G207" s="28"/>
      <c r="H207" s="28"/>
      <c r="I207" s="28"/>
      <c r="J207" s="28"/>
      <c r="K207" s="28"/>
      <c r="L207" s="29"/>
      <c r="M207" s="30"/>
      <c r="N207" s="31"/>
      <c r="O207" s="31"/>
      <c r="P207" s="32"/>
      <c r="Q207" s="32"/>
      <c r="R207" s="32"/>
      <c r="S207" s="33"/>
      <c r="T207" s="33"/>
      <c r="U207" s="34"/>
      <c r="V207" s="34"/>
      <c r="W207" s="35"/>
      <c r="X207" s="35"/>
      <c r="AG207">
        <f t="shared" si="138"/>
        <v>31.911909129003085</v>
      </c>
      <c r="AH207" s="28">
        <f t="shared" si="143"/>
        <v>0.99998630540020617</v>
      </c>
      <c r="AI207" s="28">
        <f t="shared" si="143"/>
        <v>0.99999556551802848</v>
      </c>
      <c r="AJ207" s="28">
        <f t="shared" si="143"/>
        <v>0.99997911299444942</v>
      </c>
      <c r="AK207" s="28">
        <f t="shared" si="143"/>
        <v>0.99999476426202416</v>
      </c>
      <c r="AL207" s="28">
        <f t="shared" si="143"/>
        <v>0.40694113237271667</v>
      </c>
      <c r="AM207" s="29">
        <f t="shared" si="139"/>
        <v>0</v>
      </c>
      <c r="AN207" s="30">
        <f t="shared" si="141"/>
        <v>0.92602671513329526</v>
      </c>
      <c r="AO207" s="31"/>
      <c r="AP207" s="31"/>
      <c r="AQ207" s="32"/>
      <c r="AR207" s="32"/>
      <c r="AS207" s="32"/>
      <c r="AT207" s="33"/>
      <c r="AU207" s="33"/>
      <c r="AV207" s="34" t="e">
        <f t="shared" si="142"/>
        <v>#DIV/0!</v>
      </c>
      <c r="AW207" s="34" t="e">
        <f t="shared" si="142"/>
        <v>#DIV/0!</v>
      </c>
      <c r="AX207" s="35" t="e">
        <f t="shared" si="142"/>
        <v>#NUM!</v>
      </c>
      <c r="AY207" s="35" t="e">
        <f t="shared" si="142"/>
        <v>#NUM!</v>
      </c>
    </row>
    <row r="208" spans="6:51" x14ac:dyDescent="0.3">
      <c r="F208">
        <v>38</v>
      </c>
      <c r="G208" s="28"/>
      <c r="H208" s="28"/>
      <c r="I208" s="28"/>
      <c r="J208" s="28"/>
      <c r="K208" s="28"/>
      <c r="L208" s="29"/>
      <c r="M208" s="30"/>
      <c r="N208" s="31"/>
      <c r="O208" s="31"/>
      <c r="P208" s="32"/>
      <c r="Q208" s="32"/>
      <c r="R208" s="32"/>
      <c r="S208" s="33"/>
      <c r="T208" s="33"/>
      <c r="U208" s="34"/>
      <c r="V208" s="34"/>
      <c r="W208" s="35"/>
      <c r="X208" s="35"/>
      <c r="AG208">
        <f t="shared" si="138"/>
        <v>33.561153995563402</v>
      </c>
      <c r="AH208" s="28">
        <f t="shared" si="143"/>
        <v>0.99999368628897001</v>
      </c>
      <c r="AI208" s="28">
        <f t="shared" si="143"/>
        <v>0.99999754180840184</v>
      </c>
      <c r="AJ208" s="28">
        <f t="shared" si="143"/>
        <v>0.99999079849428629</v>
      </c>
      <c r="AK208" s="28">
        <f t="shared" si="143"/>
        <v>0.99999706075955608</v>
      </c>
      <c r="AL208" s="28">
        <f t="shared" si="143"/>
        <v>0.53943799572808615</v>
      </c>
      <c r="AM208" s="29">
        <f t="shared" si="139"/>
        <v>0</v>
      </c>
      <c r="AN208" s="30">
        <f t="shared" si="141"/>
        <v>0.94175195288127678</v>
      </c>
      <c r="AO208" s="31"/>
      <c r="AP208" s="31"/>
      <c r="AQ208" s="32"/>
      <c r="AR208" s="32"/>
      <c r="AS208" s="32"/>
      <c r="AT208" s="33"/>
      <c r="AU208" s="33"/>
      <c r="AV208" s="34" t="e">
        <f t="shared" si="142"/>
        <v>#DIV/0!</v>
      </c>
      <c r="AW208" s="34" t="e">
        <f t="shared" si="142"/>
        <v>#DIV/0!</v>
      </c>
      <c r="AX208" s="35" t="e">
        <f t="shared" si="142"/>
        <v>#NUM!</v>
      </c>
      <c r="AY208" s="35" t="e">
        <f t="shared" si="142"/>
        <v>#NUM!</v>
      </c>
    </row>
    <row r="209" spans="6:51" x14ac:dyDescent="0.3">
      <c r="F209">
        <v>39</v>
      </c>
      <c r="G209" s="28"/>
      <c r="H209" s="28"/>
      <c r="I209" s="28"/>
      <c r="J209" s="28"/>
      <c r="K209" s="28"/>
      <c r="L209" s="29"/>
      <c r="M209" s="30"/>
      <c r="N209" s="31"/>
      <c r="O209" s="31"/>
      <c r="P209" s="32"/>
      <c r="Q209" s="32"/>
      <c r="R209" s="32"/>
      <c r="S209" s="33"/>
      <c r="T209" s="33"/>
      <c r="U209" s="34"/>
      <c r="V209" s="34"/>
      <c r="W209" s="35"/>
      <c r="X209" s="35"/>
      <c r="AG209">
        <f t="shared" si="138"/>
        <v>35.295633769846724</v>
      </c>
      <c r="AH209" s="28">
        <f t="shared" si="143"/>
        <v>0.99999706592861592</v>
      </c>
      <c r="AI209" s="28">
        <f t="shared" si="143"/>
        <v>0.99999865170694302</v>
      </c>
      <c r="AJ209" s="28">
        <f t="shared" si="143"/>
        <v>0.99999600950634115</v>
      </c>
      <c r="AK209" s="28">
        <f t="shared" si="143"/>
        <v>0.99999836490682159</v>
      </c>
      <c r="AL209" s="28">
        <f t="shared" si="143"/>
        <v>0.63967238940374171</v>
      </c>
      <c r="AM209" s="29">
        <f t="shared" si="139"/>
        <v>0</v>
      </c>
      <c r="AN209" s="30">
        <f t="shared" si="141"/>
        <v>0.95444132672243998</v>
      </c>
      <c r="AO209" s="31"/>
      <c r="AP209" s="31"/>
      <c r="AQ209" s="32"/>
      <c r="AR209" s="32"/>
      <c r="AS209" s="32"/>
      <c r="AT209" s="33"/>
      <c r="AU209" s="33"/>
      <c r="AV209" s="34" t="e">
        <f t="shared" si="142"/>
        <v>#DIV/0!</v>
      </c>
      <c r="AW209" s="34" t="e">
        <f t="shared" si="142"/>
        <v>#DIV/0!</v>
      </c>
      <c r="AX209" s="35" t="e">
        <f t="shared" si="142"/>
        <v>#NUM!</v>
      </c>
      <c r="AY209" s="35" t="e">
        <f t="shared" si="142"/>
        <v>#NUM!</v>
      </c>
    </row>
    <row r="210" spans="6:51" x14ac:dyDescent="0.3">
      <c r="F210">
        <v>40</v>
      </c>
      <c r="G210" s="28"/>
      <c r="H210" s="28"/>
      <c r="I210" s="28"/>
      <c r="J210" s="28"/>
      <c r="K210" s="28"/>
      <c r="L210" s="29"/>
      <c r="M210" s="30"/>
      <c r="N210" s="31"/>
      <c r="O210" s="31"/>
      <c r="P210" s="32"/>
      <c r="Q210" s="32"/>
      <c r="R210" s="32"/>
      <c r="S210" s="33"/>
      <c r="T210" s="33"/>
      <c r="U210" s="34"/>
      <c r="V210" s="34"/>
      <c r="W210" s="35"/>
      <c r="X210" s="35"/>
      <c r="AG210">
        <f t="shared" si="138"/>
        <v>37.119753491784877</v>
      </c>
      <c r="AH210" s="28">
        <f t="shared" si="143"/>
        <v>0.99999861610923624</v>
      </c>
      <c r="AI210" s="28">
        <f t="shared" si="143"/>
        <v>0.99999926712240683</v>
      </c>
      <c r="AJ210" s="28">
        <f t="shared" si="143"/>
        <v>0.99999828827927151</v>
      </c>
      <c r="AK210" s="28">
        <f t="shared" si="143"/>
        <v>0.99999909715968704</v>
      </c>
      <c r="AL210" s="28">
        <f t="shared" si="143"/>
        <v>0.71544487381615984</v>
      </c>
      <c r="AM210" s="29">
        <f t="shared" si="139"/>
        <v>0</v>
      </c>
      <c r="AN210" s="30">
        <f t="shared" si="141"/>
        <v>0.9645798308274558</v>
      </c>
      <c r="AO210" s="31"/>
      <c r="AP210" s="31"/>
      <c r="AQ210" s="32"/>
      <c r="AR210" s="32"/>
      <c r="AS210" s="32"/>
      <c r="AT210" s="33"/>
      <c r="AU210" s="33"/>
      <c r="AV210" s="34" t="e">
        <f t="shared" ref="AV210:AY229" si="144">IF(1-EXP(-0.23*(AV126-AV$165))&lt;0, 0, 1-EXP(-0.23*(AV126-AV$165)))</f>
        <v>#DIV/0!</v>
      </c>
      <c r="AW210" s="34" t="e">
        <f t="shared" si="144"/>
        <v>#DIV/0!</v>
      </c>
      <c r="AX210" s="35" t="e">
        <f t="shared" si="144"/>
        <v>#NUM!</v>
      </c>
      <c r="AY210" s="35" t="e">
        <f t="shared" si="144"/>
        <v>#NUM!</v>
      </c>
    </row>
    <row r="211" spans="6:51" x14ac:dyDescent="0.3">
      <c r="F211">
        <v>41</v>
      </c>
      <c r="G211" s="28"/>
      <c r="H211" s="28"/>
      <c r="I211" s="28"/>
      <c r="J211" s="28"/>
      <c r="K211" s="28"/>
      <c r="L211" s="29"/>
      <c r="M211" s="30"/>
      <c r="N211" s="31"/>
      <c r="O211" s="31"/>
      <c r="P211" s="32"/>
      <c r="Q211" s="32"/>
      <c r="R211" s="32"/>
      <c r="S211" s="33"/>
      <c r="T211" s="33"/>
      <c r="U211" s="34"/>
      <c r="V211" s="34"/>
      <c r="W211" s="35"/>
      <c r="X211" s="35"/>
      <c r="AG211">
        <f t="shared" si="138"/>
        <v>38.85778775562828</v>
      </c>
      <c r="AH211" s="28">
        <f t="shared" si="143"/>
        <v>0.99999928756907064</v>
      </c>
      <c r="AI211" s="28">
        <f t="shared" si="143"/>
        <v>0.99999958135803468</v>
      </c>
      <c r="AJ211" s="28">
        <f t="shared" si="143"/>
        <v>0.99999921049259488</v>
      </c>
      <c r="AK211" s="28">
        <f t="shared" si="143"/>
        <v>0.99999947612468365</v>
      </c>
      <c r="AL211" s="28">
        <f t="shared" si="143"/>
        <v>0.76814572442737339</v>
      </c>
      <c r="AM211" s="29">
        <f t="shared" si="139"/>
        <v>0</v>
      </c>
      <c r="AN211" s="30">
        <f t="shared" si="141"/>
        <v>0.97194508552421544</v>
      </c>
      <c r="AO211" s="31"/>
      <c r="AP211" s="31"/>
      <c r="AQ211" s="32"/>
      <c r="AR211" s="32"/>
      <c r="AS211" s="32"/>
      <c r="AT211" s="33"/>
      <c r="AU211" s="33"/>
      <c r="AV211" s="34" t="e">
        <f t="shared" si="144"/>
        <v>#DIV/0!</v>
      </c>
      <c r="AW211" s="34" t="e">
        <f t="shared" si="144"/>
        <v>#DIV/0!</v>
      </c>
      <c r="AX211" s="35" t="e">
        <f t="shared" si="144"/>
        <v>#NUM!</v>
      </c>
      <c r="AY211" s="35" t="e">
        <f t="shared" si="144"/>
        <v>#NUM!</v>
      </c>
    </row>
    <row r="212" spans="6:51" x14ac:dyDescent="0.3">
      <c r="F212">
        <v>42</v>
      </c>
      <c r="G212" s="28"/>
      <c r="H212" s="28"/>
      <c r="I212" s="28"/>
      <c r="J212" s="28"/>
      <c r="K212" s="28"/>
      <c r="L212" s="29"/>
      <c r="M212" s="30"/>
      <c r="N212" s="31"/>
      <c r="O212" s="31"/>
      <c r="P212" s="32"/>
      <c r="Q212" s="32"/>
      <c r="R212" s="32"/>
      <c r="S212" s="33"/>
      <c r="T212" s="33"/>
      <c r="U212" s="34"/>
      <c r="V212" s="34"/>
      <c r="W212" s="35"/>
      <c r="X212" s="35"/>
      <c r="AG212">
        <f t="shared" si="138"/>
        <v>40.467341024247702</v>
      </c>
      <c r="AH212" s="28">
        <f t="shared" si="143"/>
        <v>0.99999959721843101</v>
      </c>
      <c r="AI212" s="28">
        <f t="shared" si="143"/>
        <v>0.99999974622507226</v>
      </c>
      <c r="AJ212" s="28">
        <f t="shared" si="143"/>
        <v>0.99999960287638345</v>
      </c>
      <c r="AK212" s="28">
        <f t="shared" si="143"/>
        <v>0.99999967761933939</v>
      </c>
      <c r="AL212" s="28">
        <f t="shared" si="143"/>
        <v>0.80499363119437828</v>
      </c>
      <c r="AM212" s="29">
        <f t="shared" si="139"/>
        <v>0</v>
      </c>
      <c r="AN212" s="30">
        <f t="shared" si="141"/>
        <v>0.97725491906746109</v>
      </c>
      <c r="AO212" s="31"/>
      <c r="AP212" s="31"/>
      <c r="AQ212" s="32"/>
      <c r="AR212" s="32"/>
      <c r="AS212" s="32"/>
      <c r="AT212" s="33"/>
      <c r="AU212" s="33"/>
      <c r="AV212" s="34" t="e">
        <f t="shared" si="144"/>
        <v>#DIV/0!</v>
      </c>
      <c r="AW212" s="34" t="e">
        <f t="shared" si="144"/>
        <v>#DIV/0!</v>
      </c>
      <c r="AX212" s="35" t="e">
        <f t="shared" si="144"/>
        <v>#NUM!</v>
      </c>
      <c r="AY212" s="35" t="e">
        <f t="shared" si="144"/>
        <v>#NUM!</v>
      </c>
    </row>
    <row r="213" spans="6:51" x14ac:dyDescent="0.3">
      <c r="F213">
        <v>43</v>
      </c>
      <c r="G213" s="28"/>
      <c r="H213" s="28"/>
      <c r="I213" s="28"/>
      <c r="J213" s="28"/>
      <c r="K213" s="28"/>
      <c r="L213" s="29"/>
      <c r="M213" s="30"/>
      <c r="N213" s="31"/>
      <c r="O213" s="31"/>
      <c r="P213" s="32"/>
      <c r="Q213" s="32"/>
      <c r="R213" s="32"/>
      <c r="S213" s="33"/>
      <c r="T213" s="33"/>
      <c r="U213" s="34"/>
      <c r="V213" s="34"/>
      <c r="W213" s="35"/>
      <c r="X213" s="35"/>
      <c r="AG213">
        <f t="shared" si="138"/>
        <v>41.95047391357199</v>
      </c>
      <c r="AH213" s="28">
        <f t="shared" si="143"/>
        <v>0.99999975289059095</v>
      </c>
      <c r="AI213" s="28">
        <f t="shared" si="143"/>
        <v>0.99999983755691368</v>
      </c>
      <c r="AJ213" s="28">
        <f t="shared" si="143"/>
        <v>0.99999978370007769</v>
      </c>
      <c r="AK213" s="28">
        <f t="shared" si="143"/>
        <v>0.99999979067770783</v>
      </c>
      <c r="AL213" s="28">
        <f t="shared" si="143"/>
        <v>0.83151043414166304</v>
      </c>
      <c r="AM213" s="29">
        <f t="shared" si="139"/>
        <v>0</v>
      </c>
      <c r="AN213" s="30">
        <f t="shared" si="141"/>
        <v>0.98115388887596822</v>
      </c>
      <c r="AO213" s="31"/>
      <c r="AP213" s="31"/>
      <c r="AQ213" s="32"/>
      <c r="AR213" s="32"/>
      <c r="AS213" s="32"/>
      <c r="AT213" s="33"/>
      <c r="AU213" s="33"/>
      <c r="AV213" s="34" t="e">
        <f t="shared" si="144"/>
        <v>#DIV/0!</v>
      </c>
      <c r="AW213" s="34" t="e">
        <f t="shared" si="144"/>
        <v>#DIV/0!</v>
      </c>
      <c r="AX213" s="35" t="e">
        <f t="shared" si="144"/>
        <v>#NUM!</v>
      </c>
      <c r="AY213" s="35" t="e">
        <f t="shared" si="144"/>
        <v>#NUM!</v>
      </c>
    </row>
    <row r="214" spans="6:51" x14ac:dyDescent="0.3">
      <c r="F214">
        <v>44</v>
      </c>
      <c r="G214" s="28"/>
      <c r="H214" s="28"/>
      <c r="I214" s="28"/>
      <c r="J214" s="28"/>
      <c r="K214" s="28"/>
      <c r="L214" s="29"/>
      <c r="M214" s="30"/>
      <c r="N214" s="31"/>
      <c r="O214" s="31"/>
      <c r="P214" s="32"/>
      <c r="Q214" s="32"/>
      <c r="R214" s="32"/>
      <c r="S214" s="33"/>
      <c r="T214" s="33"/>
      <c r="U214" s="34"/>
      <c r="V214" s="34"/>
      <c r="W214" s="35"/>
      <c r="X214" s="35"/>
      <c r="AG214">
        <f t="shared" si="138"/>
        <v>43.317115956604354</v>
      </c>
      <c r="AH214" s="28">
        <f t="shared" si="143"/>
        <v>0.9999998376213316</v>
      </c>
      <c r="AI214" s="28">
        <f t="shared" si="143"/>
        <v>0.99999989093830866</v>
      </c>
      <c r="AJ214" s="28">
        <f t="shared" si="143"/>
        <v>0.99999987369077359</v>
      </c>
      <c r="AK214" s="28">
        <f t="shared" si="143"/>
        <v>0.99999985756360676</v>
      </c>
      <c r="AL214" s="28">
        <f t="shared" si="143"/>
        <v>0.85116414840622279</v>
      </c>
      <c r="AM214" s="29">
        <f t="shared" si="139"/>
        <v>0</v>
      </c>
      <c r="AN214" s="30">
        <f t="shared" si="141"/>
        <v>0.98407969280176499</v>
      </c>
      <c r="AO214" s="31"/>
      <c r="AP214" s="31"/>
      <c r="AQ214" s="32"/>
      <c r="AR214" s="32"/>
      <c r="AS214" s="32"/>
      <c r="AT214" s="33"/>
      <c r="AU214" s="33"/>
      <c r="AV214" s="34" t="e">
        <f t="shared" si="144"/>
        <v>#DIV/0!</v>
      </c>
      <c r="AW214" s="34" t="e">
        <f t="shared" si="144"/>
        <v>#DIV/0!</v>
      </c>
      <c r="AX214" s="35" t="e">
        <f t="shared" si="144"/>
        <v>#NUM!</v>
      </c>
      <c r="AY214" s="35" t="e">
        <f t="shared" si="144"/>
        <v>#NUM!</v>
      </c>
    </row>
    <row r="215" spans="6:51" x14ac:dyDescent="0.3">
      <c r="F215">
        <v>45</v>
      </c>
      <c r="G215" s="28"/>
      <c r="H215" s="28"/>
      <c r="I215" s="28"/>
      <c r="J215" s="28"/>
      <c r="K215" s="28"/>
      <c r="L215" s="29"/>
      <c r="M215" s="30"/>
      <c r="N215" s="31"/>
      <c r="O215" s="31"/>
      <c r="P215" s="32"/>
      <c r="Q215" s="32"/>
      <c r="R215" s="32"/>
      <c r="S215" s="33"/>
      <c r="T215" s="33"/>
      <c r="U215" s="34"/>
      <c r="V215" s="34"/>
      <c r="W215" s="35"/>
      <c r="X215" s="35"/>
      <c r="AG215">
        <f t="shared" si="138"/>
        <v>44.576416783406593</v>
      </c>
      <c r="AH215" s="28">
        <f t="shared" si="143"/>
        <v>0.9999998869583121</v>
      </c>
      <c r="AI215" s="28">
        <f t="shared" si="143"/>
        <v>0.99999992364559187</v>
      </c>
      <c r="AJ215" s="28">
        <f t="shared" si="143"/>
        <v>0.9999999216114116</v>
      </c>
      <c r="AK215" s="28">
        <f t="shared" si="143"/>
        <v>0.99999989901598374</v>
      </c>
      <c r="AL215" s="28">
        <f t="shared" si="143"/>
        <v>0.86610334469857853</v>
      </c>
      <c r="AM215" s="29">
        <f t="shared" si="139"/>
        <v>0</v>
      </c>
      <c r="AN215" s="30">
        <f t="shared" si="141"/>
        <v>0.98631853686154991</v>
      </c>
      <c r="AO215" s="31"/>
      <c r="AP215" s="31"/>
      <c r="AQ215" s="32"/>
      <c r="AR215" s="32"/>
      <c r="AS215" s="32"/>
      <c r="AT215" s="33"/>
      <c r="AU215" s="33"/>
      <c r="AV215" s="34" t="e">
        <f t="shared" si="144"/>
        <v>#DIV/0!</v>
      </c>
      <c r="AW215" s="34" t="e">
        <f t="shared" si="144"/>
        <v>#DIV/0!</v>
      </c>
      <c r="AX215" s="35" t="e">
        <f t="shared" si="144"/>
        <v>#NUM!</v>
      </c>
      <c r="AY215" s="35" t="e">
        <f t="shared" si="144"/>
        <v>#NUM!</v>
      </c>
    </row>
    <row r="216" spans="6:51" x14ac:dyDescent="0.3">
      <c r="F216">
        <v>46</v>
      </c>
      <c r="G216" s="28"/>
      <c r="H216" s="28"/>
      <c r="I216" s="28"/>
      <c r="J216" s="28"/>
      <c r="K216" s="28"/>
      <c r="L216" s="29"/>
      <c r="M216" s="30"/>
      <c r="N216" s="31"/>
      <c r="O216" s="31"/>
      <c r="P216" s="32"/>
      <c r="Q216" s="32"/>
      <c r="R216" s="32"/>
      <c r="S216" s="33"/>
      <c r="T216" s="33"/>
      <c r="U216" s="34"/>
      <c r="V216" s="34"/>
      <c r="W216" s="35"/>
      <c r="X216" s="35"/>
      <c r="AG216">
        <f t="shared" si="138"/>
        <v>45.736807377615186</v>
      </c>
      <c r="AH216" s="28">
        <f t="shared" si="143"/>
        <v>0.99999991738361127</v>
      </c>
      <c r="AI216" s="28">
        <f t="shared" si="143"/>
        <v>0.99999994453692342</v>
      </c>
      <c r="AJ216" s="28">
        <f t="shared" si="143"/>
        <v>0.99999994869272046</v>
      </c>
      <c r="AK216" s="28">
        <f t="shared" si="143"/>
        <v>0.99999992577820718</v>
      </c>
      <c r="AL216" s="28">
        <f t="shared" si="143"/>
        <v>0.87770767110354764</v>
      </c>
      <c r="AM216" s="29">
        <f t="shared" si="139"/>
        <v>0</v>
      </c>
      <c r="AN216" s="30">
        <f t="shared" si="141"/>
        <v>0.98806205666394664</v>
      </c>
      <c r="AO216" s="31"/>
      <c r="AP216" s="31"/>
      <c r="AQ216" s="32"/>
      <c r="AR216" s="32"/>
      <c r="AS216" s="32"/>
      <c r="AT216" s="33"/>
      <c r="AU216" s="33"/>
      <c r="AV216" s="34" t="e">
        <f t="shared" si="144"/>
        <v>#DIV/0!</v>
      </c>
      <c r="AW216" s="34" t="e">
        <f t="shared" si="144"/>
        <v>#DIV/0!</v>
      </c>
      <c r="AX216" s="35" t="e">
        <f t="shared" si="144"/>
        <v>#NUM!</v>
      </c>
      <c r="AY216" s="35" t="e">
        <f t="shared" si="144"/>
        <v>#NUM!</v>
      </c>
    </row>
    <row r="217" spans="6:51" x14ac:dyDescent="0.3">
      <c r="F217">
        <v>47</v>
      </c>
      <c r="G217" s="28"/>
      <c r="H217" s="28"/>
      <c r="I217" s="28"/>
      <c r="J217" s="28"/>
      <c r="K217" s="28"/>
      <c r="L217" s="29"/>
      <c r="M217" s="30"/>
      <c r="N217" s="31"/>
      <c r="O217" s="31"/>
      <c r="P217" s="32"/>
      <c r="Q217" s="32"/>
      <c r="R217" s="32"/>
      <c r="S217" s="33"/>
      <c r="T217" s="33"/>
      <c r="U217" s="34"/>
      <c r="V217" s="34"/>
      <c r="W217" s="35"/>
      <c r="X217" s="35"/>
      <c r="AG217">
        <f t="shared" si="138"/>
        <v>46.806056521639796</v>
      </c>
      <c r="AH217" s="28">
        <f t="shared" si="143"/>
        <v>0.99999993708809565</v>
      </c>
      <c r="AI217" s="28">
        <f t="shared" si="143"/>
        <v>0.99999995838076661</v>
      </c>
      <c r="AJ217" s="28">
        <f t="shared" si="143"/>
        <v>0.99999996481817743</v>
      </c>
      <c r="AK217" s="28">
        <f t="shared" si="143"/>
        <v>0.99999994369075484</v>
      </c>
      <c r="AL217" s="28">
        <f t="shared" si="143"/>
        <v>0.88689163602674692</v>
      </c>
      <c r="AM217" s="29">
        <f t="shared" si="139"/>
        <v>0</v>
      </c>
      <c r="AN217" s="30">
        <f t="shared" si="141"/>
        <v>0.98944142219134035</v>
      </c>
      <c r="AO217" s="31"/>
      <c r="AP217" s="31"/>
      <c r="AQ217" s="32"/>
      <c r="AR217" s="32"/>
      <c r="AS217" s="32"/>
      <c r="AT217" s="33"/>
      <c r="AU217" s="33"/>
      <c r="AV217" s="34" t="e">
        <f t="shared" si="144"/>
        <v>#DIV/0!</v>
      </c>
      <c r="AW217" s="34" t="e">
        <f t="shared" si="144"/>
        <v>#DIV/0!</v>
      </c>
      <c r="AX217" s="35" t="e">
        <f t="shared" si="144"/>
        <v>#NUM!</v>
      </c>
      <c r="AY217" s="35" t="e">
        <f t="shared" si="144"/>
        <v>#NUM!</v>
      </c>
    </row>
    <row r="218" spans="6:51" x14ac:dyDescent="0.3">
      <c r="F218">
        <v>48</v>
      </c>
      <c r="G218" s="28"/>
      <c r="H218" s="28"/>
      <c r="I218" s="28"/>
      <c r="J218" s="28"/>
      <c r="K218" s="28"/>
      <c r="L218" s="29"/>
      <c r="M218" s="30"/>
      <c r="N218" s="31"/>
      <c r="O218" s="31"/>
      <c r="P218" s="32"/>
      <c r="Q218" s="32"/>
      <c r="R218" s="32"/>
      <c r="S218" s="33"/>
      <c r="T218" s="33"/>
      <c r="U218" s="34"/>
      <c r="V218" s="34"/>
      <c r="W218" s="35"/>
      <c r="X218" s="35"/>
      <c r="AG218">
        <f t="shared" si="138"/>
        <v>47.791322808443105</v>
      </c>
      <c r="AH218" s="28">
        <f t="shared" ref="AH218:AL233" si="145">IF(1-EXP(-0.23*(AH134-AH$165))&lt;0, 0, 1-EXP(-0.23*(AH134-AH$165)))</f>
        <v>0.99999995039568446</v>
      </c>
      <c r="AI218" s="28">
        <f t="shared" si="145"/>
        <v>0.99999996785827405</v>
      </c>
      <c r="AJ218" s="28">
        <f t="shared" si="145"/>
        <v>0.99999997487173042</v>
      </c>
      <c r="AK218" s="28">
        <f t="shared" si="145"/>
        <v>0.99999995606848846</v>
      </c>
      <c r="AL218" s="28">
        <f t="shared" si="145"/>
        <v>0.89427878947446682</v>
      </c>
      <c r="AM218" s="29">
        <f t="shared" si="139"/>
        <v>0</v>
      </c>
      <c r="AN218" s="30">
        <f t="shared" si="141"/>
        <v>0.99054826519448969</v>
      </c>
      <c r="AO218" s="31"/>
      <c r="AP218" s="31"/>
      <c r="AQ218" s="32"/>
      <c r="AR218" s="32"/>
      <c r="AS218" s="32"/>
      <c r="AT218" s="33"/>
      <c r="AU218" s="33"/>
      <c r="AV218" s="34" t="e">
        <f t="shared" si="144"/>
        <v>#DIV/0!</v>
      </c>
      <c r="AW218" s="34" t="e">
        <f t="shared" si="144"/>
        <v>#DIV/0!</v>
      </c>
      <c r="AX218" s="35" t="e">
        <f t="shared" si="144"/>
        <v>#NUM!</v>
      </c>
      <c r="AY218" s="35" t="e">
        <f t="shared" si="144"/>
        <v>#NUM!</v>
      </c>
    </row>
    <row r="219" spans="6:51" x14ac:dyDescent="0.3">
      <c r="F219">
        <v>49</v>
      </c>
      <c r="G219" s="28"/>
      <c r="H219" s="28"/>
      <c r="I219" s="28"/>
      <c r="J219" s="28"/>
      <c r="K219" s="28"/>
      <c r="L219" s="29"/>
      <c r="M219" s="30"/>
      <c r="N219" s="31"/>
      <c r="O219" s="31"/>
      <c r="P219" s="32"/>
      <c r="Q219" s="32"/>
      <c r="R219" s="32"/>
      <c r="S219" s="33"/>
      <c r="T219" s="33"/>
      <c r="U219" s="34"/>
      <c r="V219" s="34"/>
      <c r="W219" s="35"/>
      <c r="X219" s="35"/>
      <c r="AG219">
        <f t="shared" si="138"/>
        <v>48.699202568119411</v>
      </c>
      <c r="AH219" s="28">
        <f t="shared" si="145"/>
        <v>0.99999995971263533</v>
      </c>
      <c r="AI219" s="28">
        <f t="shared" si="145"/>
        <v>0.99999997453699552</v>
      </c>
      <c r="AJ219" s="28">
        <f t="shared" si="145"/>
        <v>0.9999999813987609</v>
      </c>
      <c r="AK219" s="28">
        <f t="shared" si="145"/>
        <v>0.99999996486681475</v>
      </c>
      <c r="AL219" s="28">
        <f t="shared" si="145"/>
        <v>0.90030512377320826</v>
      </c>
      <c r="AM219" s="29">
        <f t="shared" si="139"/>
        <v>0</v>
      </c>
      <c r="AN219" s="30">
        <f t="shared" si="141"/>
        <v>0.99144781498835255</v>
      </c>
      <c r="AO219" s="31"/>
      <c r="AP219" s="31"/>
      <c r="AQ219" s="32"/>
      <c r="AR219" s="32"/>
      <c r="AS219" s="32"/>
      <c r="AT219" s="33"/>
      <c r="AU219" s="33"/>
      <c r="AV219" s="34" t="e">
        <f t="shared" si="144"/>
        <v>#DIV/0!</v>
      </c>
      <c r="AW219" s="34" t="e">
        <f t="shared" si="144"/>
        <v>#DIV/0!</v>
      </c>
      <c r="AX219" s="35" t="e">
        <f t="shared" si="144"/>
        <v>#NUM!</v>
      </c>
      <c r="AY219" s="35" t="e">
        <f t="shared" si="144"/>
        <v>#NUM!</v>
      </c>
    </row>
    <row r="220" spans="6:51" x14ac:dyDescent="0.3">
      <c r="F220">
        <v>50</v>
      </c>
      <c r="G220" s="28"/>
      <c r="H220" s="28"/>
      <c r="I220" s="28"/>
      <c r="J220" s="28"/>
      <c r="K220" s="28"/>
      <c r="L220" s="29"/>
      <c r="M220" s="30"/>
      <c r="N220" s="31"/>
      <c r="O220" s="31"/>
      <c r="P220" s="32"/>
      <c r="Q220" s="32"/>
      <c r="R220" s="32"/>
      <c r="S220" s="33"/>
      <c r="T220" s="33"/>
      <c r="U220" s="34"/>
      <c r="V220" s="34"/>
      <c r="W220" s="35"/>
      <c r="X220" s="35"/>
      <c r="AG220">
        <f t="shared" si="138"/>
        <v>49.535774030139265</v>
      </c>
      <c r="AH220" s="28">
        <f t="shared" si="145"/>
        <v>0.99999996644145228</v>
      </c>
      <c r="AI220" s="28">
        <f t="shared" si="145"/>
        <v>0.99999997936616059</v>
      </c>
      <c r="AJ220" s="28">
        <f t="shared" si="145"/>
        <v>0.99999998579047356</v>
      </c>
      <c r="AK220" s="28">
        <f t="shared" si="145"/>
        <v>0.99999997127988249</v>
      </c>
      <c r="AL220" s="28">
        <f t="shared" si="145"/>
        <v>0.90528241655276243</v>
      </c>
      <c r="AM220" s="29">
        <f t="shared" si="139"/>
        <v>0</v>
      </c>
      <c r="AN220" s="30">
        <f t="shared" si="141"/>
        <v>0.99218732173653967</v>
      </c>
      <c r="AO220" s="31"/>
      <c r="AP220" s="31"/>
      <c r="AQ220" s="32"/>
      <c r="AR220" s="32"/>
      <c r="AS220" s="32"/>
      <c r="AT220" s="33"/>
      <c r="AU220" s="33"/>
      <c r="AV220" s="34" t="e">
        <f t="shared" si="144"/>
        <v>#DIV/0!</v>
      </c>
      <c r="AW220" s="34" t="e">
        <f t="shared" si="144"/>
        <v>#DIV/0!</v>
      </c>
      <c r="AX220" s="35" t="e">
        <f t="shared" si="144"/>
        <v>#NUM!</v>
      </c>
      <c r="AY220" s="35" t="e">
        <f t="shared" si="144"/>
        <v>#NUM!</v>
      </c>
    </row>
    <row r="221" spans="6:51" x14ac:dyDescent="0.3">
      <c r="F221">
        <v>51</v>
      </c>
      <c r="G221" s="28"/>
      <c r="H221" s="28"/>
      <c r="I221" s="28"/>
      <c r="J221" s="28"/>
      <c r="K221" s="28"/>
      <c r="L221" s="29"/>
      <c r="M221" s="30"/>
      <c r="N221" s="31"/>
      <c r="O221" s="31"/>
      <c r="P221" s="32"/>
      <c r="Q221" s="32"/>
      <c r="R221" s="32"/>
      <c r="S221" s="33"/>
      <c r="T221" s="33"/>
      <c r="U221" s="34"/>
      <c r="V221" s="34"/>
      <c r="W221" s="35"/>
      <c r="X221" s="35"/>
      <c r="AG221">
        <f t="shared" si="138"/>
        <v>50.306638016924872</v>
      </c>
      <c r="AH221" s="28">
        <f t="shared" si="145"/>
        <v>0.99999997143359065</v>
      </c>
      <c r="AI221" s="28">
        <f t="shared" si="145"/>
        <v>0.99999998293907122</v>
      </c>
      <c r="AJ221" s="28">
        <f t="shared" si="145"/>
        <v>0.99999998884031949</v>
      </c>
      <c r="AK221" s="28">
        <f t="shared" si="145"/>
        <v>0.99999997606007451</v>
      </c>
      <c r="AL221" s="28">
        <f t="shared" si="145"/>
        <v>0.90943815500358027</v>
      </c>
      <c r="AM221" s="29">
        <f t="shared" si="139"/>
        <v>0</v>
      </c>
      <c r="AN221" s="30">
        <f t="shared" si="141"/>
        <v>0.99280156740994052</v>
      </c>
      <c r="AO221" s="31"/>
      <c r="AP221" s="31"/>
      <c r="AQ221" s="32"/>
      <c r="AR221" s="32"/>
      <c r="AS221" s="32"/>
      <c r="AT221" s="33"/>
      <c r="AU221" s="33"/>
      <c r="AV221" s="34" t="e">
        <f t="shared" si="144"/>
        <v>#DIV/0!</v>
      </c>
      <c r="AW221" s="34" t="e">
        <f t="shared" si="144"/>
        <v>#DIV/0!</v>
      </c>
      <c r="AX221" s="35" t="e">
        <f t="shared" si="144"/>
        <v>#NUM!</v>
      </c>
      <c r="AY221" s="35" t="e">
        <f t="shared" si="144"/>
        <v>#NUM!</v>
      </c>
    </row>
    <row r="222" spans="6:51" x14ac:dyDescent="0.3">
      <c r="F222">
        <v>52</v>
      </c>
      <c r="G222" s="28"/>
      <c r="H222" s="28"/>
      <c r="I222" s="28"/>
      <c r="J222" s="28"/>
      <c r="K222" s="28"/>
      <c r="L222" s="29"/>
      <c r="M222" s="30"/>
      <c r="N222" s="31"/>
      <c r="O222" s="31"/>
      <c r="P222" s="32"/>
      <c r="Q222" s="32"/>
      <c r="R222" s="32"/>
      <c r="S222" s="33"/>
      <c r="T222" s="33"/>
      <c r="U222" s="34"/>
      <c r="V222" s="34"/>
      <c r="W222" s="35"/>
      <c r="X222" s="35"/>
      <c r="AG222">
        <f t="shared" si="138"/>
        <v>51.016955441198782</v>
      </c>
      <c r="AH222" s="28">
        <f t="shared" si="145"/>
        <v>0.99999997522492823</v>
      </c>
      <c r="AI222" s="28">
        <f t="shared" si="145"/>
        <v>0.99999998563733827</v>
      </c>
      <c r="AJ222" s="28">
        <f t="shared" si="145"/>
        <v>0.99999999101845261</v>
      </c>
      <c r="AK222" s="28">
        <f t="shared" si="145"/>
        <v>0.99999997969499965</v>
      </c>
      <c r="AL222" s="28">
        <f t="shared" si="145"/>
        <v>0.91294135763303474</v>
      </c>
      <c r="AM222" s="29">
        <f t="shared" si="139"/>
        <v>0</v>
      </c>
      <c r="AN222" s="30">
        <f t="shared" si="141"/>
        <v>0.99331653982313106</v>
      </c>
      <c r="AO222" s="31"/>
      <c r="AP222" s="31"/>
      <c r="AQ222" s="32"/>
      <c r="AR222" s="32"/>
      <c r="AS222" s="32"/>
      <c r="AT222" s="33"/>
      <c r="AU222" s="33"/>
      <c r="AV222" s="34" t="e">
        <f t="shared" si="144"/>
        <v>#DIV/0!</v>
      </c>
      <c r="AW222" s="34" t="e">
        <f t="shared" si="144"/>
        <v>#DIV/0!</v>
      </c>
      <c r="AX222" s="35" t="e">
        <f t="shared" si="144"/>
        <v>#NUM!</v>
      </c>
      <c r="AY222" s="35" t="e">
        <f t="shared" si="144"/>
        <v>#NUM!</v>
      </c>
    </row>
    <row r="223" spans="6:51" x14ac:dyDescent="0.3">
      <c r="F223">
        <v>53</v>
      </c>
      <c r="G223" s="28"/>
      <c r="H223" s="28"/>
      <c r="I223" s="28"/>
      <c r="J223" s="28"/>
      <c r="K223" s="28"/>
      <c r="L223" s="29"/>
      <c r="M223" s="30"/>
      <c r="N223" s="31"/>
      <c r="O223" s="31"/>
      <c r="P223" s="32"/>
      <c r="Q223" s="32"/>
      <c r="R223" s="32"/>
      <c r="S223" s="33"/>
      <c r="T223" s="33"/>
      <c r="U223" s="34"/>
      <c r="V223" s="34"/>
      <c r="W223" s="35"/>
      <c r="X223" s="35"/>
      <c r="AG223">
        <f t="shared" si="138"/>
        <v>51.671481858149477</v>
      </c>
      <c r="AH223" s="28">
        <f t="shared" si="145"/>
        <v>0.99999997816369091</v>
      </c>
      <c r="AI223" s="28">
        <f t="shared" si="145"/>
        <v>0.99999998771287435</v>
      </c>
      <c r="AJ223" s="28">
        <f t="shared" si="145"/>
        <v>0.99999999261319794</v>
      </c>
      <c r="AK223" s="28">
        <f t="shared" si="145"/>
        <v>0.99999998250885502</v>
      </c>
      <c r="AL223" s="28">
        <f t="shared" si="145"/>
        <v>0.91591967121941553</v>
      </c>
      <c r="AM223" s="29">
        <f t="shared" si="139"/>
        <v>0</v>
      </c>
      <c r="AN223" s="30">
        <f t="shared" si="141"/>
        <v>0.99375192553132741</v>
      </c>
      <c r="AO223" s="31"/>
      <c r="AP223" s="31"/>
      <c r="AQ223" s="32"/>
      <c r="AR223" s="32"/>
      <c r="AS223" s="32"/>
      <c r="AT223" s="33"/>
      <c r="AU223" s="33"/>
      <c r="AV223" s="34" t="e">
        <f t="shared" si="144"/>
        <v>#DIV/0!</v>
      </c>
      <c r="AW223" s="34" t="e">
        <f t="shared" si="144"/>
        <v>#DIV/0!</v>
      </c>
      <c r="AX223" s="35" t="e">
        <f t="shared" si="144"/>
        <v>#NUM!</v>
      </c>
      <c r="AY223" s="35" t="e">
        <f t="shared" si="144"/>
        <v>#NUM!</v>
      </c>
    </row>
    <row r="224" spans="6:51" x14ac:dyDescent="0.3">
      <c r="F224">
        <v>54</v>
      </c>
      <c r="G224" s="28"/>
      <c r="H224" s="28"/>
      <c r="I224" s="28"/>
      <c r="J224" s="28"/>
      <c r="K224" s="28"/>
      <c r="L224" s="29"/>
      <c r="M224" s="30"/>
      <c r="N224" s="31"/>
      <c r="O224" s="31"/>
      <c r="P224" s="32"/>
      <c r="Q224" s="32"/>
      <c r="R224" s="32"/>
      <c r="S224" s="33"/>
      <c r="T224" s="33"/>
      <c r="U224" s="34"/>
      <c r="V224" s="34"/>
      <c r="W224" s="35"/>
      <c r="X224" s="35"/>
      <c r="AG224">
        <f t="shared" si="138"/>
        <v>52.274599303739727</v>
      </c>
      <c r="AH224" s="28">
        <f t="shared" si="145"/>
        <v>0.99999998048270955</v>
      </c>
      <c r="AI224" s="28">
        <f t="shared" si="145"/>
        <v>0.99999998933595102</v>
      </c>
      <c r="AJ224" s="28">
        <f t="shared" si="145"/>
        <v>0.99999999380693771</v>
      </c>
      <c r="AK224" s="28">
        <f t="shared" si="145"/>
        <v>0.99999998472225682</v>
      </c>
      <c r="AL224" s="28">
        <f t="shared" si="145"/>
        <v>0.9184709352090864</v>
      </c>
      <c r="AM224" s="29">
        <f t="shared" si="139"/>
        <v>0</v>
      </c>
      <c r="AN224" s="30">
        <f t="shared" si="141"/>
        <v>0.99412282937384877</v>
      </c>
      <c r="AO224" s="31"/>
      <c r="AP224" s="31"/>
      <c r="AQ224" s="32"/>
      <c r="AR224" s="32"/>
      <c r="AS224" s="32"/>
      <c r="AT224" s="33"/>
      <c r="AU224" s="33"/>
      <c r="AV224" s="34" t="e">
        <f t="shared" si="144"/>
        <v>#DIV/0!</v>
      </c>
      <c r="AW224" s="34" t="e">
        <f t="shared" si="144"/>
        <v>#DIV/0!</v>
      </c>
      <c r="AX224" s="35" t="e">
        <f t="shared" si="144"/>
        <v>#NUM!</v>
      </c>
      <c r="AY224" s="35" t="e">
        <f t="shared" si="144"/>
        <v>#NUM!</v>
      </c>
    </row>
    <row r="225" spans="6:51" x14ac:dyDescent="0.3">
      <c r="F225">
        <v>55</v>
      </c>
      <c r="G225" s="28"/>
      <c r="H225" s="28"/>
      <c r="I225" s="28"/>
      <c r="J225" s="28"/>
      <c r="K225" s="28"/>
      <c r="L225" s="29"/>
      <c r="M225" s="30"/>
      <c r="N225" s="31"/>
      <c r="O225" s="31"/>
      <c r="P225" s="32"/>
      <c r="Q225" s="32"/>
      <c r="R225" s="32"/>
      <c r="S225" s="33"/>
      <c r="T225" s="33"/>
      <c r="U225" s="34"/>
      <c r="V225" s="34"/>
      <c r="W225" s="35"/>
      <c r="X225" s="35"/>
      <c r="AG225">
        <f t="shared" si="138"/>
        <v>52.830345632314121</v>
      </c>
      <c r="AH225" s="28">
        <f t="shared" si="145"/>
        <v>0.99999998234168419</v>
      </c>
      <c r="AI225" s="28">
        <f t="shared" si="145"/>
        <v>0.99999999062416434</v>
      </c>
      <c r="AJ225" s="28">
        <f t="shared" si="145"/>
        <v>0.99999999471831746</v>
      </c>
      <c r="AK225" s="28">
        <f t="shared" si="145"/>
        <v>0.99999998648854849</v>
      </c>
      <c r="AL225" s="28">
        <f t="shared" si="145"/>
        <v>0.92067115775195274</v>
      </c>
      <c r="AM225" s="29">
        <f t="shared" si="139"/>
        <v>0</v>
      </c>
      <c r="AN225" s="30">
        <f t="shared" si="141"/>
        <v>0.99444097896950012</v>
      </c>
      <c r="AO225" s="31"/>
      <c r="AP225" s="31"/>
      <c r="AQ225" s="32"/>
      <c r="AR225" s="32"/>
      <c r="AS225" s="32"/>
      <c r="AT225" s="33"/>
      <c r="AU225" s="33"/>
      <c r="AV225" s="34" t="e">
        <f t="shared" si="144"/>
        <v>#DIV/0!</v>
      </c>
      <c r="AW225" s="34" t="e">
        <f t="shared" si="144"/>
        <v>#DIV/0!</v>
      </c>
      <c r="AX225" s="35" t="e">
        <f t="shared" si="144"/>
        <v>#NUM!</v>
      </c>
      <c r="AY225" s="35" t="e">
        <f t="shared" si="144"/>
        <v>#NUM!</v>
      </c>
    </row>
    <row r="226" spans="6:51" x14ac:dyDescent="0.3">
      <c r="F226">
        <v>56</v>
      </c>
      <c r="G226" s="28"/>
      <c r="H226" s="28"/>
      <c r="I226" s="28"/>
      <c r="J226" s="28"/>
      <c r="K226" s="28"/>
      <c r="L226" s="29"/>
      <c r="M226" s="30"/>
      <c r="N226" s="31"/>
      <c r="O226" s="31"/>
      <c r="P226" s="32"/>
      <c r="Q226" s="32"/>
      <c r="R226" s="32"/>
      <c r="S226" s="33"/>
      <c r="T226" s="33"/>
      <c r="U226" s="34"/>
      <c r="V226" s="34"/>
      <c r="W226" s="35"/>
      <c r="X226" s="35"/>
      <c r="AG226">
        <f t="shared" si="138"/>
        <v>53.342441549920437</v>
      </c>
      <c r="AH226" s="28">
        <f t="shared" si="145"/>
        <v>0.99999998385269528</v>
      </c>
      <c r="AI226" s="28">
        <f t="shared" si="145"/>
        <v>0.99999999166034692</v>
      </c>
      <c r="AJ226" s="28">
        <f t="shared" si="145"/>
        <v>0.99999999542650531</v>
      </c>
      <c r="AK226" s="28">
        <f t="shared" si="145"/>
        <v>0.99999998791639655</v>
      </c>
      <c r="AL226" s="28">
        <f t="shared" si="145"/>
        <v>0.92258011571380361</v>
      </c>
      <c r="AM226" s="29">
        <f>IF(1-EXP(-0.23*(BA142-AM$165))&lt;0, 0, 1-EXP(-0.23*(BA142-AM$165)))</f>
        <v>0</v>
      </c>
      <c r="AN226" s="30">
        <f t="shared" si="141"/>
        <v>0.99471558066515642</v>
      </c>
      <c r="AO226" s="31"/>
      <c r="AP226" s="31"/>
      <c r="AQ226" s="32"/>
      <c r="AR226" s="32"/>
      <c r="AS226" s="32"/>
      <c r="AT226" s="33"/>
      <c r="AU226" s="33"/>
      <c r="AV226" s="34" t="e">
        <f t="shared" si="144"/>
        <v>#DIV/0!</v>
      </c>
      <c r="AW226" s="34" t="e">
        <f t="shared" si="144"/>
        <v>#DIV/0!</v>
      </c>
      <c r="AX226" s="35" t="e">
        <f t="shared" si="144"/>
        <v>#NUM!</v>
      </c>
      <c r="AY226" s="35" t="e">
        <f t="shared" si="144"/>
        <v>#NUM!</v>
      </c>
    </row>
    <row r="227" spans="6:51" x14ac:dyDescent="0.3">
      <c r="F227">
        <v>57</v>
      </c>
      <c r="G227" s="28"/>
      <c r="H227" s="28"/>
      <c r="I227" s="28"/>
      <c r="J227" s="28"/>
      <c r="K227" s="28"/>
      <c r="L227" s="29"/>
      <c r="M227" s="30"/>
      <c r="N227" s="31"/>
      <c r="O227" s="31"/>
      <c r="P227" s="32"/>
      <c r="Q227" s="32"/>
      <c r="R227" s="32"/>
      <c r="S227" s="33"/>
      <c r="T227" s="33"/>
      <c r="U227" s="34"/>
      <c r="V227" s="34"/>
      <c r="W227" s="35"/>
      <c r="X227" s="35"/>
      <c r="AG227">
        <f t="shared" si="138"/>
        <v>53.814315524332059</v>
      </c>
      <c r="AH227" s="28">
        <f t="shared" si="145"/>
        <v>0.99999998509604704</v>
      </c>
      <c r="AI227" s="28">
        <f t="shared" si="145"/>
        <v>0.99999999250390748</v>
      </c>
      <c r="AJ227" s="28">
        <f t="shared" si="145"/>
        <v>0.999999995985562</v>
      </c>
      <c r="AK227" s="28">
        <f t="shared" si="145"/>
        <v>0.99999998908418519</v>
      </c>
      <c r="AL227" s="28">
        <f t="shared" si="145"/>
        <v>0.92424535122845519</v>
      </c>
      <c r="AM227" s="29">
        <f t="shared" ref="AM227:AM240" si="146">IF(1-EXP(-0.23*(BA143-AM$165))&lt;0, 0, 1-EXP(-0.23*(BA143-AM$165)))</f>
        <v>0</v>
      </c>
      <c r="AN227" s="30">
        <f t="shared" si="141"/>
        <v>0.99495393604510063</v>
      </c>
      <c r="AO227" s="31"/>
      <c r="AP227" s="31"/>
      <c r="AQ227" s="32"/>
      <c r="AR227" s="32"/>
      <c r="AS227" s="32"/>
      <c r="AT227" s="33"/>
      <c r="AU227" s="33"/>
      <c r="AV227" s="34" t="e">
        <f t="shared" si="144"/>
        <v>#DIV/0!</v>
      </c>
      <c r="AW227" s="34" t="e">
        <f t="shared" si="144"/>
        <v>#DIV/0!</v>
      </c>
      <c r="AX227" s="35" t="e">
        <f t="shared" si="144"/>
        <v>#NUM!</v>
      </c>
      <c r="AY227" s="35" t="e">
        <f t="shared" si="144"/>
        <v>#NUM!</v>
      </c>
    </row>
    <row r="228" spans="6:51" x14ac:dyDescent="0.3">
      <c r="F228">
        <v>58</v>
      </c>
      <c r="G228" s="28"/>
      <c r="H228" s="28"/>
      <c r="I228" s="28"/>
      <c r="J228" s="28"/>
      <c r="K228" s="28"/>
      <c r="L228" s="29"/>
      <c r="M228" s="30"/>
      <c r="N228" s="31"/>
      <c r="O228" s="31"/>
      <c r="P228" s="32"/>
      <c r="Q228" s="32"/>
      <c r="R228" s="32"/>
      <c r="S228" s="33"/>
      <c r="T228" s="33"/>
      <c r="U228" s="34"/>
      <c r="V228" s="34"/>
      <c r="W228" s="35"/>
      <c r="X228" s="35"/>
      <c r="AG228">
        <f t="shared" si="138"/>
        <v>54.249126738543261</v>
      </c>
      <c r="AH228" s="28">
        <f t="shared" si="145"/>
        <v>0.99999998613036378</v>
      </c>
      <c r="AI228" s="28">
        <f t="shared" si="145"/>
        <v>0.99999999319816812</v>
      </c>
      <c r="AJ228" s="28">
        <f t="shared" si="145"/>
        <v>0.99999999643318815</v>
      </c>
      <c r="AK228" s="28">
        <f t="shared" si="145"/>
        <v>0.99999999004938322</v>
      </c>
      <c r="AL228" s="28">
        <f t="shared" si="145"/>
        <v>0.92570506705768885</v>
      </c>
      <c r="AM228" s="29">
        <f t="shared" si="146"/>
        <v>0</v>
      </c>
      <c r="AN228" s="30">
        <f t="shared" si="141"/>
        <v>0.99516189161772473</v>
      </c>
      <c r="AO228" s="31"/>
      <c r="AP228" s="31"/>
      <c r="AQ228" s="32"/>
      <c r="AR228" s="32"/>
      <c r="AS228" s="32"/>
      <c r="AT228" s="33"/>
      <c r="AU228" s="33"/>
      <c r="AV228" s="34" t="e">
        <f t="shared" si="144"/>
        <v>#DIV/0!</v>
      </c>
      <c r="AW228" s="34" t="e">
        <f t="shared" si="144"/>
        <v>#DIV/0!</v>
      </c>
      <c r="AX228" s="35" t="e">
        <f t="shared" si="144"/>
        <v>#NUM!</v>
      </c>
      <c r="AY228" s="35" t="e">
        <f t="shared" si="144"/>
        <v>#NUM!</v>
      </c>
    </row>
    <row r="229" spans="6:51" x14ac:dyDescent="0.3">
      <c r="F229">
        <v>59</v>
      </c>
      <c r="G229" s="28"/>
      <c r="H229" s="28"/>
      <c r="I229" s="28"/>
      <c r="J229" s="28"/>
      <c r="K229" s="28"/>
      <c r="L229" s="29"/>
      <c r="M229" s="30"/>
      <c r="N229" s="31"/>
      <c r="O229" s="31"/>
      <c r="P229" s="32"/>
      <c r="Q229" s="32"/>
      <c r="R229" s="32"/>
      <c r="S229" s="33"/>
      <c r="T229" s="33"/>
      <c r="U229" s="34"/>
      <c r="V229" s="34"/>
      <c r="W229" s="35"/>
      <c r="X229" s="35"/>
      <c r="AG229">
        <f t="shared" si="138"/>
        <v>54.649786241410681</v>
      </c>
      <c r="AH229" s="28">
        <f t="shared" si="145"/>
        <v>0.99999998699917658</v>
      </c>
      <c r="AI229" s="28">
        <f t="shared" si="145"/>
        <v>0.99999999377520643</v>
      </c>
      <c r="AJ229" s="28">
        <f t="shared" si="145"/>
        <v>0.99999999679618623</v>
      </c>
      <c r="AK229" s="28">
        <f t="shared" si="145"/>
        <v>0.99999999085476177</v>
      </c>
      <c r="AL229" s="28">
        <f t="shared" si="145"/>
        <v>0.92699025339323093</v>
      </c>
      <c r="AM229" s="29">
        <f t="shared" si="146"/>
        <v>0</v>
      </c>
      <c r="AN229" s="30">
        <f t="shared" si="141"/>
        <v>0.99534417072232695</v>
      </c>
      <c r="AO229" s="31"/>
      <c r="AP229" s="31"/>
      <c r="AQ229" s="32"/>
      <c r="AR229" s="32"/>
      <c r="AS229" s="32"/>
      <c r="AT229" s="33"/>
      <c r="AU229" s="33"/>
      <c r="AV229" s="34" t="e">
        <f t="shared" si="144"/>
        <v>#DIV/0!</v>
      </c>
      <c r="AW229" s="34" t="e">
        <f t="shared" si="144"/>
        <v>#DIV/0!</v>
      </c>
      <c r="AX229" s="35" t="e">
        <f t="shared" si="144"/>
        <v>#NUM!</v>
      </c>
      <c r="AY229" s="35" t="e">
        <f t="shared" si="144"/>
        <v>#NUM!</v>
      </c>
    </row>
    <row r="230" spans="6:51" x14ac:dyDescent="0.3">
      <c r="F230">
        <v>60</v>
      </c>
      <c r="G230" s="28"/>
      <c r="H230" s="28"/>
      <c r="I230" s="28"/>
      <c r="J230" s="28"/>
      <c r="K230" s="28"/>
      <c r="L230" s="29"/>
      <c r="M230" s="30"/>
      <c r="N230" s="31"/>
      <c r="O230" s="31"/>
      <c r="P230" s="32"/>
      <c r="Q230" s="32"/>
      <c r="R230" s="32"/>
      <c r="S230" s="33"/>
      <c r="T230" s="33"/>
      <c r="U230" s="34"/>
      <c r="V230" s="34"/>
      <c r="W230" s="35"/>
      <c r="X230" s="35"/>
      <c r="AG230">
        <f t="shared" si="138"/>
        <v>55.01897643704347</v>
      </c>
      <c r="AH230" s="28">
        <f t="shared" si="145"/>
        <v>0.99999998773531451</v>
      </c>
      <c r="AI230" s="28">
        <f t="shared" si="145"/>
        <v>0.99999999425911168</v>
      </c>
      <c r="AJ230" s="28">
        <f t="shared" si="145"/>
        <v>0.99999999709394927</v>
      </c>
      <c r="AK230" s="28">
        <f t="shared" si="145"/>
        <v>0.99999999153259633</v>
      </c>
      <c r="AL230" s="28">
        <f t="shared" si="145"/>
        <v>0.92812627019507599</v>
      </c>
      <c r="AM230" s="29">
        <f t="shared" si="146"/>
        <v>0</v>
      </c>
      <c r="AN230" s="30">
        <f t="shared" si="141"/>
        <v>0.99550462123807915</v>
      </c>
      <c r="AO230" s="31"/>
      <c r="AP230" s="31"/>
      <c r="AQ230" s="32"/>
      <c r="AR230" s="32"/>
      <c r="AS230" s="32"/>
      <c r="AT230" s="33"/>
      <c r="AU230" s="33"/>
      <c r="AV230" s="34" t="e">
        <f t="shared" ref="AV230:AY240" si="147">IF(1-EXP(-0.23*(AV146-AV$165))&lt;0, 0, 1-EXP(-0.23*(AV146-AV$165)))</f>
        <v>#DIV/0!</v>
      </c>
      <c r="AW230" s="34" t="e">
        <f t="shared" si="147"/>
        <v>#DIV/0!</v>
      </c>
      <c r="AX230" s="35" t="e">
        <f t="shared" si="147"/>
        <v>#NUM!</v>
      </c>
      <c r="AY230" s="35" t="e">
        <f t="shared" si="147"/>
        <v>#NUM!</v>
      </c>
    </row>
    <row r="231" spans="6:51" x14ac:dyDescent="0.3">
      <c r="F231">
        <v>61</v>
      </c>
      <c r="G231" s="28"/>
      <c r="H231" s="28"/>
      <c r="I231" s="28"/>
      <c r="J231" s="28"/>
      <c r="K231" s="28"/>
      <c r="L231" s="29"/>
      <c r="M231" s="30"/>
      <c r="N231" s="31"/>
      <c r="O231" s="31"/>
      <c r="P231" s="32"/>
      <c r="Q231" s="32"/>
      <c r="R231" s="32"/>
      <c r="S231" s="33"/>
      <c r="T231" s="33"/>
      <c r="U231" s="34"/>
      <c r="V231" s="34"/>
      <c r="W231" s="35"/>
      <c r="X231" s="35"/>
      <c r="AG231">
        <f t="shared" si="138"/>
        <v>55.359169043423464</v>
      </c>
      <c r="AH231" s="28">
        <f t="shared" si="145"/>
        <v>0.99999998836388815</v>
      </c>
      <c r="AI231" s="28">
        <f t="shared" si="145"/>
        <v>0.99999999466821177</v>
      </c>
      <c r="AJ231" s="28">
        <f t="shared" si="145"/>
        <v>0.99999999734073808</v>
      </c>
      <c r="AK231" s="28">
        <f t="shared" si="145"/>
        <v>0.99999999210755652</v>
      </c>
      <c r="AL231" s="28">
        <f t="shared" si="145"/>
        <v>0.92913403845269193</v>
      </c>
      <c r="AM231" s="29">
        <f t="shared" si="146"/>
        <v>0</v>
      </c>
      <c r="AN231" s="30">
        <f t="shared" si="141"/>
        <v>0.99564640239187119</v>
      </c>
      <c r="AO231" s="31"/>
      <c r="AP231" s="31"/>
      <c r="AQ231" s="32"/>
      <c r="AR231" s="32"/>
      <c r="AS231" s="32"/>
      <c r="AT231" s="33"/>
      <c r="AU231" s="33"/>
      <c r="AV231" s="34" t="e">
        <f t="shared" si="147"/>
        <v>#DIV/0!</v>
      </c>
      <c r="AW231" s="34" t="e">
        <f t="shared" si="147"/>
        <v>#DIV/0!</v>
      </c>
      <c r="AX231" s="35" t="e">
        <f t="shared" si="147"/>
        <v>#NUM!</v>
      </c>
      <c r="AY231" s="35" t="e">
        <f t="shared" si="147"/>
        <v>#NUM!</v>
      </c>
    </row>
    <row r="232" spans="6:51" x14ac:dyDescent="0.3">
      <c r="F232">
        <v>62</v>
      </c>
      <c r="G232" s="28"/>
      <c r="H232" s="28"/>
      <c r="I232" s="28"/>
      <c r="J232" s="28"/>
      <c r="K232" s="28"/>
      <c r="L232" s="29"/>
      <c r="M232" s="30"/>
      <c r="N232" s="31"/>
      <c r="O232" s="31"/>
      <c r="P232" s="32"/>
      <c r="Q232" s="32"/>
      <c r="R232" s="32"/>
      <c r="S232" s="33"/>
      <c r="T232" s="33"/>
      <c r="U232" s="34"/>
      <c r="V232" s="34"/>
      <c r="W232" s="35"/>
      <c r="X232" s="35"/>
      <c r="AG232">
        <f t="shared" si="138"/>
        <v>55.672641640487548</v>
      </c>
      <c r="AH232" s="28">
        <f t="shared" si="145"/>
        <v>0.99999998890435593</v>
      </c>
      <c r="AI232" s="28">
        <f t="shared" si="145"/>
        <v>0.99999999501662074</v>
      </c>
      <c r="AJ232" s="28">
        <f t="shared" si="145"/>
        <v>0.99999999754719704</v>
      </c>
      <c r="AK232" s="28">
        <f t="shared" si="145"/>
        <v>0.99999999259872296</v>
      </c>
      <c r="AL232" s="28">
        <f t="shared" si="145"/>
        <v>0.93003094691763577</v>
      </c>
      <c r="AM232" s="29">
        <f t="shared" si="146"/>
        <v>0</v>
      </c>
      <c r="AN232" s="30">
        <f t="shared" si="141"/>
        <v>0.995772127026331</v>
      </c>
      <c r="AO232" s="31"/>
      <c r="AP232" s="31"/>
      <c r="AQ232" s="32"/>
      <c r="AR232" s="32"/>
      <c r="AS232" s="32"/>
      <c r="AT232" s="33"/>
      <c r="AU232" s="33"/>
      <c r="AV232" s="34" t="e">
        <f t="shared" si="147"/>
        <v>#DIV/0!</v>
      </c>
      <c r="AW232" s="34" t="e">
        <f t="shared" si="147"/>
        <v>#DIV/0!</v>
      </c>
      <c r="AX232" s="35" t="e">
        <f t="shared" si="147"/>
        <v>#NUM!</v>
      </c>
      <c r="AY232" s="35" t="e">
        <f t="shared" si="147"/>
        <v>#NUM!</v>
      </c>
    </row>
    <row r="233" spans="6:51" x14ac:dyDescent="0.3">
      <c r="F233">
        <v>63</v>
      </c>
      <c r="G233" s="28"/>
      <c r="H233" s="28"/>
      <c r="I233" s="28"/>
      <c r="J233" s="28"/>
      <c r="K233" s="28"/>
      <c r="L233" s="29"/>
      <c r="M233" s="30"/>
      <c r="N233" s="31"/>
      <c r="O233" s="31"/>
      <c r="P233" s="32"/>
      <c r="Q233" s="32"/>
      <c r="R233" s="32"/>
      <c r="S233" s="33"/>
      <c r="T233" s="33"/>
      <c r="U233" s="34"/>
      <c r="V233" s="34"/>
      <c r="W233" s="35"/>
      <c r="X233" s="35"/>
      <c r="AG233">
        <f t="shared" si="138"/>
        <v>55.961492918461353</v>
      </c>
      <c r="AH233" s="28">
        <f t="shared" si="145"/>
        <v>0.99999998937197687</v>
      </c>
      <c r="AI233" s="28">
        <f t="shared" si="145"/>
        <v>0.99999999531533068</v>
      </c>
      <c r="AJ233" s="28">
        <f t="shared" si="145"/>
        <v>0.99999999772138082</v>
      </c>
      <c r="AK233" s="28">
        <f t="shared" si="145"/>
        <v>0.9999999930210175</v>
      </c>
      <c r="AL233" s="28">
        <f t="shared" si="145"/>
        <v>0.93083154934333534</v>
      </c>
      <c r="AM233" s="29">
        <f t="shared" si="146"/>
        <v>0</v>
      </c>
      <c r="AN233" s="30">
        <f t="shared" si="141"/>
        <v>0.9958839709526941</v>
      </c>
      <c r="AO233" s="31"/>
      <c r="AP233" s="31"/>
      <c r="AQ233" s="32"/>
      <c r="AR233" s="32"/>
      <c r="AS233" s="32"/>
      <c r="AT233" s="33"/>
      <c r="AU233" s="33"/>
      <c r="AV233" s="34" t="e">
        <f t="shared" si="147"/>
        <v>#DIV/0!</v>
      </c>
      <c r="AW233" s="34" t="e">
        <f t="shared" si="147"/>
        <v>#DIV/0!</v>
      </c>
      <c r="AX233" s="35" t="e">
        <f t="shared" si="147"/>
        <v>#NUM!</v>
      </c>
      <c r="AY233" s="35" t="e">
        <f t="shared" si="147"/>
        <v>#NUM!</v>
      </c>
    </row>
    <row r="234" spans="6:51" x14ac:dyDescent="0.3">
      <c r="F234">
        <v>64</v>
      </c>
      <c r="G234" s="28"/>
      <c r="H234" s="28"/>
      <c r="I234" s="28"/>
      <c r="J234" s="28"/>
      <c r="K234" s="28"/>
      <c r="L234" s="29"/>
      <c r="M234" s="30"/>
      <c r="N234" s="31"/>
      <c r="O234" s="31"/>
      <c r="P234" s="32"/>
      <c r="Q234" s="32"/>
      <c r="R234" s="32"/>
      <c r="S234" s="33"/>
      <c r="T234" s="33"/>
      <c r="U234" s="34"/>
      <c r="V234" s="34"/>
      <c r="W234" s="35"/>
      <c r="X234" s="35"/>
      <c r="AG234">
        <f t="shared" si="138"/>
        <v>56.227656728531329</v>
      </c>
      <c r="AH234" s="28">
        <f t="shared" ref="AH234:AL240" si="148">IF(1-EXP(-0.23*(AH150-AH$165))&lt;0, 0, 1-EXP(-0.23*(AH150-AH$165)))</f>
        <v>0.99999998977884941</v>
      </c>
      <c r="AI234" s="28">
        <f t="shared" si="148"/>
        <v>0.99999999557299213</v>
      </c>
      <c r="AJ234" s="28">
        <f t="shared" si="148"/>
        <v>0.99999999786946248</v>
      </c>
      <c r="AK234" s="28">
        <f t="shared" si="148"/>
        <v>0.99999999338622958</v>
      </c>
      <c r="AL234" s="28">
        <f t="shared" si="148"/>
        <v>0.93154810575582447</v>
      </c>
      <c r="AM234" s="29">
        <f t="shared" si="146"/>
        <v>0</v>
      </c>
      <c r="AN234" s="30">
        <f t="shared" si="141"/>
        <v>0.99598375773891967</v>
      </c>
      <c r="AO234" s="31"/>
      <c r="AP234" s="31"/>
      <c r="AQ234" s="32"/>
      <c r="AR234" s="32"/>
      <c r="AS234" s="32"/>
      <c r="AT234" s="33"/>
      <c r="AU234" s="33"/>
      <c r="AV234" s="34" t="e">
        <f t="shared" si="147"/>
        <v>#DIV/0!</v>
      </c>
      <c r="AW234" s="34" t="e">
        <f t="shared" si="147"/>
        <v>#DIV/0!</v>
      </c>
      <c r="AX234" s="35" t="e">
        <f t="shared" si="147"/>
        <v>#NUM!</v>
      </c>
      <c r="AY234" s="35" t="e">
        <f t="shared" si="147"/>
        <v>#NUM!</v>
      </c>
    </row>
    <row r="235" spans="6:51" x14ac:dyDescent="0.3">
      <c r="F235">
        <v>65</v>
      </c>
      <c r="G235" s="28"/>
      <c r="H235" s="28"/>
      <c r="I235" s="28"/>
      <c r="J235" s="28"/>
      <c r="K235" s="28"/>
      <c r="L235" s="29"/>
      <c r="M235" s="30"/>
      <c r="N235" s="31"/>
      <c r="O235" s="31"/>
      <c r="P235" s="32"/>
      <c r="Q235" s="32"/>
      <c r="R235" s="32"/>
      <c r="S235" s="33"/>
      <c r="T235" s="33"/>
      <c r="U235" s="34"/>
      <c r="V235" s="34"/>
      <c r="W235" s="35"/>
      <c r="X235" s="35"/>
      <c r="AG235">
        <f t="shared" ref="AG235:AG240" si="149">AE79</f>
        <v>56.472915029924017</v>
      </c>
      <c r="AH235" s="28">
        <f t="shared" si="148"/>
        <v>0.99999999013466412</v>
      </c>
      <c r="AI235" s="28">
        <f t="shared" si="148"/>
        <v>0.9999999957964798</v>
      </c>
      <c r="AJ235" s="28">
        <f t="shared" si="148"/>
        <v>0.99999999799622907</v>
      </c>
      <c r="AK235" s="28">
        <f t="shared" si="148"/>
        <v>0.99999999370376325</v>
      </c>
      <c r="AL235" s="28">
        <f t="shared" si="148"/>
        <v>0.93219100639359409</v>
      </c>
      <c r="AM235" s="29">
        <f t="shared" si="146"/>
        <v>0</v>
      </c>
      <c r="AN235" s="30">
        <f t="shared" si="141"/>
        <v>0.99607302499397599</v>
      </c>
      <c r="AO235" s="31"/>
      <c r="AP235" s="31"/>
      <c r="AQ235" s="32"/>
      <c r="AR235" s="32"/>
      <c r="AS235" s="32"/>
      <c r="AT235" s="33"/>
      <c r="AU235" s="33"/>
      <c r="AV235" s="34" t="e">
        <f t="shared" si="147"/>
        <v>#DIV/0!</v>
      </c>
      <c r="AW235" s="34" t="e">
        <f t="shared" si="147"/>
        <v>#DIV/0!</v>
      </c>
      <c r="AX235" s="35" t="e">
        <f t="shared" si="147"/>
        <v>#NUM!</v>
      </c>
      <c r="AY235" s="35" t="e">
        <f t="shared" si="147"/>
        <v>#NUM!</v>
      </c>
    </row>
    <row r="236" spans="6:51" x14ac:dyDescent="0.3">
      <c r="F236">
        <v>66</v>
      </c>
      <c r="G236" s="28"/>
      <c r="H236" s="28"/>
      <c r="I236" s="28"/>
      <c r="J236" s="28"/>
      <c r="K236" s="28"/>
      <c r="L236" s="29"/>
      <c r="M236" s="30"/>
      <c r="N236" s="31"/>
      <c r="O236" s="31"/>
      <c r="P236" s="32"/>
      <c r="Q236" s="32"/>
      <c r="R236" s="32"/>
      <c r="S236" s="33"/>
      <c r="T236" s="33"/>
      <c r="U236" s="34"/>
      <c r="V236" s="34"/>
      <c r="W236" s="35"/>
      <c r="X236" s="35"/>
      <c r="AG236">
        <f t="shared" si="149"/>
        <v>56.698909820073034</v>
      </c>
      <c r="AH236" s="28">
        <f t="shared" si="148"/>
        <v>0.99999999044725618</v>
      </c>
      <c r="AI236" s="28">
        <f t="shared" si="148"/>
        <v>0.99999999599130696</v>
      </c>
      <c r="AJ236" s="28">
        <f t="shared" si="148"/>
        <v>0.99999999810543383</v>
      </c>
      <c r="AK236" s="28">
        <f t="shared" si="148"/>
        <v>0.99999999398118733</v>
      </c>
      <c r="AL236" s="28">
        <f t="shared" si="148"/>
        <v>0.93276910652264067</v>
      </c>
      <c r="AM236" s="29">
        <f t="shared" si="146"/>
        <v>0</v>
      </c>
      <c r="AN236" s="30">
        <f t="shared" si="141"/>
        <v>0.99615307659088492</v>
      </c>
      <c r="AO236" s="31"/>
      <c r="AP236" s="31"/>
      <c r="AQ236" s="32"/>
      <c r="AR236" s="32"/>
      <c r="AS236" s="32"/>
      <c r="AT236" s="33"/>
      <c r="AU236" s="33"/>
      <c r="AV236" s="34" t="e">
        <f t="shared" si="147"/>
        <v>#DIV/0!</v>
      </c>
      <c r="AW236" s="34" t="e">
        <f t="shared" si="147"/>
        <v>#DIV/0!</v>
      </c>
      <c r="AX236" s="35" t="e">
        <f t="shared" si="147"/>
        <v>#NUM!</v>
      </c>
      <c r="AY236" s="35" t="e">
        <f t="shared" si="147"/>
        <v>#NUM!</v>
      </c>
    </row>
    <row r="237" spans="6:51" x14ac:dyDescent="0.3">
      <c r="F237">
        <v>67</v>
      </c>
      <c r="G237" s="28"/>
      <c r="H237" s="28"/>
      <c r="I237" s="28"/>
      <c r="J237" s="28"/>
      <c r="K237" s="28"/>
      <c r="L237" s="29"/>
      <c r="M237" s="30"/>
      <c r="N237" s="31"/>
      <c r="O237" s="31"/>
      <c r="P237" s="32"/>
      <c r="Q237" s="32"/>
      <c r="R237" s="32"/>
      <c r="S237" s="33"/>
      <c r="T237" s="33"/>
      <c r="U237" s="34"/>
      <c r="V237" s="34"/>
      <c r="W237" s="35"/>
      <c r="X237" s="35"/>
      <c r="AG237">
        <f t="shared" si="149"/>
        <v>56.907154127745713</v>
      </c>
      <c r="AH237" s="28">
        <f t="shared" si="148"/>
        <v>0.99999999072301626</v>
      </c>
      <c r="AI237" s="28">
        <f t="shared" si="148"/>
        <v>0.99999999616193291</v>
      </c>
      <c r="AJ237" s="28">
        <f t="shared" si="148"/>
        <v>0.99999999820004914</v>
      </c>
      <c r="AK237" s="28">
        <f t="shared" si="148"/>
        <v>0.99999999422464469</v>
      </c>
      <c r="AL237" s="28">
        <f t="shared" si="148"/>
        <v>0.93328999293420356</v>
      </c>
      <c r="AM237" s="29">
        <f t="shared" si="146"/>
        <v>0</v>
      </c>
      <c r="AN237" s="30">
        <f t="shared" si="141"/>
        <v>0.99622502411533154</v>
      </c>
      <c r="AO237" s="31"/>
      <c r="AP237" s="31"/>
      <c r="AQ237" s="32"/>
      <c r="AR237" s="32"/>
      <c r="AS237" s="32"/>
      <c r="AT237" s="33"/>
      <c r="AU237" s="33"/>
      <c r="AV237" s="34" t="e">
        <f t="shared" si="147"/>
        <v>#DIV/0!</v>
      </c>
      <c r="AW237" s="34" t="e">
        <f t="shared" si="147"/>
        <v>#DIV/0!</v>
      </c>
      <c r="AX237" s="35" t="e">
        <f t="shared" si="147"/>
        <v>#NUM!</v>
      </c>
      <c r="AY237" s="35" t="e">
        <f t="shared" si="147"/>
        <v>#NUM!</v>
      </c>
    </row>
    <row r="238" spans="6:51" x14ac:dyDescent="0.3">
      <c r="F238">
        <v>68</v>
      </c>
      <c r="G238" s="28"/>
      <c r="H238" s="28"/>
      <c r="I238" s="28"/>
      <c r="J238" s="28"/>
      <c r="K238" s="28"/>
      <c r="L238" s="29"/>
      <c r="M238" s="30"/>
      <c r="N238" s="31"/>
      <c r="O238" s="31"/>
      <c r="P238" s="32"/>
      <c r="Q238" s="32"/>
      <c r="R238" s="32"/>
      <c r="S238" s="33"/>
      <c r="T238" s="33"/>
      <c r="U238" s="34"/>
      <c r="V238" s="34"/>
      <c r="W238" s="35"/>
      <c r="X238" s="35"/>
      <c r="AG238">
        <f t="shared" si="149"/>
        <v>57.099042142728173</v>
      </c>
      <c r="AH238" s="28">
        <f t="shared" si="148"/>
        <v>0.99999999096719916</v>
      </c>
      <c r="AI238" s="28">
        <f t="shared" si="148"/>
        <v>0.99999999631199343</v>
      </c>
      <c r="AJ238" s="28">
        <f t="shared" si="148"/>
        <v>0.99999999828245156</v>
      </c>
      <c r="AK238" s="28">
        <f t="shared" si="148"/>
        <v>0.99999999443915977</v>
      </c>
      <c r="AL238" s="28">
        <f t="shared" si="148"/>
        <v>0.93376019762647</v>
      </c>
      <c r="AM238" s="29">
        <f t="shared" si="146"/>
        <v>0</v>
      </c>
      <c r="AN238" s="30">
        <f t="shared" si="141"/>
        <v>0.99628981999310628</v>
      </c>
      <c r="AO238" s="31"/>
      <c r="AP238" s="31"/>
      <c r="AQ238" s="32"/>
      <c r="AR238" s="32"/>
      <c r="AS238" s="32"/>
      <c r="AT238" s="33"/>
      <c r="AU238" s="33"/>
      <c r="AV238" s="34" t="e">
        <f t="shared" si="147"/>
        <v>#DIV/0!</v>
      </c>
      <c r="AW238" s="34" t="e">
        <f t="shared" si="147"/>
        <v>#DIV/0!</v>
      </c>
      <c r="AX238" s="35" t="e">
        <f t="shared" si="147"/>
        <v>#NUM!</v>
      </c>
      <c r="AY238" s="35" t="e">
        <f t="shared" si="147"/>
        <v>#NUM!</v>
      </c>
    </row>
    <row r="239" spans="6:51" x14ac:dyDescent="0.3">
      <c r="F239">
        <v>69</v>
      </c>
      <c r="G239" s="28"/>
      <c r="H239" s="28"/>
      <c r="I239" s="28"/>
      <c r="J239" s="28"/>
      <c r="K239" s="28"/>
      <c r="L239" s="29"/>
      <c r="M239" s="30"/>
      <c r="N239" s="31"/>
      <c r="O239" s="31"/>
      <c r="P239" s="32"/>
      <c r="Q239" s="32"/>
      <c r="R239" s="32"/>
      <c r="S239" s="33"/>
      <c r="T239" s="33"/>
      <c r="U239" s="34"/>
      <c r="V239" s="34"/>
      <c r="W239" s="35"/>
      <c r="X239" s="35"/>
      <c r="AG239">
        <f t="shared" si="149"/>
        <v>57.275858549886756</v>
      </c>
      <c r="AH239" s="28">
        <f t="shared" si="148"/>
        <v>0.99999999118415839</v>
      </c>
      <c r="AI239" s="28">
        <f t="shared" si="148"/>
        <v>0.99999999644447535</v>
      </c>
      <c r="AJ239" s="28">
        <f t="shared" si="148"/>
        <v>0.99999999835455844</v>
      </c>
      <c r="AK239" s="28">
        <f t="shared" si="148"/>
        <v>0.99999999462887268</v>
      </c>
      <c r="AL239" s="28">
        <f t="shared" si="148"/>
        <v>0.93418537032570304</v>
      </c>
      <c r="AM239" s="29">
        <f t="shared" si="146"/>
        <v>0</v>
      </c>
      <c r="AN239" s="30">
        <f t="shared" si="141"/>
        <v>0.99634828414289112</v>
      </c>
      <c r="AO239" s="31"/>
      <c r="AP239" s="31"/>
      <c r="AQ239" s="32"/>
      <c r="AR239" s="32"/>
      <c r="AS239" s="32"/>
      <c r="AT239" s="33"/>
      <c r="AU239" s="33"/>
      <c r="AV239" s="34" t="e">
        <f t="shared" si="147"/>
        <v>#DIV/0!</v>
      </c>
      <c r="AW239" s="34" t="e">
        <f t="shared" si="147"/>
        <v>#DIV/0!</v>
      </c>
      <c r="AX239" s="35" t="e">
        <f t="shared" si="147"/>
        <v>#NUM!</v>
      </c>
      <c r="AY239" s="35" t="e">
        <f t="shared" si="147"/>
        <v>#NUM!</v>
      </c>
    </row>
    <row r="240" spans="6:51" x14ac:dyDescent="0.3">
      <c r="F240">
        <v>70</v>
      </c>
      <c r="G240" s="28"/>
      <c r="H240" s="28"/>
      <c r="I240" s="28"/>
      <c r="J240" s="28"/>
      <c r="K240" s="28"/>
      <c r="L240" s="29"/>
      <c r="M240" s="30"/>
      <c r="N240" s="31"/>
      <c r="O240" s="31"/>
      <c r="P240" s="32"/>
      <c r="Q240" s="32"/>
      <c r="R240" s="32"/>
      <c r="S240" s="33"/>
      <c r="T240" s="33"/>
      <c r="U240" s="34"/>
      <c r="V240" s="34"/>
      <c r="W240" s="35"/>
      <c r="X240" s="35"/>
      <c r="AG240">
        <f t="shared" si="149"/>
        <v>57.43878713009709</v>
      </c>
      <c r="AH240" s="28">
        <f t="shared" si="148"/>
        <v>0.9999999913775266</v>
      </c>
      <c r="AI240" s="28">
        <f t="shared" si="148"/>
        <v>0.99999999656184924</v>
      </c>
      <c r="AJ240" s="28">
        <f t="shared" si="148"/>
        <v>0.99999999841792897</v>
      </c>
      <c r="AK240" s="28">
        <f t="shared" si="148"/>
        <v>0.99999999479721846</v>
      </c>
      <c r="AL240" s="28">
        <f t="shared" si="148"/>
        <v>0.93457041868712465</v>
      </c>
      <c r="AM240" s="29">
        <f t="shared" si="146"/>
        <v>0</v>
      </c>
      <c r="AN240" s="30">
        <f t="shared" si="141"/>
        <v>0.99640112555531113</v>
      </c>
      <c r="AO240" s="31"/>
      <c r="AP240" s="31"/>
      <c r="AQ240" s="32"/>
      <c r="AR240" s="32"/>
      <c r="AS240" s="32"/>
      <c r="AT240" s="33"/>
      <c r="AU240" s="33"/>
      <c r="AV240" s="34" t="e">
        <f t="shared" si="147"/>
        <v>#DIV/0!</v>
      </c>
      <c r="AW240" s="34" t="e">
        <f t="shared" si="147"/>
        <v>#DIV/0!</v>
      </c>
      <c r="AX240" s="35" t="e">
        <f t="shared" si="147"/>
        <v>#NUM!</v>
      </c>
      <c r="AY240" s="35" t="e">
        <f t="shared" si="147"/>
        <v>#NUM!</v>
      </c>
    </row>
    <row r="242" spans="5:51" x14ac:dyDescent="0.3">
      <c r="E242" t="s">
        <v>66</v>
      </c>
      <c r="F242">
        <v>0</v>
      </c>
      <c r="G242" s="28"/>
      <c r="H242" s="28"/>
      <c r="I242" s="28"/>
      <c r="J242" s="28"/>
      <c r="K242" s="28"/>
      <c r="L242" s="29"/>
      <c r="M242" s="30"/>
      <c r="N242" s="31"/>
      <c r="O242" s="31"/>
      <c r="P242" s="32"/>
      <c r="Q242" s="32"/>
      <c r="R242" s="32"/>
      <c r="S242" s="33"/>
      <c r="T242" s="33"/>
      <c r="U242" s="34"/>
      <c r="V242" s="34"/>
      <c r="W242" s="35"/>
      <c r="X242" s="35"/>
      <c r="AF242" t="s">
        <v>66</v>
      </c>
      <c r="AG242">
        <f>AE14</f>
        <v>4.9458521066739074</v>
      </c>
      <c r="AH242" s="28">
        <f>AH170*AH$163</f>
        <v>0</v>
      </c>
      <c r="AI242" s="28">
        <f t="shared" ref="AI242:AU242" si="150">AI170*AI$163</f>
        <v>0.52828417179300124</v>
      </c>
      <c r="AJ242" s="28">
        <f t="shared" si="150"/>
        <v>0</v>
      </c>
      <c r="AK242" s="28">
        <f t="shared" si="150"/>
        <v>0.7321320291564406</v>
      </c>
      <c r="AL242" s="28">
        <f t="shared" si="150"/>
        <v>0</v>
      </c>
      <c r="AM242" s="29">
        <f t="shared" si="150"/>
        <v>0</v>
      </c>
      <c r="AN242" s="30">
        <f t="shared" si="150"/>
        <v>0</v>
      </c>
      <c r="AO242" s="31">
        <f t="shared" si="150"/>
        <v>0</v>
      </c>
      <c r="AP242" s="31">
        <f t="shared" si="150"/>
        <v>0</v>
      </c>
      <c r="AQ242" s="32">
        <f t="shared" si="150"/>
        <v>0</v>
      </c>
      <c r="AR242" s="32">
        <f t="shared" si="150"/>
        <v>0</v>
      </c>
      <c r="AS242" s="32">
        <f t="shared" si="150"/>
        <v>0</v>
      </c>
      <c r="AT242" s="33">
        <f t="shared" si="150"/>
        <v>0</v>
      </c>
      <c r="AU242" s="33">
        <f t="shared" si="150"/>
        <v>0</v>
      </c>
      <c r="AV242" s="34" t="e">
        <f t="shared" ref="AV242:AW261" si="151">$C$5/100*AV$163*AV170</f>
        <v>#DIV/0!</v>
      </c>
      <c r="AW242" s="34" t="e">
        <f t="shared" si="151"/>
        <v>#DIV/0!</v>
      </c>
      <c r="AX242" s="35" t="e">
        <f t="shared" ref="AX242:AY261" si="152">AX170*AX$163</f>
        <v>#NUM!</v>
      </c>
      <c r="AY242" s="35" t="e">
        <f t="shared" si="152"/>
        <v>#NUM!</v>
      </c>
    </row>
    <row r="243" spans="5:51" x14ac:dyDescent="0.3">
      <c r="F243">
        <v>1</v>
      </c>
      <c r="G243" s="28"/>
      <c r="H243" s="28"/>
      <c r="I243" s="28"/>
      <c r="J243" s="28"/>
      <c r="K243" s="28"/>
      <c r="L243" s="29"/>
      <c r="M243" s="30"/>
      <c r="N243" s="31"/>
      <c r="O243" s="31"/>
      <c r="P243" s="32"/>
      <c r="Q243" s="32"/>
      <c r="R243" s="32"/>
      <c r="S243" s="33"/>
      <c r="T243" s="33"/>
      <c r="U243" s="34"/>
      <c r="V243" s="34"/>
      <c r="W243" s="35"/>
      <c r="X243" s="35"/>
      <c r="AG243">
        <f t="shared" ref="AG243:AG306" si="153">AE15</f>
        <v>5.2014595403979236</v>
      </c>
      <c r="AH243" s="28">
        <f t="shared" ref="AH243:AU243" si="154">AH171*AH$163</f>
        <v>0</v>
      </c>
      <c r="AI243" s="28">
        <f t="shared" si="154"/>
        <v>0.55261614698693118</v>
      </c>
      <c r="AJ243" s="28">
        <f t="shared" si="154"/>
        <v>0</v>
      </c>
      <c r="AK243" s="28">
        <f t="shared" si="154"/>
        <v>0.77463426687747416</v>
      </c>
      <c r="AL243" s="28">
        <f t="shared" si="154"/>
        <v>0</v>
      </c>
      <c r="AM243" s="29">
        <f t="shared" si="154"/>
        <v>0</v>
      </c>
      <c r="AN243" s="30">
        <f t="shared" si="154"/>
        <v>0</v>
      </c>
      <c r="AO243" s="31">
        <f t="shared" si="154"/>
        <v>0</v>
      </c>
      <c r="AP243" s="31">
        <f t="shared" si="154"/>
        <v>0</v>
      </c>
      <c r="AQ243" s="32">
        <f t="shared" si="154"/>
        <v>0</v>
      </c>
      <c r="AR243" s="32">
        <f t="shared" si="154"/>
        <v>0</v>
      </c>
      <c r="AS243" s="32">
        <f t="shared" si="154"/>
        <v>0</v>
      </c>
      <c r="AT243" s="33">
        <f t="shared" si="154"/>
        <v>0</v>
      </c>
      <c r="AU243" s="33">
        <f t="shared" si="154"/>
        <v>0</v>
      </c>
      <c r="AV243" s="34" t="e">
        <f t="shared" si="151"/>
        <v>#DIV/0!</v>
      </c>
      <c r="AW243" s="34" t="e">
        <f t="shared" si="151"/>
        <v>#DIV/0!</v>
      </c>
      <c r="AX243" s="35" t="e">
        <f t="shared" si="152"/>
        <v>#NUM!</v>
      </c>
      <c r="AY243" s="35" t="e">
        <f t="shared" si="152"/>
        <v>#NUM!</v>
      </c>
    </row>
    <row r="244" spans="5:51" x14ac:dyDescent="0.3">
      <c r="F244">
        <v>2</v>
      </c>
      <c r="G244" s="28"/>
      <c r="H244" s="28"/>
      <c r="I244" s="28"/>
      <c r="J244" s="28"/>
      <c r="K244" s="28"/>
      <c r="L244" s="29"/>
      <c r="M244" s="30"/>
      <c r="N244" s="31"/>
      <c r="O244" s="31"/>
      <c r="P244" s="32"/>
      <c r="Q244" s="32"/>
      <c r="R244" s="32"/>
      <c r="S244" s="33"/>
      <c r="T244" s="33"/>
      <c r="U244" s="34"/>
      <c r="V244" s="34"/>
      <c r="W244" s="35"/>
      <c r="X244" s="35"/>
      <c r="AG244">
        <f t="shared" si="153"/>
        <v>5.4702770658848543</v>
      </c>
      <c r="AH244" s="28">
        <f t="shared" ref="AH244:AU244" si="155">AH172*AH$163</f>
        <v>0</v>
      </c>
      <c r="AI244" s="28">
        <f t="shared" si="155"/>
        <v>0.57621491929312296</v>
      </c>
      <c r="AJ244" s="28">
        <f t="shared" si="155"/>
        <v>0</v>
      </c>
      <c r="AK244" s="28">
        <f t="shared" si="155"/>
        <v>0.8157813307920031</v>
      </c>
      <c r="AL244" s="28">
        <f t="shared" si="155"/>
        <v>0</v>
      </c>
      <c r="AM244" s="29">
        <f t="shared" si="155"/>
        <v>0</v>
      </c>
      <c r="AN244" s="30">
        <f t="shared" si="155"/>
        <v>0</v>
      </c>
      <c r="AO244" s="31">
        <f t="shared" si="155"/>
        <v>0</v>
      </c>
      <c r="AP244" s="31">
        <f t="shared" si="155"/>
        <v>0</v>
      </c>
      <c r="AQ244" s="32">
        <f t="shared" si="155"/>
        <v>0</v>
      </c>
      <c r="AR244" s="32">
        <f t="shared" si="155"/>
        <v>0</v>
      </c>
      <c r="AS244" s="32">
        <f t="shared" si="155"/>
        <v>0</v>
      </c>
      <c r="AT244" s="33">
        <f t="shared" si="155"/>
        <v>0</v>
      </c>
      <c r="AU244" s="33">
        <f t="shared" si="155"/>
        <v>0</v>
      </c>
      <c r="AV244" s="34" t="e">
        <f t="shared" si="151"/>
        <v>#DIV/0!</v>
      </c>
      <c r="AW244" s="34" t="e">
        <f t="shared" si="151"/>
        <v>#DIV/0!</v>
      </c>
      <c r="AX244" s="35" t="e">
        <f t="shared" si="152"/>
        <v>#NUM!</v>
      </c>
      <c r="AY244" s="35" t="e">
        <f t="shared" si="152"/>
        <v>#NUM!</v>
      </c>
    </row>
    <row r="245" spans="5:51" x14ac:dyDescent="0.3">
      <c r="F245">
        <v>3</v>
      </c>
      <c r="G245" s="28"/>
      <c r="H245" s="28"/>
      <c r="I245" s="28"/>
      <c r="J245" s="28"/>
      <c r="K245" s="28"/>
      <c r="L245" s="29"/>
      <c r="M245" s="30"/>
      <c r="N245" s="31"/>
      <c r="O245" s="31"/>
      <c r="P245" s="32"/>
      <c r="Q245" s="32"/>
      <c r="R245" s="32"/>
      <c r="S245" s="33"/>
      <c r="T245" s="33"/>
      <c r="U245" s="34"/>
      <c r="V245" s="34"/>
      <c r="W245" s="35"/>
      <c r="X245" s="35"/>
      <c r="AG245">
        <f t="shared" si="153"/>
        <v>5.7529873961600746</v>
      </c>
      <c r="AH245" s="28">
        <f t="shared" ref="AH245:AU245" si="156">AH173*AH$163</f>
        <v>0</v>
      </c>
      <c r="AI245" s="28">
        <f t="shared" si="156"/>
        <v>0.59894063006317222</v>
      </c>
      <c r="AJ245" s="28">
        <f t="shared" si="156"/>
        <v>0</v>
      </c>
      <c r="AK245" s="28">
        <f t="shared" si="156"/>
        <v>0.85533143844343396</v>
      </c>
      <c r="AL245" s="28">
        <f t="shared" si="156"/>
        <v>0</v>
      </c>
      <c r="AM245" s="29">
        <f t="shared" si="156"/>
        <v>0</v>
      </c>
      <c r="AN245" s="30">
        <f t="shared" si="156"/>
        <v>0</v>
      </c>
      <c r="AO245" s="31">
        <f t="shared" si="156"/>
        <v>0</v>
      </c>
      <c r="AP245" s="31">
        <f t="shared" si="156"/>
        <v>0</v>
      </c>
      <c r="AQ245" s="32">
        <f t="shared" si="156"/>
        <v>0</v>
      </c>
      <c r="AR245" s="32">
        <f t="shared" si="156"/>
        <v>0</v>
      </c>
      <c r="AS245" s="32">
        <f t="shared" si="156"/>
        <v>0</v>
      </c>
      <c r="AT245" s="33">
        <f t="shared" si="156"/>
        <v>0</v>
      </c>
      <c r="AU245" s="33">
        <f t="shared" si="156"/>
        <v>0</v>
      </c>
      <c r="AV245" s="34" t="e">
        <f t="shared" si="151"/>
        <v>#DIV/0!</v>
      </c>
      <c r="AW245" s="34" t="e">
        <f t="shared" si="151"/>
        <v>#DIV/0!</v>
      </c>
      <c r="AX245" s="35" t="e">
        <f t="shared" si="152"/>
        <v>#NUM!</v>
      </c>
      <c r="AY245" s="35" t="e">
        <f t="shared" si="152"/>
        <v>#NUM!</v>
      </c>
    </row>
    <row r="246" spans="5:51" x14ac:dyDescent="0.3">
      <c r="F246">
        <v>4</v>
      </c>
      <c r="G246" s="28"/>
      <c r="H246" s="28"/>
      <c r="I246" s="28"/>
      <c r="J246" s="28"/>
      <c r="K246" s="28"/>
      <c r="L246" s="29"/>
      <c r="M246" s="30"/>
      <c r="N246" s="31"/>
      <c r="O246" s="31"/>
      <c r="P246" s="32"/>
      <c r="Q246" s="32"/>
      <c r="R246" s="32"/>
      <c r="S246" s="33"/>
      <c r="T246" s="33"/>
      <c r="U246" s="34"/>
      <c r="V246" s="34"/>
      <c r="W246" s="35"/>
      <c r="X246" s="35"/>
      <c r="AG246">
        <f t="shared" si="153"/>
        <v>6.0503085276582826</v>
      </c>
      <c r="AH246" s="28">
        <f t="shared" ref="AH246:AU246" si="157">AH174*AH$163</f>
        <v>0</v>
      </c>
      <c r="AI246" s="28">
        <f t="shared" si="157"/>
        <v>0.62066152525840579</v>
      </c>
      <c r="AJ246" s="28">
        <f t="shared" si="157"/>
        <v>0</v>
      </c>
      <c r="AK246" s="28">
        <f t="shared" si="157"/>
        <v>0.89305863983243861</v>
      </c>
      <c r="AL246" s="28">
        <f t="shared" si="157"/>
        <v>0</v>
      </c>
      <c r="AM246" s="29">
        <f t="shared" si="157"/>
        <v>0</v>
      </c>
      <c r="AN246" s="30">
        <f t="shared" si="157"/>
        <v>0</v>
      </c>
      <c r="AO246" s="31">
        <f t="shared" si="157"/>
        <v>0</v>
      </c>
      <c r="AP246" s="31">
        <f t="shared" si="157"/>
        <v>0</v>
      </c>
      <c r="AQ246" s="32">
        <f t="shared" si="157"/>
        <v>0</v>
      </c>
      <c r="AR246" s="32">
        <f t="shared" si="157"/>
        <v>0</v>
      </c>
      <c r="AS246" s="32">
        <f t="shared" si="157"/>
        <v>0</v>
      </c>
      <c r="AT246" s="33">
        <f t="shared" si="157"/>
        <v>0</v>
      </c>
      <c r="AU246" s="33">
        <f t="shared" si="157"/>
        <v>0</v>
      </c>
      <c r="AV246" s="34" t="e">
        <f t="shared" si="151"/>
        <v>#DIV/0!</v>
      </c>
      <c r="AW246" s="34" t="e">
        <f t="shared" si="151"/>
        <v>#DIV/0!</v>
      </c>
      <c r="AX246" s="35" t="e">
        <f t="shared" si="152"/>
        <v>#NUM!</v>
      </c>
      <c r="AY246" s="35" t="e">
        <f t="shared" si="152"/>
        <v>#NUM!</v>
      </c>
    </row>
    <row r="247" spans="5:51" x14ac:dyDescent="0.3">
      <c r="F247">
        <v>5</v>
      </c>
      <c r="G247" s="28"/>
      <c r="H247" s="28"/>
      <c r="I247" s="28"/>
      <c r="J247" s="28"/>
      <c r="K247" s="28"/>
      <c r="L247" s="29"/>
      <c r="M247" s="30"/>
      <c r="N247" s="31"/>
      <c r="O247" s="31"/>
      <c r="P247" s="32"/>
      <c r="Q247" s="32"/>
      <c r="R247" s="32"/>
      <c r="S247" s="33"/>
      <c r="T247" s="33"/>
      <c r="U247" s="34"/>
      <c r="V247" s="34"/>
      <c r="W247" s="35"/>
      <c r="X247" s="35"/>
      <c r="AG247">
        <f t="shared" si="153"/>
        <v>6.3629955637114666</v>
      </c>
      <c r="AH247" s="28">
        <f t="shared" ref="AH247:AU247" si="158">AH175*AH$163</f>
        <v>0</v>
      </c>
      <c r="AI247" s="28">
        <f t="shared" si="158"/>
        <v>0.64125731074335179</v>
      </c>
      <c r="AJ247" s="28">
        <f t="shared" si="158"/>
        <v>0</v>
      </c>
      <c r="AK247" s="28">
        <f t="shared" si="158"/>
        <v>0.92875864724720358</v>
      </c>
      <c r="AL247" s="28">
        <f t="shared" si="158"/>
        <v>0</v>
      </c>
      <c r="AM247" s="29">
        <f t="shared" si="158"/>
        <v>0</v>
      </c>
      <c r="AN247" s="30">
        <f t="shared" si="158"/>
        <v>0</v>
      </c>
      <c r="AO247" s="31">
        <f t="shared" si="158"/>
        <v>0</v>
      </c>
      <c r="AP247" s="31">
        <f t="shared" si="158"/>
        <v>0</v>
      </c>
      <c r="AQ247" s="32">
        <f t="shared" si="158"/>
        <v>0</v>
      </c>
      <c r="AR247" s="32">
        <f t="shared" si="158"/>
        <v>0</v>
      </c>
      <c r="AS247" s="32">
        <f t="shared" si="158"/>
        <v>0</v>
      </c>
      <c r="AT247" s="33">
        <f t="shared" si="158"/>
        <v>0</v>
      </c>
      <c r="AU247" s="33">
        <f t="shared" si="158"/>
        <v>0</v>
      </c>
      <c r="AV247" s="34" t="e">
        <f t="shared" si="151"/>
        <v>#DIV/0!</v>
      </c>
      <c r="AW247" s="34" t="e">
        <f t="shared" si="151"/>
        <v>#DIV/0!</v>
      </c>
      <c r="AX247" s="35" t="e">
        <f t="shared" si="152"/>
        <v>#NUM!</v>
      </c>
      <c r="AY247" s="35" t="e">
        <f t="shared" si="152"/>
        <v>#NUM!</v>
      </c>
    </row>
    <row r="248" spans="5:51" x14ac:dyDescent="0.3">
      <c r="F248">
        <v>6</v>
      </c>
      <c r="G248" s="28"/>
      <c r="H248" s="28"/>
      <c r="I248" s="28"/>
      <c r="J248" s="28"/>
      <c r="K248" s="28"/>
      <c r="L248" s="29"/>
      <c r="M248" s="30"/>
      <c r="N248" s="31"/>
      <c r="O248" s="31"/>
      <c r="P248" s="32"/>
      <c r="Q248" s="32"/>
      <c r="R248" s="32"/>
      <c r="S248" s="33"/>
      <c r="T248" s="33"/>
      <c r="U248" s="34"/>
      <c r="V248" s="34"/>
      <c r="W248" s="35"/>
      <c r="X248" s="35"/>
      <c r="AG248">
        <f t="shared" si="153"/>
        <v>6.6918426322768392</v>
      </c>
      <c r="AH248" s="28">
        <f t="shared" ref="AH248:AU248" si="159">AH176*AH$163</f>
        <v>0</v>
      </c>
      <c r="AI248" s="28">
        <f t="shared" si="159"/>
        <v>0.66062241025582247</v>
      </c>
      <c r="AJ248" s="28">
        <f t="shared" si="159"/>
        <v>0</v>
      </c>
      <c r="AK248" s="28">
        <f t="shared" si="159"/>
        <v>0.9622544186623011</v>
      </c>
      <c r="AL248" s="28">
        <f t="shared" si="159"/>
        <v>0</v>
      </c>
      <c r="AM248" s="29">
        <f t="shared" si="159"/>
        <v>0</v>
      </c>
      <c r="AN248" s="30">
        <f t="shared" si="159"/>
        <v>0</v>
      </c>
      <c r="AO248" s="31">
        <f t="shared" si="159"/>
        <v>0</v>
      </c>
      <c r="AP248" s="31">
        <f t="shared" si="159"/>
        <v>0</v>
      </c>
      <c r="AQ248" s="32">
        <f t="shared" si="159"/>
        <v>0</v>
      </c>
      <c r="AR248" s="32">
        <f t="shared" si="159"/>
        <v>0</v>
      </c>
      <c r="AS248" s="32">
        <f t="shared" si="159"/>
        <v>0</v>
      </c>
      <c r="AT248" s="33">
        <f t="shared" si="159"/>
        <v>0</v>
      </c>
      <c r="AU248" s="33">
        <f t="shared" si="159"/>
        <v>0</v>
      </c>
      <c r="AV248" s="34" t="e">
        <f t="shared" si="151"/>
        <v>#DIV/0!</v>
      </c>
      <c r="AW248" s="34" t="e">
        <f t="shared" si="151"/>
        <v>#DIV/0!</v>
      </c>
      <c r="AX248" s="35" t="e">
        <f t="shared" si="152"/>
        <v>#NUM!</v>
      </c>
      <c r="AY248" s="35" t="e">
        <f t="shared" si="152"/>
        <v>#NUM!</v>
      </c>
    </row>
    <row r="249" spans="5:51" x14ac:dyDescent="0.3">
      <c r="F249">
        <v>7</v>
      </c>
      <c r="G249" s="28"/>
      <c r="H249" s="28"/>
      <c r="I249" s="28"/>
      <c r="J249" s="28"/>
      <c r="K249" s="28"/>
      <c r="L249" s="29"/>
      <c r="M249" s="30"/>
      <c r="N249" s="31"/>
      <c r="O249" s="31"/>
      <c r="P249" s="32"/>
      <c r="Q249" s="32"/>
      <c r="R249" s="32"/>
      <c r="S249" s="33"/>
      <c r="T249" s="33"/>
      <c r="U249" s="34"/>
      <c r="V249" s="34"/>
      <c r="W249" s="35"/>
      <c r="X249" s="35"/>
      <c r="AG249">
        <f t="shared" si="153"/>
        <v>7.0376849027752071</v>
      </c>
      <c r="AH249" s="28">
        <f t="shared" ref="AH249:AU249" si="160">AH177*AH$163</f>
        <v>0</v>
      </c>
      <c r="AI249" s="28">
        <f t="shared" si="160"/>
        <v>0.67866897078505695</v>
      </c>
      <c r="AJ249" s="28">
        <f t="shared" si="160"/>
        <v>0</v>
      </c>
      <c r="AK249" s="28">
        <f t="shared" si="160"/>
        <v>0.99340122012941112</v>
      </c>
      <c r="AL249" s="28">
        <f t="shared" si="160"/>
        <v>0</v>
      </c>
      <c r="AM249" s="29">
        <f t="shared" si="160"/>
        <v>0</v>
      </c>
      <c r="AN249" s="30">
        <f t="shared" si="160"/>
        <v>0</v>
      </c>
      <c r="AO249" s="31">
        <f t="shared" si="160"/>
        <v>0</v>
      </c>
      <c r="AP249" s="31">
        <f t="shared" si="160"/>
        <v>0</v>
      </c>
      <c r="AQ249" s="32">
        <f t="shared" si="160"/>
        <v>0</v>
      </c>
      <c r="AR249" s="32">
        <f t="shared" si="160"/>
        <v>0</v>
      </c>
      <c r="AS249" s="32">
        <f t="shared" si="160"/>
        <v>0</v>
      </c>
      <c r="AT249" s="33">
        <f t="shared" si="160"/>
        <v>0</v>
      </c>
      <c r="AU249" s="33">
        <f t="shared" si="160"/>
        <v>0</v>
      </c>
      <c r="AV249" s="34" t="e">
        <f t="shared" si="151"/>
        <v>#DIV/0!</v>
      </c>
      <c r="AW249" s="34" t="e">
        <f t="shared" si="151"/>
        <v>#DIV/0!</v>
      </c>
      <c r="AX249" s="35" t="e">
        <f t="shared" si="152"/>
        <v>#NUM!</v>
      </c>
      <c r="AY249" s="35" t="e">
        <f t="shared" si="152"/>
        <v>#NUM!</v>
      </c>
    </row>
    <row r="250" spans="5:51" x14ac:dyDescent="0.3">
      <c r="F250">
        <v>8</v>
      </c>
      <c r="G250" s="28"/>
      <c r="H250" s="28"/>
      <c r="I250" s="28"/>
      <c r="J250" s="28"/>
      <c r="K250" s="28"/>
      <c r="L250" s="29"/>
      <c r="M250" s="30"/>
      <c r="N250" s="31"/>
      <c r="O250" s="31"/>
      <c r="P250" s="32"/>
      <c r="Q250" s="32"/>
      <c r="R250" s="32"/>
      <c r="S250" s="33"/>
      <c r="T250" s="33"/>
      <c r="U250" s="34"/>
      <c r="V250" s="34"/>
      <c r="W250" s="35"/>
      <c r="X250" s="35"/>
      <c r="AG250">
        <f t="shared" si="153"/>
        <v>7.4014007071619208</v>
      </c>
      <c r="AH250" s="28">
        <f t="shared" ref="AH250:AU250" si="161">AH178*AH$163</f>
        <v>1.3039564554529232E-2</v>
      </c>
      <c r="AI250" s="28">
        <f t="shared" si="161"/>
        <v>0.69532945329146578</v>
      </c>
      <c r="AJ250" s="28">
        <f t="shared" si="161"/>
        <v>0</v>
      </c>
      <c r="AK250" s="28">
        <f t="shared" si="161"/>
        <v>1.0220908860453488</v>
      </c>
      <c r="AL250" s="28">
        <f t="shared" si="161"/>
        <v>0</v>
      </c>
      <c r="AM250" s="29">
        <f t="shared" si="161"/>
        <v>0</v>
      </c>
      <c r="AN250" s="30">
        <f t="shared" si="161"/>
        <v>0</v>
      </c>
      <c r="AO250" s="31">
        <f t="shared" si="161"/>
        <v>0</v>
      </c>
      <c r="AP250" s="31">
        <f t="shared" si="161"/>
        <v>0</v>
      </c>
      <c r="AQ250" s="32">
        <f t="shared" si="161"/>
        <v>0</v>
      </c>
      <c r="AR250" s="32">
        <f t="shared" si="161"/>
        <v>0</v>
      </c>
      <c r="AS250" s="32">
        <f t="shared" si="161"/>
        <v>0</v>
      </c>
      <c r="AT250" s="33">
        <f t="shared" si="161"/>
        <v>0</v>
      </c>
      <c r="AU250" s="33">
        <f t="shared" si="161"/>
        <v>0</v>
      </c>
      <c r="AV250" s="34" t="e">
        <f t="shared" si="151"/>
        <v>#DIV/0!</v>
      </c>
      <c r="AW250" s="34" t="e">
        <f t="shared" si="151"/>
        <v>#DIV/0!</v>
      </c>
      <c r="AX250" s="35" t="e">
        <f t="shared" si="152"/>
        <v>#NUM!</v>
      </c>
      <c r="AY250" s="35" t="e">
        <f t="shared" si="152"/>
        <v>#NUM!</v>
      </c>
    </row>
    <row r="251" spans="5:51" x14ac:dyDescent="0.3">
      <c r="F251">
        <v>9</v>
      </c>
      <c r="G251" s="28"/>
      <c r="H251" s="28"/>
      <c r="I251" s="28"/>
      <c r="J251" s="28"/>
      <c r="K251" s="28"/>
      <c r="L251" s="29"/>
      <c r="M251" s="30"/>
      <c r="N251" s="31"/>
      <c r="O251" s="31"/>
      <c r="P251" s="32"/>
      <c r="Q251" s="32"/>
      <c r="R251" s="32"/>
      <c r="S251" s="33"/>
      <c r="T251" s="33"/>
      <c r="U251" s="34"/>
      <c r="V251" s="34"/>
      <c r="W251" s="35"/>
      <c r="X251" s="35"/>
      <c r="AG251">
        <f t="shared" si="153"/>
        <v>7.7839137706172403</v>
      </c>
      <c r="AH251" s="28">
        <f t="shared" ref="AH251:AU251" si="162">AH179*AH$163</f>
        <v>5.085108806465094E-2</v>
      </c>
      <c r="AI251" s="28">
        <f t="shared" si="162"/>
        <v>0.71055865059823275</v>
      </c>
      <c r="AJ251" s="28">
        <f t="shared" si="162"/>
        <v>0</v>
      </c>
      <c r="AK251" s="28">
        <f t="shared" si="162"/>
        <v>1.04825500913092</v>
      </c>
      <c r="AL251" s="28">
        <f t="shared" si="162"/>
        <v>0</v>
      </c>
      <c r="AM251" s="29">
        <f t="shared" si="162"/>
        <v>0</v>
      </c>
      <c r="AN251" s="30">
        <f t="shared" si="162"/>
        <v>0</v>
      </c>
      <c r="AO251" s="31">
        <f t="shared" si="162"/>
        <v>0</v>
      </c>
      <c r="AP251" s="31">
        <f t="shared" si="162"/>
        <v>0</v>
      </c>
      <c r="AQ251" s="32">
        <f t="shared" si="162"/>
        <v>0</v>
      </c>
      <c r="AR251" s="32">
        <f t="shared" si="162"/>
        <v>0</v>
      </c>
      <c r="AS251" s="32">
        <f t="shared" si="162"/>
        <v>0</v>
      </c>
      <c r="AT251" s="33">
        <f t="shared" si="162"/>
        <v>0</v>
      </c>
      <c r="AU251" s="33">
        <f t="shared" si="162"/>
        <v>0</v>
      </c>
      <c r="AV251" s="34" t="e">
        <f t="shared" si="151"/>
        <v>#DIV/0!</v>
      </c>
      <c r="AW251" s="34" t="e">
        <f t="shared" si="151"/>
        <v>#DIV/0!</v>
      </c>
      <c r="AX251" s="35" t="e">
        <f t="shared" si="152"/>
        <v>#NUM!</v>
      </c>
      <c r="AY251" s="35" t="e">
        <f t="shared" si="152"/>
        <v>#NUM!</v>
      </c>
    </row>
    <row r="252" spans="5:51" x14ac:dyDescent="0.3">
      <c r="F252">
        <v>10</v>
      </c>
      <c r="G252" s="28"/>
      <c r="H252" s="28"/>
      <c r="I252" s="28"/>
      <c r="J252" s="28"/>
      <c r="K252" s="28"/>
      <c r="L252" s="29"/>
      <c r="M252" s="30"/>
      <c r="N252" s="31"/>
      <c r="O252" s="31"/>
      <c r="P252" s="32"/>
      <c r="Q252" s="32"/>
      <c r="R252" s="32"/>
      <c r="S252" s="33"/>
      <c r="T252" s="33"/>
      <c r="U252" s="34"/>
      <c r="V252" s="34"/>
      <c r="W252" s="35"/>
      <c r="X252" s="35"/>
      <c r="AG252">
        <f t="shared" si="153"/>
        <v>8.1861955575214029</v>
      </c>
      <c r="AH252" s="28">
        <f t="shared" ref="AH252:AU252" si="163">AH180*AH$163</f>
        <v>9.2774184817095345E-2</v>
      </c>
      <c r="AI252" s="28">
        <f t="shared" si="163"/>
        <v>0.72433499058678752</v>
      </c>
      <c r="AJ252" s="28">
        <f t="shared" si="163"/>
        <v>0</v>
      </c>
      <c r="AK252" s="28">
        <f t="shared" si="163"/>
        <v>1.0718668268790659</v>
      </c>
      <c r="AL252" s="28">
        <f t="shared" si="163"/>
        <v>0</v>
      </c>
      <c r="AM252" s="29">
        <f t="shared" si="163"/>
        <v>0</v>
      </c>
      <c r="AN252" s="30">
        <f t="shared" si="163"/>
        <v>0</v>
      </c>
      <c r="AO252" s="31">
        <f t="shared" si="163"/>
        <v>0</v>
      </c>
      <c r="AP252" s="31">
        <f t="shared" si="163"/>
        <v>0</v>
      </c>
      <c r="AQ252" s="32">
        <f t="shared" si="163"/>
        <v>0</v>
      </c>
      <c r="AR252" s="32">
        <f t="shared" si="163"/>
        <v>0</v>
      </c>
      <c r="AS252" s="32">
        <f t="shared" si="163"/>
        <v>0</v>
      </c>
      <c r="AT252" s="33">
        <f t="shared" si="163"/>
        <v>0</v>
      </c>
      <c r="AU252" s="33">
        <f t="shared" si="163"/>
        <v>0</v>
      </c>
      <c r="AV252" s="34" t="e">
        <f t="shared" si="151"/>
        <v>#DIV/0!</v>
      </c>
      <c r="AW252" s="34" t="e">
        <f t="shared" si="151"/>
        <v>#DIV/0!</v>
      </c>
      <c r="AX252" s="35" t="e">
        <f t="shared" si="152"/>
        <v>#NUM!</v>
      </c>
      <c r="AY252" s="35" t="e">
        <f t="shared" si="152"/>
        <v>#NUM!</v>
      </c>
    </row>
    <row r="253" spans="5:51" x14ac:dyDescent="0.3">
      <c r="F253">
        <v>11</v>
      </c>
      <c r="G253" s="28"/>
      <c r="H253" s="28"/>
      <c r="I253" s="28"/>
      <c r="J253" s="28"/>
      <c r="K253" s="28"/>
      <c r="L253" s="29"/>
      <c r="M253" s="30"/>
      <c r="N253" s="31"/>
      <c r="O253" s="31"/>
      <c r="P253" s="32"/>
      <c r="Q253" s="32"/>
      <c r="R253" s="32"/>
      <c r="S253" s="33"/>
      <c r="T253" s="33"/>
      <c r="U253" s="34"/>
      <c r="V253" s="34"/>
      <c r="W253" s="35"/>
      <c r="X253" s="35"/>
      <c r="AG253">
        <f t="shared" si="153"/>
        <v>8.6092677386724414</v>
      </c>
      <c r="AH253" s="28">
        <f t="shared" ref="AH253:AU253" si="164">AH181*AH$163</f>
        <v>0.13865300750476461</v>
      </c>
      <c r="AI253" s="28">
        <f t="shared" si="164"/>
        <v>0.73666101228101644</v>
      </c>
      <c r="AJ253" s="28">
        <f t="shared" si="164"/>
        <v>0</v>
      </c>
      <c r="AK253" s="28">
        <f t="shared" si="164"/>
        <v>1.0929416287798981</v>
      </c>
      <c r="AL253" s="28">
        <f t="shared" si="164"/>
        <v>0</v>
      </c>
      <c r="AM253" s="29">
        <f t="shared" si="164"/>
        <v>0</v>
      </c>
      <c r="AN253" s="30">
        <f t="shared" si="164"/>
        <v>0</v>
      </c>
      <c r="AO253" s="31">
        <f t="shared" si="164"/>
        <v>0</v>
      </c>
      <c r="AP253" s="31">
        <f t="shared" si="164"/>
        <v>0</v>
      </c>
      <c r="AQ253" s="32">
        <f t="shared" si="164"/>
        <v>0</v>
      </c>
      <c r="AR253" s="32">
        <f t="shared" si="164"/>
        <v>0</v>
      </c>
      <c r="AS253" s="32">
        <f t="shared" si="164"/>
        <v>0</v>
      </c>
      <c r="AT253" s="33">
        <f t="shared" si="164"/>
        <v>0</v>
      </c>
      <c r="AU253" s="33">
        <f t="shared" si="164"/>
        <v>0</v>
      </c>
      <c r="AV253" s="34" t="e">
        <f t="shared" si="151"/>
        <v>#DIV/0!</v>
      </c>
      <c r="AW253" s="34" t="e">
        <f t="shared" si="151"/>
        <v>#DIV/0!</v>
      </c>
      <c r="AX253" s="35" t="e">
        <f t="shared" si="152"/>
        <v>#NUM!</v>
      </c>
      <c r="AY253" s="35" t="e">
        <f t="shared" si="152"/>
        <v>#NUM!</v>
      </c>
    </row>
    <row r="254" spans="5:51" x14ac:dyDescent="0.3">
      <c r="F254">
        <v>12</v>
      </c>
      <c r="G254" s="28"/>
      <c r="H254" s="28"/>
      <c r="I254" s="28"/>
      <c r="J254" s="28"/>
      <c r="K254" s="28"/>
      <c r="L254" s="29"/>
      <c r="M254" s="30"/>
      <c r="N254" s="31"/>
      <c r="O254" s="31"/>
      <c r="P254" s="32"/>
      <c r="Q254" s="32"/>
      <c r="R254" s="32"/>
      <c r="S254" s="33"/>
      <c r="T254" s="33"/>
      <c r="U254" s="34"/>
      <c r="V254" s="34"/>
      <c r="W254" s="35"/>
      <c r="X254" s="35"/>
      <c r="AG254">
        <f t="shared" si="153"/>
        <v>9.0542047860126846</v>
      </c>
      <c r="AH254" s="28">
        <f t="shared" ref="AH254:AU254" si="165">AH182*AH$163</f>
        <v>0.18813154346064484</v>
      </c>
      <c r="AI254" s="28">
        <f t="shared" si="165"/>
        <v>0.7475629444582107</v>
      </c>
      <c r="AJ254" s="28">
        <f t="shared" si="165"/>
        <v>0</v>
      </c>
      <c r="AK254" s="28">
        <f t="shared" si="165"/>
        <v>1.1115355870831742</v>
      </c>
      <c r="AL254" s="28">
        <f t="shared" si="165"/>
        <v>0</v>
      </c>
      <c r="AM254" s="29">
        <f t="shared" si="165"/>
        <v>0</v>
      </c>
      <c r="AN254" s="30">
        <f t="shared" si="165"/>
        <v>0</v>
      </c>
      <c r="AO254" s="31">
        <f t="shared" si="165"/>
        <v>0</v>
      </c>
      <c r="AP254" s="31">
        <f t="shared" si="165"/>
        <v>0</v>
      </c>
      <c r="AQ254" s="32">
        <f t="shared" si="165"/>
        <v>0</v>
      </c>
      <c r="AR254" s="32">
        <f t="shared" si="165"/>
        <v>0</v>
      </c>
      <c r="AS254" s="32">
        <f t="shared" si="165"/>
        <v>0</v>
      </c>
      <c r="AT254" s="33">
        <f t="shared" si="165"/>
        <v>0</v>
      </c>
      <c r="AU254" s="33">
        <f t="shared" si="165"/>
        <v>0</v>
      </c>
      <c r="AV254" s="34" t="e">
        <f t="shared" si="151"/>
        <v>#DIV/0!</v>
      </c>
      <c r="AW254" s="34" t="e">
        <f t="shared" si="151"/>
        <v>#DIV/0!</v>
      </c>
      <c r="AX254" s="35" t="e">
        <f t="shared" si="152"/>
        <v>#NUM!</v>
      </c>
      <c r="AY254" s="35" t="e">
        <f t="shared" si="152"/>
        <v>#NUM!</v>
      </c>
    </row>
    <row r="255" spans="5:51" x14ac:dyDescent="0.3">
      <c r="F255">
        <v>13</v>
      </c>
      <c r="G255" s="28"/>
      <c r="H255" s="28"/>
      <c r="I255" s="28"/>
      <c r="J255" s="28"/>
      <c r="K255" s="28"/>
      <c r="L255" s="29"/>
      <c r="M255" s="30"/>
      <c r="N255" s="31"/>
      <c r="O255" s="31"/>
      <c r="P255" s="32"/>
      <c r="Q255" s="32"/>
      <c r="R255" s="32"/>
      <c r="S255" s="33"/>
      <c r="T255" s="33"/>
      <c r="U255" s="34"/>
      <c r="V255" s="34"/>
      <c r="W255" s="35"/>
      <c r="X255" s="35"/>
      <c r="AG255">
        <f t="shared" si="153"/>
        <v>9.5221367014538032</v>
      </c>
      <c r="AH255" s="28">
        <f t="shared" ref="AH255:AU255" si="166">AH183*AH$163</f>
        <v>0.24062647172061269</v>
      </c>
      <c r="AI255" s="28">
        <f t="shared" si="166"/>
        <v>0.75708936900188373</v>
      </c>
      <c r="AJ255" s="28">
        <f t="shared" si="166"/>
        <v>7.7146107892459417E-2</v>
      </c>
      <c r="AK255" s="28">
        <f t="shared" si="166"/>
        <v>1.1277430088184828</v>
      </c>
      <c r="AL255" s="28">
        <f t="shared" si="166"/>
        <v>0</v>
      </c>
      <c r="AM255" s="29">
        <f t="shared" si="166"/>
        <v>0</v>
      </c>
      <c r="AN255" s="30">
        <f t="shared" si="166"/>
        <v>0</v>
      </c>
      <c r="AO255" s="31">
        <f t="shared" si="166"/>
        <v>0</v>
      </c>
      <c r="AP255" s="31">
        <f t="shared" si="166"/>
        <v>0</v>
      </c>
      <c r="AQ255" s="32">
        <f t="shared" si="166"/>
        <v>0</v>
      </c>
      <c r="AR255" s="32">
        <f t="shared" si="166"/>
        <v>0</v>
      </c>
      <c r="AS255" s="32">
        <f t="shared" si="166"/>
        <v>0</v>
      </c>
      <c r="AT255" s="33">
        <f t="shared" si="166"/>
        <v>0</v>
      </c>
      <c r="AU255" s="33">
        <f t="shared" si="166"/>
        <v>0</v>
      </c>
      <c r="AV255" s="34" t="e">
        <f t="shared" si="151"/>
        <v>#DIV/0!</v>
      </c>
      <c r="AW255" s="34" t="e">
        <f t="shared" si="151"/>
        <v>#DIV/0!</v>
      </c>
      <c r="AX255" s="35" t="e">
        <f t="shared" si="152"/>
        <v>#NUM!</v>
      </c>
      <c r="AY255" s="35" t="e">
        <f t="shared" si="152"/>
        <v>#NUM!</v>
      </c>
    </row>
    <row r="256" spans="5:51" x14ac:dyDescent="0.3">
      <c r="F256">
        <v>14</v>
      </c>
      <c r="G256" s="28"/>
      <c r="H256" s="28"/>
      <c r="I256" s="28"/>
      <c r="J256" s="28"/>
      <c r="K256" s="28"/>
      <c r="L256" s="29"/>
      <c r="M256" s="30"/>
      <c r="N256" s="31"/>
      <c r="O256" s="31"/>
      <c r="P256" s="32"/>
      <c r="Q256" s="32"/>
      <c r="R256" s="32"/>
      <c r="S256" s="33"/>
      <c r="T256" s="33"/>
      <c r="U256" s="34"/>
      <c r="V256" s="34"/>
      <c r="W256" s="35"/>
      <c r="X256" s="35"/>
      <c r="AG256">
        <f t="shared" si="153"/>
        <v>10.014251886730682</v>
      </c>
      <c r="AH256" s="28">
        <f t="shared" ref="AH256:AU256" si="167">AH184*AH$163</f>
        <v>0.29531525369729594</v>
      </c>
      <c r="AI256" s="28">
        <f t="shared" si="167"/>
        <v>0.76530901065649248</v>
      </c>
      <c r="AJ256" s="28">
        <f t="shared" si="167"/>
        <v>0.22014594887239494</v>
      </c>
      <c r="AK256" s="28">
        <f t="shared" si="167"/>
        <v>1.1416921112094369</v>
      </c>
      <c r="AL256" s="28">
        <f t="shared" si="167"/>
        <v>0</v>
      </c>
      <c r="AM256" s="29">
        <f t="shared" si="167"/>
        <v>0</v>
      </c>
      <c r="AN256" s="30">
        <f t="shared" si="167"/>
        <v>0</v>
      </c>
      <c r="AO256" s="31">
        <f t="shared" si="167"/>
        <v>0</v>
      </c>
      <c r="AP256" s="31">
        <f t="shared" si="167"/>
        <v>0</v>
      </c>
      <c r="AQ256" s="32">
        <f t="shared" si="167"/>
        <v>0</v>
      </c>
      <c r="AR256" s="32">
        <f t="shared" si="167"/>
        <v>0</v>
      </c>
      <c r="AS256" s="32">
        <f t="shared" si="167"/>
        <v>0</v>
      </c>
      <c r="AT256" s="33">
        <f t="shared" si="167"/>
        <v>0</v>
      </c>
      <c r="AU256" s="33">
        <f t="shared" si="167"/>
        <v>0</v>
      </c>
      <c r="AV256" s="34" t="e">
        <f t="shared" si="151"/>
        <v>#DIV/0!</v>
      </c>
      <c r="AW256" s="34" t="e">
        <f t="shared" si="151"/>
        <v>#DIV/0!</v>
      </c>
      <c r="AX256" s="35" t="e">
        <f t="shared" si="152"/>
        <v>#NUM!</v>
      </c>
      <c r="AY256" s="35" t="e">
        <f t="shared" si="152"/>
        <v>#NUM!</v>
      </c>
    </row>
    <row r="257" spans="6:51" x14ac:dyDescent="0.3">
      <c r="F257">
        <v>15</v>
      </c>
      <c r="G257" s="28"/>
      <c r="H257" s="28"/>
      <c r="I257" s="28"/>
      <c r="J257" s="28"/>
      <c r="K257" s="28"/>
      <c r="L257" s="29"/>
      <c r="M257" s="30"/>
      <c r="N257" s="31"/>
      <c r="O257" s="31"/>
      <c r="P257" s="32"/>
      <c r="Q257" s="32"/>
      <c r="R257" s="32"/>
      <c r="S257" s="33"/>
      <c r="T257" s="33"/>
      <c r="U257" s="34"/>
      <c r="V257" s="34"/>
      <c r="W257" s="35"/>
      <c r="X257" s="35"/>
      <c r="AG257">
        <f t="shared" si="153"/>
        <v>10.531800161572754</v>
      </c>
      <c r="AH257" s="28">
        <f t="shared" ref="AH257:AU257" si="168">AH185*AH$163</f>
        <v>0.35114682999152624</v>
      </c>
      <c r="AI257" s="28">
        <f t="shared" si="168"/>
        <v>0.77230775609897573</v>
      </c>
      <c r="AJ257" s="28">
        <f t="shared" si="168"/>
        <v>0.357125361992565</v>
      </c>
      <c r="AK257" s="28">
        <f t="shared" si="168"/>
        <v>1.1535395272276177</v>
      </c>
      <c r="AL257" s="28">
        <f t="shared" si="168"/>
        <v>0</v>
      </c>
      <c r="AM257" s="29">
        <f t="shared" si="168"/>
        <v>0</v>
      </c>
      <c r="AN257" s="30">
        <f t="shared" si="168"/>
        <v>0</v>
      </c>
      <c r="AO257" s="31">
        <f t="shared" si="168"/>
        <v>0</v>
      </c>
      <c r="AP257" s="31">
        <f t="shared" si="168"/>
        <v>0</v>
      </c>
      <c r="AQ257" s="32">
        <f t="shared" si="168"/>
        <v>0</v>
      </c>
      <c r="AR257" s="32">
        <f t="shared" si="168"/>
        <v>0</v>
      </c>
      <c r="AS257" s="32">
        <f t="shared" si="168"/>
        <v>0</v>
      </c>
      <c r="AT257" s="33">
        <f t="shared" si="168"/>
        <v>0</v>
      </c>
      <c r="AU257" s="33">
        <f t="shared" si="168"/>
        <v>0</v>
      </c>
      <c r="AV257" s="34" t="e">
        <f t="shared" si="151"/>
        <v>#DIV/0!</v>
      </c>
      <c r="AW257" s="34" t="e">
        <f t="shared" si="151"/>
        <v>#DIV/0!</v>
      </c>
      <c r="AX257" s="35" t="e">
        <f t="shared" si="152"/>
        <v>#NUM!</v>
      </c>
      <c r="AY257" s="35" t="e">
        <f t="shared" si="152"/>
        <v>#NUM!</v>
      </c>
    </row>
    <row r="258" spans="6:51" x14ac:dyDescent="0.3">
      <c r="F258">
        <v>16</v>
      </c>
      <c r="G258" s="28"/>
      <c r="H258" s="28"/>
      <c r="I258" s="28"/>
      <c r="J258" s="28"/>
      <c r="K258" s="28"/>
      <c r="L258" s="29"/>
      <c r="M258" s="30"/>
      <c r="N258" s="31"/>
      <c r="O258" s="31"/>
      <c r="P258" s="32"/>
      <c r="Q258" s="32"/>
      <c r="R258" s="32"/>
      <c r="S258" s="33"/>
      <c r="T258" s="33"/>
      <c r="U258" s="34"/>
      <c r="V258" s="34"/>
      <c r="W258" s="35"/>
      <c r="X258" s="35"/>
      <c r="AG258">
        <f t="shared" si="153"/>
        <v>11.076095937857938</v>
      </c>
      <c r="AH258" s="28">
        <f t="shared" ref="AH258:AU258" si="169">AH186*AH$163</f>
        <v>0.4068810993641806</v>
      </c>
      <c r="AI258" s="28">
        <f t="shared" si="169"/>
        <v>0.77818506228776807</v>
      </c>
      <c r="AJ258" s="28">
        <f t="shared" si="169"/>
        <v>0.48584890931256836</v>
      </c>
      <c r="AK258" s="28">
        <f t="shared" si="169"/>
        <v>1.1634638422464352</v>
      </c>
      <c r="AL258" s="28">
        <f t="shared" si="169"/>
        <v>0</v>
      </c>
      <c r="AM258" s="29">
        <f t="shared" si="169"/>
        <v>0</v>
      </c>
      <c r="AN258" s="30">
        <f t="shared" si="169"/>
        <v>0</v>
      </c>
      <c r="AO258" s="31">
        <f t="shared" si="169"/>
        <v>0</v>
      </c>
      <c r="AP258" s="31">
        <f t="shared" si="169"/>
        <v>0</v>
      </c>
      <c r="AQ258" s="32">
        <f t="shared" si="169"/>
        <v>0</v>
      </c>
      <c r="AR258" s="32">
        <f t="shared" si="169"/>
        <v>0</v>
      </c>
      <c r="AS258" s="32">
        <f t="shared" si="169"/>
        <v>0</v>
      </c>
      <c r="AT258" s="33">
        <f t="shared" si="169"/>
        <v>0</v>
      </c>
      <c r="AU258" s="33">
        <f t="shared" si="169"/>
        <v>0</v>
      </c>
      <c r="AV258" s="34" t="e">
        <f t="shared" si="151"/>
        <v>#DIV/0!</v>
      </c>
      <c r="AW258" s="34" t="e">
        <f t="shared" si="151"/>
        <v>#DIV/0!</v>
      </c>
      <c r="AX258" s="35" t="e">
        <f t="shared" si="152"/>
        <v>#NUM!</v>
      </c>
      <c r="AY258" s="35" t="e">
        <f t="shared" si="152"/>
        <v>#NUM!</v>
      </c>
    </row>
    <row r="259" spans="6:51" x14ac:dyDescent="0.3">
      <c r="F259">
        <v>17</v>
      </c>
      <c r="G259" s="28"/>
      <c r="H259" s="28"/>
      <c r="I259" s="28"/>
      <c r="J259" s="28"/>
      <c r="K259" s="28"/>
      <c r="L259" s="29"/>
      <c r="M259" s="30"/>
      <c r="N259" s="31"/>
      <c r="O259" s="31"/>
      <c r="P259" s="32"/>
      <c r="Q259" s="32"/>
      <c r="R259" s="32"/>
      <c r="S259" s="33"/>
      <c r="T259" s="33"/>
      <c r="U259" s="34"/>
      <c r="V259" s="34"/>
      <c r="W259" s="35"/>
      <c r="X259" s="35"/>
      <c r="AG259">
        <f t="shared" si="153"/>
        <v>11.648521557810575</v>
      </c>
      <c r="AH259" s="28">
        <f t="shared" ref="AH259:AU259" si="170">AH187*AH$163</f>
        <v>0.46116008484262505</v>
      </c>
      <c r="AI259" s="28">
        <f t="shared" si="170"/>
        <v>0.7830499605928255</v>
      </c>
      <c r="AJ259" s="28">
        <f t="shared" si="170"/>
        <v>0.60432915842033352</v>
      </c>
      <c r="AK259" s="28">
        <f t="shared" si="170"/>
        <v>1.1716585359375453</v>
      </c>
      <c r="AL259" s="28">
        <f t="shared" si="170"/>
        <v>0</v>
      </c>
      <c r="AM259" s="29">
        <f t="shared" si="170"/>
        <v>0</v>
      </c>
      <c r="AN259" s="30">
        <f t="shared" si="170"/>
        <v>0</v>
      </c>
      <c r="AO259" s="31">
        <f t="shared" si="170"/>
        <v>0</v>
      </c>
      <c r="AP259" s="31">
        <f t="shared" si="170"/>
        <v>0</v>
      </c>
      <c r="AQ259" s="32">
        <f t="shared" si="170"/>
        <v>0</v>
      </c>
      <c r="AR259" s="32">
        <f t="shared" si="170"/>
        <v>0</v>
      </c>
      <c r="AS259" s="32">
        <f t="shared" si="170"/>
        <v>0</v>
      </c>
      <c r="AT259" s="33">
        <f t="shared" si="170"/>
        <v>0</v>
      </c>
      <c r="AU259" s="33">
        <f t="shared" si="170"/>
        <v>0</v>
      </c>
      <c r="AV259" s="34" t="e">
        <f t="shared" si="151"/>
        <v>#DIV/0!</v>
      </c>
      <c r="AW259" s="34" t="e">
        <f t="shared" si="151"/>
        <v>#DIV/0!</v>
      </c>
      <c r="AX259" s="35" t="e">
        <f t="shared" si="152"/>
        <v>#NUM!</v>
      </c>
      <c r="AY259" s="35" t="e">
        <f t="shared" si="152"/>
        <v>#NUM!</v>
      </c>
    </row>
    <row r="260" spans="6:51" x14ac:dyDescent="0.3">
      <c r="F260">
        <v>18</v>
      </c>
      <c r="G260" s="28"/>
      <c r="H260" s="28"/>
      <c r="I260" s="28"/>
      <c r="J260" s="28"/>
      <c r="K260" s="28"/>
      <c r="L260" s="29"/>
      <c r="M260" s="30"/>
      <c r="N260" s="31"/>
      <c r="O260" s="31"/>
      <c r="P260" s="32"/>
      <c r="Q260" s="32"/>
      <c r="R260" s="32"/>
      <c r="S260" s="33"/>
      <c r="T260" s="33"/>
      <c r="U260" s="34"/>
      <c r="V260" s="34"/>
      <c r="W260" s="35"/>
      <c r="X260" s="35"/>
      <c r="AG260">
        <f t="shared" si="153"/>
        <v>12.250530804721352</v>
      </c>
      <c r="AH260" s="28">
        <f t="shared" ref="AH260:AU260" si="171">AH188*AH$163</f>
        <v>0.51260825091216988</v>
      </c>
      <c r="AI260" s="28">
        <f t="shared" si="171"/>
        <v>0.78701689354273929</v>
      </c>
      <c r="AJ260" s="28">
        <f t="shared" si="171"/>
        <v>0.71096275809030862</v>
      </c>
      <c r="AK260" s="28">
        <f t="shared" si="171"/>
        <v>1.178324746532839</v>
      </c>
      <c r="AL260" s="28">
        <f t="shared" si="171"/>
        <v>0</v>
      </c>
      <c r="AM260" s="29">
        <f t="shared" si="171"/>
        <v>0</v>
      </c>
      <c r="AN260" s="30">
        <f t="shared" si="171"/>
        <v>0</v>
      </c>
      <c r="AO260" s="31">
        <f t="shared" si="171"/>
        <v>0</v>
      </c>
      <c r="AP260" s="31">
        <f t="shared" si="171"/>
        <v>0</v>
      </c>
      <c r="AQ260" s="32">
        <f t="shared" si="171"/>
        <v>0</v>
      </c>
      <c r="AR260" s="32">
        <f t="shared" si="171"/>
        <v>0</v>
      </c>
      <c r="AS260" s="32">
        <f t="shared" si="171"/>
        <v>0</v>
      </c>
      <c r="AT260" s="33">
        <f t="shared" si="171"/>
        <v>0</v>
      </c>
      <c r="AU260" s="33">
        <f t="shared" si="171"/>
        <v>0</v>
      </c>
      <c r="AV260" s="34" t="e">
        <f t="shared" si="151"/>
        <v>#DIV/0!</v>
      </c>
      <c r="AW260" s="34" t="e">
        <f t="shared" si="151"/>
        <v>#DIV/0!</v>
      </c>
      <c r="AX260" s="35" t="e">
        <f t="shared" si="152"/>
        <v>#NUM!</v>
      </c>
      <c r="AY260" s="35" t="e">
        <f t="shared" si="152"/>
        <v>#NUM!</v>
      </c>
    </row>
    <row r="261" spans="6:51" x14ac:dyDescent="0.3">
      <c r="F261">
        <v>19</v>
      </c>
      <c r="G261" s="28"/>
      <c r="H261" s="28"/>
      <c r="I261" s="28"/>
      <c r="J261" s="28"/>
      <c r="K261" s="28"/>
      <c r="L261" s="29"/>
      <c r="M261" s="30"/>
      <c r="N261" s="31"/>
      <c r="O261" s="31"/>
      <c r="P261" s="32"/>
      <c r="Q261" s="32"/>
      <c r="R261" s="32"/>
      <c r="S261" s="33"/>
      <c r="T261" s="33"/>
      <c r="U261" s="34"/>
      <c r="V261" s="34"/>
      <c r="W261" s="35"/>
      <c r="X261" s="35"/>
      <c r="AG261">
        <f t="shared" si="153"/>
        <v>12.883652595105344</v>
      </c>
      <c r="AH261" s="28">
        <f t="shared" ref="AH261:AU261" si="172">AH189*AH$163</f>
        <v>0.55995247211014143</v>
      </c>
      <c r="AI261" s="28">
        <f t="shared" si="172"/>
        <v>0.79020163093547757</v>
      </c>
      <c r="AJ261" s="28">
        <f t="shared" si="172"/>
        <v>0.80464451241546797</v>
      </c>
      <c r="AK261" s="28">
        <f t="shared" si="172"/>
        <v>1.1836642811660254</v>
      </c>
      <c r="AL261" s="28">
        <f t="shared" si="172"/>
        <v>0</v>
      </c>
      <c r="AM261" s="29">
        <f t="shared" si="172"/>
        <v>0</v>
      </c>
      <c r="AN261" s="30">
        <f t="shared" si="172"/>
        <v>0</v>
      </c>
      <c r="AO261" s="31">
        <f t="shared" si="172"/>
        <v>0</v>
      </c>
      <c r="AP261" s="31">
        <f t="shared" si="172"/>
        <v>0</v>
      </c>
      <c r="AQ261" s="32">
        <f t="shared" si="172"/>
        <v>0</v>
      </c>
      <c r="AR261" s="32">
        <f t="shared" si="172"/>
        <v>0</v>
      </c>
      <c r="AS261" s="32">
        <f t="shared" si="172"/>
        <v>0</v>
      </c>
      <c r="AT261" s="33">
        <f t="shared" si="172"/>
        <v>0</v>
      </c>
      <c r="AU261" s="33">
        <f t="shared" si="172"/>
        <v>0</v>
      </c>
      <c r="AV261" s="34" t="e">
        <f t="shared" si="151"/>
        <v>#DIV/0!</v>
      </c>
      <c r="AW261" s="34" t="e">
        <f t="shared" si="151"/>
        <v>#DIV/0!</v>
      </c>
      <c r="AX261" s="35" t="e">
        <f t="shared" si="152"/>
        <v>#NUM!</v>
      </c>
      <c r="AY261" s="35" t="e">
        <f t="shared" si="152"/>
        <v>#NUM!</v>
      </c>
    </row>
    <row r="262" spans="6:51" x14ac:dyDescent="0.3">
      <c r="F262">
        <v>20</v>
      </c>
      <c r="G262" s="28"/>
      <c r="H262" s="28"/>
      <c r="I262" s="28"/>
      <c r="J262" s="28"/>
      <c r="K262" s="28"/>
      <c r="L262" s="29"/>
      <c r="M262" s="30"/>
      <c r="N262" s="31"/>
      <c r="O262" s="31"/>
      <c r="P262" s="32"/>
      <c r="Q262" s="32"/>
      <c r="R262" s="32"/>
      <c r="S262" s="33"/>
      <c r="T262" s="33"/>
      <c r="U262" s="34"/>
      <c r="V262" s="34"/>
      <c r="W262" s="35"/>
      <c r="X262" s="35"/>
      <c r="AG262">
        <f t="shared" si="153"/>
        <v>13.549494861675118</v>
      </c>
      <c r="AH262" s="28">
        <f t="shared" ref="AH262:AU262" si="173">AH190*AH$163</f>
        <v>0.60214522542689508</v>
      </c>
      <c r="AI262" s="28">
        <f t="shared" si="173"/>
        <v>0.79271749962388383</v>
      </c>
      <c r="AJ262" s="28">
        <f t="shared" si="173"/>
        <v>0.88484294134380692</v>
      </c>
      <c r="AK262" s="28">
        <f t="shared" si="173"/>
        <v>1.1878732642315666</v>
      </c>
      <c r="AL262" s="28">
        <f t="shared" si="173"/>
        <v>0</v>
      </c>
      <c r="AM262" s="29">
        <f t="shared" si="173"/>
        <v>0</v>
      </c>
      <c r="AN262" s="30">
        <f t="shared" si="173"/>
        <v>0</v>
      </c>
      <c r="AO262" s="31">
        <f t="shared" si="173"/>
        <v>0</v>
      </c>
      <c r="AP262" s="31">
        <f t="shared" si="173"/>
        <v>0</v>
      </c>
      <c r="AQ262" s="32">
        <f t="shared" si="173"/>
        <v>0</v>
      </c>
      <c r="AR262" s="32">
        <f t="shared" si="173"/>
        <v>0</v>
      </c>
      <c r="AS262" s="32">
        <f t="shared" si="173"/>
        <v>0</v>
      </c>
      <c r="AT262" s="33">
        <f t="shared" si="173"/>
        <v>0</v>
      </c>
      <c r="AU262" s="33">
        <f t="shared" si="173"/>
        <v>0</v>
      </c>
      <c r="AV262" s="34" t="e">
        <f t="shared" ref="AV262:AW281" si="174">$C$5/100*AV$163*AV190</f>
        <v>#DIV/0!</v>
      </c>
      <c r="AW262" s="34" t="e">
        <f t="shared" si="174"/>
        <v>#DIV/0!</v>
      </c>
      <c r="AX262" s="35" t="e">
        <f t="shared" ref="AX262:AY281" si="175">AX190*AX$163</f>
        <v>#NUM!</v>
      </c>
      <c r="AY262" s="35" t="e">
        <f t="shared" si="175"/>
        <v>#NUM!</v>
      </c>
    </row>
    <row r="263" spans="6:51" x14ac:dyDescent="0.3">
      <c r="F263">
        <v>21</v>
      </c>
      <c r="G263" s="28"/>
      <c r="H263" s="28"/>
      <c r="I263" s="28"/>
      <c r="J263" s="28"/>
      <c r="K263" s="28"/>
      <c r="L263" s="29"/>
      <c r="M263" s="30"/>
      <c r="N263" s="31"/>
      <c r="O263" s="31"/>
      <c r="P263" s="32"/>
      <c r="Q263" s="32"/>
      <c r="R263" s="32"/>
      <c r="S263" s="33"/>
      <c r="T263" s="33"/>
      <c r="U263" s="34"/>
      <c r="V263" s="34"/>
      <c r="W263" s="35"/>
      <c r="X263" s="35"/>
      <c r="AG263">
        <f t="shared" si="153"/>
        <v>14.249748636990411</v>
      </c>
      <c r="AH263" s="28">
        <f t="shared" ref="AH263:AU263" si="176">AH191*AH$163</f>
        <v>0.6384699653946071</v>
      </c>
      <c r="AI263" s="28">
        <f t="shared" si="176"/>
        <v>0.79467212737161719</v>
      </c>
      <c r="AJ263" s="28">
        <f t="shared" si="176"/>
        <v>0.95162444034570104</v>
      </c>
      <c r="AK263" s="28">
        <f t="shared" si="176"/>
        <v>1.1911367484406679</v>
      </c>
      <c r="AL263" s="28">
        <f t="shared" si="176"/>
        <v>0</v>
      </c>
      <c r="AM263" s="29">
        <f t="shared" si="176"/>
        <v>0</v>
      </c>
      <c r="AN263" s="30">
        <f t="shared" si="176"/>
        <v>0</v>
      </c>
      <c r="AO263" s="31">
        <f t="shared" si="176"/>
        <v>0</v>
      </c>
      <c r="AP263" s="31">
        <f t="shared" si="176"/>
        <v>0</v>
      </c>
      <c r="AQ263" s="32">
        <f t="shared" si="176"/>
        <v>0</v>
      </c>
      <c r="AR263" s="32">
        <f t="shared" si="176"/>
        <v>0</v>
      </c>
      <c r="AS263" s="32">
        <f t="shared" si="176"/>
        <v>0</v>
      </c>
      <c r="AT263" s="33">
        <f t="shared" si="176"/>
        <v>0</v>
      </c>
      <c r="AU263" s="33">
        <f t="shared" si="176"/>
        <v>0</v>
      </c>
      <c r="AV263" s="34" t="e">
        <f t="shared" si="174"/>
        <v>#DIV/0!</v>
      </c>
      <c r="AW263" s="34" t="e">
        <f t="shared" si="174"/>
        <v>#DIV/0!</v>
      </c>
      <c r="AX263" s="35" t="e">
        <f t="shared" si="175"/>
        <v>#NUM!</v>
      </c>
      <c r="AY263" s="35" t="e">
        <f t="shared" si="175"/>
        <v>#NUM!</v>
      </c>
    </row>
    <row r="264" spans="6:51" x14ac:dyDescent="0.3">
      <c r="F264">
        <v>22</v>
      </c>
      <c r="G264" s="28"/>
      <c r="H264" s="28"/>
      <c r="I264" s="28"/>
      <c r="J264" s="28"/>
      <c r="K264" s="28"/>
      <c r="L264" s="29"/>
      <c r="M264" s="30"/>
      <c r="N264" s="31"/>
      <c r="O264" s="31"/>
      <c r="P264" s="32"/>
      <c r="Q264" s="32"/>
      <c r="R264" s="32"/>
      <c r="S264" s="33"/>
      <c r="T264" s="33"/>
      <c r="U264" s="34"/>
      <c r="V264" s="34"/>
      <c r="W264" s="35"/>
      <c r="X264" s="35"/>
      <c r="AG264">
        <f t="shared" si="153"/>
        <v>14.986192348155662</v>
      </c>
      <c r="AH264" s="28">
        <f t="shared" ref="AH264:AU264" si="177">AH192*AH$163</f>
        <v>0.66860766267085436</v>
      </c>
      <c r="AI264" s="28">
        <f t="shared" si="177"/>
        <v>0.7961648495052891</v>
      </c>
      <c r="AJ264" s="28">
        <f t="shared" si="177"/>
        <v>1.0056199532026229</v>
      </c>
      <c r="AK264" s="28">
        <f t="shared" si="177"/>
        <v>1.1936245181380614</v>
      </c>
      <c r="AL264" s="28">
        <f t="shared" si="177"/>
        <v>0</v>
      </c>
      <c r="AM264" s="29">
        <f t="shared" si="177"/>
        <v>0</v>
      </c>
      <c r="AN264" s="30">
        <f t="shared" si="177"/>
        <v>1.2840838044175296E-2</v>
      </c>
      <c r="AO264" s="31">
        <f t="shared" si="177"/>
        <v>0</v>
      </c>
      <c r="AP264" s="31">
        <f t="shared" si="177"/>
        <v>0</v>
      </c>
      <c r="AQ264" s="32">
        <f t="shared" si="177"/>
        <v>0</v>
      </c>
      <c r="AR264" s="32">
        <f t="shared" si="177"/>
        <v>0</v>
      </c>
      <c r="AS264" s="32">
        <f t="shared" si="177"/>
        <v>0</v>
      </c>
      <c r="AT264" s="33">
        <f t="shared" si="177"/>
        <v>0</v>
      </c>
      <c r="AU264" s="33">
        <f t="shared" si="177"/>
        <v>0</v>
      </c>
      <c r="AV264" s="34" t="e">
        <f t="shared" si="174"/>
        <v>#DIV/0!</v>
      </c>
      <c r="AW264" s="34" t="e">
        <f t="shared" si="174"/>
        <v>#DIV/0!</v>
      </c>
      <c r="AX264" s="35" t="e">
        <f t="shared" si="175"/>
        <v>#NUM!</v>
      </c>
      <c r="AY264" s="35" t="e">
        <f t="shared" si="175"/>
        <v>#NUM!</v>
      </c>
    </row>
    <row r="265" spans="6:51" x14ac:dyDescent="0.3">
      <c r="F265">
        <v>23</v>
      </c>
      <c r="G265" s="28"/>
      <c r="H265" s="28"/>
      <c r="I265" s="28"/>
      <c r="J265" s="28"/>
      <c r="K265" s="28"/>
      <c r="L265" s="29"/>
      <c r="M265" s="30"/>
      <c r="N265" s="31"/>
      <c r="O265" s="31"/>
      <c r="P265" s="32"/>
      <c r="Q265" s="32"/>
      <c r="R265" s="32"/>
      <c r="S265" s="33"/>
      <c r="T265" s="33"/>
      <c r="U265" s="34"/>
      <c r="V265" s="34"/>
      <c r="W265" s="35"/>
      <c r="X265" s="35"/>
      <c r="AG265">
        <f t="shared" si="153"/>
        <v>15.760696333472486</v>
      </c>
      <c r="AH265" s="28">
        <f t="shared" ref="AH265:AU265" si="178">AH193*AH$163</f>
        <v>0.69264945341847317</v>
      </c>
      <c r="AI265" s="28">
        <f t="shared" si="178"/>
        <v>0.79728486382079078</v>
      </c>
      <c r="AJ265" s="28">
        <f t="shared" si="178"/>
        <v>1.0479370332247731</v>
      </c>
      <c r="AK265" s="28">
        <f t="shared" si="178"/>
        <v>1.1954882028644922</v>
      </c>
      <c r="AL265" s="28">
        <f t="shared" si="178"/>
        <v>0</v>
      </c>
      <c r="AM265" s="29">
        <f t="shared" si="178"/>
        <v>0</v>
      </c>
      <c r="AN265" s="30">
        <f t="shared" si="178"/>
        <v>6.4875789664259942E-2</v>
      </c>
      <c r="AO265" s="31">
        <f t="shared" si="178"/>
        <v>0</v>
      </c>
      <c r="AP265" s="31">
        <f t="shared" si="178"/>
        <v>0</v>
      </c>
      <c r="AQ265" s="32">
        <f t="shared" si="178"/>
        <v>0</v>
      </c>
      <c r="AR265" s="32">
        <f t="shared" si="178"/>
        <v>0</v>
      </c>
      <c r="AS265" s="32">
        <f t="shared" si="178"/>
        <v>0</v>
      </c>
      <c r="AT265" s="33">
        <f t="shared" si="178"/>
        <v>0</v>
      </c>
      <c r="AU265" s="33">
        <f t="shared" si="178"/>
        <v>0</v>
      </c>
      <c r="AV265" s="34" t="e">
        <f t="shared" si="174"/>
        <v>#DIV/0!</v>
      </c>
      <c r="AW265" s="34" t="e">
        <f t="shared" si="174"/>
        <v>#DIV/0!</v>
      </c>
      <c r="AX265" s="35" t="e">
        <f t="shared" si="175"/>
        <v>#NUM!</v>
      </c>
      <c r="AY265" s="35" t="e">
        <f t="shared" si="175"/>
        <v>#NUM!</v>
      </c>
    </row>
    <row r="266" spans="6:51" x14ac:dyDescent="0.3">
      <c r="F266">
        <v>24</v>
      </c>
      <c r="G266" s="28"/>
      <c r="H266" s="28"/>
      <c r="I266" s="28"/>
      <c r="J266" s="28"/>
      <c r="K266" s="28"/>
      <c r="L266" s="29"/>
      <c r="M266" s="30"/>
      <c r="N266" s="31"/>
      <c r="O266" s="31"/>
      <c r="P266" s="32"/>
      <c r="Q266" s="32"/>
      <c r="R266" s="32"/>
      <c r="S266" s="33"/>
      <c r="T266" s="33"/>
      <c r="U266" s="34"/>
      <c r="V266" s="34"/>
      <c r="W266" s="35"/>
      <c r="X266" s="35"/>
      <c r="AG266">
        <f t="shared" si="153"/>
        <v>16.575227592518086</v>
      </c>
      <c r="AH266" s="28">
        <f t="shared" ref="AH266:AU266" si="179">AH194*AH$163</f>
        <v>0.71105156163093675</v>
      </c>
      <c r="AI266" s="28">
        <f t="shared" si="179"/>
        <v>0.79811015203410973</v>
      </c>
      <c r="AJ266" s="28">
        <f t="shared" si="179"/>
        <v>1.0800294307446829</v>
      </c>
      <c r="AK266" s="28">
        <f t="shared" si="179"/>
        <v>1.1968597045838725</v>
      </c>
      <c r="AL266" s="28">
        <f t="shared" si="179"/>
        <v>0</v>
      </c>
      <c r="AM266" s="29">
        <f t="shared" si="179"/>
        <v>0</v>
      </c>
      <c r="AN266" s="30">
        <f t="shared" si="179"/>
        <v>0.11430838341498245</v>
      </c>
      <c r="AO266" s="31">
        <f t="shared" si="179"/>
        <v>0</v>
      </c>
      <c r="AP266" s="31">
        <f t="shared" si="179"/>
        <v>0</v>
      </c>
      <c r="AQ266" s="32">
        <f t="shared" si="179"/>
        <v>0</v>
      </c>
      <c r="AR266" s="32">
        <f t="shared" si="179"/>
        <v>0</v>
      </c>
      <c r="AS266" s="32">
        <f t="shared" si="179"/>
        <v>0</v>
      </c>
      <c r="AT266" s="33">
        <f t="shared" si="179"/>
        <v>0</v>
      </c>
      <c r="AU266" s="33">
        <f t="shared" si="179"/>
        <v>0</v>
      </c>
      <c r="AV266" s="34" t="e">
        <f t="shared" si="174"/>
        <v>#DIV/0!</v>
      </c>
      <c r="AW266" s="34" t="e">
        <f t="shared" si="174"/>
        <v>#DIV/0!</v>
      </c>
      <c r="AX266" s="35" t="e">
        <f t="shared" si="175"/>
        <v>#NUM!</v>
      </c>
      <c r="AY266" s="35" t="e">
        <f t="shared" si="175"/>
        <v>#NUM!</v>
      </c>
    </row>
    <row r="267" spans="6:51" x14ac:dyDescent="0.3">
      <c r="F267">
        <v>25</v>
      </c>
      <c r="G267" s="28"/>
      <c r="H267" s="28"/>
      <c r="I267" s="28"/>
      <c r="J267" s="28"/>
      <c r="K267" s="28"/>
      <c r="L267" s="29"/>
      <c r="M267" s="30"/>
      <c r="N267" s="31"/>
      <c r="O267" s="31"/>
      <c r="P267" s="32"/>
      <c r="Q267" s="32"/>
      <c r="R267" s="32"/>
      <c r="S267" s="33"/>
      <c r="T267" s="33"/>
      <c r="U267" s="34"/>
      <c r="V267" s="34"/>
      <c r="W267" s="35"/>
      <c r="X267" s="35"/>
      <c r="AG267">
        <f t="shared" si="153"/>
        <v>17.431854781713245</v>
      </c>
      <c r="AH267" s="28">
        <f t="shared" ref="AH267:AU267" si="180">AH195*AH$163</f>
        <v>0.7245421221459859</v>
      </c>
      <c r="AI267" s="28">
        <f t="shared" si="180"/>
        <v>0.79870712303369917</v>
      </c>
      <c r="AJ267" s="28">
        <f t="shared" si="180"/>
        <v>1.1035436392010167</v>
      </c>
      <c r="AK267" s="28">
        <f t="shared" si="180"/>
        <v>1.1978508378787087</v>
      </c>
      <c r="AL267" s="28">
        <f t="shared" si="180"/>
        <v>0</v>
      </c>
      <c r="AM267" s="29">
        <f t="shared" si="180"/>
        <v>0</v>
      </c>
      <c r="AN267" s="30">
        <f t="shared" si="180"/>
        <v>0.1608226139610483</v>
      </c>
      <c r="AO267" s="31">
        <f t="shared" si="180"/>
        <v>0</v>
      </c>
      <c r="AP267" s="31">
        <f t="shared" si="180"/>
        <v>0</v>
      </c>
      <c r="AQ267" s="32">
        <f t="shared" si="180"/>
        <v>0</v>
      </c>
      <c r="AR267" s="32">
        <f t="shared" si="180"/>
        <v>0</v>
      </c>
      <c r="AS267" s="32">
        <f t="shared" si="180"/>
        <v>0</v>
      </c>
      <c r="AT267" s="33">
        <f t="shared" si="180"/>
        <v>0</v>
      </c>
      <c r="AU267" s="33">
        <f t="shared" si="180"/>
        <v>0</v>
      </c>
      <c r="AV267" s="34" t="e">
        <f t="shared" si="174"/>
        <v>#DIV/0!</v>
      </c>
      <c r="AW267" s="34" t="e">
        <f t="shared" si="174"/>
        <v>#DIV/0!</v>
      </c>
      <c r="AX267" s="35" t="e">
        <f t="shared" si="175"/>
        <v>#NUM!</v>
      </c>
      <c r="AY267" s="35" t="e">
        <f t="shared" si="175"/>
        <v>#NUM!</v>
      </c>
    </row>
    <row r="268" spans="6:51" x14ac:dyDescent="0.3">
      <c r="F268">
        <v>26</v>
      </c>
      <c r="G268" s="28"/>
      <c r="H268" s="28"/>
      <c r="I268" s="28"/>
      <c r="J268" s="28"/>
      <c r="K268" s="28"/>
      <c r="L268" s="29"/>
      <c r="M268" s="30"/>
      <c r="N268" s="31"/>
      <c r="O268" s="31"/>
      <c r="P268" s="32"/>
      <c r="Q268" s="32"/>
      <c r="R268" s="32"/>
      <c r="S268" s="33"/>
      <c r="T268" s="33"/>
      <c r="U268" s="34"/>
      <c r="V268" s="34"/>
      <c r="W268" s="35"/>
      <c r="X268" s="35"/>
      <c r="AG268">
        <f t="shared" si="153"/>
        <v>18.332753468067196</v>
      </c>
      <c r="AH268" s="28">
        <f t="shared" ref="AH268:AU268" si="181">AH196*AH$163</f>
        <v>0.73400080724522188</v>
      </c>
      <c r="AI268" s="28">
        <f t="shared" si="181"/>
        <v>0.79913088137659916</v>
      </c>
      <c r="AJ268" s="28">
        <f t="shared" si="181"/>
        <v>1.1201651780545898</v>
      </c>
      <c r="AK268" s="28">
        <f t="shared" si="181"/>
        <v>1.1985540000223893</v>
      </c>
      <c r="AL268" s="28">
        <f t="shared" si="181"/>
        <v>0</v>
      </c>
      <c r="AM268" s="29">
        <f t="shared" si="181"/>
        <v>0</v>
      </c>
      <c r="AN268" s="30">
        <f t="shared" si="181"/>
        <v>0.20415923680168968</v>
      </c>
      <c r="AO268" s="31">
        <f t="shared" si="181"/>
        <v>0</v>
      </c>
      <c r="AP268" s="31">
        <f t="shared" si="181"/>
        <v>0</v>
      </c>
      <c r="AQ268" s="32">
        <f t="shared" si="181"/>
        <v>0</v>
      </c>
      <c r="AR268" s="32">
        <f t="shared" si="181"/>
        <v>0</v>
      </c>
      <c r="AS268" s="32">
        <f t="shared" si="181"/>
        <v>0</v>
      </c>
      <c r="AT268" s="33">
        <f t="shared" si="181"/>
        <v>0</v>
      </c>
      <c r="AU268" s="33">
        <f t="shared" si="181"/>
        <v>0</v>
      </c>
      <c r="AV268" s="34" t="e">
        <f t="shared" si="174"/>
        <v>#DIV/0!</v>
      </c>
      <c r="AW268" s="34" t="e">
        <f t="shared" si="174"/>
        <v>#DIV/0!</v>
      </c>
      <c r="AX268" s="35" t="e">
        <f t="shared" si="175"/>
        <v>#NUM!</v>
      </c>
      <c r="AY268" s="35" t="e">
        <f t="shared" si="175"/>
        <v>#NUM!</v>
      </c>
    </row>
    <row r="269" spans="6:51" x14ac:dyDescent="0.3">
      <c r="F269">
        <v>27</v>
      </c>
      <c r="G269" s="28"/>
      <c r="H269" s="28"/>
      <c r="I269" s="28"/>
      <c r="J269" s="28"/>
      <c r="K269" s="28"/>
      <c r="L269" s="29"/>
      <c r="M269" s="30"/>
      <c r="N269" s="31"/>
      <c r="O269" s="31"/>
      <c r="P269" s="32"/>
      <c r="Q269" s="32"/>
      <c r="R269" s="32"/>
      <c r="S269" s="33"/>
      <c r="T269" s="33"/>
      <c r="U269" s="34"/>
      <c r="V269" s="34"/>
      <c r="W269" s="35"/>
      <c r="X269" s="35"/>
      <c r="AG269">
        <f t="shared" si="153"/>
        <v>19.280211654442091</v>
      </c>
      <c r="AH269" s="28">
        <f t="shared" ref="AH269:AU269" si="182">AH197*AH$163</f>
        <v>0.74033721141885023</v>
      </c>
      <c r="AI269" s="28">
        <f t="shared" si="182"/>
        <v>0.79942598890343308</v>
      </c>
      <c r="AJ269" s="28">
        <f t="shared" si="182"/>
        <v>1.131485820153705</v>
      </c>
      <c r="AK269" s="28">
        <f t="shared" si="182"/>
        <v>1.1990436345624111</v>
      </c>
      <c r="AL269" s="28">
        <f t="shared" si="182"/>
        <v>0</v>
      </c>
      <c r="AM269" s="29">
        <f t="shared" si="182"/>
        <v>0</v>
      </c>
      <c r="AN269" s="30">
        <f t="shared" si="182"/>
        <v>0.24412357962731468</v>
      </c>
      <c r="AO269" s="31">
        <f t="shared" si="182"/>
        <v>0</v>
      </c>
      <c r="AP269" s="31">
        <f t="shared" si="182"/>
        <v>0</v>
      </c>
      <c r="AQ269" s="32">
        <f t="shared" si="182"/>
        <v>0</v>
      </c>
      <c r="AR269" s="32">
        <f t="shared" si="182"/>
        <v>0</v>
      </c>
      <c r="AS269" s="32">
        <f t="shared" si="182"/>
        <v>0</v>
      </c>
      <c r="AT269" s="33">
        <f t="shared" si="182"/>
        <v>0</v>
      </c>
      <c r="AU269" s="33">
        <f t="shared" si="182"/>
        <v>0</v>
      </c>
      <c r="AV269" s="34" t="e">
        <f t="shared" si="174"/>
        <v>#DIV/0!</v>
      </c>
      <c r="AW269" s="34" t="e">
        <f t="shared" si="174"/>
        <v>#DIV/0!</v>
      </c>
      <c r="AX269" s="35" t="e">
        <f t="shared" si="175"/>
        <v>#NUM!</v>
      </c>
      <c r="AY269" s="35" t="e">
        <f t="shared" si="175"/>
        <v>#NUM!</v>
      </c>
    </row>
    <row r="270" spans="6:51" x14ac:dyDescent="0.3">
      <c r="F270">
        <v>28</v>
      </c>
      <c r="G270" s="28"/>
      <c r="H270" s="28"/>
      <c r="I270" s="28"/>
      <c r="J270" s="28"/>
      <c r="K270" s="28"/>
      <c r="L270" s="29"/>
      <c r="M270" s="30"/>
      <c r="N270" s="31"/>
      <c r="O270" s="31"/>
      <c r="P270" s="32"/>
      <c r="Q270" s="32"/>
      <c r="R270" s="32"/>
      <c r="S270" s="33"/>
      <c r="T270" s="33"/>
      <c r="U270" s="34"/>
      <c r="V270" s="34"/>
      <c r="W270" s="35"/>
      <c r="X270" s="35"/>
      <c r="AG270">
        <f t="shared" si="153"/>
        <v>20.276635590369683</v>
      </c>
      <c r="AH270" s="28">
        <f t="shared" ref="AH270:AU270" si="183">AH198*AH$163</f>
        <v>0.74439110365651096</v>
      </c>
      <c r="AI270" s="28">
        <f t="shared" si="183"/>
        <v>0.79962757031403697</v>
      </c>
      <c r="AJ270" s="28">
        <f t="shared" si="183"/>
        <v>1.1389069565831123</v>
      </c>
      <c r="AK270" s="28">
        <f t="shared" si="183"/>
        <v>1.1993782305031637</v>
      </c>
      <c r="AL270" s="28">
        <f t="shared" si="183"/>
        <v>0</v>
      </c>
      <c r="AM270" s="29">
        <f t="shared" si="183"/>
        <v>0</v>
      </c>
      <c r="AN270" s="30">
        <f t="shared" si="183"/>
        <v>0.28059072642575111</v>
      </c>
      <c r="AO270" s="31">
        <f t="shared" si="183"/>
        <v>0</v>
      </c>
      <c r="AP270" s="31">
        <f t="shared" si="183"/>
        <v>0</v>
      </c>
      <c r="AQ270" s="32">
        <f t="shared" si="183"/>
        <v>0</v>
      </c>
      <c r="AR270" s="32">
        <f t="shared" si="183"/>
        <v>0</v>
      </c>
      <c r="AS270" s="32">
        <f t="shared" si="183"/>
        <v>0</v>
      </c>
      <c r="AT270" s="33">
        <f t="shared" si="183"/>
        <v>0</v>
      </c>
      <c r="AU270" s="33">
        <f t="shared" si="183"/>
        <v>0</v>
      </c>
      <c r="AV270" s="34" t="e">
        <f t="shared" si="174"/>
        <v>#DIV/0!</v>
      </c>
      <c r="AW270" s="34" t="e">
        <f t="shared" si="174"/>
        <v>#DIV/0!</v>
      </c>
      <c r="AX270" s="35" t="e">
        <f t="shared" si="175"/>
        <v>#NUM!</v>
      </c>
      <c r="AY270" s="35" t="e">
        <f t="shared" si="175"/>
        <v>#NUM!</v>
      </c>
    </row>
    <row r="271" spans="6:51" x14ac:dyDescent="0.3">
      <c r="F271">
        <v>29</v>
      </c>
      <c r="G271" s="28"/>
      <c r="H271" s="28"/>
      <c r="I271" s="28"/>
      <c r="J271" s="28"/>
      <c r="K271" s="28"/>
      <c r="L271" s="29"/>
      <c r="M271" s="30"/>
      <c r="N271" s="31"/>
      <c r="O271" s="31"/>
      <c r="P271" s="32"/>
      <c r="Q271" s="32"/>
      <c r="R271" s="32"/>
      <c r="S271" s="33"/>
      <c r="T271" s="33"/>
      <c r="U271" s="34"/>
      <c r="V271" s="34"/>
      <c r="W271" s="35"/>
      <c r="X271" s="35"/>
      <c r="AG271">
        <f t="shared" si="153"/>
        <v>21.324555883177815</v>
      </c>
      <c r="AH271" s="28">
        <f t="shared" ref="AH271:AU271" si="184">AH199*AH$163</f>
        <v>0.74686848032887188</v>
      </c>
      <c r="AI271" s="28">
        <f t="shared" si="184"/>
        <v>0.79976261444932284</v>
      </c>
      <c r="AJ271" s="28">
        <f t="shared" si="184"/>
        <v>1.1435856418511541</v>
      </c>
      <c r="AK271" s="28">
        <f t="shared" si="184"/>
        <v>1.1996026072017498</v>
      </c>
      <c r="AL271" s="28">
        <f t="shared" si="184"/>
        <v>0</v>
      </c>
      <c r="AM271" s="29">
        <f t="shared" si="184"/>
        <v>0</v>
      </c>
      <c r="AN271" s="30">
        <f t="shared" si="184"/>
        <v>0.31350768187124523</v>
      </c>
      <c r="AO271" s="31">
        <f t="shared" si="184"/>
        <v>0</v>
      </c>
      <c r="AP271" s="31">
        <f t="shared" si="184"/>
        <v>0</v>
      </c>
      <c r="AQ271" s="32">
        <f t="shared" si="184"/>
        <v>0</v>
      </c>
      <c r="AR271" s="32">
        <f t="shared" si="184"/>
        <v>0</v>
      </c>
      <c r="AS271" s="32">
        <f t="shared" si="184"/>
        <v>0</v>
      </c>
      <c r="AT271" s="33">
        <f t="shared" si="184"/>
        <v>0</v>
      </c>
      <c r="AU271" s="33">
        <f t="shared" si="184"/>
        <v>0</v>
      </c>
      <c r="AV271" s="34" t="e">
        <f t="shared" si="174"/>
        <v>#DIV/0!</v>
      </c>
      <c r="AW271" s="34" t="e">
        <f t="shared" si="174"/>
        <v>#DIV/0!</v>
      </c>
      <c r="AX271" s="35" t="e">
        <f t="shared" si="175"/>
        <v>#NUM!</v>
      </c>
      <c r="AY271" s="35" t="e">
        <f t="shared" si="175"/>
        <v>#NUM!</v>
      </c>
    </row>
    <row r="272" spans="6:51" x14ac:dyDescent="0.3">
      <c r="F272">
        <v>30</v>
      </c>
      <c r="G272" s="28"/>
      <c r="H272" s="28"/>
      <c r="I272" s="28"/>
      <c r="J272" s="28"/>
      <c r="K272" s="28"/>
      <c r="L272" s="29"/>
      <c r="M272" s="30"/>
      <c r="N272" s="31"/>
      <c r="O272" s="31"/>
      <c r="P272" s="32"/>
      <c r="Q272" s="32"/>
      <c r="R272" s="32"/>
      <c r="S272" s="33"/>
      <c r="T272" s="33"/>
      <c r="U272" s="34"/>
      <c r="V272" s="34"/>
      <c r="W272" s="35"/>
      <c r="X272" s="35"/>
      <c r="AG272">
        <f t="shared" si="153"/>
        <v>22.426633924947051</v>
      </c>
      <c r="AH272" s="28">
        <f t="shared" ref="AH272:AU272" si="185">AH200*AH$163</f>
        <v>0.74831583020521342</v>
      </c>
      <c r="AI272" s="28">
        <f t="shared" si="185"/>
        <v>0.79985133880066406</v>
      </c>
      <c r="AJ272" s="28">
        <f t="shared" si="185"/>
        <v>1.1464210785024784</v>
      </c>
      <c r="AK272" s="28">
        <f t="shared" si="185"/>
        <v>1.1997502666695108</v>
      </c>
      <c r="AL272" s="28">
        <f t="shared" si="185"/>
        <v>0</v>
      </c>
      <c r="AM272" s="29">
        <f t="shared" si="185"/>
        <v>0</v>
      </c>
      <c r="AN272" s="30">
        <f t="shared" si="185"/>
        <v>0.34289233242694606</v>
      </c>
      <c r="AO272" s="31">
        <f t="shared" si="185"/>
        <v>0</v>
      </c>
      <c r="AP272" s="31">
        <f t="shared" si="185"/>
        <v>0</v>
      </c>
      <c r="AQ272" s="32">
        <f t="shared" si="185"/>
        <v>0</v>
      </c>
      <c r="AR272" s="32">
        <f t="shared" si="185"/>
        <v>0</v>
      </c>
      <c r="AS272" s="32">
        <f t="shared" si="185"/>
        <v>0</v>
      </c>
      <c r="AT272" s="33">
        <f t="shared" si="185"/>
        <v>0</v>
      </c>
      <c r="AU272" s="33">
        <f t="shared" si="185"/>
        <v>0</v>
      </c>
      <c r="AV272" s="34" t="e">
        <f t="shared" si="174"/>
        <v>#DIV/0!</v>
      </c>
      <c r="AW272" s="34" t="e">
        <f t="shared" si="174"/>
        <v>#DIV/0!</v>
      </c>
      <c r="AX272" s="35" t="e">
        <f t="shared" si="175"/>
        <v>#NUM!</v>
      </c>
      <c r="AY272" s="35" t="e">
        <f t="shared" si="175"/>
        <v>#NUM!</v>
      </c>
    </row>
    <row r="273" spans="6:51" x14ac:dyDescent="0.3">
      <c r="F273">
        <v>31</v>
      </c>
      <c r="G273" s="28"/>
      <c r="H273" s="28"/>
      <c r="I273" s="28"/>
      <c r="J273" s="28"/>
      <c r="K273" s="28"/>
      <c r="L273" s="29"/>
      <c r="M273" s="30"/>
      <c r="N273" s="31"/>
      <c r="O273" s="31"/>
      <c r="P273" s="32"/>
      <c r="Q273" s="32"/>
      <c r="R273" s="32"/>
      <c r="S273" s="33"/>
      <c r="T273" s="33"/>
      <c r="U273" s="34"/>
      <c r="V273" s="34"/>
      <c r="W273" s="35"/>
      <c r="X273" s="35"/>
      <c r="AG273">
        <f t="shared" si="153"/>
        <v>23.585668651620018</v>
      </c>
      <c r="AH273" s="28">
        <f t="shared" ref="AH273:AU273" si="186">AH201*AH$163</f>
        <v>0.74912550386530674</v>
      </c>
      <c r="AI273" s="28">
        <f t="shared" si="186"/>
        <v>0.79990851071702984</v>
      </c>
      <c r="AJ273" s="28">
        <f t="shared" si="186"/>
        <v>1.1480726657024152</v>
      </c>
      <c r="AK273" s="28">
        <f t="shared" si="186"/>
        <v>1.1998456417599623</v>
      </c>
      <c r="AL273" s="28">
        <f t="shared" si="186"/>
        <v>0</v>
      </c>
      <c r="AM273" s="29">
        <f t="shared" si="186"/>
        <v>0</v>
      </c>
      <c r="AN273" s="30">
        <f t="shared" si="186"/>
        <v>0.36882925959629909</v>
      </c>
      <c r="AO273" s="31">
        <f t="shared" si="186"/>
        <v>0</v>
      </c>
      <c r="AP273" s="31">
        <f t="shared" si="186"/>
        <v>0</v>
      </c>
      <c r="AQ273" s="32">
        <f t="shared" si="186"/>
        <v>0</v>
      </c>
      <c r="AR273" s="32">
        <f t="shared" si="186"/>
        <v>0</v>
      </c>
      <c r="AS273" s="32">
        <f t="shared" si="186"/>
        <v>0</v>
      </c>
      <c r="AT273" s="33">
        <f t="shared" si="186"/>
        <v>0</v>
      </c>
      <c r="AU273" s="33">
        <f t="shared" si="186"/>
        <v>0</v>
      </c>
      <c r="AV273" s="34" t="e">
        <f t="shared" si="174"/>
        <v>#DIV/0!</v>
      </c>
      <c r="AW273" s="34" t="e">
        <f t="shared" si="174"/>
        <v>#DIV/0!</v>
      </c>
      <c r="AX273" s="35" t="e">
        <f t="shared" si="175"/>
        <v>#NUM!</v>
      </c>
      <c r="AY273" s="35" t="e">
        <f t="shared" si="175"/>
        <v>#NUM!</v>
      </c>
    </row>
    <row r="274" spans="6:51" x14ac:dyDescent="0.3">
      <c r="F274">
        <v>32</v>
      </c>
      <c r="G274" s="28"/>
      <c r="H274" s="28"/>
      <c r="I274" s="28"/>
      <c r="J274" s="28"/>
      <c r="K274" s="28"/>
      <c r="L274" s="29"/>
      <c r="M274" s="30"/>
      <c r="N274" s="31"/>
      <c r="O274" s="31"/>
      <c r="P274" s="32"/>
      <c r="Q274" s="32"/>
      <c r="R274" s="32"/>
      <c r="S274" s="33"/>
      <c r="T274" s="33"/>
      <c r="U274" s="34"/>
      <c r="V274" s="34"/>
      <c r="W274" s="35"/>
      <c r="X274" s="35"/>
      <c r="AG274">
        <f t="shared" si="153"/>
        <v>24.804603651429346</v>
      </c>
      <c r="AH274" s="28">
        <f t="shared" ref="AH274:AU274" si="187">AH202*AH$163</f>
        <v>0.74956024769062812</v>
      </c>
      <c r="AI274" s="28">
        <f t="shared" si="187"/>
        <v>0.79994464960653155</v>
      </c>
      <c r="AJ274" s="28">
        <f t="shared" si="187"/>
        <v>1.1489975439904825</v>
      </c>
      <c r="AK274" s="28">
        <f t="shared" si="187"/>
        <v>1.1999061217995419</v>
      </c>
      <c r="AL274" s="28">
        <f t="shared" si="187"/>
        <v>0</v>
      </c>
      <c r="AM274" s="29">
        <f t="shared" si="187"/>
        <v>0</v>
      </c>
      <c r="AN274" s="30">
        <f t="shared" si="187"/>
        <v>0.39146270455917842</v>
      </c>
      <c r="AO274" s="31">
        <f t="shared" si="187"/>
        <v>0</v>
      </c>
      <c r="AP274" s="31">
        <f t="shared" si="187"/>
        <v>0</v>
      </c>
      <c r="AQ274" s="32">
        <f t="shared" si="187"/>
        <v>0</v>
      </c>
      <c r="AR274" s="32">
        <f t="shared" si="187"/>
        <v>0</v>
      </c>
      <c r="AS274" s="32">
        <f t="shared" si="187"/>
        <v>0</v>
      </c>
      <c r="AT274" s="33">
        <f t="shared" si="187"/>
        <v>0</v>
      </c>
      <c r="AU274" s="33">
        <f t="shared" si="187"/>
        <v>0</v>
      </c>
      <c r="AV274" s="34" t="e">
        <f t="shared" si="174"/>
        <v>#DIV/0!</v>
      </c>
      <c r="AW274" s="34" t="e">
        <f t="shared" si="174"/>
        <v>#DIV/0!</v>
      </c>
      <c r="AX274" s="35" t="e">
        <f t="shared" si="175"/>
        <v>#NUM!</v>
      </c>
      <c r="AY274" s="35" t="e">
        <f t="shared" si="175"/>
        <v>#NUM!</v>
      </c>
    </row>
    <row r="275" spans="6:51" x14ac:dyDescent="0.3">
      <c r="F275">
        <v>33</v>
      </c>
      <c r="G275" s="28"/>
      <c r="H275" s="28"/>
      <c r="I275" s="28"/>
      <c r="J275" s="28"/>
      <c r="K275" s="28"/>
      <c r="L275" s="29"/>
      <c r="M275" s="30"/>
      <c r="N275" s="31"/>
      <c r="O275" s="31"/>
      <c r="P275" s="32"/>
      <c r="Q275" s="32"/>
      <c r="R275" s="32"/>
      <c r="S275" s="33"/>
      <c r="T275" s="33"/>
      <c r="U275" s="34"/>
      <c r="V275" s="34"/>
      <c r="W275" s="35"/>
      <c r="X275" s="35"/>
      <c r="AG275">
        <f t="shared" si="153"/>
        <v>26.08653464069765</v>
      </c>
      <c r="AH275" s="28">
        <f t="shared" ref="AH275:AU275" si="188">AH203*AH$163</f>
        <v>0.74978500851591301</v>
      </c>
      <c r="AI275" s="28">
        <f t="shared" si="188"/>
        <v>0.79996706522858418</v>
      </c>
      <c r="AJ275" s="28">
        <f t="shared" si="188"/>
        <v>1.1494958272935427</v>
      </c>
      <c r="AK275" s="28">
        <f t="shared" si="188"/>
        <v>1.199943788659855</v>
      </c>
      <c r="AL275" s="28">
        <f t="shared" si="188"/>
        <v>0</v>
      </c>
      <c r="AM275" s="29">
        <f t="shared" si="188"/>
        <v>0</v>
      </c>
      <c r="AN275" s="30">
        <f t="shared" si="188"/>
        <v>0.41098720395920152</v>
      </c>
      <c r="AO275" s="31">
        <f t="shared" si="188"/>
        <v>0</v>
      </c>
      <c r="AP275" s="31">
        <f t="shared" si="188"/>
        <v>0</v>
      </c>
      <c r="AQ275" s="32">
        <f t="shared" si="188"/>
        <v>0</v>
      </c>
      <c r="AR275" s="32">
        <f t="shared" si="188"/>
        <v>0</v>
      </c>
      <c r="AS275" s="32">
        <f t="shared" si="188"/>
        <v>0</v>
      </c>
      <c r="AT275" s="33">
        <f t="shared" si="188"/>
        <v>0</v>
      </c>
      <c r="AU275" s="33">
        <f t="shared" si="188"/>
        <v>0</v>
      </c>
      <c r="AV275" s="34" t="e">
        <f t="shared" si="174"/>
        <v>#DIV/0!</v>
      </c>
      <c r="AW275" s="34" t="e">
        <f t="shared" si="174"/>
        <v>#DIV/0!</v>
      </c>
      <c r="AX275" s="35" t="e">
        <f t="shared" si="175"/>
        <v>#NUM!</v>
      </c>
      <c r="AY275" s="35" t="e">
        <f t="shared" si="175"/>
        <v>#NUM!</v>
      </c>
    </row>
    <row r="276" spans="6:51" x14ac:dyDescent="0.3">
      <c r="F276">
        <v>34</v>
      </c>
      <c r="G276" s="28"/>
      <c r="H276" s="28"/>
      <c r="I276" s="28"/>
      <c r="J276" s="28"/>
      <c r="K276" s="28"/>
      <c r="L276" s="29"/>
      <c r="M276" s="30"/>
      <c r="N276" s="31"/>
      <c r="O276" s="31"/>
      <c r="P276" s="32"/>
      <c r="Q276" s="32"/>
      <c r="R276" s="32"/>
      <c r="S276" s="33"/>
      <c r="T276" s="33"/>
      <c r="U276" s="34"/>
      <c r="V276" s="34"/>
      <c r="W276" s="35"/>
      <c r="X276" s="35"/>
      <c r="AG276">
        <f t="shared" si="153"/>
        <v>27.434717325995447</v>
      </c>
      <c r="AH276" s="28">
        <f t="shared" ref="AH276:AU276" si="189">AH204*AH$163</f>
        <v>0.74989733652589763</v>
      </c>
      <c r="AI276" s="28">
        <f t="shared" si="189"/>
        <v>0.79998071416849781</v>
      </c>
      <c r="AJ276" s="28">
        <f t="shared" si="189"/>
        <v>1.1497544046364145</v>
      </c>
      <c r="AK276" s="28">
        <f t="shared" si="189"/>
        <v>1.1999668402504566</v>
      </c>
      <c r="AL276" s="28">
        <f t="shared" si="189"/>
        <v>0</v>
      </c>
      <c r="AM276" s="29">
        <f t="shared" si="189"/>
        <v>0</v>
      </c>
      <c r="AN276" s="30">
        <f t="shared" si="189"/>
        <v>0.42763658732477128</v>
      </c>
      <c r="AO276" s="31">
        <f t="shared" si="189"/>
        <v>0</v>
      </c>
      <c r="AP276" s="31">
        <f t="shared" si="189"/>
        <v>0</v>
      </c>
      <c r="AQ276" s="32">
        <f t="shared" si="189"/>
        <v>0</v>
      </c>
      <c r="AR276" s="32">
        <f t="shared" si="189"/>
        <v>0</v>
      </c>
      <c r="AS276" s="32">
        <f t="shared" si="189"/>
        <v>0</v>
      </c>
      <c r="AT276" s="33">
        <f t="shared" si="189"/>
        <v>0</v>
      </c>
      <c r="AU276" s="33">
        <f t="shared" si="189"/>
        <v>0</v>
      </c>
      <c r="AV276" s="34" t="e">
        <f t="shared" si="174"/>
        <v>#DIV/0!</v>
      </c>
      <c r="AW276" s="34" t="e">
        <f t="shared" si="174"/>
        <v>#DIV/0!</v>
      </c>
      <c r="AX276" s="35" t="e">
        <f t="shared" si="175"/>
        <v>#NUM!</v>
      </c>
      <c r="AY276" s="35" t="e">
        <f t="shared" si="175"/>
        <v>#NUM!</v>
      </c>
    </row>
    <row r="277" spans="6:51" x14ac:dyDescent="0.3">
      <c r="F277">
        <v>35</v>
      </c>
      <c r="G277" s="28"/>
      <c r="H277" s="28"/>
      <c r="I277" s="28"/>
      <c r="J277" s="28"/>
      <c r="K277" s="28"/>
      <c r="L277" s="29"/>
      <c r="M277" s="30"/>
      <c r="N277" s="31"/>
      <c r="O277" s="31"/>
      <c r="P277" s="32"/>
      <c r="Q277" s="32"/>
      <c r="R277" s="32"/>
      <c r="S277" s="33"/>
      <c r="T277" s="33"/>
      <c r="U277" s="34"/>
      <c r="V277" s="34"/>
      <c r="W277" s="35"/>
      <c r="X277" s="35"/>
      <c r="AG277">
        <f t="shared" si="153"/>
        <v>28.852575672624699</v>
      </c>
      <c r="AH277" s="28">
        <f t="shared" ref="AH277:AU277" si="190">AH205*AH$163</f>
        <v>0.74995185875040349</v>
      </c>
      <c r="AI277" s="28">
        <f t="shared" si="190"/>
        <v>0.7999888774992151</v>
      </c>
      <c r="AJ277" s="28">
        <f t="shared" si="190"/>
        <v>1.1498838717820421</v>
      </c>
      <c r="AK277" s="28">
        <f t="shared" si="190"/>
        <v>1.1999807116610623</v>
      </c>
      <c r="AL277" s="28">
        <f t="shared" si="190"/>
        <v>3.4435678206139017E-3</v>
      </c>
      <c r="AM277" s="29">
        <f t="shared" si="190"/>
        <v>0</v>
      </c>
      <c r="AN277" s="30">
        <f t="shared" si="190"/>
        <v>0.44167212689767527</v>
      </c>
      <c r="AO277" s="31">
        <f t="shared" si="190"/>
        <v>0</v>
      </c>
      <c r="AP277" s="31">
        <f t="shared" si="190"/>
        <v>0</v>
      </c>
      <c r="AQ277" s="32">
        <f t="shared" si="190"/>
        <v>0</v>
      </c>
      <c r="AR277" s="32">
        <f t="shared" si="190"/>
        <v>0</v>
      </c>
      <c r="AS277" s="32">
        <f t="shared" si="190"/>
        <v>0</v>
      </c>
      <c r="AT277" s="33">
        <f t="shared" si="190"/>
        <v>0</v>
      </c>
      <c r="AU277" s="33">
        <f t="shared" si="190"/>
        <v>0</v>
      </c>
      <c r="AV277" s="34" t="e">
        <f t="shared" si="174"/>
        <v>#DIV/0!</v>
      </c>
      <c r="AW277" s="34" t="e">
        <f t="shared" si="174"/>
        <v>#DIV/0!</v>
      </c>
      <c r="AX277" s="35" t="e">
        <f t="shared" si="175"/>
        <v>#NUM!</v>
      </c>
      <c r="AY277" s="35" t="e">
        <f t="shared" si="175"/>
        <v>#NUM!</v>
      </c>
    </row>
    <row r="278" spans="6:51" x14ac:dyDescent="0.3">
      <c r="F278">
        <v>36</v>
      </c>
      <c r="G278" s="28"/>
      <c r="H278" s="28"/>
      <c r="I278" s="28"/>
      <c r="J278" s="28"/>
      <c r="K278" s="28"/>
      <c r="L278" s="29"/>
      <c r="M278" s="30"/>
      <c r="N278" s="31"/>
      <c r="O278" s="31"/>
      <c r="P278" s="32"/>
      <c r="Q278" s="32"/>
      <c r="R278" s="32"/>
      <c r="S278" s="33"/>
      <c r="T278" s="33"/>
      <c r="U278" s="34"/>
      <c r="V278" s="34"/>
      <c r="W278" s="35"/>
      <c r="X278" s="35"/>
      <c r="AG278">
        <f t="shared" si="153"/>
        <v>30.343710600427304</v>
      </c>
      <c r="AH278" s="28">
        <f t="shared" ref="AH278:AU278" si="191">AH206*AH$163</f>
        <v>0.74997769945194137</v>
      </c>
      <c r="AI278" s="28">
        <f t="shared" si="191"/>
        <v>0.79999367668582566</v>
      </c>
      <c r="AJ278" s="28">
        <f t="shared" si="191"/>
        <v>1.1499465538653384</v>
      </c>
      <c r="AK278" s="28">
        <f t="shared" si="191"/>
        <v>1.1999889258695164</v>
      </c>
      <c r="AL278" s="28">
        <f t="shared" si="191"/>
        <v>0.27868017024453723</v>
      </c>
      <c r="AM278" s="29">
        <f t="shared" si="191"/>
        <v>0</v>
      </c>
      <c r="AN278" s="30">
        <f t="shared" si="191"/>
        <v>0.45337064945726557</v>
      </c>
      <c r="AO278" s="31">
        <f t="shared" si="191"/>
        <v>0</v>
      </c>
      <c r="AP278" s="31">
        <f t="shared" si="191"/>
        <v>0</v>
      </c>
      <c r="AQ278" s="32">
        <f t="shared" si="191"/>
        <v>0</v>
      </c>
      <c r="AR278" s="32">
        <f t="shared" si="191"/>
        <v>0</v>
      </c>
      <c r="AS278" s="32">
        <f t="shared" si="191"/>
        <v>0</v>
      </c>
      <c r="AT278" s="33">
        <f t="shared" si="191"/>
        <v>0</v>
      </c>
      <c r="AU278" s="33">
        <f t="shared" si="191"/>
        <v>0</v>
      </c>
      <c r="AV278" s="34" t="e">
        <f t="shared" si="174"/>
        <v>#DIV/0!</v>
      </c>
      <c r="AW278" s="34" t="e">
        <f t="shared" si="174"/>
        <v>#DIV/0!</v>
      </c>
      <c r="AX278" s="35" t="e">
        <f t="shared" si="175"/>
        <v>#NUM!</v>
      </c>
      <c r="AY278" s="35" t="e">
        <f t="shared" si="175"/>
        <v>#NUM!</v>
      </c>
    </row>
    <row r="279" spans="6:51" x14ac:dyDescent="0.3">
      <c r="F279">
        <v>37</v>
      </c>
      <c r="G279" s="28"/>
      <c r="H279" s="28"/>
      <c r="I279" s="28"/>
      <c r="J279" s="28"/>
      <c r="K279" s="28"/>
      <c r="L279" s="29"/>
      <c r="M279" s="30"/>
      <c r="N279" s="31"/>
      <c r="O279" s="31"/>
      <c r="P279" s="32"/>
      <c r="Q279" s="32"/>
      <c r="R279" s="32"/>
      <c r="S279" s="33"/>
      <c r="T279" s="33"/>
      <c r="U279" s="34"/>
      <c r="V279" s="34"/>
      <c r="W279" s="35"/>
      <c r="X279" s="35"/>
      <c r="AG279">
        <f t="shared" si="153"/>
        <v>31.911909129003085</v>
      </c>
      <c r="AH279" s="28">
        <f t="shared" ref="AH279:AU279" si="192">AH207*AH$163</f>
        <v>0.7499897290501546</v>
      </c>
      <c r="AI279" s="28">
        <f t="shared" si="192"/>
        <v>0.79999645241442285</v>
      </c>
      <c r="AJ279" s="28">
        <f t="shared" si="192"/>
        <v>1.1499759799436167</v>
      </c>
      <c r="AK279" s="28">
        <f t="shared" si="192"/>
        <v>1.199993717114429</v>
      </c>
      <c r="AL279" s="28">
        <f t="shared" si="192"/>
        <v>0.48832935884725998</v>
      </c>
      <c r="AM279" s="29">
        <f t="shared" si="192"/>
        <v>0</v>
      </c>
      <c r="AN279" s="30">
        <f t="shared" si="192"/>
        <v>0.46301335756664763</v>
      </c>
      <c r="AO279" s="31">
        <f t="shared" si="192"/>
        <v>0</v>
      </c>
      <c r="AP279" s="31">
        <f t="shared" si="192"/>
        <v>0</v>
      </c>
      <c r="AQ279" s="32">
        <f t="shared" si="192"/>
        <v>0</v>
      </c>
      <c r="AR279" s="32">
        <f t="shared" si="192"/>
        <v>0</v>
      </c>
      <c r="AS279" s="32">
        <f t="shared" si="192"/>
        <v>0</v>
      </c>
      <c r="AT279" s="33">
        <f t="shared" si="192"/>
        <v>0</v>
      </c>
      <c r="AU279" s="33">
        <f t="shared" si="192"/>
        <v>0</v>
      </c>
      <c r="AV279" s="34" t="e">
        <f t="shared" si="174"/>
        <v>#DIV/0!</v>
      </c>
      <c r="AW279" s="34" t="e">
        <f t="shared" si="174"/>
        <v>#DIV/0!</v>
      </c>
      <c r="AX279" s="35" t="e">
        <f t="shared" si="175"/>
        <v>#NUM!</v>
      </c>
      <c r="AY279" s="35" t="e">
        <f t="shared" si="175"/>
        <v>#NUM!</v>
      </c>
    </row>
    <row r="280" spans="6:51" x14ac:dyDescent="0.3">
      <c r="F280">
        <v>38</v>
      </c>
      <c r="G280" s="28"/>
      <c r="H280" s="28"/>
      <c r="I280" s="28"/>
      <c r="J280" s="28"/>
      <c r="K280" s="28"/>
      <c r="L280" s="29"/>
      <c r="M280" s="30"/>
      <c r="N280" s="31"/>
      <c r="O280" s="31"/>
      <c r="P280" s="32"/>
      <c r="Q280" s="32"/>
      <c r="R280" s="32"/>
      <c r="S280" s="33"/>
      <c r="T280" s="33"/>
      <c r="U280" s="34"/>
      <c r="V280" s="34"/>
      <c r="W280" s="35"/>
      <c r="X280" s="35"/>
      <c r="AG280">
        <f t="shared" si="153"/>
        <v>33.561153995563402</v>
      </c>
      <c r="AH280" s="28">
        <f t="shared" ref="AH280:AU280" si="193">AH208*AH$163</f>
        <v>0.74999526471672751</v>
      </c>
      <c r="AI280" s="28">
        <f t="shared" si="193"/>
        <v>0.79999803344672149</v>
      </c>
      <c r="AJ280" s="28">
        <f t="shared" si="193"/>
        <v>1.1499894182684292</v>
      </c>
      <c r="AK280" s="28">
        <f t="shared" si="193"/>
        <v>1.1999964729114672</v>
      </c>
      <c r="AL280" s="28">
        <f t="shared" si="193"/>
        <v>0.64732559487370334</v>
      </c>
      <c r="AM280" s="29">
        <f t="shared" si="193"/>
        <v>0</v>
      </c>
      <c r="AN280" s="30">
        <f t="shared" si="193"/>
        <v>0.47087597644063839</v>
      </c>
      <c r="AO280" s="31">
        <f t="shared" si="193"/>
        <v>0</v>
      </c>
      <c r="AP280" s="31">
        <f t="shared" si="193"/>
        <v>0</v>
      </c>
      <c r="AQ280" s="32">
        <f t="shared" si="193"/>
        <v>0</v>
      </c>
      <c r="AR280" s="32">
        <f t="shared" si="193"/>
        <v>0</v>
      </c>
      <c r="AS280" s="32">
        <f t="shared" si="193"/>
        <v>0</v>
      </c>
      <c r="AT280" s="33">
        <f t="shared" si="193"/>
        <v>0</v>
      </c>
      <c r="AU280" s="33">
        <f t="shared" si="193"/>
        <v>0</v>
      </c>
      <c r="AV280" s="34" t="e">
        <f t="shared" si="174"/>
        <v>#DIV/0!</v>
      </c>
      <c r="AW280" s="34" t="e">
        <f t="shared" si="174"/>
        <v>#DIV/0!</v>
      </c>
      <c r="AX280" s="35" t="e">
        <f t="shared" si="175"/>
        <v>#NUM!</v>
      </c>
      <c r="AY280" s="35" t="e">
        <f t="shared" si="175"/>
        <v>#NUM!</v>
      </c>
    </row>
    <row r="281" spans="6:51" x14ac:dyDescent="0.3">
      <c r="F281">
        <v>39</v>
      </c>
      <c r="G281" s="28"/>
      <c r="H281" s="28"/>
      <c r="I281" s="28"/>
      <c r="J281" s="28"/>
      <c r="K281" s="28"/>
      <c r="L281" s="29"/>
      <c r="M281" s="30"/>
      <c r="N281" s="31"/>
      <c r="O281" s="31"/>
      <c r="P281" s="32"/>
      <c r="Q281" s="32"/>
      <c r="R281" s="32"/>
      <c r="S281" s="33"/>
      <c r="T281" s="33"/>
      <c r="U281" s="34"/>
      <c r="V281" s="34"/>
      <c r="W281" s="35"/>
      <c r="X281" s="35"/>
      <c r="AG281">
        <f t="shared" si="153"/>
        <v>35.295633769846724</v>
      </c>
      <c r="AH281" s="28">
        <f t="shared" ref="AH281:AU281" si="194">AH209*AH$163</f>
        <v>0.74999779944646194</v>
      </c>
      <c r="AI281" s="28">
        <f t="shared" si="194"/>
        <v>0.79999892136555451</v>
      </c>
      <c r="AJ281" s="28">
        <f t="shared" si="194"/>
        <v>1.1499954109322923</v>
      </c>
      <c r="AK281" s="28">
        <f t="shared" si="194"/>
        <v>1.1999980378881858</v>
      </c>
      <c r="AL281" s="28">
        <f t="shared" si="194"/>
        <v>0.76760686728449001</v>
      </c>
      <c r="AM281" s="29">
        <f t="shared" si="194"/>
        <v>0</v>
      </c>
      <c r="AN281" s="30">
        <f t="shared" si="194"/>
        <v>0.47722066336121999</v>
      </c>
      <c r="AO281" s="31">
        <f t="shared" si="194"/>
        <v>0</v>
      </c>
      <c r="AP281" s="31">
        <f t="shared" si="194"/>
        <v>0</v>
      </c>
      <c r="AQ281" s="32">
        <f t="shared" si="194"/>
        <v>0</v>
      </c>
      <c r="AR281" s="32">
        <f t="shared" si="194"/>
        <v>0</v>
      </c>
      <c r="AS281" s="32">
        <f t="shared" si="194"/>
        <v>0</v>
      </c>
      <c r="AT281" s="33">
        <f t="shared" si="194"/>
        <v>0</v>
      </c>
      <c r="AU281" s="33">
        <f t="shared" si="194"/>
        <v>0</v>
      </c>
      <c r="AV281" s="34" t="e">
        <f t="shared" si="174"/>
        <v>#DIV/0!</v>
      </c>
      <c r="AW281" s="34" t="e">
        <f t="shared" si="174"/>
        <v>#DIV/0!</v>
      </c>
      <c r="AX281" s="35" t="e">
        <f t="shared" si="175"/>
        <v>#NUM!</v>
      </c>
      <c r="AY281" s="35" t="e">
        <f t="shared" si="175"/>
        <v>#NUM!</v>
      </c>
    </row>
    <row r="282" spans="6:51" x14ac:dyDescent="0.3">
      <c r="F282">
        <v>40</v>
      </c>
      <c r="G282" s="28"/>
      <c r="H282" s="28"/>
      <c r="I282" s="28"/>
      <c r="J282" s="28"/>
      <c r="K282" s="28"/>
      <c r="L282" s="29"/>
      <c r="M282" s="30"/>
      <c r="N282" s="31"/>
      <c r="O282" s="31"/>
      <c r="P282" s="32"/>
      <c r="Q282" s="32"/>
      <c r="R282" s="32"/>
      <c r="S282" s="33"/>
      <c r="T282" s="33"/>
      <c r="U282" s="34"/>
      <c r="V282" s="34"/>
      <c r="W282" s="35"/>
      <c r="X282" s="35"/>
      <c r="AG282">
        <f t="shared" si="153"/>
        <v>37.119753491784877</v>
      </c>
      <c r="AH282" s="28">
        <f t="shared" ref="AH282:AU282" si="195">AH210*AH$163</f>
        <v>0.74999896208192718</v>
      </c>
      <c r="AI282" s="28">
        <f t="shared" si="195"/>
        <v>0.79999941369792549</v>
      </c>
      <c r="AJ282" s="28">
        <f t="shared" si="195"/>
        <v>1.1499980315211622</v>
      </c>
      <c r="AK282" s="28">
        <f t="shared" si="195"/>
        <v>1.1999989165916245</v>
      </c>
      <c r="AL282" s="28">
        <f t="shared" si="195"/>
        <v>0.85853384857939175</v>
      </c>
      <c r="AM282" s="29">
        <f t="shared" si="195"/>
        <v>0</v>
      </c>
      <c r="AN282" s="30">
        <f t="shared" si="195"/>
        <v>0.4822899154137279</v>
      </c>
      <c r="AO282" s="31">
        <f t="shared" si="195"/>
        <v>0</v>
      </c>
      <c r="AP282" s="31">
        <f t="shared" si="195"/>
        <v>0</v>
      </c>
      <c r="AQ282" s="32">
        <f t="shared" si="195"/>
        <v>0</v>
      </c>
      <c r="AR282" s="32">
        <f t="shared" si="195"/>
        <v>0</v>
      </c>
      <c r="AS282" s="32">
        <f t="shared" si="195"/>
        <v>0</v>
      </c>
      <c r="AT282" s="33">
        <f t="shared" si="195"/>
        <v>0</v>
      </c>
      <c r="AU282" s="33">
        <f t="shared" si="195"/>
        <v>0</v>
      </c>
      <c r="AV282" s="34" t="e">
        <f t="shared" ref="AV282:AW301" si="196">$C$5/100*AV$163*AV210</f>
        <v>#DIV/0!</v>
      </c>
      <c r="AW282" s="34" t="e">
        <f t="shared" si="196"/>
        <v>#DIV/0!</v>
      </c>
      <c r="AX282" s="35" t="e">
        <f t="shared" ref="AX282:AY301" si="197">AX210*AX$163</f>
        <v>#NUM!</v>
      </c>
      <c r="AY282" s="35" t="e">
        <f t="shared" si="197"/>
        <v>#NUM!</v>
      </c>
    </row>
    <row r="283" spans="6:51" x14ac:dyDescent="0.3">
      <c r="F283">
        <v>41</v>
      </c>
      <c r="G283" s="28"/>
      <c r="H283" s="28"/>
      <c r="I283" s="28"/>
      <c r="J283" s="28"/>
      <c r="K283" s="28"/>
      <c r="L283" s="29"/>
      <c r="M283" s="30"/>
      <c r="N283" s="31"/>
      <c r="O283" s="31"/>
      <c r="P283" s="32"/>
      <c r="Q283" s="32"/>
      <c r="R283" s="32"/>
      <c r="S283" s="33"/>
      <c r="T283" s="33"/>
      <c r="U283" s="34"/>
      <c r="V283" s="34"/>
      <c r="W283" s="35"/>
      <c r="X283" s="35"/>
      <c r="AG283">
        <f t="shared" si="153"/>
        <v>38.85778775562828</v>
      </c>
      <c r="AH283" s="28">
        <f t="shared" ref="AH283:AU283" si="198">AH211*AH$163</f>
        <v>0.74999946567680298</v>
      </c>
      <c r="AI283" s="28">
        <f t="shared" si="198"/>
        <v>0.79999966508642784</v>
      </c>
      <c r="AJ283" s="28">
        <f t="shared" si="198"/>
        <v>1.149999092066484</v>
      </c>
      <c r="AK283" s="28">
        <f t="shared" si="198"/>
        <v>1.1999993713496204</v>
      </c>
      <c r="AL283" s="28">
        <f t="shared" si="198"/>
        <v>0.92177486931284802</v>
      </c>
      <c r="AM283" s="29">
        <f t="shared" si="198"/>
        <v>0</v>
      </c>
      <c r="AN283" s="30">
        <f t="shared" si="198"/>
        <v>0.48597254276210772</v>
      </c>
      <c r="AO283" s="31">
        <f t="shared" si="198"/>
        <v>0</v>
      </c>
      <c r="AP283" s="31">
        <f t="shared" si="198"/>
        <v>0</v>
      </c>
      <c r="AQ283" s="32">
        <f t="shared" si="198"/>
        <v>0</v>
      </c>
      <c r="AR283" s="32">
        <f t="shared" si="198"/>
        <v>0</v>
      </c>
      <c r="AS283" s="32">
        <f t="shared" si="198"/>
        <v>0</v>
      </c>
      <c r="AT283" s="33">
        <f t="shared" si="198"/>
        <v>0</v>
      </c>
      <c r="AU283" s="33">
        <f t="shared" si="198"/>
        <v>0</v>
      </c>
      <c r="AV283" s="34" t="e">
        <f t="shared" si="196"/>
        <v>#DIV/0!</v>
      </c>
      <c r="AW283" s="34" t="e">
        <f t="shared" si="196"/>
        <v>#DIV/0!</v>
      </c>
      <c r="AX283" s="35" t="e">
        <f t="shared" si="197"/>
        <v>#NUM!</v>
      </c>
      <c r="AY283" s="35" t="e">
        <f t="shared" si="197"/>
        <v>#NUM!</v>
      </c>
    </row>
    <row r="284" spans="6:51" x14ac:dyDescent="0.3">
      <c r="F284">
        <v>42</v>
      </c>
      <c r="G284" s="28"/>
      <c r="H284" s="28"/>
      <c r="I284" s="28"/>
      <c r="J284" s="28"/>
      <c r="K284" s="28"/>
      <c r="L284" s="29"/>
      <c r="M284" s="30"/>
      <c r="N284" s="31"/>
      <c r="O284" s="31"/>
      <c r="P284" s="32"/>
      <c r="Q284" s="32"/>
      <c r="R284" s="32"/>
      <c r="S284" s="33"/>
      <c r="T284" s="33"/>
      <c r="U284" s="34"/>
      <c r="V284" s="34"/>
      <c r="W284" s="35"/>
      <c r="X284" s="35"/>
      <c r="AG284">
        <f t="shared" si="153"/>
        <v>40.467341024247702</v>
      </c>
      <c r="AH284" s="28">
        <f t="shared" ref="AH284:AU284" si="199">AH212*AH$163</f>
        <v>0.74999969791382326</v>
      </c>
      <c r="AI284" s="28">
        <f t="shared" si="199"/>
        <v>0.79999979698005785</v>
      </c>
      <c r="AJ284" s="28">
        <f t="shared" si="199"/>
        <v>1.1499995433078409</v>
      </c>
      <c r="AK284" s="28">
        <f t="shared" si="199"/>
        <v>1.1999996131432071</v>
      </c>
      <c r="AL284" s="28">
        <f t="shared" si="199"/>
        <v>0.96599235743325385</v>
      </c>
      <c r="AM284" s="29">
        <f t="shared" si="199"/>
        <v>0</v>
      </c>
      <c r="AN284" s="30">
        <f t="shared" si="199"/>
        <v>0.48862745953373055</v>
      </c>
      <c r="AO284" s="31">
        <f t="shared" si="199"/>
        <v>0</v>
      </c>
      <c r="AP284" s="31">
        <f t="shared" si="199"/>
        <v>0</v>
      </c>
      <c r="AQ284" s="32">
        <f t="shared" si="199"/>
        <v>0</v>
      </c>
      <c r="AR284" s="32">
        <f t="shared" si="199"/>
        <v>0</v>
      </c>
      <c r="AS284" s="32">
        <f t="shared" si="199"/>
        <v>0</v>
      </c>
      <c r="AT284" s="33">
        <f t="shared" si="199"/>
        <v>0</v>
      </c>
      <c r="AU284" s="33">
        <f t="shared" si="199"/>
        <v>0</v>
      </c>
      <c r="AV284" s="34" t="e">
        <f t="shared" si="196"/>
        <v>#DIV/0!</v>
      </c>
      <c r="AW284" s="34" t="e">
        <f t="shared" si="196"/>
        <v>#DIV/0!</v>
      </c>
      <c r="AX284" s="35" t="e">
        <f t="shared" si="197"/>
        <v>#NUM!</v>
      </c>
      <c r="AY284" s="35" t="e">
        <f t="shared" si="197"/>
        <v>#NUM!</v>
      </c>
    </row>
    <row r="285" spans="6:51" x14ac:dyDescent="0.3">
      <c r="F285">
        <v>43</v>
      </c>
      <c r="G285" s="28"/>
      <c r="H285" s="28"/>
      <c r="I285" s="28"/>
      <c r="J285" s="28"/>
      <c r="K285" s="28"/>
      <c r="L285" s="29"/>
      <c r="M285" s="30"/>
      <c r="N285" s="31"/>
      <c r="O285" s="31"/>
      <c r="P285" s="32"/>
      <c r="Q285" s="32"/>
      <c r="R285" s="32"/>
      <c r="S285" s="33"/>
      <c r="T285" s="33"/>
      <c r="U285" s="34"/>
      <c r="V285" s="34"/>
      <c r="W285" s="35"/>
      <c r="X285" s="35"/>
      <c r="AG285">
        <f t="shared" si="153"/>
        <v>41.95047391357199</v>
      </c>
      <c r="AH285" s="28">
        <f t="shared" ref="AH285:AU285" si="200">AH213*AH$163</f>
        <v>0.74999981466794319</v>
      </c>
      <c r="AI285" s="28">
        <f t="shared" si="200"/>
        <v>0.79999987004553097</v>
      </c>
      <c r="AJ285" s="28">
        <f t="shared" si="200"/>
        <v>1.1499997512550892</v>
      </c>
      <c r="AK285" s="28">
        <f t="shared" si="200"/>
        <v>1.1999997488132494</v>
      </c>
      <c r="AL285" s="28">
        <f t="shared" si="200"/>
        <v>0.99781252096999562</v>
      </c>
      <c r="AM285" s="29">
        <f t="shared" si="200"/>
        <v>0</v>
      </c>
      <c r="AN285" s="30">
        <f t="shared" si="200"/>
        <v>0.49057694443798411</v>
      </c>
      <c r="AO285" s="31">
        <f t="shared" si="200"/>
        <v>0</v>
      </c>
      <c r="AP285" s="31">
        <f t="shared" si="200"/>
        <v>0</v>
      </c>
      <c r="AQ285" s="32">
        <f t="shared" si="200"/>
        <v>0</v>
      </c>
      <c r="AR285" s="32">
        <f t="shared" si="200"/>
        <v>0</v>
      </c>
      <c r="AS285" s="32">
        <f t="shared" si="200"/>
        <v>0</v>
      </c>
      <c r="AT285" s="33">
        <f t="shared" si="200"/>
        <v>0</v>
      </c>
      <c r="AU285" s="33">
        <f t="shared" si="200"/>
        <v>0</v>
      </c>
      <c r="AV285" s="34" t="e">
        <f t="shared" si="196"/>
        <v>#DIV/0!</v>
      </c>
      <c r="AW285" s="34" t="e">
        <f t="shared" si="196"/>
        <v>#DIV/0!</v>
      </c>
      <c r="AX285" s="35" t="e">
        <f t="shared" si="197"/>
        <v>#NUM!</v>
      </c>
      <c r="AY285" s="35" t="e">
        <f t="shared" si="197"/>
        <v>#NUM!</v>
      </c>
    </row>
    <row r="286" spans="6:51" x14ac:dyDescent="0.3">
      <c r="F286">
        <v>44</v>
      </c>
      <c r="G286" s="28"/>
      <c r="H286" s="28"/>
      <c r="I286" s="28"/>
      <c r="J286" s="28"/>
      <c r="K286" s="28"/>
      <c r="L286" s="29"/>
      <c r="M286" s="30"/>
      <c r="N286" s="31"/>
      <c r="O286" s="31"/>
      <c r="P286" s="32"/>
      <c r="Q286" s="32"/>
      <c r="R286" s="32"/>
      <c r="S286" s="33"/>
      <c r="T286" s="33"/>
      <c r="U286" s="34"/>
      <c r="V286" s="34"/>
      <c r="W286" s="35"/>
      <c r="X286" s="35"/>
      <c r="AG286">
        <f t="shared" si="153"/>
        <v>43.317115956604354</v>
      </c>
      <c r="AH286" s="28">
        <f t="shared" ref="AH286:AU286" si="201">AH214*AH$163</f>
        <v>0.74999987821599867</v>
      </c>
      <c r="AI286" s="28">
        <f t="shared" si="201"/>
        <v>0.79999991275064697</v>
      </c>
      <c r="AJ286" s="28">
        <f t="shared" si="201"/>
        <v>1.1499998547443895</v>
      </c>
      <c r="AK286" s="28">
        <f t="shared" si="201"/>
        <v>1.1999998290763281</v>
      </c>
      <c r="AL286" s="28">
        <f t="shared" si="201"/>
        <v>1.0213969780874672</v>
      </c>
      <c r="AM286" s="29">
        <f t="shared" si="201"/>
        <v>0</v>
      </c>
      <c r="AN286" s="30">
        <f t="shared" si="201"/>
        <v>0.4920398464008825</v>
      </c>
      <c r="AO286" s="31">
        <f t="shared" si="201"/>
        <v>0</v>
      </c>
      <c r="AP286" s="31">
        <f t="shared" si="201"/>
        <v>0</v>
      </c>
      <c r="AQ286" s="32">
        <f t="shared" si="201"/>
        <v>0</v>
      </c>
      <c r="AR286" s="32">
        <f t="shared" si="201"/>
        <v>0</v>
      </c>
      <c r="AS286" s="32">
        <f t="shared" si="201"/>
        <v>0</v>
      </c>
      <c r="AT286" s="33">
        <f t="shared" si="201"/>
        <v>0</v>
      </c>
      <c r="AU286" s="33">
        <f t="shared" si="201"/>
        <v>0</v>
      </c>
      <c r="AV286" s="34" t="e">
        <f t="shared" si="196"/>
        <v>#DIV/0!</v>
      </c>
      <c r="AW286" s="34" t="e">
        <f t="shared" si="196"/>
        <v>#DIV/0!</v>
      </c>
      <c r="AX286" s="35" t="e">
        <f t="shared" si="197"/>
        <v>#NUM!</v>
      </c>
      <c r="AY286" s="35" t="e">
        <f t="shared" si="197"/>
        <v>#NUM!</v>
      </c>
    </row>
    <row r="287" spans="6:51" x14ac:dyDescent="0.3">
      <c r="F287">
        <v>45</v>
      </c>
      <c r="G287" s="28"/>
      <c r="H287" s="28"/>
      <c r="I287" s="28"/>
      <c r="J287" s="28"/>
      <c r="K287" s="28"/>
      <c r="L287" s="29"/>
      <c r="M287" s="30"/>
      <c r="N287" s="31"/>
      <c r="O287" s="31"/>
      <c r="P287" s="32"/>
      <c r="Q287" s="32"/>
      <c r="R287" s="32"/>
      <c r="S287" s="33"/>
      <c r="T287" s="33"/>
      <c r="U287" s="34"/>
      <c r="V287" s="34"/>
      <c r="W287" s="35"/>
      <c r="X287" s="35"/>
      <c r="AG287">
        <f t="shared" si="153"/>
        <v>44.576416783406593</v>
      </c>
      <c r="AH287" s="28">
        <f t="shared" ref="AH287:AU287" si="202">AH215*AH$163</f>
        <v>0.7499999152187341</v>
      </c>
      <c r="AI287" s="28">
        <f t="shared" si="202"/>
        <v>0.79999993891647359</v>
      </c>
      <c r="AJ287" s="28">
        <f t="shared" si="202"/>
        <v>1.1499999098531233</v>
      </c>
      <c r="AK287" s="28">
        <f t="shared" si="202"/>
        <v>1.1999998788191804</v>
      </c>
      <c r="AL287" s="28">
        <f t="shared" si="202"/>
        <v>1.0393240136382942</v>
      </c>
      <c r="AM287" s="29">
        <f t="shared" si="202"/>
        <v>0</v>
      </c>
      <c r="AN287" s="30">
        <f t="shared" si="202"/>
        <v>0.49315926843077496</v>
      </c>
      <c r="AO287" s="31">
        <f t="shared" si="202"/>
        <v>0</v>
      </c>
      <c r="AP287" s="31">
        <f t="shared" si="202"/>
        <v>0</v>
      </c>
      <c r="AQ287" s="32">
        <f t="shared" si="202"/>
        <v>0</v>
      </c>
      <c r="AR287" s="32">
        <f t="shared" si="202"/>
        <v>0</v>
      </c>
      <c r="AS287" s="32">
        <f t="shared" si="202"/>
        <v>0</v>
      </c>
      <c r="AT287" s="33">
        <f t="shared" si="202"/>
        <v>0</v>
      </c>
      <c r="AU287" s="33">
        <f t="shared" si="202"/>
        <v>0</v>
      </c>
      <c r="AV287" s="34" t="e">
        <f t="shared" si="196"/>
        <v>#DIV/0!</v>
      </c>
      <c r="AW287" s="34" t="e">
        <f t="shared" si="196"/>
        <v>#DIV/0!</v>
      </c>
      <c r="AX287" s="35" t="e">
        <f t="shared" si="197"/>
        <v>#NUM!</v>
      </c>
      <c r="AY287" s="35" t="e">
        <f t="shared" si="197"/>
        <v>#NUM!</v>
      </c>
    </row>
    <row r="288" spans="6:51" x14ac:dyDescent="0.3">
      <c r="F288">
        <v>46</v>
      </c>
      <c r="G288" s="28"/>
      <c r="H288" s="28"/>
      <c r="I288" s="28"/>
      <c r="J288" s="28"/>
      <c r="K288" s="28"/>
      <c r="L288" s="29"/>
      <c r="M288" s="30"/>
      <c r="N288" s="31"/>
      <c r="O288" s="31"/>
      <c r="P288" s="32"/>
      <c r="Q288" s="32"/>
      <c r="R288" s="32"/>
      <c r="S288" s="33"/>
      <c r="T288" s="33"/>
      <c r="U288" s="34"/>
      <c r="V288" s="34"/>
      <c r="W288" s="35"/>
      <c r="X288" s="35"/>
      <c r="AG288">
        <f t="shared" si="153"/>
        <v>45.736807377615186</v>
      </c>
      <c r="AH288" s="28">
        <f t="shared" ref="AH288:AU288" si="203">AH216*AH$163</f>
        <v>0.74999993803770848</v>
      </c>
      <c r="AI288" s="28">
        <f t="shared" si="203"/>
        <v>0.79999995562953874</v>
      </c>
      <c r="AJ288" s="28">
        <f t="shared" si="203"/>
        <v>1.1499999409966284</v>
      </c>
      <c r="AK288" s="28">
        <f t="shared" si="203"/>
        <v>1.1999999109338486</v>
      </c>
      <c r="AL288" s="28">
        <f t="shared" si="203"/>
        <v>1.053249205324257</v>
      </c>
      <c r="AM288" s="29">
        <f t="shared" si="203"/>
        <v>0</v>
      </c>
      <c r="AN288" s="30">
        <f t="shared" si="203"/>
        <v>0.49403102833197332</v>
      </c>
      <c r="AO288" s="31">
        <f t="shared" si="203"/>
        <v>0</v>
      </c>
      <c r="AP288" s="31">
        <f t="shared" si="203"/>
        <v>0</v>
      </c>
      <c r="AQ288" s="32">
        <f t="shared" si="203"/>
        <v>0</v>
      </c>
      <c r="AR288" s="32">
        <f t="shared" si="203"/>
        <v>0</v>
      </c>
      <c r="AS288" s="32">
        <f t="shared" si="203"/>
        <v>0</v>
      </c>
      <c r="AT288" s="33">
        <f t="shared" si="203"/>
        <v>0</v>
      </c>
      <c r="AU288" s="33">
        <f t="shared" si="203"/>
        <v>0</v>
      </c>
      <c r="AV288" s="34" t="e">
        <f t="shared" si="196"/>
        <v>#DIV/0!</v>
      </c>
      <c r="AW288" s="34" t="e">
        <f t="shared" si="196"/>
        <v>#DIV/0!</v>
      </c>
      <c r="AX288" s="35" t="e">
        <f t="shared" si="197"/>
        <v>#NUM!</v>
      </c>
      <c r="AY288" s="35" t="e">
        <f t="shared" si="197"/>
        <v>#NUM!</v>
      </c>
    </row>
    <row r="289" spans="6:51" x14ac:dyDescent="0.3">
      <c r="F289">
        <v>47</v>
      </c>
      <c r="G289" s="28"/>
      <c r="H289" s="28"/>
      <c r="I289" s="28"/>
      <c r="J289" s="28"/>
      <c r="K289" s="28"/>
      <c r="L289" s="29"/>
      <c r="M289" s="30"/>
      <c r="N289" s="31"/>
      <c r="O289" s="31"/>
      <c r="P289" s="32"/>
      <c r="Q289" s="32"/>
      <c r="R289" s="32"/>
      <c r="S289" s="33"/>
      <c r="T289" s="33"/>
      <c r="U289" s="34"/>
      <c r="V289" s="34"/>
      <c r="W289" s="35"/>
      <c r="X289" s="35"/>
      <c r="AG289">
        <f t="shared" si="153"/>
        <v>46.806056521639796</v>
      </c>
      <c r="AH289" s="28">
        <f t="shared" ref="AH289:AU289" si="204">AH217*AH$163</f>
        <v>0.74999995281607168</v>
      </c>
      <c r="AI289" s="28">
        <f t="shared" si="204"/>
        <v>0.79999996670461337</v>
      </c>
      <c r="AJ289" s="28">
        <f t="shared" si="204"/>
        <v>1.1499999595409041</v>
      </c>
      <c r="AK289" s="28">
        <f t="shared" si="204"/>
        <v>1.1999999324289057</v>
      </c>
      <c r="AL289" s="28">
        <f t="shared" si="204"/>
        <v>1.0642699632320962</v>
      </c>
      <c r="AM289" s="29">
        <f t="shared" si="204"/>
        <v>0</v>
      </c>
      <c r="AN289" s="30">
        <f t="shared" si="204"/>
        <v>0.49472071109567017</v>
      </c>
      <c r="AO289" s="31">
        <f t="shared" si="204"/>
        <v>0</v>
      </c>
      <c r="AP289" s="31">
        <f t="shared" si="204"/>
        <v>0</v>
      </c>
      <c r="AQ289" s="32">
        <f t="shared" si="204"/>
        <v>0</v>
      </c>
      <c r="AR289" s="32">
        <f t="shared" si="204"/>
        <v>0</v>
      </c>
      <c r="AS289" s="32">
        <f t="shared" si="204"/>
        <v>0</v>
      </c>
      <c r="AT289" s="33">
        <f t="shared" si="204"/>
        <v>0</v>
      </c>
      <c r="AU289" s="33">
        <f t="shared" si="204"/>
        <v>0</v>
      </c>
      <c r="AV289" s="34" t="e">
        <f t="shared" si="196"/>
        <v>#DIV/0!</v>
      </c>
      <c r="AW289" s="34" t="e">
        <f t="shared" si="196"/>
        <v>#DIV/0!</v>
      </c>
      <c r="AX289" s="35" t="e">
        <f t="shared" si="197"/>
        <v>#NUM!</v>
      </c>
      <c r="AY289" s="35" t="e">
        <f t="shared" si="197"/>
        <v>#NUM!</v>
      </c>
    </row>
    <row r="290" spans="6:51" x14ac:dyDescent="0.3">
      <c r="F290">
        <v>48</v>
      </c>
      <c r="G290" s="28"/>
      <c r="H290" s="28"/>
      <c r="I290" s="28"/>
      <c r="J290" s="28"/>
      <c r="K290" s="28"/>
      <c r="L290" s="29"/>
      <c r="M290" s="30"/>
      <c r="N290" s="31"/>
      <c r="O290" s="31"/>
      <c r="P290" s="32"/>
      <c r="Q290" s="32"/>
      <c r="R290" s="32"/>
      <c r="S290" s="33"/>
      <c r="T290" s="33"/>
      <c r="U290" s="34"/>
      <c r="V290" s="34"/>
      <c r="W290" s="35"/>
      <c r="X290" s="35"/>
      <c r="AG290">
        <f t="shared" si="153"/>
        <v>47.791322808443105</v>
      </c>
      <c r="AH290" s="28">
        <f t="shared" ref="AH290:AU290" si="205">AH218*AH$163</f>
        <v>0.74999996279676329</v>
      </c>
      <c r="AI290" s="28">
        <f t="shared" si="205"/>
        <v>0.79999997428661929</v>
      </c>
      <c r="AJ290" s="28">
        <f t="shared" si="205"/>
        <v>1.14999997110249</v>
      </c>
      <c r="AK290" s="28">
        <f t="shared" si="205"/>
        <v>1.1999999472821861</v>
      </c>
      <c r="AL290" s="28">
        <f t="shared" si="205"/>
        <v>1.0731345473693601</v>
      </c>
      <c r="AM290" s="29">
        <f t="shared" si="205"/>
        <v>0</v>
      </c>
      <c r="AN290" s="30">
        <f t="shared" si="205"/>
        <v>0.49527413259724484</v>
      </c>
      <c r="AO290" s="31">
        <f t="shared" si="205"/>
        <v>0</v>
      </c>
      <c r="AP290" s="31">
        <f t="shared" si="205"/>
        <v>0</v>
      </c>
      <c r="AQ290" s="32">
        <f t="shared" si="205"/>
        <v>0</v>
      </c>
      <c r="AR290" s="32">
        <f t="shared" si="205"/>
        <v>0</v>
      </c>
      <c r="AS290" s="32">
        <f t="shared" si="205"/>
        <v>0</v>
      </c>
      <c r="AT290" s="33">
        <f t="shared" si="205"/>
        <v>0</v>
      </c>
      <c r="AU290" s="33">
        <f t="shared" si="205"/>
        <v>0</v>
      </c>
      <c r="AV290" s="34" t="e">
        <f t="shared" si="196"/>
        <v>#DIV/0!</v>
      </c>
      <c r="AW290" s="34" t="e">
        <f t="shared" si="196"/>
        <v>#DIV/0!</v>
      </c>
      <c r="AX290" s="35" t="e">
        <f t="shared" si="197"/>
        <v>#NUM!</v>
      </c>
      <c r="AY290" s="35" t="e">
        <f t="shared" si="197"/>
        <v>#NUM!</v>
      </c>
    </row>
    <row r="291" spans="6:51" x14ac:dyDescent="0.3">
      <c r="F291">
        <v>49</v>
      </c>
      <c r="G291" s="28"/>
      <c r="H291" s="28"/>
      <c r="I291" s="28"/>
      <c r="J291" s="28"/>
      <c r="K291" s="28"/>
      <c r="L291" s="29"/>
      <c r="M291" s="30"/>
      <c r="N291" s="31"/>
      <c r="O291" s="31"/>
      <c r="P291" s="32"/>
      <c r="Q291" s="32"/>
      <c r="R291" s="32"/>
      <c r="S291" s="33"/>
      <c r="T291" s="33"/>
      <c r="U291" s="34"/>
      <c r="V291" s="34"/>
      <c r="W291" s="35"/>
      <c r="X291" s="35"/>
      <c r="AG291">
        <f t="shared" si="153"/>
        <v>48.699202568119411</v>
      </c>
      <c r="AH291" s="28">
        <f t="shared" ref="AH291:AU291" si="206">AH219*AH$163</f>
        <v>0.74999996978447647</v>
      </c>
      <c r="AI291" s="28">
        <f t="shared" si="206"/>
        <v>0.79999997962959646</v>
      </c>
      <c r="AJ291" s="28">
        <f t="shared" si="206"/>
        <v>1.1499999786085748</v>
      </c>
      <c r="AK291" s="28">
        <f t="shared" si="206"/>
        <v>1.1999999578401777</v>
      </c>
      <c r="AL291" s="28">
        <f t="shared" si="206"/>
        <v>1.08036614852785</v>
      </c>
      <c r="AM291" s="29">
        <f t="shared" si="206"/>
        <v>0</v>
      </c>
      <c r="AN291" s="30">
        <f t="shared" si="206"/>
        <v>0.49572390749417627</v>
      </c>
      <c r="AO291" s="31">
        <f t="shared" si="206"/>
        <v>0</v>
      </c>
      <c r="AP291" s="31">
        <f t="shared" si="206"/>
        <v>0</v>
      </c>
      <c r="AQ291" s="32">
        <f t="shared" si="206"/>
        <v>0</v>
      </c>
      <c r="AR291" s="32">
        <f t="shared" si="206"/>
        <v>0</v>
      </c>
      <c r="AS291" s="32">
        <f t="shared" si="206"/>
        <v>0</v>
      </c>
      <c r="AT291" s="33">
        <f t="shared" si="206"/>
        <v>0</v>
      </c>
      <c r="AU291" s="33">
        <f t="shared" si="206"/>
        <v>0</v>
      </c>
      <c r="AV291" s="34" t="e">
        <f t="shared" si="196"/>
        <v>#DIV/0!</v>
      </c>
      <c r="AW291" s="34" t="e">
        <f t="shared" si="196"/>
        <v>#DIV/0!</v>
      </c>
      <c r="AX291" s="35" t="e">
        <f t="shared" si="197"/>
        <v>#NUM!</v>
      </c>
      <c r="AY291" s="35" t="e">
        <f t="shared" si="197"/>
        <v>#NUM!</v>
      </c>
    </row>
    <row r="292" spans="6:51" x14ac:dyDescent="0.3">
      <c r="F292">
        <v>50</v>
      </c>
      <c r="G292" s="28"/>
      <c r="H292" s="28"/>
      <c r="I292" s="28"/>
      <c r="J292" s="28"/>
      <c r="K292" s="28"/>
      <c r="L292" s="29"/>
      <c r="M292" s="30"/>
      <c r="N292" s="31"/>
      <c r="O292" s="31"/>
      <c r="P292" s="32"/>
      <c r="Q292" s="32"/>
      <c r="R292" s="32"/>
      <c r="S292" s="33"/>
      <c r="T292" s="33"/>
      <c r="U292" s="34"/>
      <c r="V292" s="34"/>
      <c r="W292" s="35"/>
      <c r="X292" s="35"/>
      <c r="AG292">
        <f t="shared" si="153"/>
        <v>49.535774030139265</v>
      </c>
      <c r="AH292" s="28">
        <f t="shared" ref="AH292:AU292" si="207">AH220*AH$163</f>
        <v>0.74999997483108927</v>
      </c>
      <c r="AI292" s="28">
        <f t="shared" si="207"/>
        <v>0.79999998349292856</v>
      </c>
      <c r="AJ292" s="28">
        <f t="shared" si="207"/>
        <v>1.1499999836590444</v>
      </c>
      <c r="AK292" s="28">
        <f t="shared" si="207"/>
        <v>1.1999999655358589</v>
      </c>
      <c r="AL292" s="28">
        <f t="shared" si="207"/>
        <v>1.0863388998633148</v>
      </c>
      <c r="AM292" s="29">
        <f t="shared" si="207"/>
        <v>0</v>
      </c>
      <c r="AN292" s="30">
        <f t="shared" si="207"/>
        <v>0.49609366086826984</v>
      </c>
      <c r="AO292" s="31">
        <f t="shared" si="207"/>
        <v>0</v>
      </c>
      <c r="AP292" s="31">
        <f t="shared" si="207"/>
        <v>0</v>
      </c>
      <c r="AQ292" s="32">
        <f t="shared" si="207"/>
        <v>0</v>
      </c>
      <c r="AR292" s="32">
        <f t="shared" si="207"/>
        <v>0</v>
      </c>
      <c r="AS292" s="32">
        <f t="shared" si="207"/>
        <v>0</v>
      </c>
      <c r="AT292" s="33">
        <f t="shared" si="207"/>
        <v>0</v>
      </c>
      <c r="AU292" s="33">
        <f t="shared" si="207"/>
        <v>0</v>
      </c>
      <c r="AV292" s="34" t="e">
        <f t="shared" si="196"/>
        <v>#DIV/0!</v>
      </c>
      <c r="AW292" s="34" t="e">
        <f t="shared" si="196"/>
        <v>#DIV/0!</v>
      </c>
      <c r="AX292" s="35" t="e">
        <f t="shared" si="197"/>
        <v>#NUM!</v>
      </c>
      <c r="AY292" s="35" t="e">
        <f t="shared" si="197"/>
        <v>#NUM!</v>
      </c>
    </row>
    <row r="293" spans="6:51" x14ac:dyDescent="0.3">
      <c r="F293">
        <v>51</v>
      </c>
      <c r="G293" s="28"/>
      <c r="H293" s="28"/>
      <c r="I293" s="28"/>
      <c r="J293" s="28"/>
      <c r="K293" s="28"/>
      <c r="L293" s="29"/>
      <c r="M293" s="30"/>
      <c r="N293" s="31"/>
      <c r="O293" s="31"/>
      <c r="P293" s="32"/>
      <c r="Q293" s="32"/>
      <c r="R293" s="32"/>
      <c r="S293" s="33"/>
      <c r="T293" s="33"/>
      <c r="U293" s="34"/>
      <c r="V293" s="34"/>
      <c r="W293" s="35"/>
      <c r="X293" s="35"/>
      <c r="AG293">
        <f t="shared" si="153"/>
        <v>50.306638016924872</v>
      </c>
      <c r="AH293" s="28">
        <f t="shared" ref="AH293:AU293" si="208">AH221*AH$163</f>
        <v>0.74999997857519296</v>
      </c>
      <c r="AI293" s="28">
        <f t="shared" si="208"/>
        <v>0.79999998635125702</v>
      </c>
      <c r="AJ293" s="28">
        <f t="shared" si="208"/>
        <v>1.1499999871663673</v>
      </c>
      <c r="AK293" s="28">
        <f t="shared" si="208"/>
        <v>1.1999999712720895</v>
      </c>
      <c r="AL293" s="28">
        <f t="shared" si="208"/>
        <v>1.0913257860042962</v>
      </c>
      <c r="AM293" s="29">
        <f t="shared" si="208"/>
        <v>0</v>
      </c>
      <c r="AN293" s="30">
        <f t="shared" si="208"/>
        <v>0.49640078370497026</v>
      </c>
      <c r="AO293" s="31">
        <f t="shared" si="208"/>
        <v>0</v>
      </c>
      <c r="AP293" s="31">
        <f t="shared" si="208"/>
        <v>0</v>
      </c>
      <c r="AQ293" s="32">
        <f t="shared" si="208"/>
        <v>0</v>
      </c>
      <c r="AR293" s="32">
        <f t="shared" si="208"/>
        <v>0</v>
      </c>
      <c r="AS293" s="32">
        <f t="shared" si="208"/>
        <v>0</v>
      </c>
      <c r="AT293" s="33">
        <f t="shared" si="208"/>
        <v>0</v>
      </c>
      <c r="AU293" s="33">
        <f t="shared" si="208"/>
        <v>0</v>
      </c>
      <c r="AV293" s="34" t="e">
        <f t="shared" si="196"/>
        <v>#DIV/0!</v>
      </c>
      <c r="AW293" s="34" t="e">
        <f t="shared" si="196"/>
        <v>#DIV/0!</v>
      </c>
      <c r="AX293" s="35" t="e">
        <f t="shared" si="197"/>
        <v>#NUM!</v>
      </c>
      <c r="AY293" s="35" t="e">
        <f t="shared" si="197"/>
        <v>#NUM!</v>
      </c>
    </row>
    <row r="294" spans="6:51" x14ac:dyDescent="0.3">
      <c r="F294">
        <v>52</v>
      </c>
      <c r="G294" s="28"/>
      <c r="H294" s="28"/>
      <c r="I294" s="28"/>
      <c r="J294" s="28"/>
      <c r="K294" s="28"/>
      <c r="L294" s="29"/>
      <c r="M294" s="30"/>
      <c r="N294" s="31"/>
      <c r="O294" s="31"/>
      <c r="P294" s="32"/>
      <c r="Q294" s="32"/>
      <c r="R294" s="32"/>
      <c r="S294" s="33"/>
      <c r="T294" s="33"/>
      <c r="U294" s="34"/>
      <c r="V294" s="34"/>
      <c r="W294" s="35"/>
      <c r="X294" s="35"/>
      <c r="AG294">
        <f t="shared" si="153"/>
        <v>51.016955441198782</v>
      </c>
      <c r="AH294" s="28">
        <f t="shared" ref="AH294:AU294" si="209">AH222*AH$163</f>
        <v>0.74999998141869617</v>
      </c>
      <c r="AI294" s="28">
        <f t="shared" si="209"/>
        <v>0.79999998850987064</v>
      </c>
      <c r="AJ294" s="28">
        <f t="shared" si="209"/>
        <v>1.1499999896712203</v>
      </c>
      <c r="AK294" s="28">
        <f t="shared" si="209"/>
        <v>1.1999999756339996</v>
      </c>
      <c r="AL294" s="28">
        <f t="shared" si="209"/>
        <v>1.0955296291596417</v>
      </c>
      <c r="AM294" s="29">
        <f t="shared" si="209"/>
        <v>0</v>
      </c>
      <c r="AN294" s="30">
        <f t="shared" si="209"/>
        <v>0.49665826991156553</v>
      </c>
      <c r="AO294" s="31">
        <f t="shared" si="209"/>
        <v>0</v>
      </c>
      <c r="AP294" s="31">
        <f t="shared" si="209"/>
        <v>0</v>
      </c>
      <c r="AQ294" s="32">
        <f t="shared" si="209"/>
        <v>0</v>
      </c>
      <c r="AR294" s="32">
        <f t="shared" si="209"/>
        <v>0</v>
      </c>
      <c r="AS294" s="32">
        <f t="shared" si="209"/>
        <v>0</v>
      </c>
      <c r="AT294" s="33">
        <f t="shared" si="209"/>
        <v>0</v>
      </c>
      <c r="AU294" s="33">
        <f t="shared" si="209"/>
        <v>0</v>
      </c>
      <c r="AV294" s="34" t="e">
        <f t="shared" si="196"/>
        <v>#DIV/0!</v>
      </c>
      <c r="AW294" s="34" t="e">
        <f t="shared" si="196"/>
        <v>#DIV/0!</v>
      </c>
      <c r="AX294" s="35" t="e">
        <f t="shared" si="197"/>
        <v>#NUM!</v>
      </c>
      <c r="AY294" s="35" t="e">
        <f t="shared" si="197"/>
        <v>#NUM!</v>
      </c>
    </row>
    <row r="295" spans="6:51" x14ac:dyDescent="0.3">
      <c r="F295">
        <v>53</v>
      </c>
      <c r="G295" s="28"/>
      <c r="H295" s="28"/>
      <c r="I295" s="28"/>
      <c r="J295" s="28"/>
      <c r="K295" s="28"/>
      <c r="L295" s="29"/>
      <c r="M295" s="30"/>
      <c r="N295" s="31"/>
      <c r="O295" s="31"/>
      <c r="P295" s="32"/>
      <c r="Q295" s="32"/>
      <c r="R295" s="32"/>
      <c r="S295" s="33"/>
      <c r="T295" s="33"/>
      <c r="U295" s="34"/>
      <c r="V295" s="34"/>
      <c r="W295" s="35"/>
      <c r="X295" s="35"/>
      <c r="AG295">
        <f t="shared" si="153"/>
        <v>51.671481858149477</v>
      </c>
      <c r="AH295" s="28">
        <f t="shared" ref="AH295:AU295" si="210">AH223*AH$163</f>
        <v>0.74999998362276821</v>
      </c>
      <c r="AI295" s="28">
        <f t="shared" si="210"/>
        <v>0.79999999017029955</v>
      </c>
      <c r="AJ295" s="28">
        <f t="shared" si="210"/>
        <v>1.1499999915051775</v>
      </c>
      <c r="AK295" s="28">
        <f t="shared" si="210"/>
        <v>1.1999999790106259</v>
      </c>
      <c r="AL295" s="28">
        <f t="shared" si="210"/>
        <v>1.0991036054632985</v>
      </c>
      <c r="AM295" s="29">
        <f t="shared" si="210"/>
        <v>0</v>
      </c>
      <c r="AN295" s="30">
        <f t="shared" si="210"/>
        <v>0.4968759627656637</v>
      </c>
      <c r="AO295" s="31">
        <f t="shared" si="210"/>
        <v>0</v>
      </c>
      <c r="AP295" s="31">
        <f t="shared" si="210"/>
        <v>0</v>
      </c>
      <c r="AQ295" s="32">
        <f t="shared" si="210"/>
        <v>0</v>
      </c>
      <c r="AR295" s="32">
        <f t="shared" si="210"/>
        <v>0</v>
      </c>
      <c r="AS295" s="32">
        <f t="shared" si="210"/>
        <v>0</v>
      </c>
      <c r="AT295" s="33">
        <f t="shared" si="210"/>
        <v>0</v>
      </c>
      <c r="AU295" s="33">
        <f t="shared" si="210"/>
        <v>0</v>
      </c>
      <c r="AV295" s="34" t="e">
        <f t="shared" si="196"/>
        <v>#DIV/0!</v>
      </c>
      <c r="AW295" s="34" t="e">
        <f t="shared" si="196"/>
        <v>#DIV/0!</v>
      </c>
      <c r="AX295" s="35" t="e">
        <f t="shared" si="197"/>
        <v>#NUM!</v>
      </c>
      <c r="AY295" s="35" t="e">
        <f t="shared" si="197"/>
        <v>#NUM!</v>
      </c>
    </row>
    <row r="296" spans="6:51" x14ac:dyDescent="0.3">
      <c r="F296">
        <v>54</v>
      </c>
      <c r="G296" s="28"/>
      <c r="H296" s="28"/>
      <c r="I296" s="28"/>
      <c r="J296" s="28"/>
      <c r="K296" s="28"/>
      <c r="L296" s="29"/>
      <c r="M296" s="30"/>
      <c r="N296" s="31"/>
      <c r="O296" s="31"/>
      <c r="P296" s="32"/>
      <c r="Q296" s="32"/>
      <c r="R296" s="32"/>
      <c r="S296" s="33"/>
      <c r="T296" s="33"/>
      <c r="U296" s="34"/>
      <c r="V296" s="34"/>
      <c r="W296" s="35"/>
      <c r="X296" s="35"/>
      <c r="AG296">
        <f t="shared" si="153"/>
        <v>52.274599303739727</v>
      </c>
      <c r="AH296" s="28">
        <f t="shared" ref="AH296:AU296" si="211">AH224*AH$163</f>
        <v>0.74999998536203216</v>
      </c>
      <c r="AI296" s="28">
        <f t="shared" si="211"/>
        <v>0.79999999146876088</v>
      </c>
      <c r="AJ296" s="28">
        <f t="shared" si="211"/>
        <v>1.1499999928779783</v>
      </c>
      <c r="AK296" s="28">
        <f t="shared" si="211"/>
        <v>1.1999999816667082</v>
      </c>
      <c r="AL296" s="28">
        <f t="shared" si="211"/>
        <v>1.1021651222509037</v>
      </c>
      <c r="AM296" s="29">
        <f t="shared" si="211"/>
        <v>0</v>
      </c>
      <c r="AN296" s="30">
        <f t="shared" si="211"/>
        <v>0.49706141468692439</v>
      </c>
      <c r="AO296" s="31">
        <f t="shared" si="211"/>
        <v>0</v>
      </c>
      <c r="AP296" s="31">
        <f t="shared" si="211"/>
        <v>0</v>
      </c>
      <c r="AQ296" s="32">
        <f t="shared" si="211"/>
        <v>0</v>
      </c>
      <c r="AR296" s="32">
        <f t="shared" si="211"/>
        <v>0</v>
      </c>
      <c r="AS296" s="32">
        <f t="shared" si="211"/>
        <v>0</v>
      </c>
      <c r="AT296" s="33">
        <f t="shared" si="211"/>
        <v>0</v>
      </c>
      <c r="AU296" s="33">
        <f t="shared" si="211"/>
        <v>0</v>
      </c>
      <c r="AV296" s="34" t="e">
        <f t="shared" si="196"/>
        <v>#DIV/0!</v>
      </c>
      <c r="AW296" s="34" t="e">
        <f t="shared" si="196"/>
        <v>#DIV/0!</v>
      </c>
      <c r="AX296" s="35" t="e">
        <f t="shared" si="197"/>
        <v>#NUM!</v>
      </c>
      <c r="AY296" s="35" t="e">
        <f t="shared" si="197"/>
        <v>#NUM!</v>
      </c>
    </row>
    <row r="297" spans="6:51" x14ac:dyDescent="0.3">
      <c r="F297">
        <v>55</v>
      </c>
      <c r="G297" s="28"/>
      <c r="H297" s="28"/>
      <c r="I297" s="28"/>
      <c r="J297" s="28"/>
      <c r="K297" s="28"/>
      <c r="L297" s="29"/>
      <c r="M297" s="30"/>
      <c r="N297" s="31"/>
      <c r="O297" s="31"/>
      <c r="P297" s="32"/>
      <c r="Q297" s="32"/>
      <c r="R297" s="32"/>
      <c r="S297" s="33"/>
      <c r="T297" s="33"/>
      <c r="U297" s="34"/>
      <c r="V297" s="34"/>
      <c r="W297" s="35"/>
      <c r="X297" s="35"/>
      <c r="AG297">
        <f t="shared" si="153"/>
        <v>52.830345632314121</v>
      </c>
      <c r="AH297" s="28">
        <f t="shared" ref="AH297:AU297" si="212">AH225*AH$163</f>
        <v>0.74999998675626312</v>
      </c>
      <c r="AI297" s="28">
        <f t="shared" si="212"/>
        <v>0.79999999249933151</v>
      </c>
      <c r="AJ297" s="28">
        <f t="shared" si="212"/>
        <v>1.149999993926065</v>
      </c>
      <c r="AK297" s="28">
        <f t="shared" si="212"/>
        <v>1.1999999837862581</v>
      </c>
      <c r="AL297" s="28">
        <f t="shared" si="212"/>
        <v>1.1048053893023433</v>
      </c>
      <c r="AM297" s="29">
        <f t="shared" si="212"/>
        <v>0</v>
      </c>
      <c r="AN297" s="30">
        <f t="shared" si="212"/>
        <v>0.49722048948475006</v>
      </c>
      <c r="AO297" s="31">
        <f t="shared" si="212"/>
        <v>0</v>
      </c>
      <c r="AP297" s="31">
        <f t="shared" si="212"/>
        <v>0</v>
      </c>
      <c r="AQ297" s="32">
        <f t="shared" si="212"/>
        <v>0</v>
      </c>
      <c r="AR297" s="32">
        <f t="shared" si="212"/>
        <v>0</v>
      </c>
      <c r="AS297" s="32">
        <f t="shared" si="212"/>
        <v>0</v>
      </c>
      <c r="AT297" s="33">
        <f t="shared" si="212"/>
        <v>0</v>
      </c>
      <c r="AU297" s="33">
        <f t="shared" si="212"/>
        <v>0</v>
      </c>
      <c r="AV297" s="34" t="e">
        <f t="shared" si="196"/>
        <v>#DIV/0!</v>
      </c>
      <c r="AW297" s="34" t="e">
        <f t="shared" si="196"/>
        <v>#DIV/0!</v>
      </c>
      <c r="AX297" s="35" t="e">
        <f t="shared" si="197"/>
        <v>#NUM!</v>
      </c>
      <c r="AY297" s="35" t="e">
        <f t="shared" si="197"/>
        <v>#NUM!</v>
      </c>
    </row>
    <row r="298" spans="6:51" x14ac:dyDescent="0.3">
      <c r="F298">
        <v>56</v>
      </c>
      <c r="G298" s="28"/>
      <c r="H298" s="28"/>
      <c r="I298" s="28"/>
      <c r="J298" s="28"/>
      <c r="K298" s="28"/>
      <c r="L298" s="29"/>
      <c r="M298" s="30"/>
      <c r="N298" s="31"/>
      <c r="O298" s="31"/>
      <c r="P298" s="32"/>
      <c r="Q298" s="32"/>
      <c r="R298" s="32"/>
      <c r="S298" s="33"/>
      <c r="T298" s="33"/>
      <c r="U298" s="34"/>
      <c r="V298" s="34"/>
      <c r="W298" s="35"/>
      <c r="X298" s="35"/>
      <c r="AG298">
        <f t="shared" si="153"/>
        <v>53.342441549920437</v>
      </c>
      <c r="AH298" s="28">
        <f t="shared" ref="AH298:AU298" si="213">AH226*AH$163</f>
        <v>0.74999998788952149</v>
      </c>
      <c r="AI298" s="28">
        <f t="shared" si="213"/>
        <v>0.79999999332827754</v>
      </c>
      <c r="AJ298" s="28">
        <f t="shared" si="213"/>
        <v>1.1499999947404811</v>
      </c>
      <c r="AK298" s="28">
        <f t="shared" si="213"/>
        <v>1.1999999854996759</v>
      </c>
      <c r="AL298" s="28">
        <f t="shared" si="213"/>
        <v>1.1070961388565643</v>
      </c>
      <c r="AM298" s="29">
        <f t="shared" si="213"/>
        <v>0</v>
      </c>
      <c r="AN298" s="30">
        <f t="shared" si="213"/>
        <v>0.49735779033257821</v>
      </c>
      <c r="AO298" s="31">
        <f t="shared" si="213"/>
        <v>0</v>
      </c>
      <c r="AP298" s="31">
        <f t="shared" si="213"/>
        <v>0</v>
      </c>
      <c r="AQ298" s="32">
        <f t="shared" si="213"/>
        <v>0</v>
      </c>
      <c r="AR298" s="32">
        <f t="shared" si="213"/>
        <v>0</v>
      </c>
      <c r="AS298" s="32">
        <f t="shared" si="213"/>
        <v>0</v>
      </c>
      <c r="AT298" s="33">
        <f t="shared" si="213"/>
        <v>0</v>
      </c>
      <c r="AU298" s="33">
        <f t="shared" si="213"/>
        <v>0</v>
      </c>
      <c r="AV298" s="34" t="e">
        <f t="shared" si="196"/>
        <v>#DIV/0!</v>
      </c>
      <c r="AW298" s="34" t="e">
        <f t="shared" si="196"/>
        <v>#DIV/0!</v>
      </c>
      <c r="AX298" s="35" t="e">
        <f t="shared" si="197"/>
        <v>#NUM!</v>
      </c>
      <c r="AY298" s="35" t="e">
        <f t="shared" si="197"/>
        <v>#NUM!</v>
      </c>
    </row>
    <row r="299" spans="6:51" x14ac:dyDescent="0.3">
      <c r="F299">
        <v>57</v>
      </c>
      <c r="G299" s="28"/>
      <c r="H299" s="28"/>
      <c r="I299" s="28"/>
      <c r="J299" s="28"/>
      <c r="K299" s="28"/>
      <c r="L299" s="29"/>
      <c r="M299" s="30"/>
      <c r="N299" s="31"/>
      <c r="O299" s="31"/>
      <c r="P299" s="32"/>
      <c r="Q299" s="32"/>
      <c r="R299" s="32"/>
      <c r="S299" s="33"/>
      <c r="T299" s="33"/>
      <c r="U299" s="34"/>
      <c r="V299" s="34"/>
      <c r="W299" s="35"/>
      <c r="X299" s="35"/>
      <c r="AG299">
        <f t="shared" si="153"/>
        <v>53.814315524332059</v>
      </c>
      <c r="AH299" s="28">
        <f t="shared" ref="AH299:AU299" si="214">AH227*AH$163</f>
        <v>0.74999998882203522</v>
      </c>
      <c r="AI299" s="28">
        <f t="shared" si="214"/>
        <v>0.79999999400312605</v>
      </c>
      <c r="AJ299" s="28">
        <f t="shared" si="214"/>
        <v>1.1499999953833961</v>
      </c>
      <c r="AK299" s="28">
        <f t="shared" si="214"/>
        <v>1.1999999869010223</v>
      </c>
      <c r="AL299" s="28">
        <f t="shared" si="214"/>
        <v>1.1090944214741463</v>
      </c>
      <c r="AM299" s="29">
        <f t="shared" si="214"/>
        <v>0</v>
      </c>
      <c r="AN299" s="30">
        <f t="shared" si="214"/>
        <v>0.49747696802255031</v>
      </c>
      <c r="AO299" s="31">
        <f t="shared" si="214"/>
        <v>0</v>
      </c>
      <c r="AP299" s="31">
        <f t="shared" si="214"/>
        <v>0</v>
      </c>
      <c r="AQ299" s="32">
        <f t="shared" si="214"/>
        <v>0</v>
      </c>
      <c r="AR299" s="32">
        <f t="shared" si="214"/>
        <v>0</v>
      </c>
      <c r="AS299" s="32">
        <f t="shared" si="214"/>
        <v>0</v>
      </c>
      <c r="AT299" s="33">
        <f t="shared" si="214"/>
        <v>0</v>
      </c>
      <c r="AU299" s="33">
        <f t="shared" si="214"/>
        <v>0</v>
      </c>
      <c r="AV299" s="34" t="e">
        <f t="shared" si="196"/>
        <v>#DIV/0!</v>
      </c>
      <c r="AW299" s="34" t="e">
        <f t="shared" si="196"/>
        <v>#DIV/0!</v>
      </c>
      <c r="AX299" s="35" t="e">
        <f t="shared" si="197"/>
        <v>#NUM!</v>
      </c>
      <c r="AY299" s="35" t="e">
        <f t="shared" si="197"/>
        <v>#NUM!</v>
      </c>
    </row>
    <row r="300" spans="6:51" x14ac:dyDescent="0.3">
      <c r="F300">
        <v>58</v>
      </c>
      <c r="G300" s="28"/>
      <c r="H300" s="28"/>
      <c r="I300" s="28"/>
      <c r="J300" s="28"/>
      <c r="K300" s="28"/>
      <c r="L300" s="29"/>
      <c r="M300" s="30"/>
      <c r="N300" s="31"/>
      <c r="O300" s="31"/>
      <c r="P300" s="32"/>
      <c r="Q300" s="32"/>
      <c r="R300" s="32"/>
      <c r="S300" s="33"/>
      <c r="T300" s="33"/>
      <c r="U300" s="34"/>
      <c r="V300" s="34"/>
      <c r="W300" s="35"/>
      <c r="X300" s="35"/>
      <c r="AG300">
        <f t="shared" si="153"/>
        <v>54.249126738543261</v>
      </c>
      <c r="AH300" s="28">
        <f t="shared" ref="AH300:AU300" si="215">AH228*AH$163</f>
        <v>0.74999998959777281</v>
      </c>
      <c r="AI300" s="28">
        <f t="shared" si="215"/>
        <v>0.79999999455853454</v>
      </c>
      <c r="AJ300" s="28">
        <f t="shared" si="215"/>
        <v>1.1499999958981664</v>
      </c>
      <c r="AK300" s="28">
        <f t="shared" si="215"/>
        <v>1.1999999880592598</v>
      </c>
      <c r="AL300" s="28">
        <f t="shared" si="215"/>
        <v>1.1108460804692266</v>
      </c>
      <c r="AM300" s="29">
        <f t="shared" si="215"/>
        <v>0</v>
      </c>
      <c r="AN300" s="30">
        <f t="shared" si="215"/>
        <v>0.49758094580886236</v>
      </c>
      <c r="AO300" s="31">
        <f t="shared" si="215"/>
        <v>0</v>
      </c>
      <c r="AP300" s="31">
        <f t="shared" si="215"/>
        <v>0</v>
      </c>
      <c r="AQ300" s="32">
        <f t="shared" si="215"/>
        <v>0</v>
      </c>
      <c r="AR300" s="32">
        <f t="shared" si="215"/>
        <v>0</v>
      </c>
      <c r="AS300" s="32">
        <f t="shared" si="215"/>
        <v>0</v>
      </c>
      <c r="AT300" s="33">
        <f t="shared" si="215"/>
        <v>0</v>
      </c>
      <c r="AU300" s="33">
        <f t="shared" si="215"/>
        <v>0</v>
      </c>
      <c r="AV300" s="34" t="e">
        <f t="shared" si="196"/>
        <v>#DIV/0!</v>
      </c>
      <c r="AW300" s="34" t="e">
        <f t="shared" si="196"/>
        <v>#DIV/0!</v>
      </c>
      <c r="AX300" s="35" t="e">
        <f t="shared" si="197"/>
        <v>#NUM!</v>
      </c>
      <c r="AY300" s="35" t="e">
        <f t="shared" si="197"/>
        <v>#NUM!</v>
      </c>
    </row>
    <row r="301" spans="6:51" x14ac:dyDescent="0.3">
      <c r="F301">
        <v>59</v>
      </c>
      <c r="G301" s="28"/>
      <c r="H301" s="28"/>
      <c r="I301" s="28"/>
      <c r="J301" s="28"/>
      <c r="K301" s="28"/>
      <c r="L301" s="29"/>
      <c r="M301" s="30"/>
      <c r="N301" s="31"/>
      <c r="O301" s="31"/>
      <c r="P301" s="32"/>
      <c r="Q301" s="32"/>
      <c r="R301" s="32"/>
      <c r="S301" s="33"/>
      <c r="T301" s="33"/>
      <c r="U301" s="34"/>
      <c r="V301" s="34"/>
      <c r="W301" s="35"/>
      <c r="X301" s="35"/>
      <c r="AG301">
        <f t="shared" si="153"/>
        <v>54.649786241410681</v>
      </c>
      <c r="AH301" s="28">
        <f t="shared" ref="AH301:AU301" si="216">AH229*AH$163</f>
        <v>0.74999999024938246</v>
      </c>
      <c r="AI301" s="28">
        <f t="shared" si="216"/>
        <v>0.79999999502016517</v>
      </c>
      <c r="AJ301" s="28">
        <f t="shared" si="216"/>
        <v>1.149999996315614</v>
      </c>
      <c r="AK301" s="28">
        <f t="shared" si="216"/>
        <v>1.199999989025714</v>
      </c>
      <c r="AL301" s="28">
        <f t="shared" si="216"/>
        <v>1.1123883040718772</v>
      </c>
      <c r="AM301" s="29">
        <f t="shared" si="216"/>
        <v>0</v>
      </c>
      <c r="AN301" s="30">
        <f t="shared" si="216"/>
        <v>0.49767208536116347</v>
      </c>
      <c r="AO301" s="31">
        <f t="shared" si="216"/>
        <v>0</v>
      </c>
      <c r="AP301" s="31">
        <f t="shared" si="216"/>
        <v>0</v>
      </c>
      <c r="AQ301" s="32">
        <f t="shared" si="216"/>
        <v>0</v>
      </c>
      <c r="AR301" s="32">
        <f t="shared" si="216"/>
        <v>0</v>
      </c>
      <c r="AS301" s="32">
        <f t="shared" si="216"/>
        <v>0</v>
      </c>
      <c r="AT301" s="33">
        <f t="shared" si="216"/>
        <v>0</v>
      </c>
      <c r="AU301" s="33">
        <f t="shared" si="216"/>
        <v>0</v>
      </c>
      <c r="AV301" s="34" t="e">
        <f t="shared" si="196"/>
        <v>#DIV/0!</v>
      </c>
      <c r="AW301" s="34" t="e">
        <f t="shared" si="196"/>
        <v>#DIV/0!</v>
      </c>
      <c r="AX301" s="35" t="e">
        <f t="shared" si="197"/>
        <v>#NUM!</v>
      </c>
      <c r="AY301" s="35" t="e">
        <f t="shared" si="197"/>
        <v>#NUM!</v>
      </c>
    </row>
    <row r="302" spans="6:51" x14ac:dyDescent="0.3">
      <c r="F302">
        <v>60</v>
      </c>
      <c r="G302" s="28"/>
      <c r="H302" s="28"/>
      <c r="I302" s="28"/>
      <c r="J302" s="28"/>
      <c r="K302" s="28"/>
      <c r="L302" s="29"/>
      <c r="M302" s="30"/>
      <c r="N302" s="31"/>
      <c r="O302" s="31"/>
      <c r="P302" s="32"/>
      <c r="Q302" s="32"/>
      <c r="R302" s="32"/>
      <c r="S302" s="33"/>
      <c r="T302" s="33"/>
      <c r="U302" s="34"/>
      <c r="V302" s="34"/>
      <c r="W302" s="35"/>
      <c r="X302" s="35"/>
      <c r="AG302">
        <f t="shared" si="153"/>
        <v>55.01897643704347</v>
      </c>
      <c r="AH302" s="28">
        <f t="shared" ref="AH302:AU302" si="217">AH230*AH$163</f>
        <v>0.74999999080148583</v>
      </c>
      <c r="AI302" s="28">
        <f t="shared" si="217"/>
        <v>0.79999999540728939</v>
      </c>
      <c r="AJ302" s="28">
        <f t="shared" si="217"/>
        <v>1.1499999966580416</v>
      </c>
      <c r="AK302" s="28">
        <f t="shared" si="217"/>
        <v>1.1999999898391156</v>
      </c>
      <c r="AL302" s="28">
        <f t="shared" si="217"/>
        <v>1.1137515242340912</v>
      </c>
      <c r="AM302" s="29">
        <f t="shared" si="217"/>
        <v>0</v>
      </c>
      <c r="AN302" s="30">
        <f t="shared" si="217"/>
        <v>0.49775231061903957</v>
      </c>
      <c r="AO302" s="31">
        <f t="shared" si="217"/>
        <v>0</v>
      </c>
      <c r="AP302" s="31">
        <f t="shared" si="217"/>
        <v>0</v>
      </c>
      <c r="AQ302" s="32">
        <f t="shared" si="217"/>
        <v>0</v>
      </c>
      <c r="AR302" s="32">
        <f t="shared" si="217"/>
        <v>0</v>
      </c>
      <c r="AS302" s="32">
        <f t="shared" si="217"/>
        <v>0</v>
      </c>
      <c r="AT302" s="33">
        <f t="shared" si="217"/>
        <v>0</v>
      </c>
      <c r="AU302" s="33">
        <f t="shared" si="217"/>
        <v>0</v>
      </c>
      <c r="AV302" s="34" t="e">
        <f t="shared" ref="AV302:AW312" si="218">$C$5/100*AV$163*AV230</f>
        <v>#DIV/0!</v>
      </c>
      <c r="AW302" s="34" t="e">
        <f t="shared" si="218"/>
        <v>#DIV/0!</v>
      </c>
      <c r="AX302" s="35" t="e">
        <f t="shared" ref="AX302:AY312" si="219">AX230*AX$163</f>
        <v>#NUM!</v>
      </c>
      <c r="AY302" s="35" t="e">
        <f t="shared" si="219"/>
        <v>#NUM!</v>
      </c>
    </row>
    <row r="303" spans="6:51" x14ac:dyDescent="0.3">
      <c r="F303">
        <v>61</v>
      </c>
      <c r="G303" s="28"/>
      <c r="H303" s="28"/>
      <c r="I303" s="28"/>
      <c r="J303" s="28"/>
      <c r="K303" s="28"/>
      <c r="L303" s="29"/>
      <c r="M303" s="30"/>
      <c r="N303" s="31"/>
      <c r="O303" s="31"/>
      <c r="P303" s="32"/>
      <c r="Q303" s="32"/>
      <c r="R303" s="32"/>
      <c r="S303" s="33"/>
      <c r="T303" s="33"/>
      <c r="U303" s="34"/>
      <c r="V303" s="34"/>
      <c r="W303" s="35"/>
      <c r="X303" s="35"/>
      <c r="AG303">
        <f t="shared" si="153"/>
        <v>55.359169043423464</v>
      </c>
      <c r="AH303" s="28">
        <f t="shared" ref="AH303:AU303" si="220">AH231*AH$163</f>
        <v>0.74999999127291606</v>
      </c>
      <c r="AI303" s="28">
        <f t="shared" si="220"/>
        <v>0.79999999573456948</v>
      </c>
      <c r="AJ303" s="28">
        <f t="shared" si="220"/>
        <v>1.1499999969418486</v>
      </c>
      <c r="AK303" s="28">
        <f t="shared" si="220"/>
        <v>1.1999999905290677</v>
      </c>
      <c r="AL303" s="28">
        <f t="shared" si="220"/>
        <v>1.1149608461432303</v>
      </c>
      <c r="AM303" s="29">
        <f t="shared" si="220"/>
        <v>0</v>
      </c>
      <c r="AN303" s="30">
        <f t="shared" si="220"/>
        <v>0.49782320119593559</v>
      </c>
      <c r="AO303" s="31">
        <f t="shared" si="220"/>
        <v>0</v>
      </c>
      <c r="AP303" s="31">
        <f t="shared" si="220"/>
        <v>0</v>
      </c>
      <c r="AQ303" s="32">
        <f t="shared" si="220"/>
        <v>0</v>
      </c>
      <c r="AR303" s="32">
        <f t="shared" si="220"/>
        <v>0</v>
      </c>
      <c r="AS303" s="32">
        <f t="shared" si="220"/>
        <v>0</v>
      </c>
      <c r="AT303" s="33">
        <f t="shared" si="220"/>
        <v>0</v>
      </c>
      <c r="AU303" s="33">
        <f t="shared" si="220"/>
        <v>0</v>
      </c>
      <c r="AV303" s="34" t="e">
        <f t="shared" si="218"/>
        <v>#DIV/0!</v>
      </c>
      <c r="AW303" s="34" t="e">
        <f t="shared" si="218"/>
        <v>#DIV/0!</v>
      </c>
      <c r="AX303" s="35" t="e">
        <f t="shared" si="219"/>
        <v>#NUM!</v>
      </c>
      <c r="AY303" s="35" t="e">
        <f t="shared" si="219"/>
        <v>#NUM!</v>
      </c>
    </row>
    <row r="304" spans="6:51" x14ac:dyDescent="0.3">
      <c r="F304">
        <v>62</v>
      </c>
      <c r="G304" s="28"/>
      <c r="H304" s="28"/>
      <c r="I304" s="28"/>
      <c r="J304" s="28"/>
      <c r="K304" s="28"/>
      <c r="L304" s="29"/>
      <c r="M304" s="30"/>
      <c r="N304" s="31"/>
      <c r="O304" s="31"/>
      <c r="P304" s="32"/>
      <c r="Q304" s="32"/>
      <c r="R304" s="32"/>
      <c r="S304" s="33"/>
      <c r="T304" s="33"/>
      <c r="U304" s="34"/>
      <c r="V304" s="34"/>
      <c r="W304" s="35"/>
      <c r="X304" s="35"/>
      <c r="AG304">
        <f t="shared" si="153"/>
        <v>55.672641640487548</v>
      </c>
      <c r="AH304" s="28">
        <f t="shared" ref="AH304:AU304" si="221">AH232*AH$163</f>
        <v>0.74999999167826692</v>
      </c>
      <c r="AI304" s="28">
        <f t="shared" si="221"/>
        <v>0.79999999601329663</v>
      </c>
      <c r="AJ304" s="28">
        <f t="shared" si="221"/>
        <v>1.1499999971792765</v>
      </c>
      <c r="AK304" s="28">
        <f t="shared" si="221"/>
        <v>1.1999999911184676</v>
      </c>
      <c r="AL304" s="28">
        <f t="shared" si="221"/>
        <v>1.116037136301163</v>
      </c>
      <c r="AM304" s="29">
        <f t="shared" si="221"/>
        <v>0</v>
      </c>
      <c r="AN304" s="30">
        <f t="shared" si="221"/>
        <v>0.4978860635131655</v>
      </c>
      <c r="AO304" s="31">
        <f t="shared" si="221"/>
        <v>0</v>
      </c>
      <c r="AP304" s="31">
        <f t="shared" si="221"/>
        <v>0</v>
      </c>
      <c r="AQ304" s="32">
        <f t="shared" si="221"/>
        <v>0</v>
      </c>
      <c r="AR304" s="32">
        <f t="shared" si="221"/>
        <v>0</v>
      </c>
      <c r="AS304" s="32">
        <f t="shared" si="221"/>
        <v>0</v>
      </c>
      <c r="AT304" s="33">
        <f t="shared" si="221"/>
        <v>0</v>
      </c>
      <c r="AU304" s="33">
        <f t="shared" si="221"/>
        <v>0</v>
      </c>
      <c r="AV304" s="34" t="e">
        <f t="shared" si="218"/>
        <v>#DIV/0!</v>
      </c>
      <c r="AW304" s="34" t="e">
        <f t="shared" si="218"/>
        <v>#DIV/0!</v>
      </c>
      <c r="AX304" s="35" t="e">
        <f t="shared" si="219"/>
        <v>#NUM!</v>
      </c>
      <c r="AY304" s="35" t="e">
        <f t="shared" si="219"/>
        <v>#NUM!</v>
      </c>
    </row>
    <row r="305" spans="5:51" x14ac:dyDescent="0.3">
      <c r="F305">
        <v>63</v>
      </c>
      <c r="G305" s="28"/>
      <c r="H305" s="28"/>
      <c r="I305" s="28"/>
      <c r="J305" s="28"/>
      <c r="K305" s="28"/>
      <c r="L305" s="29"/>
      <c r="M305" s="30"/>
      <c r="N305" s="31"/>
      <c r="O305" s="31"/>
      <c r="P305" s="32"/>
      <c r="Q305" s="32"/>
      <c r="R305" s="32"/>
      <c r="S305" s="33"/>
      <c r="T305" s="33"/>
      <c r="U305" s="34"/>
      <c r="V305" s="34"/>
      <c r="W305" s="35"/>
      <c r="X305" s="35"/>
      <c r="AG305">
        <f t="shared" si="153"/>
        <v>55.961492918461353</v>
      </c>
      <c r="AH305" s="28">
        <f t="shared" ref="AH305:AU305" si="222">AH233*AH$163</f>
        <v>0.7499999920289826</v>
      </c>
      <c r="AI305" s="28">
        <f t="shared" si="222"/>
        <v>0.79999999625226459</v>
      </c>
      <c r="AJ305" s="28">
        <f t="shared" si="222"/>
        <v>1.1499999973795878</v>
      </c>
      <c r="AK305" s="28">
        <f t="shared" si="222"/>
        <v>1.1999999916252209</v>
      </c>
      <c r="AL305" s="28">
        <f t="shared" si="222"/>
        <v>1.1169978592120025</v>
      </c>
      <c r="AM305" s="29">
        <f t="shared" si="222"/>
        <v>0</v>
      </c>
      <c r="AN305" s="30">
        <f t="shared" si="222"/>
        <v>0.49794198547634705</v>
      </c>
      <c r="AO305" s="31">
        <f t="shared" si="222"/>
        <v>0</v>
      </c>
      <c r="AP305" s="31">
        <f t="shared" si="222"/>
        <v>0</v>
      </c>
      <c r="AQ305" s="32">
        <f t="shared" si="222"/>
        <v>0</v>
      </c>
      <c r="AR305" s="32">
        <f t="shared" si="222"/>
        <v>0</v>
      </c>
      <c r="AS305" s="32">
        <f t="shared" si="222"/>
        <v>0</v>
      </c>
      <c r="AT305" s="33">
        <f t="shared" si="222"/>
        <v>0</v>
      </c>
      <c r="AU305" s="33">
        <f t="shared" si="222"/>
        <v>0</v>
      </c>
      <c r="AV305" s="34" t="e">
        <f t="shared" si="218"/>
        <v>#DIV/0!</v>
      </c>
      <c r="AW305" s="34" t="e">
        <f t="shared" si="218"/>
        <v>#DIV/0!</v>
      </c>
      <c r="AX305" s="35" t="e">
        <f t="shared" si="219"/>
        <v>#NUM!</v>
      </c>
      <c r="AY305" s="35" t="e">
        <f t="shared" si="219"/>
        <v>#NUM!</v>
      </c>
    </row>
    <row r="306" spans="5:51" x14ac:dyDescent="0.3">
      <c r="F306">
        <v>64</v>
      </c>
      <c r="G306" s="28"/>
      <c r="H306" s="28"/>
      <c r="I306" s="28"/>
      <c r="J306" s="28"/>
      <c r="K306" s="28"/>
      <c r="L306" s="29"/>
      <c r="M306" s="30"/>
      <c r="N306" s="31"/>
      <c r="O306" s="31"/>
      <c r="P306" s="32"/>
      <c r="Q306" s="32"/>
      <c r="R306" s="32"/>
      <c r="S306" s="33"/>
      <c r="T306" s="33"/>
      <c r="U306" s="34"/>
      <c r="V306" s="34"/>
      <c r="W306" s="35"/>
      <c r="X306" s="35"/>
      <c r="AG306">
        <f t="shared" si="153"/>
        <v>56.227656728531329</v>
      </c>
      <c r="AH306" s="28">
        <f t="shared" ref="AH306:AU306" si="223">AH234*AH$163</f>
        <v>0.74999999233413706</v>
      </c>
      <c r="AI306" s="28">
        <f t="shared" si="223"/>
        <v>0.7999999964583937</v>
      </c>
      <c r="AJ306" s="28">
        <f t="shared" si="223"/>
        <v>1.1499999975498818</v>
      </c>
      <c r="AK306" s="28">
        <f t="shared" si="223"/>
        <v>1.1999999920634754</v>
      </c>
      <c r="AL306" s="28">
        <f t="shared" si="223"/>
        <v>1.1178577269069894</v>
      </c>
      <c r="AM306" s="29">
        <f t="shared" si="223"/>
        <v>0</v>
      </c>
      <c r="AN306" s="30">
        <f t="shared" si="223"/>
        <v>0.49799187886945984</v>
      </c>
      <c r="AO306" s="31">
        <f t="shared" si="223"/>
        <v>0</v>
      </c>
      <c r="AP306" s="31">
        <f t="shared" si="223"/>
        <v>0</v>
      </c>
      <c r="AQ306" s="32">
        <f t="shared" si="223"/>
        <v>0</v>
      </c>
      <c r="AR306" s="32">
        <f t="shared" si="223"/>
        <v>0</v>
      </c>
      <c r="AS306" s="32">
        <f t="shared" si="223"/>
        <v>0</v>
      </c>
      <c r="AT306" s="33">
        <f t="shared" si="223"/>
        <v>0</v>
      </c>
      <c r="AU306" s="33">
        <f t="shared" si="223"/>
        <v>0</v>
      </c>
      <c r="AV306" s="34" t="e">
        <f t="shared" si="218"/>
        <v>#DIV/0!</v>
      </c>
      <c r="AW306" s="34" t="e">
        <f t="shared" si="218"/>
        <v>#DIV/0!</v>
      </c>
      <c r="AX306" s="35" t="e">
        <f t="shared" si="219"/>
        <v>#NUM!</v>
      </c>
      <c r="AY306" s="35" t="e">
        <f t="shared" si="219"/>
        <v>#NUM!</v>
      </c>
    </row>
    <row r="307" spans="5:51" x14ac:dyDescent="0.3">
      <c r="F307">
        <v>65</v>
      </c>
      <c r="G307" s="28"/>
      <c r="H307" s="28"/>
      <c r="I307" s="28"/>
      <c r="J307" s="28"/>
      <c r="K307" s="28"/>
      <c r="L307" s="29"/>
      <c r="M307" s="30"/>
      <c r="N307" s="31"/>
      <c r="O307" s="31"/>
      <c r="P307" s="32"/>
      <c r="Q307" s="32"/>
      <c r="R307" s="32"/>
      <c r="S307" s="33"/>
      <c r="T307" s="33"/>
      <c r="U307" s="34"/>
      <c r="V307" s="34"/>
      <c r="W307" s="35"/>
      <c r="X307" s="35"/>
      <c r="AG307">
        <f t="shared" ref="AG307:AG312" si="224">AE79</f>
        <v>56.472915029924017</v>
      </c>
      <c r="AH307" s="28">
        <f t="shared" ref="AH307:AU307" si="225">AH235*AH$163</f>
        <v>0.74999999260099814</v>
      </c>
      <c r="AI307" s="28">
        <f t="shared" si="225"/>
        <v>0.79999999663718391</v>
      </c>
      <c r="AJ307" s="28">
        <f t="shared" si="225"/>
        <v>1.1499999976956634</v>
      </c>
      <c r="AK307" s="28">
        <f t="shared" si="225"/>
        <v>1.1999999924445159</v>
      </c>
      <c r="AL307" s="28">
        <f t="shared" si="225"/>
        <v>1.1186292076723128</v>
      </c>
      <c r="AM307" s="29">
        <f t="shared" si="225"/>
        <v>0</v>
      </c>
      <c r="AN307" s="30">
        <f t="shared" si="225"/>
        <v>0.49803651249698799</v>
      </c>
      <c r="AO307" s="31">
        <f t="shared" si="225"/>
        <v>0</v>
      </c>
      <c r="AP307" s="31">
        <f t="shared" si="225"/>
        <v>0</v>
      </c>
      <c r="AQ307" s="32">
        <f t="shared" si="225"/>
        <v>0</v>
      </c>
      <c r="AR307" s="32">
        <f t="shared" si="225"/>
        <v>0</v>
      </c>
      <c r="AS307" s="32">
        <f t="shared" si="225"/>
        <v>0</v>
      </c>
      <c r="AT307" s="33">
        <f t="shared" si="225"/>
        <v>0</v>
      </c>
      <c r="AU307" s="33">
        <f t="shared" si="225"/>
        <v>0</v>
      </c>
      <c r="AV307" s="34" t="e">
        <f t="shared" si="218"/>
        <v>#DIV/0!</v>
      </c>
      <c r="AW307" s="34" t="e">
        <f t="shared" si="218"/>
        <v>#DIV/0!</v>
      </c>
      <c r="AX307" s="35" t="e">
        <f t="shared" si="219"/>
        <v>#NUM!</v>
      </c>
      <c r="AY307" s="35" t="e">
        <f t="shared" si="219"/>
        <v>#NUM!</v>
      </c>
    </row>
    <row r="308" spans="5:51" x14ac:dyDescent="0.3">
      <c r="F308">
        <v>66</v>
      </c>
      <c r="G308" s="28"/>
      <c r="H308" s="28"/>
      <c r="I308" s="28"/>
      <c r="J308" s="28"/>
      <c r="K308" s="28"/>
      <c r="L308" s="29"/>
      <c r="M308" s="30"/>
      <c r="N308" s="31"/>
      <c r="O308" s="31"/>
      <c r="P308" s="32"/>
      <c r="Q308" s="32"/>
      <c r="R308" s="32"/>
      <c r="S308" s="33"/>
      <c r="T308" s="33"/>
      <c r="U308" s="34"/>
      <c r="V308" s="34"/>
      <c r="W308" s="35"/>
      <c r="X308" s="35"/>
      <c r="AG308">
        <f t="shared" si="224"/>
        <v>56.698909820073034</v>
      </c>
      <c r="AH308" s="28">
        <f t="shared" ref="AH308:AU308" si="226">AH236*AH$163</f>
        <v>0.74999999283544216</v>
      </c>
      <c r="AI308" s="28">
        <f t="shared" si="226"/>
        <v>0.79999999679304556</v>
      </c>
      <c r="AJ308" s="28">
        <f t="shared" si="226"/>
        <v>1.1499999978212487</v>
      </c>
      <c r="AK308" s="28">
        <f t="shared" si="226"/>
        <v>1.1999999927774248</v>
      </c>
      <c r="AL308" s="28">
        <f t="shared" si="226"/>
        <v>1.1193229278271688</v>
      </c>
      <c r="AM308" s="29">
        <f t="shared" si="226"/>
        <v>0</v>
      </c>
      <c r="AN308" s="30">
        <f t="shared" si="226"/>
        <v>0.49807653829544246</v>
      </c>
      <c r="AO308" s="31">
        <f t="shared" si="226"/>
        <v>0</v>
      </c>
      <c r="AP308" s="31">
        <f t="shared" si="226"/>
        <v>0</v>
      </c>
      <c r="AQ308" s="32">
        <f t="shared" si="226"/>
        <v>0</v>
      </c>
      <c r="AR308" s="32">
        <f t="shared" si="226"/>
        <v>0</v>
      </c>
      <c r="AS308" s="32">
        <f t="shared" si="226"/>
        <v>0</v>
      </c>
      <c r="AT308" s="33">
        <f t="shared" si="226"/>
        <v>0</v>
      </c>
      <c r="AU308" s="33">
        <f t="shared" si="226"/>
        <v>0</v>
      </c>
      <c r="AV308" s="34" t="e">
        <f t="shared" si="218"/>
        <v>#DIV/0!</v>
      </c>
      <c r="AW308" s="34" t="e">
        <f t="shared" si="218"/>
        <v>#DIV/0!</v>
      </c>
      <c r="AX308" s="35" t="e">
        <f t="shared" si="219"/>
        <v>#NUM!</v>
      </c>
      <c r="AY308" s="35" t="e">
        <f t="shared" si="219"/>
        <v>#NUM!</v>
      </c>
    </row>
    <row r="309" spans="5:51" x14ac:dyDescent="0.3">
      <c r="F309">
        <v>67</v>
      </c>
      <c r="G309" s="28"/>
      <c r="H309" s="28"/>
      <c r="I309" s="28"/>
      <c r="J309" s="28"/>
      <c r="K309" s="28"/>
      <c r="L309" s="29"/>
      <c r="M309" s="30"/>
      <c r="N309" s="31"/>
      <c r="O309" s="31"/>
      <c r="P309" s="32"/>
      <c r="Q309" s="32"/>
      <c r="R309" s="32"/>
      <c r="S309" s="33"/>
      <c r="T309" s="33"/>
      <c r="U309" s="34"/>
      <c r="V309" s="34"/>
      <c r="W309" s="35"/>
      <c r="X309" s="35"/>
      <c r="AG309">
        <f t="shared" si="224"/>
        <v>56.907154127745713</v>
      </c>
      <c r="AH309" s="28">
        <f t="shared" ref="AH309:AU309" si="227">AH237*AH$163</f>
        <v>0.74999999304226217</v>
      </c>
      <c r="AI309" s="28">
        <f t="shared" si="227"/>
        <v>0.79999999692954638</v>
      </c>
      <c r="AJ309" s="28">
        <f t="shared" si="227"/>
        <v>1.1499999979300564</v>
      </c>
      <c r="AK309" s="28">
        <f t="shared" si="227"/>
        <v>1.1999999930695735</v>
      </c>
      <c r="AL309" s="28">
        <f t="shared" si="227"/>
        <v>1.1199479915210442</v>
      </c>
      <c r="AM309" s="29">
        <f t="shared" si="227"/>
        <v>0</v>
      </c>
      <c r="AN309" s="30">
        <f t="shared" si="227"/>
        <v>0.49811251205766577</v>
      </c>
      <c r="AO309" s="31">
        <f t="shared" si="227"/>
        <v>0</v>
      </c>
      <c r="AP309" s="31">
        <f t="shared" si="227"/>
        <v>0</v>
      </c>
      <c r="AQ309" s="32">
        <f t="shared" si="227"/>
        <v>0</v>
      </c>
      <c r="AR309" s="32">
        <f t="shared" si="227"/>
        <v>0</v>
      </c>
      <c r="AS309" s="32">
        <f t="shared" si="227"/>
        <v>0</v>
      </c>
      <c r="AT309" s="33">
        <f t="shared" si="227"/>
        <v>0</v>
      </c>
      <c r="AU309" s="33">
        <f t="shared" si="227"/>
        <v>0</v>
      </c>
      <c r="AV309" s="34" t="e">
        <f t="shared" si="218"/>
        <v>#DIV/0!</v>
      </c>
      <c r="AW309" s="34" t="e">
        <f t="shared" si="218"/>
        <v>#DIV/0!</v>
      </c>
      <c r="AX309" s="35" t="e">
        <f t="shared" si="219"/>
        <v>#NUM!</v>
      </c>
      <c r="AY309" s="35" t="e">
        <f t="shared" si="219"/>
        <v>#NUM!</v>
      </c>
    </row>
    <row r="310" spans="5:51" x14ac:dyDescent="0.3">
      <c r="F310">
        <v>68</v>
      </c>
      <c r="G310" s="28"/>
      <c r="H310" s="28"/>
      <c r="I310" s="28"/>
      <c r="J310" s="28"/>
      <c r="K310" s="28"/>
      <c r="L310" s="29"/>
      <c r="M310" s="30"/>
      <c r="N310" s="31"/>
      <c r="O310" s="31"/>
      <c r="P310" s="32"/>
      <c r="Q310" s="32"/>
      <c r="R310" s="32"/>
      <c r="S310" s="33"/>
      <c r="T310" s="33"/>
      <c r="U310" s="34"/>
      <c r="V310" s="34"/>
      <c r="W310" s="35"/>
      <c r="X310" s="35"/>
      <c r="AG310">
        <f t="shared" si="224"/>
        <v>57.099042142728173</v>
      </c>
      <c r="AH310" s="28">
        <f t="shared" ref="AH310:AU310" si="228">AH238*AH$163</f>
        <v>0.74999999322539934</v>
      </c>
      <c r="AI310" s="28">
        <f t="shared" si="228"/>
        <v>0.79999999704959479</v>
      </c>
      <c r="AJ310" s="28">
        <f t="shared" si="228"/>
        <v>1.1499999980248192</v>
      </c>
      <c r="AK310" s="28">
        <f t="shared" si="228"/>
        <v>1.1999999933269916</v>
      </c>
      <c r="AL310" s="28">
        <f t="shared" si="228"/>
        <v>1.120512237151764</v>
      </c>
      <c r="AM310" s="29">
        <f t="shared" si="228"/>
        <v>0</v>
      </c>
      <c r="AN310" s="30">
        <f t="shared" si="228"/>
        <v>0.49814490999655314</v>
      </c>
      <c r="AO310" s="31">
        <f t="shared" si="228"/>
        <v>0</v>
      </c>
      <c r="AP310" s="31">
        <f t="shared" si="228"/>
        <v>0</v>
      </c>
      <c r="AQ310" s="32">
        <f t="shared" si="228"/>
        <v>0</v>
      </c>
      <c r="AR310" s="32">
        <f t="shared" si="228"/>
        <v>0</v>
      </c>
      <c r="AS310" s="32">
        <f t="shared" si="228"/>
        <v>0</v>
      </c>
      <c r="AT310" s="33">
        <f t="shared" si="228"/>
        <v>0</v>
      </c>
      <c r="AU310" s="33">
        <f t="shared" si="228"/>
        <v>0</v>
      </c>
      <c r="AV310" s="34" t="e">
        <f t="shared" si="218"/>
        <v>#DIV/0!</v>
      </c>
      <c r="AW310" s="34" t="e">
        <f t="shared" si="218"/>
        <v>#DIV/0!</v>
      </c>
      <c r="AX310" s="35" t="e">
        <f t="shared" si="219"/>
        <v>#NUM!</v>
      </c>
      <c r="AY310" s="35" t="e">
        <f t="shared" si="219"/>
        <v>#NUM!</v>
      </c>
    </row>
    <row r="311" spans="5:51" x14ac:dyDescent="0.3">
      <c r="F311">
        <v>69</v>
      </c>
      <c r="G311" s="28"/>
      <c r="H311" s="28"/>
      <c r="I311" s="28"/>
      <c r="J311" s="28"/>
      <c r="K311" s="28"/>
      <c r="L311" s="29"/>
      <c r="M311" s="30"/>
      <c r="N311" s="31"/>
      <c r="O311" s="31"/>
      <c r="P311" s="32"/>
      <c r="Q311" s="32"/>
      <c r="R311" s="32"/>
      <c r="S311" s="33"/>
      <c r="T311" s="33"/>
      <c r="U311" s="34"/>
      <c r="V311" s="34"/>
      <c r="W311" s="35"/>
      <c r="X311" s="35"/>
      <c r="AG311">
        <f t="shared" si="224"/>
        <v>57.275858549886756</v>
      </c>
      <c r="AH311" s="28">
        <f t="shared" ref="AH311:AU311" si="229">AH239*AH$163</f>
        <v>0.74999999338811874</v>
      </c>
      <c r="AI311" s="28">
        <f t="shared" si="229"/>
        <v>0.79999999715558034</v>
      </c>
      <c r="AJ311" s="28">
        <f t="shared" si="229"/>
        <v>1.149999998107742</v>
      </c>
      <c r="AK311" s="28">
        <f t="shared" si="229"/>
        <v>1.1999999935546473</v>
      </c>
      <c r="AL311" s="28">
        <f t="shared" si="229"/>
        <v>1.1210224443908436</v>
      </c>
      <c r="AM311" s="29">
        <f t="shared" si="229"/>
        <v>0</v>
      </c>
      <c r="AN311" s="30">
        <f t="shared" si="229"/>
        <v>0.49817414207144556</v>
      </c>
      <c r="AO311" s="31">
        <f t="shared" si="229"/>
        <v>0</v>
      </c>
      <c r="AP311" s="31">
        <f t="shared" si="229"/>
        <v>0</v>
      </c>
      <c r="AQ311" s="32">
        <f t="shared" si="229"/>
        <v>0</v>
      </c>
      <c r="AR311" s="32">
        <f t="shared" si="229"/>
        <v>0</v>
      </c>
      <c r="AS311" s="32">
        <f t="shared" si="229"/>
        <v>0</v>
      </c>
      <c r="AT311" s="33">
        <f t="shared" si="229"/>
        <v>0</v>
      </c>
      <c r="AU311" s="33">
        <f t="shared" si="229"/>
        <v>0</v>
      </c>
      <c r="AV311" s="34" t="e">
        <f t="shared" si="218"/>
        <v>#DIV/0!</v>
      </c>
      <c r="AW311" s="34" t="e">
        <f t="shared" si="218"/>
        <v>#DIV/0!</v>
      </c>
      <c r="AX311" s="35" t="e">
        <f t="shared" si="219"/>
        <v>#NUM!</v>
      </c>
      <c r="AY311" s="35" t="e">
        <f t="shared" si="219"/>
        <v>#NUM!</v>
      </c>
    </row>
    <row r="312" spans="5:51" x14ac:dyDescent="0.3">
      <c r="F312">
        <v>70</v>
      </c>
      <c r="G312" s="28"/>
      <c r="H312" s="28"/>
      <c r="I312" s="28"/>
      <c r="J312" s="28"/>
      <c r="K312" s="28"/>
      <c r="L312" s="29"/>
      <c r="M312" s="30"/>
      <c r="N312" s="31"/>
      <c r="O312" s="31"/>
      <c r="P312" s="32"/>
      <c r="Q312" s="32"/>
      <c r="R312" s="32"/>
      <c r="S312" s="33"/>
      <c r="T312" s="33"/>
      <c r="U312" s="34"/>
      <c r="V312" s="34"/>
      <c r="W312" s="35"/>
      <c r="X312" s="35"/>
      <c r="AG312">
        <f t="shared" si="224"/>
        <v>57.43878713009709</v>
      </c>
      <c r="AH312" s="28">
        <f t="shared" ref="AH312:AU312" si="230">AH240*AH$163</f>
        <v>0.74999999353314495</v>
      </c>
      <c r="AI312" s="28">
        <f t="shared" si="230"/>
        <v>0.79999999724947946</v>
      </c>
      <c r="AJ312" s="28">
        <f t="shared" si="230"/>
        <v>1.1499999981806182</v>
      </c>
      <c r="AK312" s="28">
        <f t="shared" si="230"/>
        <v>1.1999999937566621</v>
      </c>
      <c r="AL312" s="28">
        <f t="shared" si="230"/>
        <v>1.1214845024245494</v>
      </c>
      <c r="AM312" s="29">
        <f t="shared" si="230"/>
        <v>0</v>
      </c>
      <c r="AN312" s="30">
        <f t="shared" si="230"/>
        <v>0.49820056277765556</v>
      </c>
      <c r="AO312" s="31">
        <f t="shared" si="230"/>
        <v>0</v>
      </c>
      <c r="AP312" s="31">
        <f t="shared" si="230"/>
        <v>0</v>
      </c>
      <c r="AQ312" s="32">
        <f t="shared" si="230"/>
        <v>0</v>
      </c>
      <c r="AR312" s="32">
        <f t="shared" si="230"/>
        <v>0</v>
      </c>
      <c r="AS312" s="32">
        <f t="shared" si="230"/>
        <v>0</v>
      </c>
      <c r="AT312" s="33">
        <f t="shared" si="230"/>
        <v>0</v>
      </c>
      <c r="AU312" s="33">
        <f t="shared" si="230"/>
        <v>0</v>
      </c>
      <c r="AV312" s="34" t="e">
        <f t="shared" si="218"/>
        <v>#DIV/0!</v>
      </c>
      <c r="AW312" s="34" t="e">
        <f t="shared" si="218"/>
        <v>#DIV/0!</v>
      </c>
      <c r="AX312" s="35" t="e">
        <f t="shared" si="219"/>
        <v>#NUM!</v>
      </c>
      <c r="AY312" s="35" t="e">
        <f t="shared" si="219"/>
        <v>#NUM!</v>
      </c>
    </row>
    <row r="314" spans="5:51" x14ac:dyDescent="0.3">
      <c r="E314" t="s">
        <v>67</v>
      </c>
      <c r="F314">
        <v>0</v>
      </c>
      <c r="G314" s="28"/>
      <c r="H314" s="28"/>
      <c r="I314" s="28"/>
      <c r="J314" s="28"/>
      <c r="K314" s="28"/>
      <c r="L314" s="29"/>
      <c r="M314" s="30"/>
      <c r="N314" s="31"/>
      <c r="O314" s="31"/>
      <c r="P314" s="32"/>
      <c r="Q314" s="32"/>
      <c r="R314" s="32"/>
      <c r="S314" s="33"/>
      <c r="T314" s="33"/>
      <c r="U314" s="34"/>
      <c r="V314" s="34"/>
      <c r="W314" s="35"/>
      <c r="X314" s="35"/>
      <c r="AF314" t="s">
        <v>67</v>
      </c>
      <c r="AG314">
        <f>AE14</f>
        <v>4.9458521066739074</v>
      </c>
      <c r="AH314" s="28">
        <f>AH$160+AH242</f>
        <v>1.4208675108266395</v>
      </c>
      <c r="AI314" s="28">
        <f t="shared" ref="AI314:AY314" si="231">AI$160+AI242</f>
        <v>3.7521522671682437</v>
      </c>
      <c r="AJ314" s="28">
        <f t="shared" si="231"/>
        <v>2.7960141186210832</v>
      </c>
      <c r="AK314" s="28">
        <f t="shared" si="231"/>
        <v>3.528146147777524</v>
      </c>
      <c r="AL314" s="28">
        <f t="shared" si="231"/>
        <v>2.3569848759726133</v>
      </c>
      <c r="AM314" s="29">
        <f t="shared" si="231"/>
        <v>2.3569848759726133</v>
      </c>
      <c r="AN314" s="30">
        <f t="shared" si="231"/>
        <v>3.0290926555180899</v>
      </c>
      <c r="AO314" s="31">
        <f t="shared" si="231"/>
        <v>1.2110596148458825</v>
      </c>
      <c r="AP314" s="31">
        <f t="shared" si="231"/>
        <v>1.2110596148458825</v>
      </c>
      <c r="AQ314" s="32">
        <f t="shared" si="231"/>
        <v>7.3908523208725887</v>
      </c>
      <c r="AR314" s="32">
        <f t="shared" si="231"/>
        <v>12.869231101689474</v>
      </c>
      <c r="AS314" s="32">
        <f t="shared" si="231"/>
        <v>26.284888237309154</v>
      </c>
      <c r="AT314" s="33">
        <f t="shared" si="231"/>
        <v>0.35</v>
      </c>
      <c r="AU314" s="33">
        <f t="shared" si="231"/>
        <v>0.35</v>
      </c>
      <c r="AV314" s="34" t="e">
        <f t="shared" si="231"/>
        <v>#DIV/0!</v>
      </c>
      <c r="AW314" s="34" t="e">
        <f t="shared" si="231"/>
        <v>#DIV/0!</v>
      </c>
      <c r="AX314" s="35" t="e">
        <f t="shared" si="231"/>
        <v>#NUM!</v>
      </c>
      <c r="AY314" s="35" t="e">
        <f t="shared" si="231"/>
        <v>#NUM!</v>
      </c>
    </row>
    <row r="315" spans="5:51" x14ac:dyDescent="0.3">
      <c r="F315">
        <v>1</v>
      </c>
      <c r="G315" s="28"/>
      <c r="H315" s="28"/>
      <c r="I315" s="28"/>
      <c r="J315" s="28"/>
      <c r="K315" s="28"/>
      <c r="L315" s="29"/>
      <c r="M315" s="30"/>
      <c r="N315" s="31"/>
      <c r="O315" s="31"/>
      <c r="P315" s="32"/>
      <c r="Q315" s="32"/>
      <c r="R315" s="32"/>
      <c r="S315" s="33"/>
      <c r="T315" s="33"/>
      <c r="U315" s="34"/>
      <c r="V315" s="34"/>
      <c r="W315" s="35"/>
      <c r="X315" s="35"/>
      <c r="AG315">
        <f t="shared" ref="AG315:AG378" si="232">AE15</f>
        <v>5.2014595403979236</v>
      </c>
      <c r="AH315" s="28">
        <f t="shared" ref="AH315:AY315" si="233">AH$160+AH243</f>
        <v>1.4208675108266395</v>
      </c>
      <c r="AI315" s="28">
        <f t="shared" si="233"/>
        <v>3.7764842423621734</v>
      </c>
      <c r="AJ315" s="28">
        <f t="shared" si="233"/>
        <v>2.7960141186210832</v>
      </c>
      <c r="AK315" s="28">
        <f t="shared" si="233"/>
        <v>3.5706483854985573</v>
      </c>
      <c r="AL315" s="28">
        <f t="shared" si="233"/>
        <v>2.3569848759726133</v>
      </c>
      <c r="AM315" s="29">
        <f t="shared" si="233"/>
        <v>2.3569848759726133</v>
      </c>
      <c r="AN315" s="30">
        <f t="shared" si="233"/>
        <v>3.0290926555180899</v>
      </c>
      <c r="AO315" s="31">
        <f t="shared" si="233"/>
        <v>1.2110596148458825</v>
      </c>
      <c r="AP315" s="31">
        <f t="shared" si="233"/>
        <v>1.2110596148458825</v>
      </c>
      <c r="AQ315" s="32">
        <f t="shared" si="233"/>
        <v>7.3908523208725887</v>
      </c>
      <c r="AR315" s="32">
        <f t="shared" si="233"/>
        <v>12.869231101689474</v>
      </c>
      <c r="AS315" s="32">
        <f t="shared" si="233"/>
        <v>26.284888237309154</v>
      </c>
      <c r="AT315" s="33">
        <f t="shared" si="233"/>
        <v>0.35</v>
      </c>
      <c r="AU315" s="33">
        <f t="shared" si="233"/>
        <v>0.35</v>
      </c>
      <c r="AV315" s="34" t="e">
        <f t="shared" si="233"/>
        <v>#DIV/0!</v>
      </c>
      <c r="AW315" s="34" t="e">
        <f t="shared" si="233"/>
        <v>#DIV/0!</v>
      </c>
      <c r="AX315" s="35" t="e">
        <f t="shared" si="233"/>
        <v>#NUM!</v>
      </c>
      <c r="AY315" s="35" t="e">
        <f t="shared" si="233"/>
        <v>#NUM!</v>
      </c>
    </row>
    <row r="316" spans="5:51" x14ac:dyDescent="0.3">
      <c r="F316">
        <v>2</v>
      </c>
      <c r="G316" s="28"/>
      <c r="H316" s="28"/>
      <c r="I316" s="28"/>
      <c r="J316" s="28"/>
      <c r="K316" s="28"/>
      <c r="L316" s="29"/>
      <c r="M316" s="30"/>
      <c r="N316" s="31"/>
      <c r="O316" s="31"/>
      <c r="P316" s="32"/>
      <c r="Q316" s="32"/>
      <c r="R316" s="32"/>
      <c r="S316" s="33"/>
      <c r="T316" s="33"/>
      <c r="U316" s="34"/>
      <c r="V316" s="34"/>
      <c r="W316" s="35"/>
      <c r="X316" s="35"/>
      <c r="AG316">
        <f t="shared" si="232"/>
        <v>5.4702770658848543</v>
      </c>
      <c r="AH316" s="28">
        <f t="shared" ref="AH316:AY316" si="234">AH$160+AH244</f>
        <v>1.4208675108266395</v>
      </c>
      <c r="AI316" s="28">
        <f t="shared" si="234"/>
        <v>3.8000830146683651</v>
      </c>
      <c r="AJ316" s="28">
        <f t="shared" si="234"/>
        <v>2.7960141186210832</v>
      </c>
      <c r="AK316" s="28">
        <f t="shared" si="234"/>
        <v>3.6117954494130862</v>
      </c>
      <c r="AL316" s="28">
        <f t="shared" si="234"/>
        <v>2.3569848759726133</v>
      </c>
      <c r="AM316" s="29">
        <f t="shared" si="234"/>
        <v>2.3569848759726133</v>
      </c>
      <c r="AN316" s="30">
        <f t="shared" si="234"/>
        <v>3.0290926555180899</v>
      </c>
      <c r="AO316" s="31">
        <f t="shared" si="234"/>
        <v>1.2110596148458825</v>
      </c>
      <c r="AP316" s="31">
        <f t="shared" si="234"/>
        <v>1.2110596148458825</v>
      </c>
      <c r="AQ316" s="32">
        <f t="shared" si="234"/>
        <v>7.3908523208725887</v>
      </c>
      <c r="AR316" s="32">
        <f t="shared" si="234"/>
        <v>12.869231101689474</v>
      </c>
      <c r="AS316" s="32">
        <f t="shared" si="234"/>
        <v>26.284888237309154</v>
      </c>
      <c r="AT316" s="33">
        <f t="shared" si="234"/>
        <v>0.35</v>
      </c>
      <c r="AU316" s="33">
        <f t="shared" si="234"/>
        <v>0.35</v>
      </c>
      <c r="AV316" s="34" t="e">
        <f t="shared" si="234"/>
        <v>#DIV/0!</v>
      </c>
      <c r="AW316" s="34" t="e">
        <f t="shared" si="234"/>
        <v>#DIV/0!</v>
      </c>
      <c r="AX316" s="35" t="e">
        <f t="shared" si="234"/>
        <v>#NUM!</v>
      </c>
      <c r="AY316" s="35" t="e">
        <f t="shared" si="234"/>
        <v>#NUM!</v>
      </c>
    </row>
    <row r="317" spans="5:51" x14ac:dyDescent="0.3">
      <c r="F317">
        <v>3</v>
      </c>
      <c r="G317" s="28"/>
      <c r="H317" s="28"/>
      <c r="I317" s="28"/>
      <c r="J317" s="28"/>
      <c r="K317" s="28"/>
      <c r="L317" s="29"/>
      <c r="M317" s="30"/>
      <c r="N317" s="31"/>
      <c r="O317" s="31"/>
      <c r="P317" s="32"/>
      <c r="Q317" s="32"/>
      <c r="R317" s="32"/>
      <c r="S317" s="33"/>
      <c r="T317" s="33"/>
      <c r="U317" s="34"/>
      <c r="V317" s="34"/>
      <c r="W317" s="35"/>
      <c r="X317" s="35"/>
      <c r="AG317">
        <f t="shared" si="232"/>
        <v>5.7529873961600746</v>
      </c>
      <c r="AH317" s="28">
        <f t="shared" ref="AH317:AY317" si="235">AH$160+AH245</f>
        <v>1.4208675108266395</v>
      </c>
      <c r="AI317" s="28">
        <f t="shared" si="235"/>
        <v>3.8228087254384144</v>
      </c>
      <c r="AJ317" s="28">
        <f t="shared" si="235"/>
        <v>2.7960141186210832</v>
      </c>
      <c r="AK317" s="28">
        <f t="shared" si="235"/>
        <v>3.6513455570645172</v>
      </c>
      <c r="AL317" s="28">
        <f t="shared" si="235"/>
        <v>2.3569848759726133</v>
      </c>
      <c r="AM317" s="29">
        <f t="shared" si="235"/>
        <v>2.3569848759726133</v>
      </c>
      <c r="AN317" s="30">
        <f t="shared" si="235"/>
        <v>3.0290926555180899</v>
      </c>
      <c r="AO317" s="31">
        <f t="shared" si="235"/>
        <v>1.2110596148458825</v>
      </c>
      <c r="AP317" s="31">
        <f t="shared" si="235"/>
        <v>1.2110596148458825</v>
      </c>
      <c r="AQ317" s="32">
        <f t="shared" si="235"/>
        <v>7.3908523208725887</v>
      </c>
      <c r="AR317" s="32">
        <f t="shared" si="235"/>
        <v>12.869231101689474</v>
      </c>
      <c r="AS317" s="32">
        <f t="shared" si="235"/>
        <v>26.284888237309154</v>
      </c>
      <c r="AT317" s="33">
        <f t="shared" si="235"/>
        <v>0.35</v>
      </c>
      <c r="AU317" s="33">
        <f t="shared" si="235"/>
        <v>0.35</v>
      </c>
      <c r="AV317" s="34" t="e">
        <f t="shared" si="235"/>
        <v>#DIV/0!</v>
      </c>
      <c r="AW317" s="34" t="e">
        <f t="shared" si="235"/>
        <v>#DIV/0!</v>
      </c>
      <c r="AX317" s="35" t="e">
        <f t="shared" si="235"/>
        <v>#NUM!</v>
      </c>
      <c r="AY317" s="35" t="e">
        <f t="shared" si="235"/>
        <v>#NUM!</v>
      </c>
    </row>
    <row r="318" spans="5:51" x14ac:dyDescent="0.3">
      <c r="F318">
        <v>4</v>
      </c>
      <c r="G318" s="28"/>
      <c r="H318" s="28"/>
      <c r="I318" s="28"/>
      <c r="J318" s="28"/>
      <c r="K318" s="28"/>
      <c r="L318" s="29"/>
      <c r="M318" s="30"/>
      <c r="N318" s="31"/>
      <c r="O318" s="31"/>
      <c r="P318" s="32"/>
      <c r="Q318" s="32"/>
      <c r="R318" s="32"/>
      <c r="S318" s="33"/>
      <c r="T318" s="33"/>
      <c r="U318" s="34"/>
      <c r="V318" s="34"/>
      <c r="W318" s="35"/>
      <c r="X318" s="35"/>
      <c r="AG318">
        <f t="shared" si="232"/>
        <v>6.0503085276582826</v>
      </c>
      <c r="AH318" s="28">
        <f t="shared" ref="AH318:AY318" si="236">AH$160+AH246</f>
        <v>1.4208675108266395</v>
      </c>
      <c r="AI318" s="28">
        <f t="shared" si="236"/>
        <v>3.8445296206336481</v>
      </c>
      <c r="AJ318" s="28">
        <f t="shared" si="236"/>
        <v>2.7960141186210832</v>
      </c>
      <c r="AK318" s="28">
        <f t="shared" si="236"/>
        <v>3.6890727584535217</v>
      </c>
      <c r="AL318" s="28">
        <f t="shared" si="236"/>
        <v>2.3569848759726133</v>
      </c>
      <c r="AM318" s="29">
        <f t="shared" si="236"/>
        <v>2.3569848759726133</v>
      </c>
      <c r="AN318" s="30">
        <f t="shared" si="236"/>
        <v>3.0290926555180899</v>
      </c>
      <c r="AO318" s="31">
        <f t="shared" si="236"/>
        <v>1.2110596148458825</v>
      </c>
      <c r="AP318" s="31">
        <f t="shared" si="236"/>
        <v>1.2110596148458825</v>
      </c>
      <c r="AQ318" s="32">
        <f t="shared" si="236"/>
        <v>7.3908523208725887</v>
      </c>
      <c r="AR318" s="32">
        <f t="shared" si="236"/>
        <v>12.869231101689474</v>
      </c>
      <c r="AS318" s="32">
        <f t="shared" si="236"/>
        <v>26.284888237309154</v>
      </c>
      <c r="AT318" s="33">
        <f t="shared" si="236"/>
        <v>0.35</v>
      </c>
      <c r="AU318" s="33">
        <f t="shared" si="236"/>
        <v>0.35</v>
      </c>
      <c r="AV318" s="34" t="e">
        <f t="shared" si="236"/>
        <v>#DIV/0!</v>
      </c>
      <c r="AW318" s="34" t="e">
        <f t="shared" si="236"/>
        <v>#DIV/0!</v>
      </c>
      <c r="AX318" s="35" t="e">
        <f t="shared" si="236"/>
        <v>#NUM!</v>
      </c>
      <c r="AY318" s="35" t="e">
        <f t="shared" si="236"/>
        <v>#NUM!</v>
      </c>
    </row>
    <row r="319" spans="5:51" x14ac:dyDescent="0.3">
      <c r="F319">
        <v>5</v>
      </c>
      <c r="G319" s="28"/>
      <c r="H319" s="28"/>
      <c r="I319" s="28"/>
      <c r="J319" s="28"/>
      <c r="K319" s="28"/>
      <c r="L319" s="29"/>
      <c r="M319" s="30"/>
      <c r="N319" s="31"/>
      <c r="O319" s="31"/>
      <c r="P319" s="32"/>
      <c r="Q319" s="32"/>
      <c r="R319" s="32"/>
      <c r="S319" s="33"/>
      <c r="T319" s="33"/>
      <c r="U319" s="34"/>
      <c r="V319" s="34"/>
      <c r="W319" s="35"/>
      <c r="X319" s="35"/>
      <c r="AG319">
        <f t="shared" si="232"/>
        <v>6.3629955637114666</v>
      </c>
      <c r="AH319" s="28">
        <f t="shared" ref="AH319:AY319" si="237">AH$160+AH247</f>
        <v>1.4208675108266395</v>
      </c>
      <c r="AI319" s="28">
        <f t="shared" si="237"/>
        <v>3.8651254061185942</v>
      </c>
      <c r="AJ319" s="28">
        <f t="shared" si="237"/>
        <v>2.7960141186210832</v>
      </c>
      <c r="AK319" s="28">
        <f t="shared" si="237"/>
        <v>3.7247727658682868</v>
      </c>
      <c r="AL319" s="28">
        <f t="shared" si="237"/>
        <v>2.3569848759726133</v>
      </c>
      <c r="AM319" s="29">
        <f t="shared" si="237"/>
        <v>2.3569848759726133</v>
      </c>
      <c r="AN319" s="30">
        <f t="shared" si="237"/>
        <v>3.0290926555180899</v>
      </c>
      <c r="AO319" s="31">
        <f t="shared" si="237"/>
        <v>1.2110596148458825</v>
      </c>
      <c r="AP319" s="31">
        <f t="shared" si="237"/>
        <v>1.2110596148458825</v>
      </c>
      <c r="AQ319" s="32">
        <f t="shared" si="237"/>
        <v>7.3908523208725887</v>
      </c>
      <c r="AR319" s="32">
        <f t="shared" si="237"/>
        <v>12.869231101689474</v>
      </c>
      <c r="AS319" s="32">
        <f t="shared" si="237"/>
        <v>26.284888237309154</v>
      </c>
      <c r="AT319" s="33">
        <f t="shared" si="237"/>
        <v>0.35</v>
      </c>
      <c r="AU319" s="33">
        <f t="shared" si="237"/>
        <v>0.35</v>
      </c>
      <c r="AV319" s="34" t="e">
        <f t="shared" si="237"/>
        <v>#DIV/0!</v>
      </c>
      <c r="AW319" s="34" t="e">
        <f t="shared" si="237"/>
        <v>#DIV/0!</v>
      </c>
      <c r="AX319" s="35" t="e">
        <f t="shared" si="237"/>
        <v>#NUM!</v>
      </c>
      <c r="AY319" s="35" t="e">
        <f t="shared" si="237"/>
        <v>#NUM!</v>
      </c>
    </row>
    <row r="320" spans="5:51" x14ac:dyDescent="0.3">
      <c r="F320">
        <v>6</v>
      </c>
      <c r="G320" s="28"/>
      <c r="H320" s="28"/>
      <c r="I320" s="28"/>
      <c r="J320" s="28"/>
      <c r="K320" s="28"/>
      <c r="L320" s="29"/>
      <c r="M320" s="30"/>
      <c r="N320" s="31"/>
      <c r="O320" s="31"/>
      <c r="P320" s="32"/>
      <c r="Q320" s="32"/>
      <c r="R320" s="32"/>
      <c r="S320" s="33"/>
      <c r="T320" s="33"/>
      <c r="U320" s="34"/>
      <c r="V320" s="34"/>
      <c r="W320" s="35"/>
      <c r="X320" s="35"/>
      <c r="AG320">
        <f t="shared" si="232"/>
        <v>6.6918426322768392</v>
      </c>
      <c r="AH320" s="28">
        <f t="shared" ref="AH320:AY320" si="238">AH$160+AH248</f>
        <v>1.4208675108266395</v>
      </c>
      <c r="AI320" s="28">
        <f t="shared" si="238"/>
        <v>3.8844905056310646</v>
      </c>
      <c r="AJ320" s="28">
        <f t="shared" si="238"/>
        <v>2.7960141186210832</v>
      </c>
      <c r="AK320" s="28">
        <f t="shared" si="238"/>
        <v>3.7582685372833842</v>
      </c>
      <c r="AL320" s="28">
        <f t="shared" si="238"/>
        <v>2.3569848759726133</v>
      </c>
      <c r="AM320" s="29">
        <f t="shared" si="238"/>
        <v>2.3569848759726133</v>
      </c>
      <c r="AN320" s="30">
        <f t="shared" si="238"/>
        <v>3.0290926555180899</v>
      </c>
      <c r="AO320" s="31">
        <f t="shared" si="238"/>
        <v>1.2110596148458825</v>
      </c>
      <c r="AP320" s="31">
        <f t="shared" si="238"/>
        <v>1.2110596148458825</v>
      </c>
      <c r="AQ320" s="32">
        <f t="shared" si="238"/>
        <v>7.3908523208725887</v>
      </c>
      <c r="AR320" s="32">
        <f t="shared" si="238"/>
        <v>12.869231101689474</v>
      </c>
      <c r="AS320" s="32">
        <f t="shared" si="238"/>
        <v>26.284888237309154</v>
      </c>
      <c r="AT320" s="33">
        <f t="shared" si="238"/>
        <v>0.35</v>
      </c>
      <c r="AU320" s="33">
        <f t="shared" si="238"/>
        <v>0.35</v>
      </c>
      <c r="AV320" s="34" t="e">
        <f t="shared" si="238"/>
        <v>#DIV/0!</v>
      </c>
      <c r="AW320" s="34" t="e">
        <f t="shared" si="238"/>
        <v>#DIV/0!</v>
      </c>
      <c r="AX320" s="35" t="e">
        <f t="shared" si="238"/>
        <v>#NUM!</v>
      </c>
      <c r="AY320" s="35" t="e">
        <f t="shared" si="238"/>
        <v>#NUM!</v>
      </c>
    </row>
    <row r="321" spans="6:51" x14ac:dyDescent="0.3">
      <c r="F321">
        <v>7</v>
      </c>
      <c r="G321" s="28"/>
      <c r="H321" s="28"/>
      <c r="I321" s="28"/>
      <c r="J321" s="28"/>
      <c r="K321" s="28"/>
      <c r="L321" s="29"/>
      <c r="M321" s="30"/>
      <c r="N321" s="31"/>
      <c r="O321" s="31"/>
      <c r="P321" s="32"/>
      <c r="Q321" s="32"/>
      <c r="R321" s="32"/>
      <c r="S321" s="33"/>
      <c r="T321" s="33"/>
      <c r="U321" s="34"/>
      <c r="V321" s="34"/>
      <c r="W321" s="35"/>
      <c r="X321" s="35"/>
      <c r="AG321">
        <f t="shared" si="232"/>
        <v>7.0376849027752071</v>
      </c>
      <c r="AH321" s="28">
        <f t="shared" ref="AH321:AY321" si="239">AH$160+AH249</f>
        <v>1.4208675108266395</v>
      </c>
      <c r="AI321" s="28">
        <f t="shared" si="239"/>
        <v>3.9025370661602992</v>
      </c>
      <c r="AJ321" s="28">
        <f t="shared" si="239"/>
        <v>2.7960141186210832</v>
      </c>
      <c r="AK321" s="28">
        <f t="shared" si="239"/>
        <v>3.7894153387504943</v>
      </c>
      <c r="AL321" s="28">
        <f t="shared" si="239"/>
        <v>2.3569848759726133</v>
      </c>
      <c r="AM321" s="29">
        <f t="shared" si="239"/>
        <v>2.3569848759726133</v>
      </c>
      <c r="AN321" s="30">
        <f t="shared" si="239"/>
        <v>3.0290926555180899</v>
      </c>
      <c r="AO321" s="31">
        <f t="shared" si="239"/>
        <v>1.2110596148458825</v>
      </c>
      <c r="AP321" s="31">
        <f t="shared" si="239"/>
        <v>1.2110596148458825</v>
      </c>
      <c r="AQ321" s="32">
        <f t="shared" si="239"/>
        <v>7.3908523208725887</v>
      </c>
      <c r="AR321" s="32">
        <f t="shared" si="239"/>
        <v>12.869231101689474</v>
      </c>
      <c r="AS321" s="32">
        <f t="shared" si="239"/>
        <v>26.284888237309154</v>
      </c>
      <c r="AT321" s="33">
        <f t="shared" si="239"/>
        <v>0.35</v>
      </c>
      <c r="AU321" s="33">
        <f t="shared" si="239"/>
        <v>0.35</v>
      </c>
      <c r="AV321" s="34" t="e">
        <f t="shared" si="239"/>
        <v>#DIV/0!</v>
      </c>
      <c r="AW321" s="34" t="e">
        <f t="shared" si="239"/>
        <v>#DIV/0!</v>
      </c>
      <c r="AX321" s="35" t="e">
        <f t="shared" si="239"/>
        <v>#NUM!</v>
      </c>
      <c r="AY321" s="35" t="e">
        <f t="shared" si="239"/>
        <v>#NUM!</v>
      </c>
    </row>
    <row r="322" spans="6:51" x14ac:dyDescent="0.3">
      <c r="F322">
        <v>8</v>
      </c>
      <c r="G322" s="28"/>
      <c r="H322" s="28"/>
      <c r="I322" s="28"/>
      <c r="J322" s="28"/>
      <c r="K322" s="28"/>
      <c r="L322" s="29"/>
      <c r="M322" s="30"/>
      <c r="N322" s="31"/>
      <c r="O322" s="31"/>
      <c r="P322" s="32"/>
      <c r="Q322" s="32"/>
      <c r="R322" s="32"/>
      <c r="S322" s="33"/>
      <c r="T322" s="33"/>
      <c r="U322" s="34"/>
      <c r="V322" s="34"/>
      <c r="W322" s="35"/>
      <c r="X322" s="35"/>
      <c r="AG322">
        <f t="shared" si="232"/>
        <v>7.4014007071619208</v>
      </c>
      <c r="AH322" s="28">
        <f t="shared" ref="AH322:AY322" si="240">AH$160+AH250</f>
        <v>1.4339070753811687</v>
      </c>
      <c r="AI322" s="28">
        <f t="shared" si="240"/>
        <v>3.9191975486667081</v>
      </c>
      <c r="AJ322" s="28">
        <f t="shared" si="240"/>
        <v>2.7960141186210832</v>
      </c>
      <c r="AK322" s="28">
        <f t="shared" si="240"/>
        <v>3.8181050046664318</v>
      </c>
      <c r="AL322" s="28">
        <f t="shared" si="240"/>
        <v>2.3569848759726133</v>
      </c>
      <c r="AM322" s="29">
        <f t="shared" si="240"/>
        <v>2.3569848759726133</v>
      </c>
      <c r="AN322" s="30">
        <f t="shared" si="240"/>
        <v>3.0290926555180899</v>
      </c>
      <c r="AO322" s="31">
        <f t="shared" si="240"/>
        <v>1.2110596148458825</v>
      </c>
      <c r="AP322" s="31">
        <f t="shared" si="240"/>
        <v>1.2110596148458825</v>
      </c>
      <c r="AQ322" s="32">
        <f t="shared" si="240"/>
        <v>7.3908523208725887</v>
      </c>
      <c r="AR322" s="32">
        <f t="shared" si="240"/>
        <v>12.869231101689474</v>
      </c>
      <c r="AS322" s="32">
        <f t="shared" si="240"/>
        <v>26.284888237309154</v>
      </c>
      <c r="AT322" s="33">
        <f t="shared" si="240"/>
        <v>0.35</v>
      </c>
      <c r="AU322" s="33">
        <f t="shared" si="240"/>
        <v>0.35</v>
      </c>
      <c r="AV322" s="34" t="e">
        <f t="shared" si="240"/>
        <v>#DIV/0!</v>
      </c>
      <c r="AW322" s="34" t="e">
        <f t="shared" si="240"/>
        <v>#DIV/0!</v>
      </c>
      <c r="AX322" s="35" t="e">
        <f t="shared" si="240"/>
        <v>#NUM!</v>
      </c>
      <c r="AY322" s="35" t="e">
        <f t="shared" si="240"/>
        <v>#NUM!</v>
      </c>
    </row>
    <row r="323" spans="6:51" x14ac:dyDescent="0.3">
      <c r="F323">
        <v>9</v>
      </c>
      <c r="G323" s="28"/>
      <c r="H323" s="28"/>
      <c r="I323" s="28"/>
      <c r="J323" s="28"/>
      <c r="K323" s="28"/>
      <c r="L323" s="29"/>
      <c r="M323" s="30"/>
      <c r="N323" s="31"/>
      <c r="O323" s="31"/>
      <c r="P323" s="32"/>
      <c r="Q323" s="32"/>
      <c r="R323" s="32"/>
      <c r="S323" s="33"/>
      <c r="T323" s="33"/>
      <c r="U323" s="34"/>
      <c r="V323" s="34"/>
      <c r="W323" s="35"/>
      <c r="X323" s="35"/>
      <c r="AG323">
        <f t="shared" si="232"/>
        <v>7.7839137706172403</v>
      </c>
      <c r="AH323" s="28">
        <f t="shared" ref="AH323:AY323" si="241">AH$160+AH251</f>
        <v>1.4717185988912904</v>
      </c>
      <c r="AI323" s="28">
        <f t="shared" si="241"/>
        <v>3.9344267459734752</v>
      </c>
      <c r="AJ323" s="28">
        <f t="shared" si="241"/>
        <v>2.7960141186210832</v>
      </c>
      <c r="AK323" s="28">
        <f t="shared" si="241"/>
        <v>3.8442691277520034</v>
      </c>
      <c r="AL323" s="28">
        <f t="shared" si="241"/>
        <v>2.3569848759726133</v>
      </c>
      <c r="AM323" s="29">
        <f t="shared" si="241"/>
        <v>2.3569848759726133</v>
      </c>
      <c r="AN323" s="30">
        <f t="shared" si="241"/>
        <v>3.0290926555180899</v>
      </c>
      <c r="AO323" s="31">
        <f t="shared" si="241"/>
        <v>1.2110596148458825</v>
      </c>
      <c r="AP323" s="31">
        <f t="shared" si="241"/>
        <v>1.2110596148458825</v>
      </c>
      <c r="AQ323" s="32">
        <f t="shared" si="241"/>
        <v>7.3908523208725887</v>
      </c>
      <c r="AR323" s="32">
        <f t="shared" si="241"/>
        <v>12.869231101689474</v>
      </c>
      <c r="AS323" s="32">
        <f t="shared" si="241"/>
        <v>26.284888237309154</v>
      </c>
      <c r="AT323" s="33">
        <f t="shared" si="241"/>
        <v>0.35</v>
      </c>
      <c r="AU323" s="33">
        <f t="shared" si="241"/>
        <v>0.35</v>
      </c>
      <c r="AV323" s="34" t="e">
        <f t="shared" si="241"/>
        <v>#DIV/0!</v>
      </c>
      <c r="AW323" s="34" t="e">
        <f t="shared" si="241"/>
        <v>#DIV/0!</v>
      </c>
      <c r="AX323" s="35" t="e">
        <f t="shared" si="241"/>
        <v>#NUM!</v>
      </c>
      <c r="AY323" s="35" t="e">
        <f t="shared" si="241"/>
        <v>#NUM!</v>
      </c>
    </row>
    <row r="324" spans="6:51" x14ac:dyDescent="0.3">
      <c r="F324">
        <v>10</v>
      </c>
      <c r="G324" s="28"/>
      <c r="H324" s="28"/>
      <c r="I324" s="28"/>
      <c r="J324" s="28"/>
      <c r="K324" s="28"/>
      <c r="L324" s="29"/>
      <c r="M324" s="30"/>
      <c r="N324" s="31"/>
      <c r="O324" s="31"/>
      <c r="P324" s="32"/>
      <c r="Q324" s="32"/>
      <c r="R324" s="32"/>
      <c r="S324" s="33"/>
      <c r="T324" s="33"/>
      <c r="U324" s="34"/>
      <c r="V324" s="34"/>
      <c r="W324" s="35"/>
      <c r="X324" s="35"/>
      <c r="AG324">
        <f t="shared" si="232"/>
        <v>8.1861955575214029</v>
      </c>
      <c r="AH324" s="28">
        <f t="shared" ref="AH324:AY324" si="242">AH$160+AH252</f>
        <v>1.5136416956437349</v>
      </c>
      <c r="AI324" s="28">
        <f t="shared" si="242"/>
        <v>3.9482030859620298</v>
      </c>
      <c r="AJ324" s="28">
        <f t="shared" si="242"/>
        <v>2.7960141186210832</v>
      </c>
      <c r="AK324" s="28">
        <f t="shared" si="242"/>
        <v>3.8678809455001488</v>
      </c>
      <c r="AL324" s="28">
        <f t="shared" si="242"/>
        <v>2.3569848759726133</v>
      </c>
      <c r="AM324" s="29">
        <f t="shared" si="242"/>
        <v>2.3569848759726133</v>
      </c>
      <c r="AN324" s="30">
        <f t="shared" si="242"/>
        <v>3.0290926555180899</v>
      </c>
      <c r="AO324" s="31">
        <f t="shared" si="242"/>
        <v>1.2110596148458825</v>
      </c>
      <c r="AP324" s="31">
        <f t="shared" si="242"/>
        <v>1.2110596148458825</v>
      </c>
      <c r="AQ324" s="32">
        <f t="shared" si="242"/>
        <v>7.3908523208725887</v>
      </c>
      <c r="AR324" s="32">
        <f t="shared" si="242"/>
        <v>12.869231101689474</v>
      </c>
      <c r="AS324" s="32">
        <f t="shared" si="242"/>
        <v>26.284888237309154</v>
      </c>
      <c r="AT324" s="33">
        <f t="shared" si="242"/>
        <v>0.35</v>
      </c>
      <c r="AU324" s="33">
        <f t="shared" si="242"/>
        <v>0.35</v>
      </c>
      <c r="AV324" s="34" t="e">
        <f t="shared" si="242"/>
        <v>#DIV/0!</v>
      </c>
      <c r="AW324" s="34" t="e">
        <f t="shared" si="242"/>
        <v>#DIV/0!</v>
      </c>
      <c r="AX324" s="35" t="e">
        <f t="shared" si="242"/>
        <v>#NUM!</v>
      </c>
      <c r="AY324" s="35" t="e">
        <f t="shared" si="242"/>
        <v>#NUM!</v>
      </c>
    </row>
    <row r="325" spans="6:51" x14ac:dyDescent="0.3">
      <c r="F325">
        <v>11</v>
      </c>
      <c r="G325" s="28"/>
      <c r="H325" s="28"/>
      <c r="I325" s="28"/>
      <c r="J325" s="28"/>
      <c r="K325" s="28"/>
      <c r="L325" s="29"/>
      <c r="M325" s="30"/>
      <c r="N325" s="31"/>
      <c r="O325" s="31"/>
      <c r="P325" s="32"/>
      <c r="Q325" s="32"/>
      <c r="R325" s="32"/>
      <c r="S325" s="33"/>
      <c r="T325" s="33"/>
      <c r="U325" s="34"/>
      <c r="V325" s="34"/>
      <c r="W325" s="35"/>
      <c r="X325" s="35"/>
      <c r="AG325">
        <f t="shared" si="232"/>
        <v>8.6092677386724414</v>
      </c>
      <c r="AH325" s="28">
        <f t="shared" ref="AH325:AY325" si="243">AH$160+AH253</f>
        <v>1.559520518331404</v>
      </c>
      <c r="AI325" s="28">
        <f t="shared" si="243"/>
        <v>3.9605291076562588</v>
      </c>
      <c r="AJ325" s="28">
        <f t="shared" si="243"/>
        <v>2.7960141186210832</v>
      </c>
      <c r="AK325" s="28">
        <f t="shared" si="243"/>
        <v>3.8889557474009813</v>
      </c>
      <c r="AL325" s="28">
        <f t="shared" si="243"/>
        <v>2.3569848759726133</v>
      </c>
      <c r="AM325" s="29">
        <f t="shared" si="243"/>
        <v>2.3569848759726133</v>
      </c>
      <c r="AN325" s="30">
        <f t="shared" si="243"/>
        <v>3.0290926555180899</v>
      </c>
      <c r="AO325" s="31">
        <f t="shared" si="243"/>
        <v>1.2110596148458825</v>
      </c>
      <c r="AP325" s="31">
        <f t="shared" si="243"/>
        <v>1.2110596148458825</v>
      </c>
      <c r="AQ325" s="32">
        <f t="shared" si="243"/>
        <v>7.3908523208725887</v>
      </c>
      <c r="AR325" s="32">
        <f t="shared" si="243"/>
        <v>12.869231101689474</v>
      </c>
      <c r="AS325" s="32">
        <f t="shared" si="243"/>
        <v>26.284888237309154</v>
      </c>
      <c r="AT325" s="33">
        <f t="shared" si="243"/>
        <v>0.35</v>
      </c>
      <c r="AU325" s="33">
        <f t="shared" si="243"/>
        <v>0.35</v>
      </c>
      <c r="AV325" s="34" t="e">
        <f t="shared" si="243"/>
        <v>#DIV/0!</v>
      </c>
      <c r="AW325" s="34" t="e">
        <f t="shared" si="243"/>
        <v>#DIV/0!</v>
      </c>
      <c r="AX325" s="35" t="e">
        <f t="shared" si="243"/>
        <v>#NUM!</v>
      </c>
      <c r="AY325" s="35" t="e">
        <f t="shared" si="243"/>
        <v>#NUM!</v>
      </c>
    </row>
    <row r="326" spans="6:51" x14ac:dyDescent="0.3">
      <c r="F326">
        <v>12</v>
      </c>
      <c r="G326" s="28"/>
      <c r="H326" s="28"/>
      <c r="I326" s="28"/>
      <c r="J326" s="28"/>
      <c r="K326" s="28"/>
      <c r="L326" s="29"/>
      <c r="M326" s="30"/>
      <c r="N326" s="31"/>
      <c r="O326" s="31"/>
      <c r="P326" s="32"/>
      <c r="Q326" s="32"/>
      <c r="R326" s="32"/>
      <c r="S326" s="33"/>
      <c r="T326" s="33"/>
      <c r="U326" s="34"/>
      <c r="V326" s="34"/>
      <c r="W326" s="35"/>
      <c r="X326" s="35"/>
      <c r="AG326">
        <f t="shared" si="232"/>
        <v>9.0542047860126846</v>
      </c>
      <c r="AH326" s="28">
        <f t="shared" ref="AH326:AY326" si="244">AH$160+AH254</f>
        <v>1.6089990542872843</v>
      </c>
      <c r="AI326" s="28">
        <f t="shared" si="244"/>
        <v>3.9714310398334529</v>
      </c>
      <c r="AJ326" s="28">
        <f t="shared" si="244"/>
        <v>2.7960141186210832</v>
      </c>
      <c r="AK326" s="28">
        <f t="shared" si="244"/>
        <v>3.9075497057042572</v>
      </c>
      <c r="AL326" s="28">
        <f t="shared" si="244"/>
        <v>2.3569848759726133</v>
      </c>
      <c r="AM326" s="29">
        <f t="shared" si="244"/>
        <v>2.3569848759726133</v>
      </c>
      <c r="AN326" s="30">
        <f t="shared" si="244"/>
        <v>3.0290926555180899</v>
      </c>
      <c r="AO326" s="31">
        <f t="shared" si="244"/>
        <v>1.2110596148458825</v>
      </c>
      <c r="AP326" s="31">
        <f t="shared" si="244"/>
        <v>1.2110596148458825</v>
      </c>
      <c r="AQ326" s="32">
        <f t="shared" si="244"/>
        <v>7.3908523208725887</v>
      </c>
      <c r="AR326" s="32">
        <f t="shared" si="244"/>
        <v>12.869231101689474</v>
      </c>
      <c r="AS326" s="32">
        <f t="shared" si="244"/>
        <v>26.284888237309154</v>
      </c>
      <c r="AT326" s="33">
        <f t="shared" si="244"/>
        <v>0.35</v>
      </c>
      <c r="AU326" s="33">
        <f t="shared" si="244"/>
        <v>0.35</v>
      </c>
      <c r="AV326" s="34" t="e">
        <f t="shared" si="244"/>
        <v>#DIV/0!</v>
      </c>
      <c r="AW326" s="34" t="e">
        <f t="shared" si="244"/>
        <v>#DIV/0!</v>
      </c>
      <c r="AX326" s="35" t="e">
        <f t="shared" si="244"/>
        <v>#NUM!</v>
      </c>
      <c r="AY326" s="35" t="e">
        <f t="shared" si="244"/>
        <v>#NUM!</v>
      </c>
    </row>
    <row r="327" spans="6:51" x14ac:dyDescent="0.3">
      <c r="F327">
        <v>13</v>
      </c>
      <c r="G327" s="28"/>
      <c r="H327" s="28"/>
      <c r="I327" s="28"/>
      <c r="J327" s="28"/>
      <c r="K327" s="28"/>
      <c r="L327" s="29"/>
      <c r="M327" s="30"/>
      <c r="N327" s="31"/>
      <c r="O327" s="31"/>
      <c r="P327" s="32"/>
      <c r="Q327" s="32"/>
      <c r="R327" s="32"/>
      <c r="S327" s="33"/>
      <c r="T327" s="33"/>
      <c r="U327" s="34"/>
      <c r="V327" s="34"/>
      <c r="W327" s="35"/>
      <c r="X327" s="35"/>
      <c r="AG327">
        <f t="shared" si="232"/>
        <v>9.5221367014538032</v>
      </c>
      <c r="AH327" s="28">
        <f t="shared" ref="AH327:AY327" si="245">AH$160+AH255</f>
        <v>1.6614939825472521</v>
      </c>
      <c r="AI327" s="28">
        <f t="shared" si="245"/>
        <v>3.9809574643771262</v>
      </c>
      <c r="AJ327" s="28">
        <f t="shared" si="245"/>
        <v>2.8731602265135425</v>
      </c>
      <c r="AK327" s="28">
        <f t="shared" si="245"/>
        <v>3.9237571274395657</v>
      </c>
      <c r="AL327" s="28">
        <f t="shared" si="245"/>
        <v>2.3569848759726133</v>
      </c>
      <c r="AM327" s="29">
        <f t="shared" si="245"/>
        <v>2.3569848759726133</v>
      </c>
      <c r="AN327" s="30">
        <f t="shared" si="245"/>
        <v>3.0290926555180899</v>
      </c>
      <c r="AO327" s="31">
        <f t="shared" si="245"/>
        <v>1.2110596148458825</v>
      </c>
      <c r="AP327" s="31">
        <f t="shared" si="245"/>
        <v>1.2110596148458825</v>
      </c>
      <c r="AQ327" s="32">
        <f t="shared" si="245"/>
        <v>7.3908523208725887</v>
      </c>
      <c r="AR327" s="32">
        <f t="shared" si="245"/>
        <v>12.869231101689474</v>
      </c>
      <c r="AS327" s="32">
        <f t="shared" si="245"/>
        <v>26.284888237309154</v>
      </c>
      <c r="AT327" s="33">
        <f t="shared" si="245"/>
        <v>0.35</v>
      </c>
      <c r="AU327" s="33">
        <f t="shared" si="245"/>
        <v>0.35</v>
      </c>
      <c r="AV327" s="34" t="e">
        <f t="shared" si="245"/>
        <v>#DIV/0!</v>
      </c>
      <c r="AW327" s="34" t="e">
        <f t="shared" si="245"/>
        <v>#DIV/0!</v>
      </c>
      <c r="AX327" s="35" t="e">
        <f t="shared" si="245"/>
        <v>#NUM!</v>
      </c>
      <c r="AY327" s="35" t="e">
        <f t="shared" si="245"/>
        <v>#NUM!</v>
      </c>
    </row>
    <row r="328" spans="6:51" x14ac:dyDescent="0.3">
      <c r="F328">
        <v>14</v>
      </c>
      <c r="G328" s="28"/>
      <c r="H328" s="28"/>
      <c r="I328" s="28"/>
      <c r="J328" s="28"/>
      <c r="K328" s="28"/>
      <c r="L328" s="29"/>
      <c r="M328" s="30"/>
      <c r="N328" s="31"/>
      <c r="O328" s="31"/>
      <c r="P328" s="32"/>
      <c r="Q328" s="32"/>
      <c r="R328" s="32"/>
      <c r="S328" s="33"/>
      <c r="T328" s="33"/>
      <c r="U328" s="34"/>
      <c r="V328" s="34"/>
      <c r="W328" s="35"/>
      <c r="X328" s="35"/>
      <c r="AG328">
        <f t="shared" si="232"/>
        <v>10.014251886730682</v>
      </c>
      <c r="AH328" s="28">
        <f t="shared" ref="AH328:AY328" si="246">AH$160+AH256</f>
        <v>1.7161827645239356</v>
      </c>
      <c r="AI328" s="28">
        <f t="shared" si="246"/>
        <v>3.9891771060317347</v>
      </c>
      <c r="AJ328" s="28">
        <f t="shared" si="246"/>
        <v>3.0161600674934781</v>
      </c>
      <c r="AK328" s="28">
        <f t="shared" si="246"/>
        <v>3.9377062298305203</v>
      </c>
      <c r="AL328" s="28">
        <f t="shared" si="246"/>
        <v>2.3569848759726133</v>
      </c>
      <c r="AM328" s="29">
        <f t="shared" si="246"/>
        <v>2.3569848759726133</v>
      </c>
      <c r="AN328" s="30">
        <f t="shared" si="246"/>
        <v>3.0290926555180899</v>
      </c>
      <c r="AO328" s="31">
        <f t="shared" si="246"/>
        <v>1.2110596148458825</v>
      </c>
      <c r="AP328" s="31">
        <f t="shared" si="246"/>
        <v>1.2110596148458825</v>
      </c>
      <c r="AQ328" s="32">
        <f t="shared" si="246"/>
        <v>7.3908523208725887</v>
      </c>
      <c r="AR328" s="32">
        <f t="shared" si="246"/>
        <v>12.869231101689474</v>
      </c>
      <c r="AS328" s="32">
        <f t="shared" si="246"/>
        <v>26.284888237309154</v>
      </c>
      <c r="AT328" s="33">
        <f t="shared" si="246"/>
        <v>0.35</v>
      </c>
      <c r="AU328" s="33">
        <f t="shared" si="246"/>
        <v>0.35</v>
      </c>
      <c r="AV328" s="34" t="e">
        <f t="shared" si="246"/>
        <v>#DIV/0!</v>
      </c>
      <c r="AW328" s="34" t="e">
        <f t="shared" si="246"/>
        <v>#DIV/0!</v>
      </c>
      <c r="AX328" s="35" t="e">
        <f t="shared" si="246"/>
        <v>#NUM!</v>
      </c>
      <c r="AY328" s="35" t="e">
        <f t="shared" si="246"/>
        <v>#NUM!</v>
      </c>
    </row>
    <row r="329" spans="6:51" x14ac:dyDescent="0.3">
      <c r="F329">
        <v>15</v>
      </c>
      <c r="G329" s="28"/>
      <c r="H329" s="28"/>
      <c r="I329" s="28"/>
      <c r="J329" s="28"/>
      <c r="K329" s="28"/>
      <c r="L329" s="29"/>
      <c r="M329" s="30"/>
      <c r="N329" s="31"/>
      <c r="O329" s="31"/>
      <c r="P329" s="32"/>
      <c r="Q329" s="32"/>
      <c r="R329" s="32"/>
      <c r="S329" s="33"/>
      <c r="T329" s="33"/>
      <c r="U329" s="34"/>
      <c r="V329" s="34"/>
      <c r="W329" s="35"/>
      <c r="X329" s="35"/>
      <c r="AG329">
        <f t="shared" si="232"/>
        <v>10.531800161572754</v>
      </c>
      <c r="AH329" s="28">
        <f t="shared" ref="AH329:AY329" si="247">AH$160+AH257</f>
        <v>1.7720143408181657</v>
      </c>
      <c r="AI329" s="28">
        <f t="shared" si="247"/>
        <v>3.9961758514742183</v>
      </c>
      <c r="AJ329" s="28">
        <f t="shared" si="247"/>
        <v>3.1531394806136483</v>
      </c>
      <c r="AK329" s="28">
        <f t="shared" si="247"/>
        <v>3.9495536458487006</v>
      </c>
      <c r="AL329" s="28">
        <f t="shared" si="247"/>
        <v>2.3569848759726133</v>
      </c>
      <c r="AM329" s="29">
        <f t="shared" si="247"/>
        <v>2.3569848759726133</v>
      </c>
      <c r="AN329" s="30">
        <f t="shared" si="247"/>
        <v>3.0290926555180899</v>
      </c>
      <c r="AO329" s="31">
        <f t="shared" si="247"/>
        <v>1.2110596148458825</v>
      </c>
      <c r="AP329" s="31">
        <f t="shared" si="247"/>
        <v>1.2110596148458825</v>
      </c>
      <c r="AQ329" s="32">
        <f t="shared" si="247"/>
        <v>7.3908523208725887</v>
      </c>
      <c r="AR329" s="32">
        <f t="shared" si="247"/>
        <v>12.869231101689474</v>
      </c>
      <c r="AS329" s="32">
        <f t="shared" si="247"/>
        <v>26.284888237309154</v>
      </c>
      <c r="AT329" s="33">
        <f t="shared" si="247"/>
        <v>0.35</v>
      </c>
      <c r="AU329" s="33">
        <f t="shared" si="247"/>
        <v>0.35</v>
      </c>
      <c r="AV329" s="34" t="e">
        <f t="shared" si="247"/>
        <v>#DIV/0!</v>
      </c>
      <c r="AW329" s="34" t="e">
        <f t="shared" si="247"/>
        <v>#DIV/0!</v>
      </c>
      <c r="AX329" s="35" t="e">
        <f t="shared" si="247"/>
        <v>#NUM!</v>
      </c>
      <c r="AY329" s="35" t="e">
        <f t="shared" si="247"/>
        <v>#NUM!</v>
      </c>
    </row>
    <row r="330" spans="6:51" x14ac:dyDescent="0.3">
      <c r="F330">
        <v>16</v>
      </c>
      <c r="G330" s="28"/>
      <c r="H330" s="28"/>
      <c r="I330" s="28"/>
      <c r="J330" s="28"/>
      <c r="K330" s="28"/>
      <c r="L330" s="29"/>
      <c r="M330" s="30"/>
      <c r="N330" s="31"/>
      <c r="O330" s="31"/>
      <c r="P330" s="32"/>
      <c r="Q330" s="32"/>
      <c r="R330" s="32"/>
      <c r="S330" s="33"/>
      <c r="T330" s="33"/>
      <c r="U330" s="34"/>
      <c r="V330" s="34"/>
      <c r="W330" s="35"/>
      <c r="X330" s="35"/>
      <c r="AG330">
        <f t="shared" si="232"/>
        <v>11.076095937857938</v>
      </c>
      <c r="AH330" s="28">
        <f t="shared" ref="AH330:AY330" si="248">AH$160+AH258</f>
        <v>1.8277486101908202</v>
      </c>
      <c r="AI330" s="28">
        <f t="shared" si="248"/>
        <v>4.0020531576630107</v>
      </c>
      <c r="AJ330" s="28">
        <f t="shared" si="248"/>
        <v>3.2818630279336514</v>
      </c>
      <c r="AK330" s="28">
        <f t="shared" si="248"/>
        <v>3.9594779608675186</v>
      </c>
      <c r="AL330" s="28">
        <f t="shared" si="248"/>
        <v>2.3569848759726133</v>
      </c>
      <c r="AM330" s="29">
        <f t="shared" si="248"/>
        <v>2.3569848759726133</v>
      </c>
      <c r="AN330" s="30">
        <f t="shared" si="248"/>
        <v>3.0290926555180899</v>
      </c>
      <c r="AO330" s="31">
        <f t="shared" si="248"/>
        <v>1.2110596148458825</v>
      </c>
      <c r="AP330" s="31">
        <f t="shared" si="248"/>
        <v>1.2110596148458825</v>
      </c>
      <c r="AQ330" s="32">
        <f t="shared" si="248"/>
        <v>7.3908523208725887</v>
      </c>
      <c r="AR330" s="32">
        <f t="shared" si="248"/>
        <v>12.869231101689474</v>
      </c>
      <c r="AS330" s="32">
        <f t="shared" si="248"/>
        <v>26.284888237309154</v>
      </c>
      <c r="AT330" s="33">
        <f t="shared" si="248"/>
        <v>0.35</v>
      </c>
      <c r="AU330" s="33">
        <f t="shared" si="248"/>
        <v>0.35</v>
      </c>
      <c r="AV330" s="34" t="e">
        <f t="shared" si="248"/>
        <v>#DIV/0!</v>
      </c>
      <c r="AW330" s="34" t="e">
        <f t="shared" si="248"/>
        <v>#DIV/0!</v>
      </c>
      <c r="AX330" s="35" t="e">
        <f t="shared" si="248"/>
        <v>#NUM!</v>
      </c>
      <c r="AY330" s="35" t="e">
        <f t="shared" si="248"/>
        <v>#NUM!</v>
      </c>
    </row>
    <row r="331" spans="6:51" x14ac:dyDescent="0.3">
      <c r="F331">
        <v>17</v>
      </c>
      <c r="G331" s="28"/>
      <c r="H331" s="28"/>
      <c r="I331" s="28"/>
      <c r="J331" s="28"/>
      <c r="K331" s="28"/>
      <c r="L331" s="29"/>
      <c r="M331" s="30"/>
      <c r="N331" s="31"/>
      <c r="O331" s="31"/>
      <c r="P331" s="32"/>
      <c r="Q331" s="32"/>
      <c r="R331" s="32"/>
      <c r="S331" s="33"/>
      <c r="T331" s="33"/>
      <c r="U331" s="34"/>
      <c r="V331" s="34"/>
      <c r="W331" s="35"/>
      <c r="X331" s="35"/>
      <c r="AG331">
        <f t="shared" si="232"/>
        <v>11.648521557810575</v>
      </c>
      <c r="AH331" s="28">
        <f t="shared" ref="AH331:AY331" si="249">AH$160+AH259</f>
        <v>1.8820275956692645</v>
      </c>
      <c r="AI331" s="28">
        <f t="shared" si="249"/>
        <v>4.0069180559680682</v>
      </c>
      <c r="AJ331" s="28">
        <f t="shared" si="249"/>
        <v>3.4003432770414168</v>
      </c>
      <c r="AK331" s="28">
        <f t="shared" si="249"/>
        <v>3.9676726545586285</v>
      </c>
      <c r="AL331" s="28">
        <f t="shared" si="249"/>
        <v>2.3569848759726133</v>
      </c>
      <c r="AM331" s="29">
        <f t="shared" si="249"/>
        <v>2.3569848759726133</v>
      </c>
      <c r="AN331" s="30">
        <f t="shared" si="249"/>
        <v>3.0290926555180899</v>
      </c>
      <c r="AO331" s="31">
        <f t="shared" si="249"/>
        <v>1.2110596148458825</v>
      </c>
      <c r="AP331" s="31">
        <f t="shared" si="249"/>
        <v>1.2110596148458825</v>
      </c>
      <c r="AQ331" s="32">
        <f t="shared" si="249"/>
        <v>7.3908523208725887</v>
      </c>
      <c r="AR331" s="32">
        <f t="shared" si="249"/>
        <v>12.869231101689474</v>
      </c>
      <c r="AS331" s="32">
        <f t="shared" si="249"/>
        <v>26.284888237309154</v>
      </c>
      <c r="AT331" s="33">
        <f t="shared" si="249"/>
        <v>0.35</v>
      </c>
      <c r="AU331" s="33">
        <f t="shared" si="249"/>
        <v>0.35</v>
      </c>
      <c r="AV331" s="34" t="e">
        <f t="shared" si="249"/>
        <v>#DIV/0!</v>
      </c>
      <c r="AW331" s="34" t="e">
        <f t="shared" si="249"/>
        <v>#DIV/0!</v>
      </c>
      <c r="AX331" s="35" t="e">
        <f t="shared" si="249"/>
        <v>#NUM!</v>
      </c>
      <c r="AY331" s="35" t="e">
        <f t="shared" si="249"/>
        <v>#NUM!</v>
      </c>
    </row>
    <row r="332" spans="6:51" x14ac:dyDescent="0.3">
      <c r="F332">
        <v>18</v>
      </c>
      <c r="G332" s="28"/>
      <c r="H332" s="28"/>
      <c r="I332" s="28"/>
      <c r="J332" s="28"/>
      <c r="K332" s="28"/>
      <c r="L332" s="29"/>
      <c r="M332" s="30"/>
      <c r="N332" s="31"/>
      <c r="O332" s="31"/>
      <c r="P332" s="32"/>
      <c r="Q332" s="32"/>
      <c r="R332" s="32"/>
      <c r="S332" s="33"/>
      <c r="T332" s="33"/>
      <c r="U332" s="34"/>
      <c r="V332" s="34"/>
      <c r="W332" s="35"/>
      <c r="X332" s="35"/>
      <c r="AG332">
        <f t="shared" si="232"/>
        <v>12.250530804721352</v>
      </c>
      <c r="AH332" s="28">
        <f t="shared" ref="AH332:AY332" si="250">AH$160+AH260</f>
        <v>1.9334757617388094</v>
      </c>
      <c r="AI332" s="28">
        <f t="shared" si="250"/>
        <v>4.0108849889179812</v>
      </c>
      <c r="AJ332" s="28">
        <f t="shared" si="250"/>
        <v>3.5069768767113918</v>
      </c>
      <c r="AK332" s="28">
        <f t="shared" si="250"/>
        <v>3.9743388651539222</v>
      </c>
      <c r="AL332" s="28">
        <f t="shared" si="250"/>
        <v>2.3569848759726133</v>
      </c>
      <c r="AM332" s="29">
        <f t="shared" si="250"/>
        <v>2.3569848759726133</v>
      </c>
      <c r="AN332" s="30">
        <f t="shared" si="250"/>
        <v>3.0290926555180899</v>
      </c>
      <c r="AO332" s="31">
        <f t="shared" si="250"/>
        <v>1.2110596148458825</v>
      </c>
      <c r="AP332" s="31">
        <f t="shared" si="250"/>
        <v>1.2110596148458825</v>
      </c>
      <c r="AQ332" s="32">
        <f t="shared" si="250"/>
        <v>7.3908523208725887</v>
      </c>
      <c r="AR332" s="32">
        <f t="shared" si="250"/>
        <v>12.869231101689474</v>
      </c>
      <c r="AS332" s="32">
        <f t="shared" si="250"/>
        <v>26.284888237309154</v>
      </c>
      <c r="AT332" s="33">
        <f t="shared" si="250"/>
        <v>0.35</v>
      </c>
      <c r="AU332" s="33">
        <f t="shared" si="250"/>
        <v>0.35</v>
      </c>
      <c r="AV332" s="34" t="e">
        <f t="shared" si="250"/>
        <v>#DIV/0!</v>
      </c>
      <c r="AW332" s="34" t="e">
        <f t="shared" si="250"/>
        <v>#DIV/0!</v>
      </c>
      <c r="AX332" s="35" t="e">
        <f t="shared" si="250"/>
        <v>#NUM!</v>
      </c>
      <c r="AY332" s="35" t="e">
        <f t="shared" si="250"/>
        <v>#NUM!</v>
      </c>
    </row>
    <row r="333" spans="6:51" x14ac:dyDescent="0.3">
      <c r="F333">
        <v>19</v>
      </c>
      <c r="G333" s="28"/>
      <c r="H333" s="28"/>
      <c r="I333" s="28"/>
      <c r="J333" s="28"/>
      <c r="K333" s="28"/>
      <c r="L333" s="29"/>
      <c r="M333" s="30"/>
      <c r="N333" s="31"/>
      <c r="O333" s="31"/>
      <c r="P333" s="32"/>
      <c r="Q333" s="32"/>
      <c r="R333" s="32"/>
      <c r="S333" s="33"/>
      <c r="T333" s="33"/>
      <c r="U333" s="34"/>
      <c r="V333" s="34"/>
      <c r="W333" s="35"/>
      <c r="X333" s="35"/>
      <c r="AG333">
        <f t="shared" si="232"/>
        <v>12.883652595105344</v>
      </c>
      <c r="AH333" s="28">
        <f t="shared" ref="AH333:AY333" si="251">AH$160+AH261</f>
        <v>1.980819982936781</v>
      </c>
      <c r="AI333" s="28">
        <f t="shared" si="251"/>
        <v>4.0140697263107201</v>
      </c>
      <c r="AJ333" s="28">
        <f t="shared" si="251"/>
        <v>3.6006586310365511</v>
      </c>
      <c r="AK333" s="28">
        <f t="shared" si="251"/>
        <v>3.9796783997871086</v>
      </c>
      <c r="AL333" s="28">
        <f t="shared" si="251"/>
        <v>2.3569848759726133</v>
      </c>
      <c r="AM333" s="29">
        <f t="shared" si="251"/>
        <v>2.3569848759726133</v>
      </c>
      <c r="AN333" s="30">
        <f t="shared" si="251"/>
        <v>3.0290926555180899</v>
      </c>
      <c r="AO333" s="31">
        <f t="shared" si="251"/>
        <v>1.2110596148458825</v>
      </c>
      <c r="AP333" s="31">
        <f t="shared" si="251"/>
        <v>1.2110596148458825</v>
      </c>
      <c r="AQ333" s="32">
        <f t="shared" si="251"/>
        <v>7.3908523208725887</v>
      </c>
      <c r="AR333" s="32">
        <f t="shared" si="251"/>
        <v>12.869231101689474</v>
      </c>
      <c r="AS333" s="32">
        <f t="shared" si="251"/>
        <v>26.284888237309154</v>
      </c>
      <c r="AT333" s="33">
        <f t="shared" si="251"/>
        <v>0.35</v>
      </c>
      <c r="AU333" s="33">
        <f t="shared" si="251"/>
        <v>0.35</v>
      </c>
      <c r="AV333" s="34" t="e">
        <f t="shared" si="251"/>
        <v>#DIV/0!</v>
      </c>
      <c r="AW333" s="34" t="e">
        <f t="shared" si="251"/>
        <v>#DIV/0!</v>
      </c>
      <c r="AX333" s="35" t="e">
        <f t="shared" si="251"/>
        <v>#NUM!</v>
      </c>
      <c r="AY333" s="35" t="e">
        <f t="shared" si="251"/>
        <v>#NUM!</v>
      </c>
    </row>
    <row r="334" spans="6:51" x14ac:dyDescent="0.3">
      <c r="F334">
        <v>20</v>
      </c>
      <c r="G334" s="28"/>
      <c r="H334" s="28"/>
      <c r="I334" s="28"/>
      <c r="J334" s="28"/>
      <c r="K334" s="28"/>
      <c r="L334" s="29"/>
      <c r="M334" s="30"/>
      <c r="N334" s="31"/>
      <c r="O334" s="31"/>
      <c r="P334" s="32"/>
      <c r="Q334" s="32"/>
      <c r="R334" s="32"/>
      <c r="S334" s="33"/>
      <c r="T334" s="33"/>
      <c r="U334" s="34"/>
      <c r="V334" s="34"/>
      <c r="W334" s="35"/>
      <c r="X334" s="35"/>
      <c r="AG334">
        <f t="shared" si="232"/>
        <v>13.549494861675118</v>
      </c>
      <c r="AH334" s="28">
        <f t="shared" ref="AH334:AY334" si="252">AH$160+AH262</f>
        <v>2.0230127362535346</v>
      </c>
      <c r="AI334" s="28">
        <f t="shared" si="252"/>
        <v>4.0165855949991265</v>
      </c>
      <c r="AJ334" s="28">
        <f t="shared" si="252"/>
        <v>3.68085705996489</v>
      </c>
      <c r="AK334" s="28">
        <f t="shared" si="252"/>
        <v>3.9838873828526498</v>
      </c>
      <c r="AL334" s="28">
        <f t="shared" si="252"/>
        <v>2.3569848759726133</v>
      </c>
      <c r="AM334" s="29">
        <f t="shared" si="252"/>
        <v>2.3569848759726133</v>
      </c>
      <c r="AN334" s="30">
        <f t="shared" si="252"/>
        <v>3.0290926555180899</v>
      </c>
      <c r="AO334" s="31">
        <f t="shared" si="252"/>
        <v>1.2110596148458825</v>
      </c>
      <c r="AP334" s="31">
        <f t="shared" si="252"/>
        <v>1.2110596148458825</v>
      </c>
      <c r="AQ334" s="32">
        <f t="shared" si="252"/>
        <v>7.3908523208725887</v>
      </c>
      <c r="AR334" s="32">
        <f t="shared" si="252"/>
        <v>12.869231101689474</v>
      </c>
      <c r="AS334" s="32">
        <f t="shared" si="252"/>
        <v>26.284888237309154</v>
      </c>
      <c r="AT334" s="33">
        <f t="shared" si="252"/>
        <v>0.35</v>
      </c>
      <c r="AU334" s="33">
        <f t="shared" si="252"/>
        <v>0.35</v>
      </c>
      <c r="AV334" s="34" t="e">
        <f t="shared" si="252"/>
        <v>#DIV/0!</v>
      </c>
      <c r="AW334" s="34" t="e">
        <f t="shared" si="252"/>
        <v>#DIV/0!</v>
      </c>
      <c r="AX334" s="35" t="e">
        <f t="shared" si="252"/>
        <v>#NUM!</v>
      </c>
      <c r="AY334" s="35" t="e">
        <f t="shared" si="252"/>
        <v>#NUM!</v>
      </c>
    </row>
    <row r="335" spans="6:51" x14ac:dyDescent="0.3">
      <c r="F335">
        <v>21</v>
      </c>
      <c r="G335" s="28"/>
      <c r="H335" s="28"/>
      <c r="I335" s="28"/>
      <c r="J335" s="28"/>
      <c r="K335" s="28"/>
      <c r="L335" s="29"/>
      <c r="M335" s="30"/>
      <c r="N335" s="31"/>
      <c r="O335" s="31"/>
      <c r="P335" s="32"/>
      <c r="Q335" s="32"/>
      <c r="R335" s="32"/>
      <c r="S335" s="33"/>
      <c r="T335" s="33"/>
      <c r="U335" s="34"/>
      <c r="V335" s="34"/>
      <c r="W335" s="35"/>
      <c r="X335" s="35"/>
      <c r="AG335">
        <f t="shared" si="232"/>
        <v>14.249748636990411</v>
      </c>
      <c r="AH335" s="28">
        <f t="shared" ref="AH335:AY335" si="253">AH$160+AH263</f>
        <v>2.0593374762212466</v>
      </c>
      <c r="AI335" s="28">
        <f t="shared" si="253"/>
        <v>4.0185402227468598</v>
      </c>
      <c r="AJ335" s="28">
        <f t="shared" si="253"/>
        <v>3.7476385589667842</v>
      </c>
      <c r="AK335" s="28">
        <f t="shared" si="253"/>
        <v>3.987150867061751</v>
      </c>
      <c r="AL335" s="28">
        <f t="shared" si="253"/>
        <v>2.3569848759726133</v>
      </c>
      <c r="AM335" s="29">
        <f t="shared" si="253"/>
        <v>2.3569848759726133</v>
      </c>
      <c r="AN335" s="30">
        <f t="shared" si="253"/>
        <v>3.0290926555180899</v>
      </c>
      <c r="AO335" s="31">
        <f t="shared" si="253"/>
        <v>1.2110596148458825</v>
      </c>
      <c r="AP335" s="31">
        <f t="shared" si="253"/>
        <v>1.2110596148458825</v>
      </c>
      <c r="AQ335" s="32">
        <f t="shared" si="253"/>
        <v>7.3908523208725887</v>
      </c>
      <c r="AR335" s="32">
        <f t="shared" si="253"/>
        <v>12.869231101689474</v>
      </c>
      <c r="AS335" s="32">
        <f t="shared" si="253"/>
        <v>26.284888237309154</v>
      </c>
      <c r="AT335" s="33">
        <f t="shared" si="253"/>
        <v>0.35</v>
      </c>
      <c r="AU335" s="33">
        <f t="shared" si="253"/>
        <v>0.35</v>
      </c>
      <c r="AV335" s="34" t="e">
        <f t="shared" si="253"/>
        <v>#DIV/0!</v>
      </c>
      <c r="AW335" s="34" t="e">
        <f t="shared" si="253"/>
        <v>#DIV/0!</v>
      </c>
      <c r="AX335" s="35" t="e">
        <f t="shared" si="253"/>
        <v>#NUM!</v>
      </c>
      <c r="AY335" s="35" t="e">
        <f t="shared" si="253"/>
        <v>#NUM!</v>
      </c>
    </row>
    <row r="336" spans="6:51" x14ac:dyDescent="0.3">
      <c r="F336">
        <v>22</v>
      </c>
      <c r="G336" s="28"/>
      <c r="H336" s="28"/>
      <c r="I336" s="28"/>
      <c r="J336" s="28"/>
      <c r="K336" s="28"/>
      <c r="L336" s="29"/>
      <c r="M336" s="30"/>
      <c r="N336" s="31"/>
      <c r="O336" s="31"/>
      <c r="P336" s="32"/>
      <c r="Q336" s="32"/>
      <c r="R336" s="32"/>
      <c r="S336" s="33"/>
      <c r="T336" s="33"/>
      <c r="U336" s="34"/>
      <c r="V336" s="34"/>
      <c r="W336" s="35"/>
      <c r="X336" s="35"/>
      <c r="AG336">
        <f t="shared" si="232"/>
        <v>14.986192348155662</v>
      </c>
      <c r="AH336" s="28">
        <f t="shared" ref="AH336:AY336" si="254">AH$160+AH264</f>
        <v>2.0894751734974939</v>
      </c>
      <c r="AI336" s="28">
        <f t="shared" si="254"/>
        <v>4.0200329448805316</v>
      </c>
      <c r="AJ336" s="28">
        <f t="shared" si="254"/>
        <v>3.8016340718237061</v>
      </c>
      <c r="AK336" s="28">
        <f t="shared" si="254"/>
        <v>3.9896386367591443</v>
      </c>
      <c r="AL336" s="28">
        <f t="shared" si="254"/>
        <v>2.3569848759726133</v>
      </c>
      <c r="AM336" s="29">
        <f t="shared" si="254"/>
        <v>2.3569848759726133</v>
      </c>
      <c r="AN336" s="30">
        <f t="shared" si="254"/>
        <v>3.0419334935622651</v>
      </c>
      <c r="AO336" s="31">
        <f t="shared" si="254"/>
        <v>1.2110596148458825</v>
      </c>
      <c r="AP336" s="31">
        <f t="shared" si="254"/>
        <v>1.2110596148458825</v>
      </c>
      <c r="AQ336" s="32">
        <f t="shared" si="254"/>
        <v>7.3908523208725887</v>
      </c>
      <c r="AR336" s="32">
        <f t="shared" si="254"/>
        <v>12.869231101689474</v>
      </c>
      <c r="AS336" s="32">
        <f t="shared" si="254"/>
        <v>26.284888237309154</v>
      </c>
      <c r="AT336" s="33">
        <f t="shared" si="254"/>
        <v>0.35</v>
      </c>
      <c r="AU336" s="33">
        <f t="shared" si="254"/>
        <v>0.35</v>
      </c>
      <c r="AV336" s="34" t="e">
        <f t="shared" si="254"/>
        <v>#DIV/0!</v>
      </c>
      <c r="AW336" s="34" t="e">
        <f t="shared" si="254"/>
        <v>#DIV/0!</v>
      </c>
      <c r="AX336" s="35" t="e">
        <f t="shared" si="254"/>
        <v>#NUM!</v>
      </c>
      <c r="AY336" s="35" t="e">
        <f t="shared" si="254"/>
        <v>#NUM!</v>
      </c>
    </row>
    <row r="337" spans="6:51" x14ac:dyDescent="0.3">
      <c r="F337">
        <v>23</v>
      </c>
      <c r="G337" s="28"/>
      <c r="H337" s="28"/>
      <c r="I337" s="28"/>
      <c r="J337" s="28"/>
      <c r="K337" s="28"/>
      <c r="L337" s="29"/>
      <c r="M337" s="30"/>
      <c r="N337" s="31"/>
      <c r="O337" s="31"/>
      <c r="P337" s="32"/>
      <c r="Q337" s="32"/>
      <c r="R337" s="32"/>
      <c r="S337" s="33"/>
      <c r="T337" s="33"/>
      <c r="U337" s="34"/>
      <c r="V337" s="34"/>
      <c r="W337" s="35"/>
      <c r="X337" s="35"/>
      <c r="AG337">
        <f t="shared" si="232"/>
        <v>15.760696333472486</v>
      </c>
      <c r="AH337" s="28">
        <f t="shared" ref="AH337:AY337" si="255">AH$160+AH265</f>
        <v>2.1135169642451128</v>
      </c>
      <c r="AI337" s="28">
        <f t="shared" si="255"/>
        <v>4.0211529591960335</v>
      </c>
      <c r="AJ337" s="28">
        <f t="shared" si="255"/>
        <v>3.8439511518458565</v>
      </c>
      <c r="AK337" s="28">
        <f t="shared" si="255"/>
        <v>3.9915023214855756</v>
      </c>
      <c r="AL337" s="28">
        <f t="shared" si="255"/>
        <v>2.3569848759726133</v>
      </c>
      <c r="AM337" s="29">
        <f t="shared" si="255"/>
        <v>2.3569848759726133</v>
      </c>
      <c r="AN337" s="30">
        <f t="shared" si="255"/>
        <v>3.0939684451823499</v>
      </c>
      <c r="AO337" s="31">
        <f t="shared" si="255"/>
        <v>1.2110596148458825</v>
      </c>
      <c r="AP337" s="31">
        <f t="shared" si="255"/>
        <v>1.2110596148458825</v>
      </c>
      <c r="AQ337" s="32">
        <f t="shared" si="255"/>
        <v>7.3908523208725887</v>
      </c>
      <c r="AR337" s="32">
        <f t="shared" si="255"/>
        <v>12.869231101689474</v>
      </c>
      <c r="AS337" s="32">
        <f t="shared" si="255"/>
        <v>26.284888237309154</v>
      </c>
      <c r="AT337" s="33">
        <f t="shared" si="255"/>
        <v>0.35</v>
      </c>
      <c r="AU337" s="33">
        <f t="shared" si="255"/>
        <v>0.35</v>
      </c>
      <c r="AV337" s="34" t="e">
        <f t="shared" si="255"/>
        <v>#DIV/0!</v>
      </c>
      <c r="AW337" s="34" t="e">
        <f t="shared" si="255"/>
        <v>#DIV/0!</v>
      </c>
      <c r="AX337" s="35" t="e">
        <f t="shared" si="255"/>
        <v>#NUM!</v>
      </c>
      <c r="AY337" s="35" t="e">
        <f t="shared" si="255"/>
        <v>#NUM!</v>
      </c>
    </row>
    <row r="338" spans="6:51" x14ac:dyDescent="0.3">
      <c r="F338">
        <v>24</v>
      </c>
      <c r="G338" s="28"/>
      <c r="H338" s="28"/>
      <c r="I338" s="28"/>
      <c r="J338" s="28"/>
      <c r="K338" s="28"/>
      <c r="L338" s="29"/>
      <c r="M338" s="30"/>
      <c r="N338" s="31"/>
      <c r="O338" s="31"/>
      <c r="P338" s="32"/>
      <c r="Q338" s="32"/>
      <c r="R338" s="32"/>
      <c r="S338" s="33"/>
      <c r="T338" s="33"/>
      <c r="U338" s="34"/>
      <c r="V338" s="34"/>
      <c r="W338" s="35"/>
      <c r="X338" s="35"/>
      <c r="AG338">
        <f t="shared" si="232"/>
        <v>16.575227592518086</v>
      </c>
      <c r="AH338" s="28">
        <f t="shared" ref="AH338:AY338" si="256">AH$160+AH266</f>
        <v>2.1319190724575763</v>
      </c>
      <c r="AI338" s="28">
        <f t="shared" si="256"/>
        <v>4.0219782474093524</v>
      </c>
      <c r="AJ338" s="28">
        <f t="shared" si="256"/>
        <v>3.8760435493657663</v>
      </c>
      <c r="AK338" s="28">
        <f t="shared" si="256"/>
        <v>3.9928738232049557</v>
      </c>
      <c r="AL338" s="28">
        <f t="shared" si="256"/>
        <v>2.3569848759726133</v>
      </c>
      <c r="AM338" s="29">
        <f t="shared" si="256"/>
        <v>2.3569848759726133</v>
      </c>
      <c r="AN338" s="30">
        <f t="shared" si="256"/>
        <v>3.1434010389330722</v>
      </c>
      <c r="AO338" s="31">
        <f t="shared" si="256"/>
        <v>1.2110596148458825</v>
      </c>
      <c r="AP338" s="31">
        <f t="shared" si="256"/>
        <v>1.2110596148458825</v>
      </c>
      <c r="AQ338" s="32">
        <f t="shared" si="256"/>
        <v>7.3908523208725887</v>
      </c>
      <c r="AR338" s="32">
        <f t="shared" si="256"/>
        <v>12.869231101689474</v>
      </c>
      <c r="AS338" s="32">
        <f t="shared" si="256"/>
        <v>26.284888237309154</v>
      </c>
      <c r="AT338" s="33">
        <f t="shared" si="256"/>
        <v>0.35</v>
      </c>
      <c r="AU338" s="33">
        <f t="shared" si="256"/>
        <v>0.35</v>
      </c>
      <c r="AV338" s="34" t="e">
        <f t="shared" si="256"/>
        <v>#DIV/0!</v>
      </c>
      <c r="AW338" s="34" t="e">
        <f t="shared" si="256"/>
        <v>#DIV/0!</v>
      </c>
      <c r="AX338" s="35" t="e">
        <f t="shared" si="256"/>
        <v>#NUM!</v>
      </c>
      <c r="AY338" s="35" t="e">
        <f t="shared" si="256"/>
        <v>#NUM!</v>
      </c>
    </row>
    <row r="339" spans="6:51" x14ac:dyDescent="0.3">
      <c r="F339">
        <v>25</v>
      </c>
      <c r="G339" s="28"/>
      <c r="H339" s="28"/>
      <c r="I339" s="28"/>
      <c r="J339" s="28"/>
      <c r="K339" s="28"/>
      <c r="L339" s="29"/>
      <c r="M339" s="30"/>
      <c r="N339" s="31"/>
      <c r="O339" s="31"/>
      <c r="P339" s="32"/>
      <c r="Q339" s="32"/>
      <c r="R339" s="32"/>
      <c r="S339" s="33"/>
      <c r="T339" s="33"/>
      <c r="U339" s="34"/>
      <c r="V339" s="34"/>
      <c r="W339" s="35"/>
      <c r="X339" s="35"/>
      <c r="AG339">
        <f t="shared" si="232"/>
        <v>17.431854781713245</v>
      </c>
      <c r="AH339" s="28">
        <f t="shared" ref="AH339:AY339" si="257">AH$160+AH267</f>
        <v>2.1454096329726253</v>
      </c>
      <c r="AI339" s="28">
        <f t="shared" si="257"/>
        <v>4.0225752184089414</v>
      </c>
      <c r="AJ339" s="28">
        <f t="shared" si="257"/>
        <v>3.8995577578220999</v>
      </c>
      <c r="AK339" s="28">
        <f t="shared" si="257"/>
        <v>3.9938649564997917</v>
      </c>
      <c r="AL339" s="28">
        <f t="shared" si="257"/>
        <v>2.3569848759726133</v>
      </c>
      <c r="AM339" s="29">
        <f t="shared" si="257"/>
        <v>2.3569848759726133</v>
      </c>
      <c r="AN339" s="30">
        <f t="shared" si="257"/>
        <v>3.1899152694791382</v>
      </c>
      <c r="AO339" s="31">
        <f t="shared" si="257"/>
        <v>1.2110596148458825</v>
      </c>
      <c r="AP339" s="31">
        <f t="shared" si="257"/>
        <v>1.2110596148458825</v>
      </c>
      <c r="AQ339" s="32">
        <f t="shared" si="257"/>
        <v>7.3908523208725887</v>
      </c>
      <c r="AR339" s="32">
        <f t="shared" si="257"/>
        <v>12.869231101689474</v>
      </c>
      <c r="AS339" s="32">
        <f t="shared" si="257"/>
        <v>26.284888237309154</v>
      </c>
      <c r="AT339" s="33">
        <f t="shared" si="257"/>
        <v>0.35</v>
      </c>
      <c r="AU339" s="33">
        <f t="shared" si="257"/>
        <v>0.35</v>
      </c>
      <c r="AV339" s="34" t="e">
        <f t="shared" si="257"/>
        <v>#DIV/0!</v>
      </c>
      <c r="AW339" s="34" t="e">
        <f t="shared" si="257"/>
        <v>#DIV/0!</v>
      </c>
      <c r="AX339" s="35" t="e">
        <f t="shared" si="257"/>
        <v>#NUM!</v>
      </c>
      <c r="AY339" s="35" t="e">
        <f t="shared" si="257"/>
        <v>#NUM!</v>
      </c>
    </row>
    <row r="340" spans="6:51" x14ac:dyDescent="0.3">
      <c r="F340">
        <v>26</v>
      </c>
      <c r="G340" s="28"/>
      <c r="H340" s="28"/>
      <c r="I340" s="28"/>
      <c r="J340" s="28"/>
      <c r="K340" s="28"/>
      <c r="L340" s="29"/>
      <c r="M340" s="30"/>
      <c r="N340" s="31"/>
      <c r="O340" s="31"/>
      <c r="P340" s="32"/>
      <c r="Q340" s="32"/>
      <c r="R340" s="32"/>
      <c r="S340" s="33"/>
      <c r="T340" s="33"/>
      <c r="U340" s="34"/>
      <c r="V340" s="34"/>
      <c r="W340" s="35"/>
      <c r="X340" s="35"/>
      <c r="AG340">
        <f t="shared" si="232"/>
        <v>18.332753468067196</v>
      </c>
      <c r="AH340" s="28">
        <f t="shared" ref="AH340:AY340" si="258">AH$160+AH268</f>
        <v>2.1548683180718613</v>
      </c>
      <c r="AI340" s="28">
        <f t="shared" si="258"/>
        <v>4.0229989767518415</v>
      </c>
      <c r="AJ340" s="28">
        <f t="shared" si="258"/>
        <v>3.916179296675673</v>
      </c>
      <c r="AK340" s="28">
        <f t="shared" si="258"/>
        <v>3.9945681186434725</v>
      </c>
      <c r="AL340" s="28">
        <f t="shared" si="258"/>
        <v>2.3569848759726133</v>
      </c>
      <c r="AM340" s="29">
        <f t="shared" si="258"/>
        <v>2.3569848759726133</v>
      </c>
      <c r="AN340" s="30">
        <f t="shared" si="258"/>
        <v>3.2332518923197795</v>
      </c>
      <c r="AO340" s="31">
        <f t="shared" si="258"/>
        <v>1.2110596148458825</v>
      </c>
      <c r="AP340" s="31">
        <f t="shared" si="258"/>
        <v>1.2110596148458825</v>
      </c>
      <c r="AQ340" s="32">
        <f t="shared" si="258"/>
        <v>7.3908523208725887</v>
      </c>
      <c r="AR340" s="32">
        <f t="shared" si="258"/>
        <v>12.869231101689474</v>
      </c>
      <c r="AS340" s="32">
        <f t="shared" si="258"/>
        <v>26.284888237309154</v>
      </c>
      <c r="AT340" s="33">
        <f t="shared" si="258"/>
        <v>0.35</v>
      </c>
      <c r="AU340" s="33">
        <f t="shared" si="258"/>
        <v>0.35</v>
      </c>
      <c r="AV340" s="34" t="e">
        <f t="shared" si="258"/>
        <v>#DIV/0!</v>
      </c>
      <c r="AW340" s="34" t="e">
        <f t="shared" si="258"/>
        <v>#DIV/0!</v>
      </c>
      <c r="AX340" s="35" t="e">
        <f t="shared" si="258"/>
        <v>#NUM!</v>
      </c>
      <c r="AY340" s="35" t="e">
        <f t="shared" si="258"/>
        <v>#NUM!</v>
      </c>
    </row>
    <row r="341" spans="6:51" x14ac:dyDescent="0.3">
      <c r="F341">
        <v>27</v>
      </c>
      <c r="G341" s="28"/>
      <c r="H341" s="28"/>
      <c r="I341" s="28"/>
      <c r="J341" s="28"/>
      <c r="K341" s="28"/>
      <c r="L341" s="29"/>
      <c r="M341" s="30"/>
      <c r="N341" s="31"/>
      <c r="O341" s="31"/>
      <c r="P341" s="32"/>
      <c r="Q341" s="32"/>
      <c r="R341" s="32"/>
      <c r="S341" s="33"/>
      <c r="T341" s="33"/>
      <c r="U341" s="34"/>
      <c r="V341" s="34"/>
      <c r="W341" s="35"/>
      <c r="X341" s="35"/>
      <c r="AG341">
        <f t="shared" si="232"/>
        <v>19.280211654442091</v>
      </c>
      <c r="AH341" s="28">
        <f t="shared" ref="AH341:AY341" si="259">AH$160+AH269</f>
        <v>2.1612047222454898</v>
      </c>
      <c r="AI341" s="28">
        <f t="shared" si="259"/>
        <v>4.0232940842786755</v>
      </c>
      <c r="AJ341" s="28">
        <f t="shared" si="259"/>
        <v>3.9274999387747882</v>
      </c>
      <c r="AK341" s="28">
        <f t="shared" si="259"/>
        <v>3.9950577531834943</v>
      </c>
      <c r="AL341" s="28">
        <f t="shared" si="259"/>
        <v>2.3569848759726133</v>
      </c>
      <c r="AM341" s="29">
        <f t="shared" si="259"/>
        <v>2.3569848759726133</v>
      </c>
      <c r="AN341" s="30">
        <f t="shared" si="259"/>
        <v>3.2732162351454046</v>
      </c>
      <c r="AO341" s="31">
        <f t="shared" si="259"/>
        <v>1.2110596148458825</v>
      </c>
      <c r="AP341" s="31">
        <f t="shared" si="259"/>
        <v>1.2110596148458825</v>
      </c>
      <c r="AQ341" s="32">
        <f t="shared" si="259"/>
        <v>7.3908523208725887</v>
      </c>
      <c r="AR341" s="32">
        <f t="shared" si="259"/>
        <v>12.869231101689474</v>
      </c>
      <c r="AS341" s="32">
        <f t="shared" si="259"/>
        <v>26.284888237309154</v>
      </c>
      <c r="AT341" s="33">
        <f t="shared" si="259"/>
        <v>0.35</v>
      </c>
      <c r="AU341" s="33">
        <f t="shared" si="259"/>
        <v>0.35</v>
      </c>
      <c r="AV341" s="34" t="e">
        <f t="shared" si="259"/>
        <v>#DIV/0!</v>
      </c>
      <c r="AW341" s="34" t="e">
        <f t="shared" si="259"/>
        <v>#DIV/0!</v>
      </c>
      <c r="AX341" s="35" t="e">
        <f t="shared" si="259"/>
        <v>#NUM!</v>
      </c>
      <c r="AY341" s="35" t="e">
        <f t="shared" si="259"/>
        <v>#NUM!</v>
      </c>
    </row>
    <row r="342" spans="6:51" x14ac:dyDescent="0.3">
      <c r="F342">
        <v>28</v>
      </c>
      <c r="G342" s="28"/>
      <c r="H342" s="28"/>
      <c r="I342" s="28"/>
      <c r="J342" s="28"/>
      <c r="K342" s="28"/>
      <c r="L342" s="29"/>
      <c r="M342" s="30"/>
      <c r="N342" s="31"/>
      <c r="O342" s="31"/>
      <c r="P342" s="32"/>
      <c r="Q342" s="32"/>
      <c r="R342" s="32"/>
      <c r="S342" s="33"/>
      <c r="T342" s="33"/>
      <c r="U342" s="34"/>
      <c r="V342" s="34"/>
      <c r="W342" s="35"/>
      <c r="X342" s="35"/>
      <c r="AG342">
        <f t="shared" si="232"/>
        <v>20.276635590369683</v>
      </c>
      <c r="AH342" s="28">
        <f t="shared" ref="AH342:AY342" si="260">AH$160+AH270</f>
        <v>2.1652586144831503</v>
      </c>
      <c r="AI342" s="28">
        <f t="shared" si="260"/>
        <v>4.0234956656892793</v>
      </c>
      <c r="AJ342" s="28">
        <f t="shared" si="260"/>
        <v>3.9349210752041954</v>
      </c>
      <c r="AK342" s="28">
        <f t="shared" si="260"/>
        <v>3.9953923491242467</v>
      </c>
      <c r="AL342" s="28">
        <f t="shared" si="260"/>
        <v>2.3569848759726133</v>
      </c>
      <c r="AM342" s="29">
        <f t="shared" si="260"/>
        <v>2.3569848759726133</v>
      </c>
      <c r="AN342" s="30">
        <f t="shared" si="260"/>
        <v>3.3096833819438412</v>
      </c>
      <c r="AO342" s="31">
        <f t="shared" si="260"/>
        <v>1.2110596148458825</v>
      </c>
      <c r="AP342" s="31">
        <f t="shared" si="260"/>
        <v>1.2110596148458825</v>
      </c>
      <c r="AQ342" s="32">
        <f t="shared" si="260"/>
        <v>7.3908523208725887</v>
      </c>
      <c r="AR342" s="32">
        <f t="shared" si="260"/>
        <v>12.869231101689474</v>
      </c>
      <c r="AS342" s="32">
        <f t="shared" si="260"/>
        <v>26.284888237309154</v>
      </c>
      <c r="AT342" s="33">
        <f t="shared" si="260"/>
        <v>0.35</v>
      </c>
      <c r="AU342" s="33">
        <f t="shared" si="260"/>
        <v>0.35</v>
      </c>
      <c r="AV342" s="34" t="e">
        <f t="shared" si="260"/>
        <v>#DIV/0!</v>
      </c>
      <c r="AW342" s="34" t="e">
        <f t="shared" si="260"/>
        <v>#DIV/0!</v>
      </c>
      <c r="AX342" s="35" t="e">
        <f t="shared" si="260"/>
        <v>#NUM!</v>
      </c>
      <c r="AY342" s="35" t="e">
        <f t="shared" si="260"/>
        <v>#NUM!</v>
      </c>
    </row>
    <row r="343" spans="6:51" x14ac:dyDescent="0.3">
      <c r="F343">
        <v>29</v>
      </c>
      <c r="G343" s="28"/>
      <c r="H343" s="28"/>
      <c r="I343" s="28"/>
      <c r="J343" s="28"/>
      <c r="K343" s="28"/>
      <c r="L343" s="29"/>
      <c r="M343" s="30"/>
      <c r="N343" s="31"/>
      <c r="O343" s="31"/>
      <c r="P343" s="32"/>
      <c r="Q343" s="32"/>
      <c r="R343" s="32"/>
      <c r="S343" s="33"/>
      <c r="T343" s="33"/>
      <c r="U343" s="34"/>
      <c r="V343" s="34"/>
      <c r="W343" s="35"/>
      <c r="X343" s="35"/>
      <c r="AG343">
        <f t="shared" si="232"/>
        <v>21.324555883177815</v>
      </c>
      <c r="AH343" s="28">
        <f t="shared" ref="AH343:AY343" si="261">AH$160+AH271</f>
        <v>2.1677359911555114</v>
      </c>
      <c r="AI343" s="28">
        <f t="shared" si="261"/>
        <v>4.0236307098245652</v>
      </c>
      <c r="AJ343" s="28">
        <f t="shared" si="261"/>
        <v>3.9395997604722375</v>
      </c>
      <c r="AK343" s="28">
        <f t="shared" si="261"/>
        <v>3.995616725822833</v>
      </c>
      <c r="AL343" s="28">
        <f t="shared" si="261"/>
        <v>2.3569848759726133</v>
      </c>
      <c r="AM343" s="29">
        <f t="shared" si="261"/>
        <v>2.3569848759726133</v>
      </c>
      <c r="AN343" s="30">
        <f t="shared" si="261"/>
        <v>3.3426003373893352</v>
      </c>
      <c r="AO343" s="31">
        <f t="shared" si="261"/>
        <v>1.2110596148458825</v>
      </c>
      <c r="AP343" s="31">
        <f t="shared" si="261"/>
        <v>1.2110596148458825</v>
      </c>
      <c r="AQ343" s="32">
        <f t="shared" si="261"/>
        <v>7.3908523208725887</v>
      </c>
      <c r="AR343" s="32">
        <f t="shared" si="261"/>
        <v>12.869231101689474</v>
      </c>
      <c r="AS343" s="32">
        <f t="shared" si="261"/>
        <v>26.284888237309154</v>
      </c>
      <c r="AT343" s="33">
        <f t="shared" si="261"/>
        <v>0.35</v>
      </c>
      <c r="AU343" s="33">
        <f t="shared" si="261"/>
        <v>0.35</v>
      </c>
      <c r="AV343" s="34" t="e">
        <f t="shared" si="261"/>
        <v>#DIV/0!</v>
      </c>
      <c r="AW343" s="34" t="e">
        <f t="shared" si="261"/>
        <v>#DIV/0!</v>
      </c>
      <c r="AX343" s="35" t="e">
        <f t="shared" si="261"/>
        <v>#NUM!</v>
      </c>
      <c r="AY343" s="35" t="e">
        <f t="shared" si="261"/>
        <v>#NUM!</v>
      </c>
    </row>
    <row r="344" spans="6:51" x14ac:dyDescent="0.3">
      <c r="F344">
        <v>30</v>
      </c>
      <c r="G344" s="28"/>
      <c r="H344" s="28"/>
      <c r="I344" s="28"/>
      <c r="J344" s="28"/>
      <c r="K344" s="28"/>
      <c r="L344" s="29"/>
      <c r="M344" s="30"/>
      <c r="N344" s="31"/>
      <c r="O344" s="31"/>
      <c r="P344" s="32"/>
      <c r="Q344" s="32"/>
      <c r="R344" s="32"/>
      <c r="S344" s="33"/>
      <c r="T344" s="33"/>
      <c r="U344" s="34"/>
      <c r="V344" s="34"/>
      <c r="W344" s="35"/>
      <c r="X344" s="35"/>
      <c r="AG344">
        <f t="shared" si="232"/>
        <v>22.426633924947051</v>
      </c>
      <c r="AH344" s="28">
        <f t="shared" ref="AH344:AY344" si="262">AH$160+AH272</f>
        <v>2.1691833410318528</v>
      </c>
      <c r="AI344" s="28">
        <f t="shared" si="262"/>
        <v>4.0237194341759066</v>
      </c>
      <c r="AJ344" s="28">
        <f t="shared" si="262"/>
        <v>3.9424351971235616</v>
      </c>
      <c r="AK344" s="28">
        <f t="shared" si="262"/>
        <v>3.995764385290594</v>
      </c>
      <c r="AL344" s="28">
        <f t="shared" si="262"/>
        <v>2.3569848759726133</v>
      </c>
      <c r="AM344" s="29">
        <f t="shared" si="262"/>
        <v>2.3569848759726133</v>
      </c>
      <c r="AN344" s="30">
        <f t="shared" si="262"/>
        <v>3.3719849879450359</v>
      </c>
      <c r="AO344" s="31">
        <f t="shared" si="262"/>
        <v>1.2110596148458825</v>
      </c>
      <c r="AP344" s="31">
        <f t="shared" si="262"/>
        <v>1.2110596148458825</v>
      </c>
      <c r="AQ344" s="32">
        <f t="shared" si="262"/>
        <v>7.3908523208725887</v>
      </c>
      <c r="AR344" s="32">
        <f t="shared" si="262"/>
        <v>12.869231101689474</v>
      </c>
      <c r="AS344" s="32">
        <f t="shared" si="262"/>
        <v>26.284888237309154</v>
      </c>
      <c r="AT344" s="33">
        <f t="shared" si="262"/>
        <v>0.35</v>
      </c>
      <c r="AU344" s="33">
        <f t="shared" si="262"/>
        <v>0.35</v>
      </c>
      <c r="AV344" s="34" t="e">
        <f t="shared" si="262"/>
        <v>#DIV/0!</v>
      </c>
      <c r="AW344" s="34" t="e">
        <f t="shared" si="262"/>
        <v>#DIV/0!</v>
      </c>
      <c r="AX344" s="35" t="e">
        <f t="shared" si="262"/>
        <v>#NUM!</v>
      </c>
      <c r="AY344" s="35" t="e">
        <f t="shared" si="262"/>
        <v>#NUM!</v>
      </c>
    </row>
    <row r="345" spans="6:51" x14ac:dyDescent="0.3">
      <c r="F345">
        <v>31</v>
      </c>
      <c r="G345" s="28"/>
      <c r="H345" s="28"/>
      <c r="I345" s="28"/>
      <c r="J345" s="28"/>
      <c r="K345" s="28"/>
      <c r="L345" s="29"/>
      <c r="M345" s="30"/>
      <c r="N345" s="31"/>
      <c r="O345" s="31"/>
      <c r="P345" s="32"/>
      <c r="Q345" s="32"/>
      <c r="R345" s="32"/>
      <c r="S345" s="33"/>
      <c r="T345" s="33"/>
      <c r="U345" s="34"/>
      <c r="V345" s="34"/>
      <c r="W345" s="35"/>
      <c r="X345" s="35"/>
      <c r="AG345">
        <f t="shared" si="232"/>
        <v>23.585668651620018</v>
      </c>
      <c r="AH345" s="28">
        <f t="shared" ref="AH345:AY345" si="263">AH$160+AH273</f>
        <v>2.1699930146919462</v>
      </c>
      <c r="AI345" s="28">
        <f t="shared" si="263"/>
        <v>4.0237766060922722</v>
      </c>
      <c r="AJ345" s="28">
        <f t="shared" si="263"/>
        <v>3.9440867843234981</v>
      </c>
      <c r="AK345" s="28">
        <f t="shared" si="263"/>
        <v>3.9958597603810455</v>
      </c>
      <c r="AL345" s="28">
        <f t="shared" si="263"/>
        <v>2.3569848759726133</v>
      </c>
      <c r="AM345" s="29">
        <f t="shared" si="263"/>
        <v>2.3569848759726133</v>
      </c>
      <c r="AN345" s="30">
        <f t="shared" si="263"/>
        <v>3.3979219151143889</v>
      </c>
      <c r="AO345" s="31">
        <f t="shared" si="263"/>
        <v>1.2110596148458825</v>
      </c>
      <c r="AP345" s="31">
        <f t="shared" si="263"/>
        <v>1.2110596148458825</v>
      </c>
      <c r="AQ345" s="32">
        <f t="shared" si="263"/>
        <v>7.3908523208725887</v>
      </c>
      <c r="AR345" s="32">
        <f t="shared" si="263"/>
        <v>12.869231101689474</v>
      </c>
      <c r="AS345" s="32">
        <f t="shared" si="263"/>
        <v>26.284888237309154</v>
      </c>
      <c r="AT345" s="33">
        <f t="shared" si="263"/>
        <v>0.35</v>
      </c>
      <c r="AU345" s="33">
        <f t="shared" si="263"/>
        <v>0.35</v>
      </c>
      <c r="AV345" s="34" t="e">
        <f t="shared" si="263"/>
        <v>#DIV/0!</v>
      </c>
      <c r="AW345" s="34" t="e">
        <f t="shared" si="263"/>
        <v>#DIV/0!</v>
      </c>
      <c r="AX345" s="35" t="e">
        <f t="shared" si="263"/>
        <v>#NUM!</v>
      </c>
      <c r="AY345" s="35" t="e">
        <f t="shared" si="263"/>
        <v>#NUM!</v>
      </c>
    </row>
    <row r="346" spans="6:51" x14ac:dyDescent="0.3">
      <c r="F346">
        <v>32</v>
      </c>
      <c r="G346" s="28"/>
      <c r="H346" s="28"/>
      <c r="I346" s="28"/>
      <c r="J346" s="28"/>
      <c r="K346" s="28"/>
      <c r="L346" s="29"/>
      <c r="M346" s="30"/>
      <c r="N346" s="31"/>
      <c r="O346" s="31"/>
      <c r="P346" s="32"/>
      <c r="Q346" s="32"/>
      <c r="R346" s="32"/>
      <c r="S346" s="33"/>
      <c r="T346" s="33"/>
      <c r="U346" s="34"/>
      <c r="V346" s="34"/>
      <c r="W346" s="35"/>
      <c r="X346" s="35"/>
      <c r="AG346">
        <f t="shared" si="232"/>
        <v>24.804603651429346</v>
      </c>
      <c r="AH346" s="28">
        <f t="shared" ref="AH346:AY346" si="264">AH$160+AH274</f>
        <v>2.1704277585172678</v>
      </c>
      <c r="AI346" s="28">
        <f t="shared" si="264"/>
        <v>4.0238127449817735</v>
      </c>
      <c r="AJ346" s="28">
        <f t="shared" si="264"/>
        <v>3.9450116626115657</v>
      </c>
      <c r="AK346" s="28">
        <f t="shared" si="264"/>
        <v>3.9959202404206251</v>
      </c>
      <c r="AL346" s="28">
        <f t="shared" si="264"/>
        <v>2.3569848759726133</v>
      </c>
      <c r="AM346" s="29">
        <f t="shared" si="264"/>
        <v>2.3569848759726133</v>
      </c>
      <c r="AN346" s="30">
        <f t="shared" si="264"/>
        <v>3.4205553600772682</v>
      </c>
      <c r="AO346" s="31">
        <f t="shared" si="264"/>
        <v>1.2110596148458825</v>
      </c>
      <c r="AP346" s="31">
        <f t="shared" si="264"/>
        <v>1.2110596148458825</v>
      </c>
      <c r="AQ346" s="32">
        <f t="shared" si="264"/>
        <v>7.3908523208725887</v>
      </c>
      <c r="AR346" s="32">
        <f t="shared" si="264"/>
        <v>12.869231101689474</v>
      </c>
      <c r="AS346" s="32">
        <f t="shared" si="264"/>
        <v>26.284888237309154</v>
      </c>
      <c r="AT346" s="33">
        <f t="shared" si="264"/>
        <v>0.35</v>
      </c>
      <c r="AU346" s="33">
        <f t="shared" si="264"/>
        <v>0.35</v>
      </c>
      <c r="AV346" s="34" t="e">
        <f t="shared" si="264"/>
        <v>#DIV/0!</v>
      </c>
      <c r="AW346" s="34" t="e">
        <f t="shared" si="264"/>
        <v>#DIV/0!</v>
      </c>
      <c r="AX346" s="35" t="e">
        <f t="shared" si="264"/>
        <v>#NUM!</v>
      </c>
      <c r="AY346" s="35" t="e">
        <f t="shared" si="264"/>
        <v>#NUM!</v>
      </c>
    </row>
    <row r="347" spans="6:51" x14ac:dyDescent="0.3">
      <c r="F347">
        <v>33</v>
      </c>
      <c r="G347" s="28"/>
      <c r="H347" s="28"/>
      <c r="I347" s="28"/>
      <c r="J347" s="28"/>
      <c r="K347" s="28"/>
      <c r="L347" s="29"/>
      <c r="M347" s="30"/>
      <c r="N347" s="31"/>
      <c r="O347" s="31"/>
      <c r="P347" s="32"/>
      <c r="Q347" s="32"/>
      <c r="R347" s="32"/>
      <c r="S347" s="33"/>
      <c r="T347" s="33"/>
      <c r="U347" s="34"/>
      <c r="V347" s="34"/>
      <c r="W347" s="35"/>
      <c r="X347" s="35"/>
      <c r="AG347">
        <f t="shared" si="232"/>
        <v>26.08653464069765</v>
      </c>
      <c r="AH347" s="28">
        <f t="shared" ref="AH347:AY347" si="265">AH$160+AH275</f>
        <v>2.1706525193425525</v>
      </c>
      <c r="AI347" s="28">
        <f t="shared" si="265"/>
        <v>4.0238351606038263</v>
      </c>
      <c r="AJ347" s="28">
        <f t="shared" si="265"/>
        <v>3.9455099459146261</v>
      </c>
      <c r="AK347" s="28">
        <f t="shared" si="265"/>
        <v>3.9959579072809381</v>
      </c>
      <c r="AL347" s="28">
        <f t="shared" si="265"/>
        <v>2.3569848759726133</v>
      </c>
      <c r="AM347" s="29">
        <f t="shared" si="265"/>
        <v>2.3569848759726133</v>
      </c>
      <c r="AN347" s="30">
        <f t="shared" si="265"/>
        <v>3.4400798594772914</v>
      </c>
      <c r="AO347" s="31">
        <f t="shared" si="265"/>
        <v>1.2110596148458825</v>
      </c>
      <c r="AP347" s="31">
        <f t="shared" si="265"/>
        <v>1.2110596148458825</v>
      </c>
      <c r="AQ347" s="32">
        <f t="shared" si="265"/>
        <v>7.3908523208725887</v>
      </c>
      <c r="AR347" s="32">
        <f t="shared" si="265"/>
        <v>12.869231101689474</v>
      </c>
      <c r="AS347" s="32">
        <f t="shared" si="265"/>
        <v>26.284888237309154</v>
      </c>
      <c r="AT347" s="33">
        <f t="shared" si="265"/>
        <v>0.35</v>
      </c>
      <c r="AU347" s="33">
        <f t="shared" si="265"/>
        <v>0.35</v>
      </c>
      <c r="AV347" s="34" t="e">
        <f t="shared" si="265"/>
        <v>#DIV/0!</v>
      </c>
      <c r="AW347" s="34" t="e">
        <f t="shared" si="265"/>
        <v>#DIV/0!</v>
      </c>
      <c r="AX347" s="35" t="e">
        <f t="shared" si="265"/>
        <v>#NUM!</v>
      </c>
      <c r="AY347" s="35" t="e">
        <f t="shared" si="265"/>
        <v>#NUM!</v>
      </c>
    </row>
    <row r="348" spans="6:51" x14ac:dyDescent="0.3">
      <c r="F348">
        <v>34</v>
      </c>
      <c r="G348" s="28"/>
      <c r="H348" s="28"/>
      <c r="I348" s="28"/>
      <c r="J348" s="28"/>
      <c r="K348" s="28"/>
      <c r="L348" s="29"/>
      <c r="M348" s="30"/>
      <c r="N348" s="31"/>
      <c r="O348" s="31"/>
      <c r="P348" s="32"/>
      <c r="Q348" s="32"/>
      <c r="R348" s="32"/>
      <c r="S348" s="33"/>
      <c r="T348" s="33"/>
      <c r="U348" s="34"/>
      <c r="V348" s="34"/>
      <c r="W348" s="35"/>
      <c r="X348" s="35"/>
      <c r="AG348">
        <f t="shared" si="232"/>
        <v>27.434717325995447</v>
      </c>
      <c r="AH348" s="28">
        <f t="shared" ref="AH348:AY348" si="266">AH$160+AH276</f>
        <v>2.1707648473525372</v>
      </c>
      <c r="AI348" s="28">
        <f t="shared" si="266"/>
        <v>4.0238488095437397</v>
      </c>
      <c r="AJ348" s="28">
        <f t="shared" si="266"/>
        <v>3.9457685232574979</v>
      </c>
      <c r="AK348" s="28">
        <f t="shared" si="266"/>
        <v>3.9959809588715398</v>
      </c>
      <c r="AL348" s="28">
        <f t="shared" si="266"/>
        <v>2.3569848759726133</v>
      </c>
      <c r="AM348" s="29">
        <f t="shared" si="266"/>
        <v>2.3569848759726133</v>
      </c>
      <c r="AN348" s="30">
        <f t="shared" si="266"/>
        <v>3.4567292428428611</v>
      </c>
      <c r="AO348" s="31">
        <f t="shared" si="266"/>
        <v>1.2110596148458825</v>
      </c>
      <c r="AP348" s="31">
        <f t="shared" si="266"/>
        <v>1.2110596148458825</v>
      </c>
      <c r="AQ348" s="32">
        <f t="shared" si="266"/>
        <v>7.3908523208725887</v>
      </c>
      <c r="AR348" s="32">
        <f t="shared" si="266"/>
        <v>12.869231101689474</v>
      </c>
      <c r="AS348" s="32">
        <f t="shared" si="266"/>
        <v>26.284888237309154</v>
      </c>
      <c r="AT348" s="33">
        <f t="shared" si="266"/>
        <v>0.35</v>
      </c>
      <c r="AU348" s="33">
        <f t="shared" si="266"/>
        <v>0.35</v>
      </c>
      <c r="AV348" s="34" t="e">
        <f t="shared" si="266"/>
        <v>#DIV/0!</v>
      </c>
      <c r="AW348" s="34" t="e">
        <f t="shared" si="266"/>
        <v>#DIV/0!</v>
      </c>
      <c r="AX348" s="35" t="e">
        <f t="shared" si="266"/>
        <v>#NUM!</v>
      </c>
      <c r="AY348" s="35" t="e">
        <f t="shared" si="266"/>
        <v>#NUM!</v>
      </c>
    </row>
    <row r="349" spans="6:51" x14ac:dyDescent="0.3">
      <c r="F349">
        <v>35</v>
      </c>
      <c r="G349" s="28"/>
      <c r="H349" s="28"/>
      <c r="I349" s="28"/>
      <c r="J349" s="28"/>
      <c r="K349" s="28"/>
      <c r="L349" s="29"/>
      <c r="M349" s="30"/>
      <c r="N349" s="31"/>
      <c r="O349" s="31"/>
      <c r="P349" s="32"/>
      <c r="Q349" s="32"/>
      <c r="R349" s="32"/>
      <c r="S349" s="33"/>
      <c r="T349" s="33"/>
      <c r="U349" s="34"/>
      <c r="V349" s="34"/>
      <c r="W349" s="35"/>
      <c r="X349" s="35"/>
      <c r="AG349">
        <f t="shared" si="232"/>
        <v>28.852575672624699</v>
      </c>
      <c r="AH349" s="28">
        <f t="shared" ref="AH349:AY349" si="267">AH$160+AH277</f>
        <v>2.170819369577043</v>
      </c>
      <c r="AI349" s="28">
        <f t="shared" si="267"/>
        <v>4.0238569728744578</v>
      </c>
      <c r="AJ349" s="28">
        <f t="shared" si="267"/>
        <v>3.9458979904031253</v>
      </c>
      <c r="AK349" s="28">
        <f t="shared" si="267"/>
        <v>3.9959948302821457</v>
      </c>
      <c r="AL349" s="28">
        <f t="shared" si="267"/>
        <v>2.3604284437932272</v>
      </c>
      <c r="AM349" s="29">
        <f t="shared" si="267"/>
        <v>2.3569848759726133</v>
      </c>
      <c r="AN349" s="30">
        <f t="shared" si="267"/>
        <v>3.470764782415765</v>
      </c>
      <c r="AO349" s="31">
        <f t="shared" si="267"/>
        <v>1.2110596148458825</v>
      </c>
      <c r="AP349" s="31">
        <f t="shared" si="267"/>
        <v>1.2110596148458825</v>
      </c>
      <c r="AQ349" s="32">
        <f t="shared" si="267"/>
        <v>7.3908523208725887</v>
      </c>
      <c r="AR349" s="32">
        <f t="shared" si="267"/>
        <v>12.869231101689474</v>
      </c>
      <c r="AS349" s="32">
        <f t="shared" si="267"/>
        <v>26.284888237309154</v>
      </c>
      <c r="AT349" s="33">
        <f t="shared" si="267"/>
        <v>0.35</v>
      </c>
      <c r="AU349" s="33">
        <f t="shared" si="267"/>
        <v>0.35</v>
      </c>
      <c r="AV349" s="34" t="e">
        <f t="shared" si="267"/>
        <v>#DIV/0!</v>
      </c>
      <c r="AW349" s="34" t="e">
        <f t="shared" si="267"/>
        <v>#DIV/0!</v>
      </c>
      <c r="AX349" s="35" t="e">
        <f t="shared" si="267"/>
        <v>#NUM!</v>
      </c>
      <c r="AY349" s="35" t="e">
        <f t="shared" si="267"/>
        <v>#NUM!</v>
      </c>
    </row>
    <row r="350" spans="6:51" x14ac:dyDescent="0.3">
      <c r="F350">
        <v>36</v>
      </c>
      <c r="G350" s="28"/>
      <c r="H350" s="28"/>
      <c r="I350" s="28"/>
      <c r="J350" s="28"/>
      <c r="K350" s="28"/>
      <c r="L350" s="29"/>
      <c r="M350" s="30"/>
      <c r="N350" s="31"/>
      <c r="O350" s="31"/>
      <c r="P350" s="32"/>
      <c r="Q350" s="32"/>
      <c r="R350" s="32"/>
      <c r="S350" s="33"/>
      <c r="T350" s="33"/>
      <c r="U350" s="34"/>
      <c r="V350" s="34"/>
      <c r="W350" s="35"/>
      <c r="X350" s="35"/>
      <c r="AG350">
        <f t="shared" si="232"/>
        <v>30.343710600427304</v>
      </c>
      <c r="AH350" s="28">
        <f t="shared" ref="AH350:AY350" si="268">AH$160+AH278</f>
        <v>2.1708452102785811</v>
      </c>
      <c r="AI350" s="28">
        <f t="shared" si="268"/>
        <v>4.0238617720610677</v>
      </c>
      <c r="AJ350" s="28">
        <f t="shared" si="268"/>
        <v>3.9459606724864216</v>
      </c>
      <c r="AK350" s="28">
        <f t="shared" si="268"/>
        <v>3.9960030444905996</v>
      </c>
      <c r="AL350" s="28">
        <f t="shared" si="268"/>
        <v>2.6356650462171505</v>
      </c>
      <c r="AM350" s="29">
        <f t="shared" si="268"/>
        <v>2.3569848759726133</v>
      </c>
      <c r="AN350" s="30">
        <f t="shared" si="268"/>
        <v>3.4824633049753553</v>
      </c>
      <c r="AO350" s="31">
        <f t="shared" si="268"/>
        <v>1.2110596148458825</v>
      </c>
      <c r="AP350" s="31">
        <f t="shared" si="268"/>
        <v>1.2110596148458825</v>
      </c>
      <c r="AQ350" s="32">
        <f t="shared" si="268"/>
        <v>7.3908523208725887</v>
      </c>
      <c r="AR350" s="32">
        <f t="shared" si="268"/>
        <v>12.869231101689474</v>
      </c>
      <c r="AS350" s="32">
        <f t="shared" si="268"/>
        <v>26.284888237309154</v>
      </c>
      <c r="AT350" s="33">
        <f t="shared" si="268"/>
        <v>0.35</v>
      </c>
      <c r="AU350" s="33">
        <f t="shared" si="268"/>
        <v>0.35</v>
      </c>
      <c r="AV350" s="34" t="e">
        <f t="shared" si="268"/>
        <v>#DIV/0!</v>
      </c>
      <c r="AW350" s="34" t="e">
        <f t="shared" si="268"/>
        <v>#DIV/0!</v>
      </c>
      <c r="AX350" s="35" t="e">
        <f t="shared" si="268"/>
        <v>#NUM!</v>
      </c>
      <c r="AY350" s="35" t="e">
        <f t="shared" si="268"/>
        <v>#NUM!</v>
      </c>
    </row>
    <row r="351" spans="6:51" x14ac:dyDescent="0.3">
      <c r="F351">
        <v>37</v>
      </c>
      <c r="G351" s="28"/>
      <c r="H351" s="28"/>
      <c r="I351" s="28"/>
      <c r="J351" s="28"/>
      <c r="K351" s="28"/>
      <c r="L351" s="29"/>
      <c r="M351" s="30"/>
      <c r="N351" s="31"/>
      <c r="O351" s="31"/>
      <c r="P351" s="32"/>
      <c r="Q351" s="32"/>
      <c r="R351" s="32"/>
      <c r="S351" s="33"/>
      <c r="T351" s="33"/>
      <c r="U351" s="34"/>
      <c r="V351" s="34"/>
      <c r="W351" s="35"/>
      <c r="X351" s="35"/>
      <c r="AG351">
        <f t="shared" si="232"/>
        <v>31.911909129003085</v>
      </c>
      <c r="AH351" s="28">
        <f t="shared" ref="AH351:AY351" si="269">AH$160+AH279</f>
        <v>2.1708572398767942</v>
      </c>
      <c r="AI351" s="28">
        <f t="shared" si="269"/>
        <v>4.0238645477896648</v>
      </c>
      <c r="AJ351" s="28">
        <f t="shared" si="269"/>
        <v>3.9459900985646996</v>
      </c>
      <c r="AK351" s="28">
        <f t="shared" si="269"/>
        <v>3.9960078357355124</v>
      </c>
      <c r="AL351" s="28">
        <f t="shared" si="269"/>
        <v>2.8453142348198734</v>
      </c>
      <c r="AM351" s="29">
        <f t="shared" si="269"/>
        <v>2.3569848759726133</v>
      </c>
      <c r="AN351" s="30">
        <f t="shared" si="269"/>
        <v>3.4921060130847374</v>
      </c>
      <c r="AO351" s="31">
        <f t="shared" si="269"/>
        <v>1.2110596148458825</v>
      </c>
      <c r="AP351" s="31">
        <f t="shared" si="269"/>
        <v>1.2110596148458825</v>
      </c>
      <c r="AQ351" s="32">
        <f t="shared" si="269"/>
        <v>7.3908523208725887</v>
      </c>
      <c r="AR351" s="32">
        <f t="shared" si="269"/>
        <v>12.869231101689474</v>
      </c>
      <c r="AS351" s="32">
        <f t="shared" si="269"/>
        <v>26.284888237309154</v>
      </c>
      <c r="AT351" s="33">
        <f t="shared" si="269"/>
        <v>0.35</v>
      </c>
      <c r="AU351" s="33">
        <f t="shared" si="269"/>
        <v>0.35</v>
      </c>
      <c r="AV351" s="34" t="e">
        <f t="shared" si="269"/>
        <v>#DIV/0!</v>
      </c>
      <c r="AW351" s="34" t="e">
        <f t="shared" si="269"/>
        <v>#DIV/0!</v>
      </c>
      <c r="AX351" s="35" t="e">
        <f t="shared" si="269"/>
        <v>#NUM!</v>
      </c>
      <c r="AY351" s="35" t="e">
        <f t="shared" si="269"/>
        <v>#NUM!</v>
      </c>
    </row>
    <row r="352" spans="6:51" x14ac:dyDescent="0.3">
      <c r="F352">
        <v>38</v>
      </c>
      <c r="G352" s="28"/>
      <c r="H352" s="28"/>
      <c r="I352" s="28"/>
      <c r="J352" s="28"/>
      <c r="K352" s="28"/>
      <c r="L352" s="29"/>
      <c r="M352" s="30"/>
      <c r="N352" s="31"/>
      <c r="O352" s="31"/>
      <c r="P352" s="32"/>
      <c r="Q352" s="32"/>
      <c r="R352" s="32"/>
      <c r="S352" s="33"/>
      <c r="T352" s="33"/>
      <c r="U352" s="34"/>
      <c r="V352" s="34"/>
      <c r="W352" s="35"/>
      <c r="X352" s="35"/>
      <c r="AG352">
        <f t="shared" si="232"/>
        <v>33.561153995563402</v>
      </c>
      <c r="AH352" s="28">
        <f t="shared" ref="AH352:AY352" si="270">AH$160+AH280</f>
        <v>2.1708627755433669</v>
      </c>
      <c r="AI352" s="28">
        <f t="shared" si="270"/>
        <v>4.0238661288219637</v>
      </c>
      <c r="AJ352" s="28">
        <f t="shared" si="270"/>
        <v>3.9460035368895126</v>
      </c>
      <c r="AK352" s="28">
        <f t="shared" si="270"/>
        <v>3.9960105915325501</v>
      </c>
      <c r="AL352" s="28">
        <f t="shared" si="270"/>
        <v>3.0043104708463169</v>
      </c>
      <c r="AM352" s="29">
        <f t="shared" si="270"/>
        <v>2.3569848759726133</v>
      </c>
      <c r="AN352" s="30">
        <f t="shared" si="270"/>
        <v>3.4999686319587284</v>
      </c>
      <c r="AO352" s="31">
        <f t="shared" si="270"/>
        <v>1.2110596148458825</v>
      </c>
      <c r="AP352" s="31">
        <f t="shared" si="270"/>
        <v>1.2110596148458825</v>
      </c>
      <c r="AQ352" s="32">
        <f t="shared" si="270"/>
        <v>7.3908523208725887</v>
      </c>
      <c r="AR352" s="32">
        <f t="shared" si="270"/>
        <v>12.869231101689474</v>
      </c>
      <c r="AS352" s="32">
        <f t="shared" si="270"/>
        <v>26.284888237309154</v>
      </c>
      <c r="AT352" s="33">
        <f t="shared" si="270"/>
        <v>0.35</v>
      </c>
      <c r="AU352" s="33">
        <f t="shared" si="270"/>
        <v>0.35</v>
      </c>
      <c r="AV352" s="34" t="e">
        <f t="shared" si="270"/>
        <v>#DIV/0!</v>
      </c>
      <c r="AW352" s="34" t="e">
        <f t="shared" si="270"/>
        <v>#DIV/0!</v>
      </c>
      <c r="AX352" s="35" t="e">
        <f t="shared" si="270"/>
        <v>#NUM!</v>
      </c>
      <c r="AY352" s="35" t="e">
        <f t="shared" si="270"/>
        <v>#NUM!</v>
      </c>
    </row>
    <row r="353" spans="6:51" x14ac:dyDescent="0.3">
      <c r="F353">
        <v>39</v>
      </c>
      <c r="G353" s="28"/>
      <c r="H353" s="28"/>
      <c r="I353" s="28"/>
      <c r="J353" s="28"/>
      <c r="K353" s="28"/>
      <c r="L353" s="29"/>
      <c r="M353" s="30"/>
      <c r="N353" s="31"/>
      <c r="O353" s="31"/>
      <c r="P353" s="32"/>
      <c r="Q353" s="32"/>
      <c r="R353" s="32"/>
      <c r="S353" s="33"/>
      <c r="T353" s="33"/>
      <c r="U353" s="34"/>
      <c r="V353" s="34"/>
      <c r="W353" s="35"/>
      <c r="X353" s="35"/>
      <c r="AG353">
        <f t="shared" si="232"/>
        <v>35.295633769846724</v>
      </c>
      <c r="AH353" s="28">
        <f t="shared" ref="AH353:AY353" si="271">AH$160+AH281</f>
        <v>2.1708653102731015</v>
      </c>
      <c r="AI353" s="28">
        <f t="shared" si="271"/>
        <v>4.0238670167407964</v>
      </c>
      <c r="AJ353" s="28">
        <f t="shared" si="271"/>
        <v>3.9460095295533755</v>
      </c>
      <c r="AK353" s="28">
        <f t="shared" si="271"/>
        <v>3.996012156509269</v>
      </c>
      <c r="AL353" s="28">
        <f t="shared" si="271"/>
        <v>3.1245917432571035</v>
      </c>
      <c r="AM353" s="29">
        <f t="shared" si="271"/>
        <v>2.3569848759726133</v>
      </c>
      <c r="AN353" s="30">
        <f t="shared" si="271"/>
        <v>3.5063133188793101</v>
      </c>
      <c r="AO353" s="31">
        <f t="shared" si="271"/>
        <v>1.2110596148458825</v>
      </c>
      <c r="AP353" s="31">
        <f t="shared" si="271"/>
        <v>1.2110596148458825</v>
      </c>
      <c r="AQ353" s="32">
        <f t="shared" si="271"/>
        <v>7.3908523208725887</v>
      </c>
      <c r="AR353" s="32">
        <f t="shared" si="271"/>
        <v>12.869231101689474</v>
      </c>
      <c r="AS353" s="32">
        <f t="shared" si="271"/>
        <v>26.284888237309154</v>
      </c>
      <c r="AT353" s="33">
        <f t="shared" si="271"/>
        <v>0.35</v>
      </c>
      <c r="AU353" s="33">
        <f t="shared" si="271"/>
        <v>0.35</v>
      </c>
      <c r="AV353" s="34" t="e">
        <f t="shared" si="271"/>
        <v>#DIV/0!</v>
      </c>
      <c r="AW353" s="34" t="e">
        <f t="shared" si="271"/>
        <v>#DIV/0!</v>
      </c>
      <c r="AX353" s="35" t="e">
        <f t="shared" si="271"/>
        <v>#NUM!</v>
      </c>
      <c r="AY353" s="35" t="e">
        <f t="shared" si="271"/>
        <v>#NUM!</v>
      </c>
    </row>
    <row r="354" spans="6:51" x14ac:dyDescent="0.3">
      <c r="F354">
        <v>40</v>
      </c>
      <c r="G354" s="28"/>
      <c r="H354" s="28"/>
      <c r="I354" s="28"/>
      <c r="J354" s="28"/>
      <c r="K354" s="28"/>
      <c r="L354" s="29"/>
      <c r="M354" s="30"/>
      <c r="N354" s="31"/>
      <c r="O354" s="31"/>
      <c r="P354" s="32"/>
      <c r="Q354" s="32"/>
      <c r="R354" s="32"/>
      <c r="S354" s="33"/>
      <c r="T354" s="33"/>
      <c r="U354" s="34"/>
      <c r="V354" s="34"/>
      <c r="W354" s="35"/>
      <c r="X354" s="35"/>
      <c r="AG354">
        <f t="shared" si="232"/>
        <v>37.119753491784877</v>
      </c>
      <c r="AH354" s="28">
        <f t="shared" ref="AH354:AY354" si="272">AH$160+AH282</f>
        <v>2.1708664729085667</v>
      </c>
      <c r="AI354" s="28">
        <f t="shared" si="272"/>
        <v>4.0238675090731677</v>
      </c>
      <c r="AJ354" s="28">
        <f t="shared" si="272"/>
        <v>3.9460121501422454</v>
      </c>
      <c r="AK354" s="28">
        <f t="shared" si="272"/>
        <v>3.9960130352127079</v>
      </c>
      <c r="AL354" s="28">
        <f t="shared" si="272"/>
        <v>3.2155187245520049</v>
      </c>
      <c r="AM354" s="29">
        <f t="shared" si="272"/>
        <v>2.3569848759726133</v>
      </c>
      <c r="AN354" s="30">
        <f t="shared" si="272"/>
        <v>3.5113825709318176</v>
      </c>
      <c r="AO354" s="31">
        <f t="shared" si="272"/>
        <v>1.2110596148458825</v>
      </c>
      <c r="AP354" s="31">
        <f t="shared" si="272"/>
        <v>1.2110596148458825</v>
      </c>
      <c r="AQ354" s="32">
        <f t="shared" si="272"/>
        <v>7.3908523208725887</v>
      </c>
      <c r="AR354" s="32">
        <f t="shared" si="272"/>
        <v>12.869231101689474</v>
      </c>
      <c r="AS354" s="32">
        <f t="shared" si="272"/>
        <v>26.284888237309154</v>
      </c>
      <c r="AT354" s="33">
        <f t="shared" si="272"/>
        <v>0.35</v>
      </c>
      <c r="AU354" s="33">
        <f t="shared" si="272"/>
        <v>0.35</v>
      </c>
      <c r="AV354" s="34" t="e">
        <f t="shared" si="272"/>
        <v>#DIV/0!</v>
      </c>
      <c r="AW354" s="34" t="e">
        <f t="shared" si="272"/>
        <v>#DIV/0!</v>
      </c>
      <c r="AX354" s="35" t="e">
        <f t="shared" si="272"/>
        <v>#NUM!</v>
      </c>
      <c r="AY354" s="35" t="e">
        <f t="shared" si="272"/>
        <v>#NUM!</v>
      </c>
    </row>
    <row r="355" spans="6:51" x14ac:dyDescent="0.3">
      <c r="F355">
        <v>41</v>
      </c>
      <c r="G355" s="28"/>
      <c r="H355" s="28"/>
      <c r="I355" s="28"/>
      <c r="J355" s="28"/>
      <c r="K355" s="28"/>
      <c r="L355" s="29"/>
      <c r="M355" s="30"/>
      <c r="N355" s="31"/>
      <c r="O355" s="31"/>
      <c r="P355" s="32"/>
      <c r="Q355" s="32"/>
      <c r="R355" s="32"/>
      <c r="S355" s="33"/>
      <c r="T355" s="33"/>
      <c r="U355" s="34"/>
      <c r="V355" s="34"/>
      <c r="W355" s="35"/>
      <c r="X355" s="35"/>
      <c r="AG355">
        <f t="shared" si="232"/>
        <v>38.85778775562828</v>
      </c>
      <c r="AH355" s="28">
        <f t="shared" ref="AH355:AY355" si="273">AH$160+AH283</f>
        <v>2.1708669765034427</v>
      </c>
      <c r="AI355" s="28">
        <f t="shared" si="273"/>
        <v>4.0238677604616697</v>
      </c>
      <c r="AJ355" s="28">
        <f t="shared" si="273"/>
        <v>3.9460132106875672</v>
      </c>
      <c r="AK355" s="28">
        <f t="shared" si="273"/>
        <v>3.9960134899707036</v>
      </c>
      <c r="AL355" s="28">
        <f t="shared" si="273"/>
        <v>3.2787597452854613</v>
      </c>
      <c r="AM355" s="29">
        <f t="shared" si="273"/>
        <v>2.3569848759726133</v>
      </c>
      <c r="AN355" s="30">
        <f t="shared" si="273"/>
        <v>3.5150651982801975</v>
      </c>
      <c r="AO355" s="31">
        <f t="shared" si="273"/>
        <v>1.2110596148458825</v>
      </c>
      <c r="AP355" s="31">
        <f t="shared" si="273"/>
        <v>1.2110596148458825</v>
      </c>
      <c r="AQ355" s="32">
        <f t="shared" si="273"/>
        <v>7.3908523208725887</v>
      </c>
      <c r="AR355" s="32">
        <f t="shared" si="273"/>
        <v>12.869231101689474</v>
      </c>
      <c r="AS355" s="32">
        <f t="shared" si="273"/>
        <v>26.284888237309154</v>
      </c>
      <c r="AT355" s="33">
        <f t="shared" si="273"/>
        <v>0.35</v>
      </c>
      <c r="AU355" s="33">
        <f t="shared" si="273"/>
        <v>0.35</v>
      </c>
      <c r="AV355" s="34" t="e">
        <f t="shared" si="273"/>
        <v>#DIV/0!</v>
      </c>
      <c r="AW355" s="34" t="e">
        <f t="shared" si="273"/>
        <v>#DIV/0!</v>
      </c>
      <c r="AX355" s="35" t="e">
        <f t="shared" si="273"/>
        <v>#NUM!</v>
      </c>
      <c r="AY355" s="35" t="e">
        <f t="shared" si="273"/>
        <v>#NUM!</v>
      </c>
    </row>
    <row r="356" spans="6:51" x14ac:dyDescent="0.3">
      <c r="F356">
        <v>42</v>
      </c>
      <c r="G356" s="28"/>
      <c r="H356" s="28"/>
      <c r="I356" s="28"/>
      <c r="J356" s="28"/>
      <c r="K356" s="28"/>
      <c r="L356" s="29"/>
      <c r="M356" s="30"/>
      <c r="N356" s="31"/>
      <c r="O356" s="31"/>
      <c r="P356" s="32"/>
      <c r="Q356" s="32"/>
      <c r="R356" s="32"/>
      <c r="S356" s="33"/>
      <c r="T356" s="33"/>
      <c r="U356" s="34"/>
      <c r="V356" s="34"/>
      <c r="W356" s="35"/>
      <c r="X356" s="35"/>
      <c r="AG356">
        <f t="shared" si="232"/>
        <v>40.467341024247702</v>
      </c>
      <c r="AH356" s="28">
        <f t="shared" ref="AH356:AY356" si="274">AH$160+AH284</f>
        <v>2.1708672087404626</v>
      </c>
      <c r="AI356" s="28">
        <f t="shared" si="274"/>
        <v>4.0238678923553</v>
      </c>
      <c r="AJ356" s="28">
        <f t="shared" si="274"/>
        <v>3.9460136619289239</v>
      </c>
      <c r="AK356" s="28">
        <f t="shared" si="274"/>
        <v>3.9960137317642905</v>
      </c>
      <c r="AL356" s="28">
        <f t="shared" si="274"/>
        <v>3.3229772334058669</v>
      </c>
      <c r="AM356" s="29">
        <f t="shared" si="274"/>
        <v>2.3569848759726133</v>
      </c>
      <c r="AN356" s="30">
        <f t="shared" si="274"/>
        <v>3.5177201150518203</v>
      </c>
      <c r="AO356" s="31">
        <f t="shared" si="274"/>
        <v>1.2110596148458825</v>
      </c>
      <c r="AP356" s="31">
        <f t="shared" si="274"/>
        <v>1.2110596148458825</v>
      </c>
      <c r="AQ356" s="32">
        <f t="shared" si="274"/>
        <v>7.3908523208725887</v>
      </c>
      <c r="AR356" s="32">
        <f t="shared" si="274"/>
        <v>12.869231101689474</v>
      </c>
      <c r="AS356" s="32">
        <f t="shared" si="274"/>
        <v>26.284888237309154</v>
      </c>
      <c r="AT356" s="33">
        <f t="shared" si="274"/>
        <v>0.35</v>
      </c>
      <c r="AU356" s="33">
        <f t="shared" si="274"/>
        <v>0.35</v>
      </c>
      <c r="AV356" s="34" t="e">
        <f t="shared" si="274"/>
        <v>#DIV/0!</v>
      </c>
      <c r="AW356" s="34" t="e">
        <f t="shared" si="274"/>
        <v>#DIV/0!</v>
      </c>
      <c r="AX356" s="35" t="e">
        <f t="shared" si="274"/>
        <v>#NUM!</v>
      </c>
      <c r="AY356" s="35" t="e">
        <f t="shared" si="274"/>
        <v>#NUM!</v>
      </c>
    </row>
    <row r="357" spans="6:51" x14ac:dyDescent="0.3">
      <c r="F357">
        <v>43</v>
      </c>
      <c r="G357" s="28"/>
      <c r="H357" s="28"/>
      <c r="I357" s="28"/>
      <c r="J357" s="28"/>
      <c r="K357" s="28"/>
      <c r="L357" s="29"/>
      <c r="M357" s="30"/>
      <c r="N357" s="31"/>
      <c r="O357" s="31"/>
      <c r="P357" s="32"/>
      <c r="Q357" s="32"/>
      <c r="R357" s="32"/>
      <c r="S357" s="33"/>
      <c r="T357" s="33"/>
      <c r="U357" s="34"/>
      <c r="V357" s="34"/>
      <c r="W357" s="35"/>
      <c r="X357" s="35"/>
      <c r="AG357">
        <f t="shared" si="232"/>
        <v>41.95047391357199</v>
      </c>
      <c r="AH357" s="28">
        <f t="shared" ref="AH357:AY357" si="275">AH$160+AH285</f>
        <v>2.1708673254945827</v>
      </c>
      <c r="AI357" s="28">
        <f t="shared" si="275"/>
        <v>4.0238679654207736</v>
      </c>
      <c r="AJ357" s="28">
        <f t="shared" si="275"/>
        <v>3.9460138698761726</v>
      </c>
      <c r="AK357" s="28">
        <f t="shared" si="275"/>
        <v>3.9960138674343328</v>
      </c>
      <c r="AL357" s="28">
        <f t="shared" si="275"/>
        <v>3.354797396942609</v>
      </c>
      <c r="AM357" s="29">
        <f t="shared" si="275"/>
        <v>2.3569848759726133</v>
      </c>
      <c r="AN357" s="30">
        <f t="shared" si="275"/>
        <v>3.5196695999560741</v>
      </c>
      <c r="AO357" s="31">
        <f t="shared" si="275"/>
        <v>1.2110596148458825</v>
      </c>
      <c r="AP357" s="31">
        <f t="shared" si="275"/>
        <v>1.2110596148458825</v>
      </c>
      <c r="AQ357" s="32">
        <f t="shared" si="275"/>
        <v>7.3908523208725887</v>
      </c>
      <c r="AR357" s="32">
        <f t="shared" si="275"/>
        <v>12.869231101689474</v>
      </c>
      <c r="AS357" s="32">
        <f t="shared" si="275"/>
        <v>26.284888237309154</v>
      </c>
      <c r="AT357" s="33">
        <f t="shared" si="275"/>
        <v>0.35</v>
      </c>
      <c r="AU357" s="33">
        <f t="shared" si="275"/>
        <v>0.35</v>
      </c>
      <c r="AV357" s="34" t="e">
        <f t="shared" si="275"/>
        <v>#DIV/0!</v>
      </c>
      <c r="AW357" s="34" t="e">
        <f t="shared" si="275"/>
        <v>#DIV/0!</v>
      </c>
      <c r="AX357" s="35" t="e">
        <f t="shared" si="275"/>
        <v>#NUM!</v>
      </c>
      <c r="AY357" s="35" t="e">
        <f t="shared" si="275"/>
        <v>#NUM!</v>
      </c>
    </row>
    <row r="358" spans="6:51" x14ac:dyDescent="0.3">
      <c r="F358">
        <v>44</v>
      </c>
      <c r="G358" s="28"/>
      <c r="H358" s="28"/>
      <c r="I358" s="28"/>
      <c r="J358" s="28"/>
      <c r="K358" s="28"/>
      <c r="L358" s="29"/>
      <c r="M358" s="30"/>
      <c r="N358" s="31"/>
      <c r="O358" s="31"/>
      <c r="P358" s="32"/>
      <c r="Q358" s="32"/>
      <c r="R358" s="32"/>
      <c r="S358" s="33"/>
      <c r="T358" s="33"/>
      <c r="U358" s="34"/>
      <c r="V358" s="34"/>
      <c r="W358" s="35"/>
      <c r="X358" s="35"/>
      <c r="AG358">
        <f t="shared" si="232"/>
        <v>43.317115956604354</v>
      </c>
      <c r="AH358" s="28">
        <f t="shared" ref="AH358:AY358" si="276">AH$160+AH286</f>
        <v>2.1708673890426384</v>
      </c>
      <c r="AI358" s="28">
        <f t="shared" si="276"/>
        <v>4.0238680081258895</v>
      </c>
      <c r="AJ358" s="28">
        <f t="shared" si="276"/>
        <v>3.9460139733654724</v>
      </c>
      <c r="AK358" s="28">
        <f t="shared" si="276"/>
        <v>3.9960139476974113</v>
      </c>
      <c r="AL358" s="28">
        <f t="shared" si="276"/>
        <v>3.3783818540600805</v>
      </c>
      <c r="AM358" s="29">
        <f t="shared" si="276"/>
        <v>2.3569848759726133</v>
      </c>
      <c r="AN358" s="30">
        <f t="shared" si="276"/>
        <v>3.5211325019189723</v>
      </c>
      <c r="AO358" s="31">
        <f t="shared" si="276"/>
        <v>1.2110596148458825</v>
      </c>
      <c r="AP358" s="31">
        <f t="shared" si="276"/>
        <v>1.2110596148458825</v>
      </c>
      <c r="AQ358" s="32">
        <f t="shared" si="276"/>
        <v>7.3908523208725887</v>
      </c>
      <c r="AR358" s="32">
        <f t="shared" si="276"/>
        <v>12.869231101689474</v>
      </c>
      <c r="AS358" s="32">
        <f t="shared" si="276"/>
        <v>26.284888237309154</v>
      </c>
      <c r="AT358" s="33">
        <f t="shared" si="276"/>
        <v>0.35</v>
      </c>
      <c r="AU358" s="33">
        <f t="shared" si="276"/>
        <v>0.35</v>
      </c>
      <c r="AV358" s="34" t="e">
        <f t="shared" si="276"/>
        <v>#DIV/0!</v>
      </c>
      <c r="AW358" s="34" t="e">
        <f t="shared" si="276"/>
        <v>#DIV/0!</v>
      </c>
      <c r="AX358" s="35" t="e">
        <f t="shared" si="276"/>
        <v>#NUM!</v>
      </c>
      <c r="AY358" s="35" t="e">
        <f t="shared" si="276"/>
        <v>#NUM!</v>
      </c>
    </row>
    <row r="359" spans="6:51" x14ac:dyDescent="0.3">
      <c r="F359">
        <v>45</v>
      </c>
      <c r="G359" s="28"/>
      <c r="H359" s="28"/>
      <c r="I359" s="28"/>
      <c r="J359" s="28"/>
      <c r="K359" s="28"/>
      <c r="L359" s="29"/>
      <c r="M359" s="30"/>
      <c r="N359" s="31"/>
      <c r="O359" s="31"/>
      <c r="P359" s="32"/>
      <c r="Q359" s="32"/>
      <c r="R359" s="32"/>
      <c r="S359" s="33"/>
      <c r="T359" s="33"/>
      <c r="U359" s="34"/>
      <c r="V359" s="34"/>
      <c r="W359" s="35"/>
      <c r="X359" s="35"/>
      <c r="AG359">
        <f t="shared" si="232"/>
        <v>44.576416783406593</v>
      </c>
      <c r="AH359" s="28">
        <f t="shared" ref="AH359:AY359" si="277">AH$160+AH287</f>
        <v>2.1708674260453735</v>
      </c>
      <c r="AI359" s="28">
        <f t="shared" si="277"/>
        <v>4.0238680342917164</v>
      </c>
      <c r="AJ359" s="28">
        <f t="shared" si="277"/>
        <v>3.9460140284742065</v>
      </c>
      <c r="AK359" s="28">
        <f t="shared" si="277"/>
        <v>3.9960139974402633</v>
      </c>
      <c r="AL359" s="28">
        <f t="shared" si="277"/>
        <v>3.3963088896109075</v>
      </c>
      <c r="AM359" s="29">
        <f t="shared" si="277"/>
        <v>2.3569848759726133</v>
      </c>
      <c r="AN359" s="30">
        <f t="shared" si="277"/>
        <v>3.5222519239488648</v>
      </c>
      <c r="AO359" s="31">
        <f t="shared" si="277"/>
        <v>1.2110596148458825</v>
      </c>
      <c r="AP359" s="31">
        <f t="shared" si="277"/>
        <v>1.2110596148458825</v>
      </c>
      <c r="AQ359" s="32">
        <f t="shared" si="277"/>
        <v>7.3908523208725887</v>
      </c>
      <c r="AR359" s="32">
        <f t="shared" si="277"/>
        <v>12.869231101689474</v>
      </c>
      <c r="AS359" s="32">
        <f t="shared" si="277"/>
        <v>26.284888237309154</v>
      </c>
      <c r="AT359" s="33">
        <f t="shared" si="277"/>
        <v>0.35</v>
      </c>
      <c r="AU359" s="33">
        <f t="shared" si="277"/>
        <v>0.35</v>
      </c>
      <c r="AV359" s="34" t="e">
        <f t="shared" si="277"/>
        <v>#DIV/0!</v>
      </c>
      <c r="AW359" s="34" t="e">
        <f t="shared" si="277"/>
        <v>#DIV/0!</v>
      </c>
      <c r="AX359" s="35" t="e">
        <f t="shared" si="277"/>
        <v>#NUM!</v>
      </c>
      <c r="AY359" s="35" t="e">
        <f t="shared" si="277"/>
        <v>#NUM!</v>
      </c>
    </row>
    <row r="360" spans="6:51" x14ac:dyDescent="0.3">
      <c r="F360">
        <v>46</v>
      </c>
      <c r="G360" s="28"/>
      <c r="H360" s="28"/>
      <c r="I360" s="28"/>
      <c r="J360" s="28"/>
      <c r="K360" s="28"/>
      <c r="L360" s="29"/>
      <c r="M360" s="30"/>
      <c r="N360" s="31"/>
      <c r="O360" s="31"/>
      <c r="P360" s="32"/>
      <c r="Q360" s="32"/>
      <c r="R360" s="32"/>
      <c r="S360" s="33"/>
      <c r="T360" s="33"/>
      <c r="U360" s="34"/>
      <c r="V360" s="34"/>
      <c r="W360" s="35"/>
      <c r="X360" s="35"/>
      <c r="AG360">
        <f t="shared" si="232"/>
        <v>45.736807377615186</v>
      </c>
      <c r="AH360" s="28">
        <f t="shared" ref="AH360:AY360" si="278">AH$160+AH288</f>
        <v>2.1708674488643478</v>
      </c>
      <c r="AI360" s="28">
        <f t="shared" si="278"/>
        <v>4.0238680510047811</v>
      </c>
      <c r="AJ360" s="28">
        <f t="shared" si="278"/>
        <v>3.9460140596177116</v>
      </c>
      <c r="AK360" s="28">
        <f t="shared" si="278"/>
        <v>3.9960140295549316</v>
      </c>
      <c r="AL360" s="28">
        <f t="shared" si="278"/>
        <v>3.4102340812968706</v>
      </c>
      <c r="AM360" s="29">
        <f t="shared" si="278"/>
        <v>2.3569848759726133</v>
      </c>
      <c r="AN360" s="30">
        <f t="shared" si="278"/>
        <v>3.5231236838500632</v>
      </c>
      <c r="AO360" s="31">
        <f t="shared" si="278"/>
        <v>1.2110596148458825</v>
      </c>
      <c r="AP360" s="31">
        <f t="shared" si="278"/>
        <v>1.2110596148458825</v>
      </c>
      <c r="AQ360" s="32">
        <f t="shared" si="278"/>
        <v>7.3908523208725887</v>
      </c>
      <c r="AR360" s="32">
        <f t="shared" si="278"/>
        <v>12.869231101689474</v>
      </c>
      <c r="AS360" s="32">
        <f t="shared" si="278"/>
        <v>26.284888237309154</v>
      </c>
      <c r="AT360" s="33">
        <f t="shared" si="278"/>
        <v>0.35</v>
      </c>
      <c r="AU360" s="33">
        <f t="shared" si="278"/>
        <v>0.35</v>
      </c>
      <c r="AV360" s="34" t="e">
        <f t="shared" si="278"/>
        <v>#DIV/0!</v>
      </c>
      <c r="AW360" s="34" t="e">
        <f t="shared" si="278"/>
        <v>#DIV/0!</v>
      </c>
      <c r="AX360" s="35" t="e">
        <f t="shared" si="278"/>
        <v>#NUM!</v>
      </c>
      <c r="AY360" s="35" t="e">
        <f t="shared" si="278"/>
        <v>#NUM!</v>
      </c>
    </row>
    <row r="361" spans="6:51" x14ac:dyDescent="0.3">
      <c r="F361">
        <v>47</v>
      </c>
      <c r="G361" s="28"/>
      <c r="H361" s="28"/>
      <c r="I361" s="28"/>
      <c r="J361" s="28"/>
      <c r="K361" s="28"/>
      <c r="L361" s="29"/>
      <c r="M361" s="30"/>
      <c r="N361" s="31"/>
      <c r="O361" s="31"/>
      <c r="P361" s="32"/>
      <c r="Q361" s="32"/>
      <c r="R361" s="32"/>
      <c r="S361" s="33"/>
      <c r="T361" s="33"/>
      <c r="U361" s="34"/>
      <c r="V361" s="34"/>
      <c r="W361" s="35"/>
      <c r="X361" s="35"/>
      <c r="AG361">
        <f t="shared" si="232"/>
        <v>46.806056521639796</v>
      </c>
      <c r="AH361" s="28">
        <f t="shared" ref="AH361:AY361" si="279">AH$160+AH289</f>
        <v>2.1708674636427112</v>
      </c>
      <c r="AI361" s="28">
        <f t="shared" si="279"/>
        <v>4.0238680620798561</v>
      </c>
      <c r="AJ361" s="28">
        <f t="shared" si="279"/>
        <v>3.946014078161987</v>
      </c>
      <c r="AK361" s="28">
        <f t="shared" si="279"/>
        <v>3.9960140510499889</v>
      </c>
      <c r="AL361" s="28">
        <f t="shared" si="279"/>
        <v>3.4212548392047095</v>
      </c>
      <c r="AM361" s="29">
        <f t="shared" si="279"/>
        <v>2.3569848759726133</v>
      </c>
      <c r="AN361" s="30">
        <f t="shared" si="279"/>
        <v>3.5238133666137603</v>
      </c>
      <c r="AO361" s="31">
        <f t="shared" si="279"/>
        <v>1.2110596148458825</v>
      </c>
      <c r="AP361" s="31">
        <f t="shared" si="279"/>
        <v>1.2110596148458825</v>
      </c>
      <c r="AQ361" s="32">
        <f t="shared" si="279"/>
        <v>7.3908523208725887</v>
      </c>
      <c r="AR361" s="32">
        <f t="shared" si="279"/>
        <v>12.869231101689474</v>
      </c>
      <c r="AS361" s="32">
        <f t="shared" si="279"/>
        <v>26.284888237309154</v>
      </c>
      <c r="AT361" s="33">
        <f t="shared" si="279"/>
        <v>0.35</v>
      </c>
      <c r="AU361" s="33">
        <f t="shared" si="279"/>
        <v>0.35</v>
      </c>
      <c r="AV361" s="34" t="e">
        <f t="shared" si="279"/>
        <v>#DIV/0!</v>
      </c>
      <c r="AW361" s="34" t="e">
        <f t="shared" si="279"/>
        <v>#DIV/0!</v>
      </c>
      <c r="AX361" s="35" t="e">
        <f t="shared" si="279"/>
        <v>#NUM!</v>
      </c>
      <c r="AY361" s="35" t="e">
        <f t="shared" si="279"/>
        <v>#NUM!</v>
      </c>
    </row>
    <row r="362" spans="6:51" x14ac:dyDescent="0.3">
      <c r="F362">
        <v>48</v>
      </c>
      <c r="G362" s="28"/>
      <c r="H362" s="28"/>
      <c r="I362" s="28"/>
      <c r="J362" s="28"/>
      <c r="K362" s="28"/>
      <c r="L362" s="29"/>
      <c r="M362" s="30"/>
      <c r="N362" s="31"/>
      <c r="O362" s="31"/>
      <c r="P362" s="32"/>
      <c r="Q362" s="32"/>
      <c r="R362" s="32"/>
      <c r="S362" s="33"/>
      <c r="T362" s="33"/>
      <c r="U362" s="34"/>
      <c r="V362" s="34"/>
      <c r="W362" s="35"/>
      <c r="X362" s="35"/>
      <c r="AG362">
        <f t="shared" si="232"/>
        <v>47.791322808443105</v>
      </c>
      <c r="AH362" s="28">
        <f t="shared" ref="AH362:AY362" si="280">AH$160+AH290</f>
        <v>2.170867473623403</v>
      </c>
      <c r="AI362" s="28">
        <f t="shared" si="280"/>
        <v>4.0238680696618614</v>
      </c>
      <c r="AJ362" s="28">
        <f t="shared" si="280"/>
        <v>3.9460140897235734</v>
      </c>
      <c r="AK362" s="28">
        <f t="shared" si="280"/>
        <v>3.9960140659032692</v>
      </c>
      <c r="AL362" s="28">
        <f t="shared" si="280"/>
        <v>3.4301194233419734</v>
      </c>
      <c r="AM362" s="29">
        <f t="shared" si="280"/>
        <v>2.3569848759726133</v>
      </c>
      <c r="AN362" s="30">
        <f t="shared" si="280"/>
        <v>3.5243667881153349</v>
      </c>
      <c r="AO362" s="31">
        <f t="shared" si="280"/>
        <v>1.2110596148458825</v>
      </c>
      <c r="AP362" s="31">
        <f t="shared" si="280"/>
        <v>1.2110596148458825</v>
      </c>
      <c r="AQ362" s="32">
        <f t="shared" si="280"/>
        <v>7.3908523208725887</v>
      </c>
      <c r="AR362" s="32">
        <f t="shared" si="280"/>
        <v>12.869231101689474</v>
      </c>
      <c r="AS362" s="32">
        <f t="shared" si="280"/>
        <v>26.284888237309154</v>
      </c>
      <c r="AT362" s="33">
        <f t="shared" si="280"/>
        <v>0.35</v>
      </c>
      <c r="AU362" s="33">
        <f t="shared" si="280"/>
        <v>0.35</v>
      </c>
      <c r="AV362" s="34" t="e">
        <f t="shared" si="280"/>
        <v>#DIV/0!</v>
      </c>
      <c r="AW362" s="34" t="e">
        <f t="shared" si="280"/>
        <v>#DIV/0!</v>
      </c>
      <c r="AX362" s="35" t="e">
        <f t="shared" si="280"/>
        <v>#NUM!</v>
      </c>
      <c r="AY362" s="35" t="e">
        <f t="shared" si="280"/>
        <v>#NUM!</v>
      </c>
    </row>
    <row r="363" spans="6:51" x14ac:dyDescent="0.3">
      <c r="F363">
        <v>49</v>
      </c>
      <c r="G363" s="28"/>
      <c r="H363" s="28"/>
      <c r="I363" s="28"/>
      <c r="J363" s="28"/>
      <c r="K363" s="28"/>
      <c r="L363" s="29"/>
      <c r="M363" s="30"/>
      <c r="N363" s="31"/>
      <c r="O363" s="31"/>
      <c r="P363" s="32"/>
      <c r="Q363" s="32"/>
      <c r="R363" s="32"/>
      <c r="S363" s="33"/>
      <c r="T363" s="33"/>
      <c r="U363" s="34"/>
      <c r="V363" s="34"/>
      <c r="W363" s="35"/>
      <c r="X363" s="35"/>
      <c r="AG363">
        <f t="shared" si="232"/>
        <v>48.699202568119411</v>
      </c>
      <c r="AH363" s="28">
        <f t="shared" ref="AH363:AY363" si="281">AH$160+AH291</f>
        <v>2.1708674806111161</v>
      </c>
      <c r="AI363" s="28">
        <f t="shared" si="281"/>
        <v>4.023868075004839</v>
      </c>
      <c r="AJ363" s="28">
        <f t="shared" si="281"/>
        <v>3.946014097229658</v>
      </c>
      <c r="AK363" s="28">
        <f t="shared" si="281"/>
        <v>3.9960140764612611</v>
      </c>
      <c r="AL363" s="28">
        <f t="shared" si="281"/>
        <v>3.4373510245004635</v>
      </c>
      <c r="AM363" s="29">
        <f t="shared" si="281"/>
        <v>2.3569848759726133</v>
      </c>
      <c r="AN363" s="30">
        <f t="shared" si="281"/>
        <v>3.5248165630122661</v>
      </c>
      <c r="AO363" s="31">
        <f t="shared" si="281"/>
        <v>1.2110596148458825</v>
      </c>
      <c r="AP363" s="31">
        <f t="shared" si="281"/>
        <v>1.2110596148458825</v>
      </c>
      <c r="AQ363" s="32">
        <f t="shared" si="281"/>
        <v>7.3908523208725887</v>
      </c>
      <c r="AR363" s="32">
        <f t="shared" si="281"/>
        <v>12.869231101689474</v>
      </c>
      <c r="AS363" s="32">
        <f t="shared" si="281"/>
        <v>26.284888237309154</v>
      </c>
      <c r="AT363" s="33">
        <f t="shared" si="281"/>
        <v>0.35</v>
      </c>
      <c r="AU363" s="33">
        <f t="shared" si="281"/>
        <v>0.35</v>
      </c>
      <c r="AV363" s="34" t="e">
        <f t="shared" si="281"/>
        <v>#DIV/0!</v>
      </c>
      <c r="AW363" s="34" t="e">
        <f t="shared" si="281"/>
        <v>#DIV/0!</v>
      </c>
      <c r="AX363" s="35" t="e">
        <f t="shared" si="281"/>
        <v>#NUM!</v>
      </c>
      <c r="AY363" s="35" t="e">
        <f t="shared" si="281"/>
        <v>#NUM!</v>
      </c>
    </row>
    <row r="364" spans="6:51" x14ac:dyDescent="0.3">
      <c r="F364">
        <v>50</v>
      </c>
      <c r="G364" s="28"/>
      <c r="H364" s="28"/>
      <c r="I364" s="28"/>
      <c r="J364" s="28"/>
      <c r="K364" s="28"/>
      <c r="L364" s="29"/>
      <c r="M364" s="30"/>
      <c r="N364" s="31"/>
      <c r="O364" s="31"/>
      <c r="P364" s="32"/>
      <c r="Q364" s="32"/>
      <c r="R364" s="32"/>
      <c r="S364" s="33"/>
      <c r="T364" s="33"/>
      <c r="U364" s="34"/>
      <c r="V364" s="34"/>
      <c r="W364" s="35"/>
      <c r="X364" s="35"/>
      <c r="AG364">
        <f t="shared" si="232"/>
        <v>49.535774030139265</v>
      </c>
      <c r="AH364" s="28">
        <f t="shared" ref="AH364:AY364" si="282">AH$160+AH292</f>
        <v>2.1708674856577286</v>
      </c>
      <c r="AI364" s="28">
        <f t="shared" si="282"/>
        <v>4.0238680788681709</v>
      </c>
      <c r="AJ364" s="28">
        <f t="shared" si="282"/>
        <v>3.9460141022801274</v>
      </c>
      <c r="AK364" s="28">
        <f t="shared" si="282"/>
        <v>3.996014084156942</v>
      </c>
      <c r="AL364" s="28">
        <f t="shared" si="282"/>
        <v>3.4433237758359283</v>
      </c>
      <c r="AM364" s="29">
        <f t="shared" si="282"/>
        <v>2.3569848759726133</v>
      </c>
      <c r="AN364" s="30">
        <f t="shared" si="282"/>
        <v>3.5251863163863599</v>
      </c>
      <c r="AO364" s="31">
        <f t="shared" si="282"/>
        <v>1.2110596148458825</v>
      </c>
      <c r="AP364" s="31">
        <f t="shared" si="282"/>
        <v>1.2110596148458825</v>
      </c>
      <c r="AQ364" s="32">
        <f t="shared" si="282"/>
        <v>7.3908523208725887</v>
      </c>
      <c r="AR364" s="32">
        <f t="shared" si="282"/>
        <v>12.869231101689474</v>
      </c>
      <c r="AS364" s="32">
        <f t="shared" si="282"/>
        <v>26.284888237309154</v>
      </c>
      <c r="AT364" s="33">
        <f t="shared" si="282"/>
        <v>0.35</v>
      </c>
      <c r="AU364" s="33">
        <f t="shared" si="282"/>
        <v>0.35</v>
      </c>
      <c r="AV364" s="34" t="e">
        <f t="shared" si="282"/>
        <v>#DIV/0!</v>
      </c>
      <c r="AW364" s="34" t="e">
        <f t="shared" si="282"/>
        <v>#DIV/0!</v>
      </c>
      <c r="AX364" s="35" t="e">
        <f t="shared" si="282"/>
        <v>#NUM!</v>
      </c>
      <c r="AY364" s="35" t="e">
        <f t="shared" si="282"/>
        <v>#NUM!</v>
      </c>
    </row>
    <row r="365" spans="6:51" x14ac:dyDescent="0.3">
      <c r="F365">
        <v>51</v>
      </c>
      <c r="G365" s="28"/>
      <c r="H365" s="28"/>
      <c r="I365" s="28"/>
      <c r="J365" s="28"/>
      <c r="K365" s="28"/>
      <c r="L365" s="29"/>
      <c r="M365" s="30"/>
      <c r="N365" s="31"/>
      <c r="O365" s="31"/>
      <c r="P365" s="32"/>
      <c r="Q365" s="32"/>
      <c r="R365" s="32"/>
      <c r="S365" s="33"/>
      <c r="T365" s="33"/>
      <c r="U365" s="34"/>
      <c r="V365" s="34"/>
      <c r="W365" s="35"/>
      <c r="X365" s="35"/>
      <c r="AG365">
        <f t="shared" si="232"/>
        <v>50.306638016924872</v>
      </c>
      <c r="AH365" s="28">
        <f t="shared" ref="AH365:AY365" si="283">AH$160+AH293</f>
        <v>2.1708674894018323</v>
      </c>
      <c r="AI365" s="28">
        <f t="shared" si="283"/>
        <v>4.0238680817264996</v>
      </c>
      <c r="AJ365" s="28">
        <f t="shared" si="283"/>
        <v>3.9460141057874507</v>
      </c>
      <c r="AK365" s="28">
        <f t="shared" si="283"/>
        <v>3.9960140898931726</v>
      </c>
      <c r="AL365" s="28">
        <f t="shared" si="283"/>
        <v>3.4483106619769095</v>
      </c>
      <c r="AM365" s="29">
        <f t="shared" si="283"/>
        <v>2.3569848759726133</v>
      </c>
      <c r="AN365" s="30">
        <f t="shared" si="283"/>
        <v>3.5254934392230601</v>
      </c>
      <c r="AO365" s="31">
        <f t="shared" si="283"/>
        <v>1.2110596148458825</v>
      </c>
      <c r="AP365" s="31">
        <f t="shared" si="283"/>
        <v>1.2110596148458825</v>
      </c>
      <c r="AQ365" s="32">
        <f t="shared" si="283"/>
        <v>7.3908523208725887</v>
      </c>
      <c r="AR365" s="32">
        <f t="shared" si="283"/>
        <v>12.869231101689474</v>
      </c>
      <c r="AS365" s="32">
        <f t="shared" si="283"/>
        <v>26.284888237309154</v>
      </c>
      <c r="AT365" s="33">
        <f t="shared" si="283"/>
        <v>0.35</v>
      </c>
      <c r="AU365" s="33">
        <f t="shared" si="283"/>
        <v>0.35</v>
      </c>
      <c r="AV365" s="34" t="e">
        <f t="shared" si="283"/>
        <v>#DIV/0!</v>
      </c>
      <c r="AW365" s="34" t="e">
        <f t="shared" si="283"/>
        <v>#DIV/0!</v>
      </c>
      <c r="AX365" s="35" t="e">
        <f t="shared" si="283"/>
        <v>#NUM!</v>
      </c>
      <c r="AY365" s="35" t="e">
        <f t="shared" si="283"/>
        <v>#NUM!</v>
      </c>
    </row>
    <row r="366" spans="6:51" x14ac:dyDescent="0.3">
      <c r="F366">
        <v>52</v>
      </c>
      <c r="G366" s="28"/>
      <c r="H366" s="28"/>
      <c r="I366" s="28"/>
      <c r="J366" s="28"/>
      <c r="K366" s="28"/>
      <c r="L366" s="29"/>
      <c r="M366" s="30"/>
      <c r="N366" s="31"/>
      <c r="O366" s="31"/>
      <c r="P366" s="32"/>
      <c r="Q366" s="32"/>
      <c r="R366" s="32"/>
      <c r="S366" s="33"/>
      <c r="T366" s="33"/>
      <c r="U366" s="34"/>
      <c r="V366" s="34"/>
      <c r="W366" s="35"/>
      <c r="X366" s="35"/>
      <c r="AG366">
        <f t="shared" si="232"/>
        <v>51.016955441198782</v>
      </c>
      <c r="AH366" s="28">
        <f t="shared" ref="AH366:AY366" si="284">AH$160+AH294</f>
        <v>2.1708674922453355</v>
      </c>
      <c r="AI366" s="28">
        <f t="shared" si="284"/>
        <v>4.0238680838851133</v>
      </c>
      <c r="AJ366" s="28">
        <f t="shared" si="284"/>
        <v>3.9460141082923035</v>
      </c>
      <c r="AK366" s="28">
        <f t="shared" si="284"/>
        <v>3.9960140942550826</v>
      </c>
      <c r="AL366" s="28">
        <f t="shared" si="284"/>
        <v>3.452514505132255</v>
      </c>
      <c r="AM366" s="29">
        <f t="shared" si="284"/>
        <v>2.3569848759726133</v>
      </c>
      <c r="AN366" s="30">
        <f t="shared" si="284"/>
        <v>3.5257509254296555</v>
      </c>
      <c r="AO366" s="31">
        <f t="shared" si="284"/>
        <v>1.2110596148458825</v>
      </c>
      <c r="AP366" s="31">
        <f t="shared" si="284"/>
        <v>1.2110596148458825</v>
      </c>
      <c r="AQ366" s="32">
        <f t="shared" si="284"/>
        <v>7.3908523208725887</v>
      </c>
      <c r="AR366" s="32">
        <f t="shared" si="284"/>
        <v>12.869231101689474</v>
      </c>
      <c r="AS366" s="32">
        <f t="shared" si="284"/>
        <v>26.284888237309154</v>
      </c>
      <c r="AT366" s="33">
        <f t="shared" si="284"/>
        <v>0.35</v>
      </c>
      <c r="AU366" s="33">
        <f t="shared" si="284"/>
        <v>0.35</v>
      </c>
      <c r="AV366" s="34" t="e">
        <f t="shared" si="284"/>
        <v>#DIV/0!</v>
      </c>
      <c r="AW366" s="34" t="e">
        <f t="shared" si="284"/>
        <v>#DIV/0!</v>
      </c>
      <c r="AX366" s="35" t="e">
        <f t="shared" si="284"/>
        <v>#NUM!</v>
      </c>
      <c r="AY366" s="35" t="e">
        <f t="shared" si="284"/>
        <v>#NUM!</v>
      </c>
    </row>
    <row r="367" spans="6:51" x14ac:dyDescent="0.3">
      <c r="F367">
        <v>53</v>
      </c>
      <c r="G367" s="28"/>
      <c r="H367" s="28"/>
      <c r="I367" s="28"/>
      <c r="J367" s="28"/>
      <c r="K367" s="28"/>
      <c r="L367" s="29"/>
      <c r="M367" s="30"/>
      <c r="N367" s="31"/>
      <c r="O367" s="31"/>
      <c r="P367" s="32"/>
      <c r="Q367" s="32"/>
      <c r="R367" s="32"/>
      <c r="S367" s="33"/>
      <c r="T367" s="33"/>
      <c r="U367" s="34"/>
      <c r="V367" s="34"/>
      <c r="W367" s="35"/>
      <c r="X367" s="35"/>
      <c r="AG367">
        <f t="shared" si="232"/>
        <v>51.671481858149477</v>
      </c>
      <c r="AH367" s="28">
        <f t="shared" ref="AH367:AY367" si="285">AH$160+AH295</f>
        <v>2.170867494449408</v>
      </c>
      <c r="AI367" s="28">
        <f t="shared" si="285"/>
        <v>4.0238680855455415</v>
      </c>
      <c r="AJ367" s="28">
        <f t="shared" si="285"/>
        <v>3.9460141101262609</v>
      </c>
      <c r="AK367" s="28">
        <f t="shared" si="285"/>
        <v>3.9960140976317091</v>
      </c>
      <c r="AL367" s="28">
        <f t="shared" si="285"/>
        <v>3.4560884814359119</v>
      </c>
      <c r="AM367" s="29">
        <f t="shared" si="285"/>
        <v>2.3569848759726133</v>
      </c>
      <c r="AN367" s="30">
        <f t="shared" si="285"/>
        <v>3.5259686182837537</v>
      </c>
      <c r="AO367" s="31">
        <f t="shared" si="285"/>
        <v>1.2110596148458825</v>
      </c>
      <c r="AP367" s="31">
        <f t="shared" si="285"/>
        <v>1.2110596148458825</v>
      </c>
      <c r="AQ367" s="32">
        <f t="shared" si="285"/>
        <v>7.3908523208725887</v>
      </c>
      <c r="AR367" s="32">
        <f t="shared" si="285"/>
        <v>12.869231101689474</v>
      </c>
      <c r="AS367" s="32">
        <f t="shared" si="285"/>
        <v>26.284888237309154</v>
      </c>
      <c r="AT367" s="33">
        <f t="shared" si="285"/>
        <v>0.35</v>
      </c>
      <c r="AU367" s="33">
        <f t="shared" si="285"/>
        <v>0.35</v>
      </c>
      <c r="AV367" s="34" t="e">
        <f t="shared" si="285"/>
        <v>#DIV/0!</v>
      </c>
      <c r="AW367" s="34" t="e">
        <f t="shared" si="285"/>
        <v>#DIV/0!</v>
      </c>
      <c r="AX367" s="35" t="e">
        <f t="shared" si="285"/>
        <v>#NUM!</v>
      </c>
      <c r="AY367" s="35" t="e">
        <f t="shared" si="285"/>
        <v>#NUM!</v>
      </c>
    </row>
    <row r="368" spans="6:51" x14ac:dyDescent="0.3">
      <c r="F368">
        <v>54</v>
      </c>
      <c r="G368" s="28"/>
      <c r="H368" s="28"/>
      <c r="I368" s="28"/>
      <c r="J368" s="28"/>
      <c r="K368" s="28"/>
      <c r="L368" s="29"/>
      <c r="M368" s="30"/>
      <c r="N368" s="31"/>
      <c r="O368" s="31"/>
      <c r="P368" s="32"/>
      <c r="Q368" s="32"/>
      <c r="R368" s="32"/>
      <c r="S368" s="33"/>
      <c r="T368" s="33"/>
      <c r="U368" s="34"/>
      <c r="V368" s="34"/>
      <c r="W368" s="35"/>
      <c r="X368" s="35"/>
      <c r="AG368">
        <f t="shared" si="232"/>
        <v>52.274599303739727</v>
      </c>
      <c r="AH368" s="28">
        <f t="shared" ref="AH368:AY368" si="286">AH$160+AH296</f>
        <v>2.1708674961886718</v>
      </c>
      <c r="AI368" s="28">
        <f t="shared" si="286"/>
        <v>4.0238680868440033</v>
      </c>
      <c r="AJ368" s="28">
        <f t="shared" si="286"/>
        <v>3.9460141114990614</v>
      </c>
      <c r="AK368" s="28">
        <f t="shared" si="286"/>
        <v>3.9960141002877911</v>
      </c>
      <c r="AL368" s="28">
        <f t="shared" si="286"/>
        <v>3.4591499982235172</v>
      </c>
      <c r="AM368" s="29">
        <f t="shared" si="286"/>
        <v>2.3569848759726133</v>
      </c>
      <c r="AN368" s="30">
        <f t="shared" si="286"/>
        <v>3.5261540702050143</v>
      </c>
      <c r="AO368" s="31">
        <f t="shared" si="286"/>
        <v>1.2110596148458825</v>
      </c>
      <c r="AP368" s="31">
        <f t="shared" si="286"/>
        <v>1.2110596148458825</v>
      </c>
      <c r="AQ368" s="32">
        <f t="shared" si="286"/>
        <v>7.3908523208725887</v>
      </c>
      <c r="AR368" s="32">
        <f t="shared" si="286"/>
        <v>12.869231101689474</v>
      </c>
      <c r="AS368" s="32">
        <f t="shared" si="286"/>
        <v>26.284888237309154</v>
      </c>
      <c r="AT368" s="33">
        <f t="shared" si="286"/>
        <v>0.35</v>
      </c>
      <c r="AU368" s="33">
        <f t="shared" si="286"/>
        <v>0.35</v>
      </c>
      <c r="AV368" s="34" t="e">
        <f t="shared" si="286"/>
        <v>#DIV/0!</v>
      </c>
      <c r="AW368" s="34" t="e">
        <f t="shared" si="286"/>
        <v>#DIV/0!</v>
      </c>
      <c r="AX368" s="35" t="e">
        <f t="shared" si="286"/>
        <v>#NUM!</v>
      </c>
      <c r="AY368" s="35" t="e">
        <f t="shared" si="286"/>
        <v>#NUM!</v>
      </c>
    </row>
    <row r="369" spans="6:51" x14ac:dyDescent="0.3">
      <c r="F369">
        <v>55</v>
      </c>
      <c r="G369" s="28"/>
      <c r="H369" s="28"/>
      <c r="I369" s="28"/>
      <c r="J369" s="28"/>
      <c r="K369" s="28"/>
      <c r="L369" s="29"/>
      <c r="M369" s="30"/>
      <c r="N369" s="31"/>
      <c r="O369" s="31"/>
      <c r="P369" s="32"/>
      <c r="Q369" s="32"/>
      <c r="R369" s="32"/>
      <c r="S369" s="33"/>
      <c r="T369" s="33"/>
      <c r="U369" s="34"/>
      <c r="V369" s="34"/>
      <c r="W369" s="35"/>
      <c r="X369" s="35"/>
      <c r="AG369">
        <f t="shared" si="232"/>
        <v>52.830345632314121</v>
      </c>
      <c r="AH369" s="28">
        <f t="shared" ref="AH369:AY369" si="287">AH$160+AH297</f>
        <v>2.1708674975829028</v>
      </c>
      <c r="AI369" s="28">
        <f t="shared" si="287"/>
        <v>4.0238680878745736</v>
      </c>
      <c r="AJ369" s="28">
        <f t="shared" si="287"/>
        <v>3.9460141125471484</v>
      </c>
      <c r="AK369" s="28">
        <f t="shared" si="287"/>
        <v>3.996014102407341</v>
      </c>
      <c r="AL369" s="28">
        <f t="shared" si="287"/>
        <v>3.4617902652749564</v>
      </c>
      <c r="AM369" s="29">
        <f t="shared" si="287"/>
        <v>2.3569848759726133</v>
      </c>
      <c r="AN369" s="30">
        <f t="shared" si="287"/>
        <v>3.52631314500284</v>
      </c>
      <c r="AO369" s="31">
        <f t="shared" si="287"/>
        <v>1.2110596148458825</v>
      </c>
      <c r="AP369" s="31">
        <f t="shared" si="287"/>
        <v>1.2110596148458825</v>
      </c>
      <c r="AQ369" s="32">
        <f t="shared" si="287"/>
        <v>7.3908523208725887</v>
      </c>
      <c r="AR369" s="32">
        <f t="shared" si="287"/>
        <v>12.869231101689474</v>
      </c>
      <c r="AS369" s="32">
        <f t="shared" si="287"/>
        <v>26.284888237309154</v>
      </c>
      <c r="AT369" s="33">
        <f t="shared" si="287"/>
        <v>0.35</v>
      </c>
      <c r="AU369" s="33">
        <f t="shared" si="287"/>
        <v>0.35</v>
      </c>
      <c r="AV369" s="34" t="e">
        <f t="shared" si="287"/>
        <v>#DIV/0!</v>
      </c>
      <c r="AW369" s="34" t="e">
        <f t="shared" si="287"/>
        <v>#DIV/0!</v>
      </c>
      <c r="AX369" s="35" t="e">
        <f t="shared" si="287"/>
        <v>#NUM!</v>
      </c>
      <c r="AY369" s="35" t="e">
        <f t="shared" si="287"/>
        <v>#NUM!</v>
      </c>
    </row>
    <row r="370" spans="6:51" x14ac:dyDescent="0.3">
      <c r="F370">
        <v>56</v>
      </c>
      <c r="G370" s="28"/>
      <c r="H370" s="28"/>
      <c r="I370" s="28"/>
      <c r="J370" s="28"/>
      <c r="K370" s="28"/>
      <c r="L370" s="29"/>
      <c r="M370" s="30"/>
      <c r="N370" s="31"/>
      <c r="O370" s="31"/>
      <c r="P370" s="32"/>
      <c r="Q370" s="32"/>
      <c r="R370" s="32"/>
      <c r="S370" s="33"/>
      <c r="T370" s="33"/>
      <c r="U370" s="34"/>
      <c r="V370" s="34"/>
      <c r="W370" s="35"/>
      <c r="X370" s="35"/>
      <c r="AG370">
        <f t="shared" si="232"/>
        <v>53.342441549920437</v>
      </c>
      <c r="AH370" s="28">
        <f t="shared" ref="AH370:AY370" si="288">AH$160+AH298</f>
        <v>2.1708674987161611</v>
      </c>
      <c r="AI370" s="28">
        <f t="shared" si="288"/>
        <v>4.0238680887035194</v>
      </c>
      <c r="AJ370" s="28">
        <f t="shared" si="288"/>
        <v>3.9460141133615645</v>
      </c>
      <c r="AK370" s="28">
        <f t="shared" si="288"/>
        <v>3.9960141041207589</v>
      </c>
      <c r="AL370" s="28">
        <f t="shared" si="288"/>
        <v>3.4640810148291776</v>
      </c>
      <c r="AM370" s="29">
        <f t="shared" si="288"/>
        <v>2.3569848759726133</v>
      </c>
      <c r="AN370" s="30">
        <f t="shared" si="288"/>
        <v>3.526450445850668</v>
      </c>
      <c r="AO370" s="31">
        <f t="shared" si="288"/>
        <v>1.2110596148458825</v>
      </c>
      <c r="AP370" s="31">
        <f t="shared" si="288"/>
        <v>1.2110596148458825</v>
      </c>
      <c r="AQ370" s="32">
        <f t="shared" si="288"/>
        <v>7.3908523208725887</v>
      </c>
      <c r="AR370" s="32">
        <f t="shared" si="288"/>
        <v>12.869231101689474</v>
      </c>
      <c r="AS370" s="32">
        <f t="shared" si="288"/>
        <v>26.284888237309154</v>
      </c>
      <c r="AT370" s="33">
        <f t="shared" si="288"/>
        <v>0.35</v>
      </c>
      <c r="AU370" s="33">
        <f t="shared" si="288"/>
        <v>0.35</v>
      </c>
      <c r="AV370" s="34" t="e">
        <f t="shared" si="288"/>
        <v>#DIV/0!</v>
      </c>
      <c r="AW370" s="34" t="e">
        <f t="shared" si="288"/>
        <v>#DIV/0!</v>
      </c>
      <c r="AX370" s="35" t="e">
        <f t="shared" si="288"/>
        <v>#NUM!</v>
      </c>
      <c r="AY370" s="35" t="e">
        <f t="shared" si="288"/>
        <v>#NUM!</v>
      </c>
    </row>
    <row r="371" spans="6:51" x14ac:dyDescent="0.3">
      <c r="F371">
        <v>57</v>
      </c>
      <c r="G371" s="28"/>
      <c r="H371" s="28"/>
      <c r="I371" s="28"/>
      <c r="J371" s="28"/>
      <c r="K371" s="28"/>
      <c r="L371" s="29"/>
      <c r="M371" s="30"/>
      <c r="N371" s="31"/>
      <c r="O371" s="31"/>
      <c r="P371" s="32"/>
      <c r="Q371" s="32"/>
      <c r="R371" s="32"/>
      <c r="S371" s="33"/>
      <c r="T371" s="33"/>
      <c r="U371" s="34"/>
      <c r="V371" s="34"/>
      <c r="W371" s="35"/>
      <c r="X371" s="35"/>
      <c r="AG371">
        <f t="shared" si="232"/>
        <v>53.814315524332059</v>
      </c>
      <c r="AH371" s="28">
        <f t="shared" ref="AH371:AY371" si="289">AH$160+AH299</f>
        <v>2.1708674996486748</v>
      </c>
      <c r="AI371" s="28">
        <f t="shared" si="289"/>
        <v>4.023868089378368</v>
      </c>
      <c r="AJ371" s="28">
        <f t="shared" si="289"/>
        <v>3.9460141140044795</v>
      </c>
      <c r="AK371" s="28">
        <f t="shared" si="289"/>
        <v>3.9960141055221055</v>
      </c>
      <c r="AL371" s="28">
        <f t="shared" si="289"/>
        <v>3.4660792974467594</v>
      </c>
      <c r="AM371" s="29">
        <f t="shared" si="289"/>
        <v>2.3569848759726133</v>
      </c>
      <c r="AN371" s="30">
        <f t="shared" si="289"/>
        <v>3.5265696235406403</v>
      </c>
      <c r="AO371" s="31">
        <f t="shared" si="289"/>
        <v>1.2110596148458825</v>
      </c>
      <c r="AP371" s="31">
        <f t="shared" si="289"/>
        <v>1.2110596148458825</v>
      </c>
      <c r="AQ371" s="32">
        <f t="shared" si="289"/>
        <v>7.3908523208725887</v>
      </c>
      <c r="AR371" s="32">
        <f t="shared" si="289"/>
        <v>12.869231101689474</v>
      </c>
      <c r="AS371" s="32">
        <f t="shared" si="289"/>
        <v>26.284888237309154</v>
      </c>
      <c r="AT371" s="33">
        <f t="shared" si="289"/>
        <v>0.35</v>
      </c>
      <c r="AU371" s="33">
        <f t="shared" si="289"/>
        <v>0.35</v>
      </c>
      <c r="AV371" s="34" t="e">
        <f t="shared" si="289"/>
        <v>#DIV/0!</v>
      </c>
      <c r="AW371" s="34" t="e">
        <f t="shared" si="289"/>
        <v>#DIV/0!</v>
      </c>
      <c r="AX371" s="35" t="e">
        <f t="shared" si="289"/>
        <v>#NUM!</v>
      </c>
      <c r="AY371" s="35" t="e">
        <f t="shared" si="289"/>
        <v>#NUM!</v>
      </c>
    </row>
    <row r="372" spans="6:51" x14ac:dyDescent="0.3">
      <c r="F372">
        <v>58</v>
      </c>
      <c r="G372" s="28"/>
      <c r="H372" s="28"/>
      <c r="I372" s="28"/>
      <c r="J372" s="28"/>
      <c r="K372" s="28"/>
      <c r="L372" s="29"/>
      <c r="M372" s="30"/>
      <c r="N372" s="31"/>
      <c r="O372" s="31"/>
      <c r="P372" s="32"/>
      <c r="Q372" s="32"/>
      <c r="R372" s="32"/>
      <c r="S372" s="33"/>
      <c r="T372" s="33"/>
      <c r="U372" s="34"/>
      <c r="V372" s="34"/>
      <c r="W372" s="35"/>
      <c r="X372" s="35"/>
      <c r="AG372">
        <f t="shared" si="232"/>
        <v>54.249126738543261</v>
      </c>
      <c r="AH372" s="28">
        <f t="shared" ref="AH372:AY372" si="290">AH$160+AH300</f>
        <v>2.1708675004244125</v>
      </c>
      <c r="AI372" s="28">
        <f t="shared" si="290"/>
        <v>4.0238680899337771</v>
      </c>
      <c r="AJ372" s="28">
        <f t="shared" si="290"/>
        <v>3.9460141145192495</v>
      </c>
      <c r="AK372" s="28">
        <f t="shared" si="290"/>
        <v>3.996014106680343</v>
      </c>
      <c r="AL372" s="28">
        <f t="shared" si="290"/>
        <v>3.4678309564418397</v>
      </c>
      <c r="AM372" s="29">
        <f t="shared" si="290"/>
        <v>2.3569848759726133</v>
      </c>
      <c r="AN372" s="30">
        <f t="shared" si="290"/>
        <v>3.5266736013269524</v>
      </c>
      <c r="AO372" s="31">
        <f t="shared" si="290"/>
        <v>1.2110596148458825</v>
      </c>
      <c r="AP372" s="31">
        <f t="shared" si="290"/>
        <v>1.2110596148458825</v>
      </c>
      <c r="AQ372" s="32">
        <f t="shared" si="290"/>
        <v>7.3908523208725887</v>
      </c>
      <c r="AR372" s="32">
        <f t="shared" si="290"/>
        <v>12.869231101689474</v>
      </c>
      <c r="AS372" s="32">
        <f t="shared" si="290"/>
        <v>26.284888237309154</v>
      </c>
      <c r="AT372" s="33">
        <f t="shared" si="290"/>
        <v>0.35</v>
      </c>
      <c r="AU372" s="33">
        <f t="shared" si="290"/>
        <v>0.35</v>
      </c>
      <c r="AV372" s="34" t="e">
        <f t="shared" si="290"/>
        <v>#DIV/0!</v>
      </c>
      <c r="AW372" s="34" t="e">
        <f t="shared" si="290"/>
        <v>#DIV/0!</v>
      </c>
      <c r="AX372" s="35" t="e">
        <f t="shared" si="290"/>
        <v>#NUM!</v>
      </c>
      <c r="AY372" s="35" t="e">
        <f t="shared" si="290"/>
        <v>#NUM!</v>
      </c>
    </row>
    <row r="373" spans="6:51" x14ac:dyDescent="0.3">
      <c r="F373">
        <v>59</v>
      </c>
      <c r="G373" s="28"/>
      <c r="H373" s="28"/>
      <c r="I373" s="28"/>
      <c r="J373" s="28"/>
      <c r="K373" s="28"/>
      <c r="L373" s="29"/>
      <c r="M373" s="30"/>
      <c r="N373" s="31"/>
      <c r="O373" s="31"/>
      <c r="P373" s="32"/>
      <c r="Q373" s="32"/>
      <c r="R373" s="32"/>
      <c r="S373" s="33"/>
      <c r="T373" s="33"/>
      <c r="U373" s="34"/>
      <c r="V373" s="34"/>
      <c r="W373" s="35"/>
      <c r="X373" s="35"/>
      <c r="AG373">
        <f t="shared" si="232"/>
        <v>54.649786241410681</v>
      </c>
      <c r="AH373" s="28">
        <f t="shared" ref="AH373:AY373" si="291">AH$160+AH301</f>
        <v>2.1708675010760219</v>
      </c>
      <c r="AI373" s="28">
        <f t="shared" si="291"/>
        <v>4.0238680903954078</v>
      </c>
      <c r="AJ373" s="28">
        <f t="shared" si="291"/>
        <v>3.9460141149366974</v>
      </c>
      <c r="AK373" s="28">
        <f t="shared" si="291"/>
        <v>3.996014107646797</v>
      </c>
      <c r="AL373" s="28">
        <f t="shared" si="291"/>
        <v>3.4693731800444905</v>
      </c>
      <c r="AM373" s="29">
        <f t="shared" si="291"/>
        <v>2.3569848759726133</v>
      </c>
      <c r="AN373" s="30">
        <f t="shared" si="291"/>
        <v>3.5267647408792535</v>
      </c>
      <c r="AO373" s="31">
        <f t="shared" si="291"/>
        <v>1.2110596148458825</v>
      </c>
      <c r="AP373" s="31">
        <f t="shared" si="291"/>
        <v>1.2110596148458825</v>
      </c>
      <c r="AQ373" s="32">
        <f t="shared" si="291"/>
        <v>7.3908523208725887</v>
      </c>
      <c r="AR373" s="32">
        <f t="shared" si="291"/>
        <v>12.869231101689474</v>
      </c>
      <c r="AS373" s="32">
        <f t="shared" si="291"/>
        <v>26.284888237309154</v>
      </c>
      <c r="AT373" s="33">
        <f t="shared" si="291"/>
        <v>0.35</v>
      </c>
      <c r="AU373" s="33">
        <f t="shared" si="291"/>
        <v>0.35</v>
      </c>
      <c r="AV373" s="34" t="e">
        <f t="shared" si="291"/>
        <v>#DIV/0!</v>
      </c>
      <c r="AW373" s="34" t="e">
        <f t="shared" si="291"/>
        <v>#DIV/0!</v>
      </c>
      <c r="AX373" s="35" t="e">
        <f t="shared" si="291"/>
        <v>#NUM!</v>
      </c>
      <c r="AY373" s="35" t="e">
        <f t="shared" si="291"/>
        <v>#NUM!</v>
      </c>
    </row>
    <row r="374" spans="6:51" x14ac:dyDescent="0.3">
      <c r="F374">
        <v>60</v>
      </c>
      <c r="G374" s="28"/>
      <c r="H374" s="28"/>
      <c r="I374" s="28"/>
      <c r="J374" s="28"/>
      <c r="K374" s="28"/>
      <c r="L374" s="29"/>
      <c r="M374" s="30"/>
      <c r="N374" s="31"/>
      <c r="O374" s="31"/>
      <c r="P374" s="32"/>
      <c r="Q374" s="32"/>
      <c r="R374" s="32"/>
      <c r="S374" s="33"/>
      <c r="T374" s="33"/>
      <c r="U374" s="34"/>
      <c r="V374" s="34"/>
      <c r="W374" s="35"/>
      <c r="X374" s="35"/>
      <c r="AG374">
        <f t="shared" si="232"/>
        <v>55.01897643704347</v>
      </c>
      <c r="AH374" s="28">
        <f t="shared" ref="AH374:AY374" si="292">AH$160+AH302</f>
        <v>2.1708675016281251</v>
      </c>
      <c r="AI374" s="28">
        <f t="shared" si="292"/>
        <v>4.0238680907825319</v>
      </c>
      <c r="AJ374" s="28">
        <f t="shared" si="292"/>
        <v>3.9460141152791248</v>
      </c>
      <c r="AK374" s="28">
        <f t="shared" si="292"/>
        <v>3.9960141084601988</v>
      </c>
      <c r="AL374" s="28">
        <f t="shared" si="292"/>
        <v>3.4707364002067047</v>
      </c>
      <c r="AM374" s="29">
        <f t="shared" si="292"/>
        <v>2.3569848759726133</v>
      </c>
      <c r="AN374" s="30">
        <f t="shared" si="292"/>
        <v>3.5268449661371295</v>
      </c>
      <c r="AO374" s="31">
        <f t="shared" si="292"/>
        <v>1.2110596148458825</v>
      </c>
      <c r="AP374" s="31">
        <f t="shared" si="292"/>
        <v>1.2110596148458825</v>
      </c>
      <c r="AQ374" s="32">
        <f t="shared" si="292"/>
        <v>7.3908523208725887</v>
      </c>
      <c r="AR374" s="32">
        <f t="shared" si="292"/>
        <v>12.869231101689474</v>
      </c>
      <c r="AS374" s="32">
        <f t="shared" si="292"/>
        <v>26.284888237309154</v>
      </c>
      <c r="AT374" s="33">
        <f t="shared" si="292"/>
        <v>0.35</v>
      </c>
      <c r="AU374" s="33">
        <f t="shared" si="292"/>
        <v>0.35</v>
      </c>
      <c r="AV374" s="34" t="e">
        <f t="shared" si="292"/>
        <v>#DIV/0!</v>
      </c>
      <c r="AW374" s="34" t="e">
        <f t="shared" si="292"/>
        <v>#DIV/0!</v>
      </c>
      <c r="AX374" s="35" t="e">
        <f t="shared" si="292"/>
        <v>#NUM!</v>
      </c>
      <c r="AY374" s="35" t="e">
        <f t="shared" si="292"/>
        <v>#NUM!</v>
      </c>
    </row>
    <row r="375" spans="6:51" x14ac:dyDescent="0.3">
      <c r="F375">
        <v>61</v>
      </c>
      <c r="G375" s="28"/>
      <c r="H375" s="28"/>
      <c r="I375" s="28"/>
      <c r="J375" s="28"/>
      <c r="K375" s="28"/>
      <c r="L375" s="29"/>
      <c r="M375" s="30"/>
      <c r="N375" s="31"/>
      <c r="O375" s="31"/>
      <c r="P375" s="32"/>
      <c r="Q375" s="32"/>
      <c r="R375" s="32"/>
      <c r="S375" s="33"/>
      <c r="T375" s="33"/>
      <c r="U375" s="34"/>
      <c r="V375" s="34"/>
      <c r="W375" s="35"/>
      <c r="X375" s="35"/>
      <c r="AG375">
        <f t="shared" si="232"/>
        <v>55.359169043423464</v>
      </c>
      <c r="AH375" s="28">
        <f t="shared" ref="AH375:AY375" si="293">AH$160+AH303</f>
        <v>2.1708675020995556</v>
      </c>
      <c r="AI375" s="28">
        <f t="shared" si="293"/>
        <v>4.0238680911098115</v>
      </c>
      <c r="AJ375" s="28">
        <f t="shared" si="293"/>
        <v>3.9460141155629316</v>
      </c>
      <c r="AK375" s="28">
        <f t="shared" si="293"/>
        <v>3.9960141091501509</v>
      </c>
      <c r="AL375" s="28">
        <f t="shared" si="293"/>
        <v>3.4719457221158434</v>
      </c>
      <c r="AM375" s="29">
        <f t="shared" si="293"/>
        <v>2.3569848759726133</v>
      </c>
      <c r="AN375" s="30">
        <f t="shared" si="293"/>
        <v>3.5269158567140257</v>
      </c>
      <c r="AO375" s="31">
        <f t="shared" si="293"/>
        <v>1.2110596148458825</v>
      </c>
      <c r="AP375" s="31">
        <f t="shared" si="293"/>
        <v>1.2110596148458825</v>
      </c>
      <c r="AQ375" s="32">
        <f t="shared" si="293"/>
        <v>7.3908523208725887</v>
      </c>
      <c r="AR375" s="32">
        <f t="shared" si="293"/>
        <v>12.869231101689474</v>
      </c>
      <c r="AS375" s="32">
        <f t="shared" si="293"/>
        <v>26.284888237309154</v>
      </c>
      <c r="AT375" s="33">
        <f t="shared" si="293"/>
        <v>0.35</v>
      </c>
      <c r="AU375" s="33">
        <f t="shared" si="293"/>
        <v>0.35</v>
      </c>
      <c r="AV375" s="34" t="e">
        <f t="shared" si="293"/>
        <v>#DIV/0!</v>
      </c>
      <c r="AW375" s="34" t="e">
        <f t="shared" si="293"/>
        <v>#DIV/0!</v>
      </c>
      <c r="AX375" s="35" t="e">
        <f t="shared" si="293"/>
        <v>#NUM!</v>
      </c>
      <c r="AY375" s="35" t="e">
        <f t="shared" si="293"/>
        <v>#NUM!</v>
      </c>
    </row>
    <row r="376" spans="6:51" x14ac:dyDescent="0.3">
      <c r="F376">
        <v>62</v>
      </c>
      <c r="G376" s="28"/>
      <c r="H376" s="28"/>
      <c r="I376" s="28"/>
      <c r="J376" s="28"/>
      <c r="K376" s="28"/>
      <c r="L376" s="29"/>
      <c r="M376" s="30"/>
      <c r="N376" s="31"/>
      <c r="O376" s="31"/>
      <c r="P376" s="32"/>
      <c r="Q376" s="32"/>
      <c r="R376" s="32"/>
      <c r="S376" s="33"/>
      <c r="T376" s="33"/>
      <c r="U376" s="34"/>
      <c r="V376" s="34"/>
      <c r="W376" s="35"/>
      <c r="X376" s="35"/>
      <c r="AG376">
        <f t="shared" si="232"/>
        <v>55.672641640487548</v>
      </c>
      <c r="AH376" s="28">
        <f t="shared" ref="AH376:AY376" si="294">AH$160+AH304</f>
        <v>2.1708675025049065</v>
      </c>
      <c r="AI376" s="28">
        <f t="shared" si="294"/>
        <v>4.0238680913885387</v>
      </c>
      <c r="AJ376" s="28">
        <f t="shared" si="294"/>
        <v>3.9460141158003594</v>
      </c>
      <c r="AK376" s="28">
        <f t="shared" si="294"/>
        <v>3.9960141097395505</v>
      </c>
      <c r="AL376" s="28">
        <f t="shared" si="294"/>
        <v>3.473022012273776</v>
      </c>
      <c r="AM376" s="29">
        <f t="shared" si="294"/>
        <v>2.3569848759726133</v>
      </c>
      <c r="AN376" s="30">
        <f t="shared" si="294"/>
        <v>3.5269787190312556</v>
      </c>
      <c r="AO376" s="31">
        <f t="shared" si="294"/>
        <v>1.2110596148458825</v>
      </c>
      <c r="AP376" s="31">
        <f t="shared" si="294"/>
        <v>1.2110596148458825</v>
      </c>
      <c r="AQ376" s="32">
        <f t="shared" si="294"/>
        <v>7.3908523208725887</v>
      </c>
      <c r="AR376" s="32">
        <f t="shared" si="294"/>
        <v>12.869231101689474</v>
      </c>
      <c r="AS376" s="32">
        <f t="shared" si="294"/>
        <v>26.284888237309154</v>
      </c>
      <c r="AT376" s="33">
        <f t="shared" si="294"/>
        <v>0.35</v>
      </c>
      <c r="AU376" s="33">
        <f t="shared" si="294"/>
        <v>0.35</v>
      </c>
      <c r="AV376" s="34" t="e">
        <f t="shared" si="294"/>
        <v>#DIV/0!</v>
      </c>
      <c r="AW376" s="34" t="e">
        <f t="shared" si="294"/>
        <v>#DIV/0!</v>
      </c>
      <c r="AX376" s="35" t="e">
        <f t="shared" si="294"/>
        <v>#NUM!</v>
      </c>
      <c r="AY376" s="35" t="e">
        <f t="shared" si="294"/>
        <v>#NUM!</v>
      </c>
    </row>
    <row r="377" spans="6:51" x14ac:dyDescent="0.3">
      <c r="F377">
        <v>63</v>
      </c>
      <c r="G377" s="28"/>
      <c r="H377" s="28"/>
      <c r="I377" s="28"/>
      <c r="J377" s="28"/>
      <c r="K377" s="28"/>
      <c r="L377" s="29"/>
      <c r="M377" s="30"/>
      <c r="N377" s="31"/>
      <c r="O377" s="31"/>
      <c r="P377" s="32"/>
      <c r="Q377" s="32"/>
      <c r="R377" s="32"/>
      <c r="S377" s="33"/>
      <c r="T377" s="33"/>
      <c r="U377" s="34"/>
      <c r="V377" s="34"/>
      <c r="W377" s="35"/>
      <c r="X377" s="35"/>
      <c r="AG377">
        <f t="shared" si="232"/>
        <v>55.961492918461353</v>
      </c>
      <c r="AH377" s="28">
        <f t="shared" ref="AH377:AY377" si="295">AH$160+AH305</f>
        <v>2.1708675028556224</v>
      </c>
      <c r="AI377" s="28">
        <f t="shared" si="295"/>
        <v>4.0238680916275067</v>
      </c>
      <c r="AJ377" s="28">
        <f t="shared" si="295"/>
        <v>3.9460141160006712</v>
      </c>
      <c r="AK377" s="28">
        <f t="shared" si="295"/>
        <v>3.9960141102463043</v>
      </c>
      <c r="AL377" s="28">
        <f t="shared" si="295"/>
        <v>3.4739827351846158</v>
      </c>
      <c r="AM377" s="29">
        <f t="shared" si="295"/>
        <v>2.3569848759726133</v>
      </c>
      <c r="AN377" s="30">
        <f t="shared" si="295"/>
        <v>3.5270346409944371</v>
      </c>
      <c r="AO377" s="31">
        <f t="shared" si="295"/>
        <v>1.2110596148458825</v>
      </c>
      <c r="AP377" s="31">
        <f t="shared" si="295"/>
        <v>1.2110596148458825</v>
      </c>
      <c r="AQ377" s="32">
        <f t="shared" si="295"/>
        <v>7.3908523208725887</v>
      </c>
      <c r="AR377" s="32">
        <f t="shared" si="295"/>
        <v>12.869231101689474</v>
      </c>
      <c r="AS377" s="32">
        <f t="shared" si="295"/>
        <v>26.284888237309154</v>
      </c>
      <c r="AT377" s="33">
        <f t="shared" si="295"/>
        <v>0.35</v>
      </c>
      <c r="AU377" s="33">
        <f t="shared" si="295"/>
        <v>0.35</v>
      </c>
      <c r="AV377" s="34" t="e">
        <f t="shared" si="295"/>
        <v>#DIV/0!</v>
      </c>
      <c r="AW377" s="34" t="e">
        <f t="shared" si="295"/>
        <v>#DIV/0!</v>
      </c>
      <c r="AX377" s="35" t="e">
        <f t="shared" si="295"/>
        <v>#NUM!</v>
      </c>
      <c r="AY377" s="35" t="e">
        <f t="shared" si="295"/>
        <v>#NUM!</v>
      </c>
    </row>
    <row r="378" spans="6:51" x14ac:dyDescent="0.3">
      <c r="F378">
        <v>64</v>
      </c>
      <c r="G378" s="28"/>
      <c r="H378" s="28"/>
      <c r="I378" s="28"/>
      <c r="J378" s="28"/>
      <c r="K378" s="28"/>
      <c r="L378" s="29"/>
      <c r="M378" s="30"/>
      <c r="N378" s="31"/>
      <c r="O378" s="31"/>
      <c r="P378" s="32"/>
      <c r="Q378" s="32"/>
      <c r="R378" s="32"/>
      <c r="S378" s="33"/>
      <c r="T378" s="33"/>
      <c r="U378" s="34"/>
      <c r="V378" s="34"/>
      <c r="W378" s="35"/>
      <c r="X378" s="35"/>
      <c r="AG378">
        <f t="shared" si="232"/>
        <v>56.227656728531329</v>
      </c>
      <c r="AH378" s="28">
        <f t="shared" ref="AH378:AY378" si="296">AH$160+AH306</f>
        <v>2.1708675031607765</v>
      </c>
      <c r="AI378" s="28">
        <f t="shared" si="296"/>
        <v>4.023868091833636</v>
      </c>
      <c r="AJ378" s="28">
        <f t="shared" si="296"/>
        <v>3.9460141161709652</v>
      </c>
      <c r="AK378" s="28">
        <f t="shared" si="296"/>
        <v>3.9960141106845586</v>
      </c>
      <c r="AL378" s="28">
        <f t="shared" si="296"/>
        <v>3.4748426028796029</v>
      </c>
      <c r="AM378" s="29">
        <f t="shared" si="296"/>
        <v>2.3569848759726133</v>
      </c>
      <c r="AN378" s="30">
        <f t="shared" si="296"/>
        <v>3.5270845343875497</v>
      </c>
      <c r="AO378" s="31">
        <f t="shared" si="296"/>
        <v>1.2110596148458825</v>
      </c>
      <c r="AP378" s="31">
        <f t="shared" si="296"/>
        <v>1.2110596148458825</v>
      </c>
      <c r="AQ378" s="32">
        <f t="shared" si="296"/>
        <v>7.3908523208725887</v>
      </c>
      <c r="AR378" s="32">
        <f t="shared" si="296"/>
        <v>12.869231101689474</v>
      </c>
      <c r="AS378" s="32">
        <f t="shared" si="296"/>
        <v>26.284888237309154</v>
      </c>
      <c r="AT378" s="33">
        <f t="shared" si="296"/>
        <v>0.35</v>
      </c>
      <c r="AU378" s="33">
        <f t="shared" si="296"/>
        <v>0.35</v>
      </c>
      <c r="AV378" s="34" t="e">
        <f t="shared" si="296"/>
        <v>#DIV/0!</v>
      </c>
      <c r="AW378" s="34" t="e">
        <f t="shared" si="296"/>
        <v>#DIV/0!</v>
      </c>
      <c r="AX378" s="35" t="e">
        <f t="shared" si="296"/>
        <v>#NUM!</v>
      </c>
      <c r="AY378" s="35" t="e">
        <f t="shared" si="296"/>
        <v>#NUM!</v>
      </c>
    </row>
    <row r="379" spans="6:51" x14ac:dyDescent="0.3">
      <c r="F379">
        <v>65</v>
      </c>
      <c r="G379" s="28"/>
      <c r="H379" s="28"/>
      <c r="I379" s="28"/>
      <c r="J379" s="28"/>
      <c r="K379" s="28"/>
      <c r="L379" s="29"/>
      <c r="M379" s="30"/>
      <c r="N379" s="31"/>
      <c r="O379" s="31"/>
      <c r="P379" s="32"/>
      <c r="Q379" s="32"/>
      <c r="R379" s="32"/>
      <c r="S379" s="33"/>
      <c r="T379" s="33"/>
      <c r="U379" s="34"/>
      <c r="V379" s="34"/>
      <c r="W379" s="35"/>
      <c r="X379" s="35"/>
      <c r="AG379">
        <f t="shared" ref="AG379:AG384" si="297">AE79</f>
        <v>56.472915029924017</v>
      </c>
      <c r="AH379" s="28">
        <f t="shared" ref="AH379:AY379" si="298">AH$160+AH307</f>
        <v>2.1708675034276377</v>
      </c>
      <c r="AI379" s="28">
        <f t="shared" si="298"/>
        <v>4.0238680920124263</v>
      </c>
      <c r="AJ379" s="28">
        <f t="shared" si="298"/>
        <v>3.9460141163167464</v>
      </c>
      <c r="AK379" s="28">
        <f t="shared" si="298"/>
        <v>3.9960141110655991</v>
      </c>
      <c r="AL379" s="28">
        <f t="shared" si="298"/>
        <v>3.4756140836449259</v>
      </c>
      <c r="AM379" s="29">
        <f t="shared" si="298"/>
        <v>2.3569848759726133</v>
      </c>
      <c r="AN379" s="30">
        <f t="shared" si="298"/>
        <v>3.5271291680150778</v>
      </c>
      <c r="AO379" s="31">
        <f t="shared" si="298"/>
        <v>1.2110596148458825</v>
      </c>
      <c r="AP379" s="31">
        <f t="shared" si="298"/>
        <v>1.2110596148458825</v>
      </c>
      <c r="AQ379" s="32">
        <f t="shared" si="298"/>
        <v>7.3908523208725887</v>
      </c>
      <c r="AR379" s="32">
        <f t="shared" si="298"/>
        <v>12.869231101689474</v>
      </c>
      <c r="AS379" s="32">
        <f t="shared" si="298"/>
        <v>26.284888237309154</v>
      </c>
      <c r="AT379" s="33">
        <f t="shared" si="298"/>
        <v>0.35</v>
      </c>
      <c r="AU379" s="33">
        <f t="shared" si="298"/>
        <v>0.35</v>
      </c>
      <c r="AV379" s="34" t="e">
        <f t="shared" si="298"/>
        <v>#DIV/0!</v>
      </c>
      <c r="AW379" s="34" t="e">
        <f t="shared" si="298"/>
        <v>#DIV/0!</v>
      </c>
      <c r="AX379" s="35" t="e">
        <f t="shared" si="298"/>
        <v>#NUM!</v>
      </c>
      <c r="AY379" s="35" t="e">
        <f t="shared" si="298"/>
        <v>#NUM!</v>
      </c>
    </row>
    <row r="380" spans="6:51" x14ac:dyDescent="0.3">
      <c r="F380">
        <v>66</v>
      </c>
      <c r="G380" s="28"/>
      <c r="H380" s="28"/>
      <c r="I380" s="28"/>
      <c r="J380" s="28"/>
      <c r="K380" s="28"/>
      <c r="L380" s="29"/>
      <c r="M380" s="30"/>
      <c r="N380" s="31"/>
      <c r="O380" s="31"/>
      <c r="P380" s="32"/>
      <c r="Q380" s="32"/>
      <c r="R380" s="32"/>
      <c r="S380" s="33"/>
      <c r="T380" s="33"/>
      <c r="U380" s="34"/>
      <c r="V380" s="34"/>
      <c r="W380" s="35"/>
      <c r="X380" s="35"/>
      <c r="AG380">
        <f t="shared" si="297"/>
        <v>56.698909820073034</v>
      </c>
      <c r="AH380" s="28">
        <f t="shared" ref="AH380:AY380" si="299">AH$160+AH308</f>
        <v>2.1708675036620817</v>
      </c>
      <c r="AI380" s="28">
        <f t="shared" si="299"/>
        <v>4.0238680921682874</v>
      </c>
      <c r="AJ380" s="28">
        <f t="shared" si="299"/>
        <v>3.9460141164423321</v>
      </c>
      <c r="AK380" s="28">
        <f t="shared" si="299"/>
        <v>3.9960141113985079</v>
      </c>
      <c r="AL380" s="28">
        <f t="shared" si="299"/>
        <v>3.4763078037997821</v>
      </c>
      <c r="AM380" s="29">
        <f t="shared" si="299"/>
        <v>2.3569848759726133</v>
      </c>
      <c r="AN380" s="30">
        <f t="shared" si="299"/>
        <v>3.5271691938135326</v>
      </c>
      <c r="AO380" s="31">
        <f t="shared" si="299"/>
        <v>1.2110596148458825</v>
      </c>
      <c r="AP380" s="31">
        <f t="shared" si="299"/>
        <v>1.2110596148458825</v>
      </c>
      <c r="AQ380" s="32">
        <f t="shared" si="299"/>
        <v>7.3908523208725887</v>
      </c>
      <c r="AR380" s="32">
        <f t="shared" si="299"/>
        <v>12.869231101689474</v>
      </c>
      <c r="AS380" s="32">
        <f t="shared" si="299"/>
        <v>26.284888237309154</v>
      </c>
      <c r="AT380" s="33">
        <f t="shared" si="299"/>
        <v>0.35</v>
      </c>
      <c r="AU380" s="33">
        <f t="shared" si="299"/>
        <v>0.35</v>
      </c>
      <c r="AV380" s="34" t="e">
        <f t="shared" si="299"/>
        <v>#DIV/0!</v>
      </c>
      <c r="AW380" s="34" t="e">
        <f t="shared" si="299"/>
        <v>#DIV/0!</v>
      </c>
      <c r="AX380" s="35" t="e">
        <f t="shared" si="299"/>
        <v>#NUM!</v>
      </c>
      <c r="AY380" s="35" t="e">
        <f t="shared" si="299"/>
        <v>#NUM!</v>
      </c>
    </row>
    <row r="381" spans="6:51" x14ac:dyDescent="0.3">
      <c r="F381">
        <v>67</v>
      </c>
      <c r="G381" s="28"/>
      <c r="H381" s="28"/>
      <c r="I381" s="28"/>
      <c r="J381" s="28"/>
      <c r="K381" s="28"/>
      <c r="L381" s="29"/>
      <c r="M381" s="30"/>
      <c r="N381" s="31"/>
      <c r="O381" s="31"/>
      <c r="P381" s="32"/>
      <c r="Q381" s="32"/>
      <c r="R381" s="32"/>
      <c r="S381" s="33"/>
      <c r="T381" s="33"/>
      <c r="U381" s="34"/>
      <c r="V381" s="34"/>
      <c r="W381" s="35"/>
      <c r="X381" s="35"/>
      <c r="AG381">
        <f t="shared" si="297"/>
        <v>56.907154127745713</v>
      </c>
      <c r="AH381" s="28">
        <f t="shared" ref="AH381:AY381" si="300">AH$160+AH309</f>
        <v>2.1708675038689016</v>
      </c>
      <c r="AI381" s="28">
        <f t="shared" si="300"/>
        <v>4.0238680923047889</v>
      </c>
      <c r="AJ381" s="28">
        <f t="shared" si="300"/>
        <v>3.9460141165511393</v>
      </c>
      <c r="AK381" s="28">
        <f t="shared" si="300"/>
        <v>3.9960141116906565</v>
      </c>
      <c r="AL381" s="28">
        <f t="shared" si="300"/>
        <v>3.4769328674936575</v>
      </c>
      <c r="AM381" s="29">
        <f t="shared" si="300"/>
        <v>2.3569848759726133</v>
      </c>
      <c r="AN381" s="30">
        <f t="shared" si="300"/>
        <v>3.5272051675757559</v>
      </c>
      <c r="AO381" s="31">
        <f t="shared" si="300"/>
        <v>1.2110596148458825</v>
      </c>
      <c r="AP381" s="31">
        <f t="shared" si="300"/>
        <v>1.2110596148458825</v>
      </c>
      <c r="AQ381" s="32">
        <f t="shared" si="300"/>
        <v>7.3908523208725887</v>
      </c>
      <c r="AR381" s="32">
        <f t="shared" si="300"/>
        <v>12.869231101689474</v>
      </c>
      <c r="AS381" s="32">
        <f t="shared" si="300"/>
        <v>26.284888237309154</v>
      </c>
      <c r="AT381" s="33">
        <f t="shared" si="300"/>
        <v>0.35</v>
      </c>
      <c r="AU381" s="33">
        <f t="shared" si="300"/>
        <v>0.35</v>
      </c>
      <c r="AV381" s="34" t="e">
        <f t="shared" si="300"/>
        <v>#DIV/0!</v>
      </c>
      <c r="AW381" s="34" t="e">
        <f t="shared" si="300"/>
        <v>#DIV/0!</v>
      </c>
      <c r="AX381" s="35" t="e">
        <f t="shared" si="300"/>
        <v>#NUM!</v>
      </c>
      <c r="AY381" s="35" t="e">
        <f t="shared" si="300"/>
        <v>#NUM!</v>
      </c>
    </row>
    <row r="382" spans="6:51" x14ac:dyDescent="0.3">
      <c r="F382">
        <v>68</v>
      </c>
      <c r="G382" s="28"/>
      <c r="H382" s="28"/>
      <c r="I382" s="28"/>
      <c r="J382" s="28"/>
      <c r="K382" s="28"/>
      <c r="L382" s="29"/>
      <c r="M382" s="30"/>
      <c r="N382" s="31"/>
      <c r="O382" s="31"/>
      <c r="P382" s="32"/>
      <c r="Q382" s="32"/>
      <c r="R382" s="32"/>
      <c r="S382" s="33"/>
      <c r="T382" s="33"/>
      <c r="U382" s="34"/>
      <c r="V382" s="34"/>
      <c r="W382" s="35"/>
      <c r="X382" s="35"/>
      <c r="AG382">
        <f t="shared" si="297"/>
        <v>57.099042142728173</v>
      </c>
      <c r="AH382" s="28">
        <f t="shared" ref="AH382:AY382" si="301">AH$160+AH310</f>
        <v>2.1708675040520387</v>
      </c>
      <c r="AI382" s="28">
        <f t="shared" si="301"/>
        <v>4.0238680924248369</v>
      </c>
      <c r="AJ382" s="28">
        <f t="shared" si="301"/>
        <v>3.9460141166459026</v>
      </c>
      <c r="AK382" s="28">
        <f t="shared" si="301"/>
        <v>3.9960141119480745</v>
      </c>
      <c r="AL382" s="28">
        <f t="shared" si="301"/>
        <v>3.477497113124377</v>
      </c>
      <c r="AM382" s="29">
        <f t="shared" si="301"/>
        <v>2.3569848759726133</v>
      </c>
      <c r="AN382" s="30">
        <f t="shared" si="301"/>
        <v>3.5272375655146431</v>
      </c>
      <c r="AO382" s="31">
        <f t="shared" si="301"/>
        <v>1.2110596148458825</v>
      </c>
      <c r="AP382" s="31">
        <f t="shared" si="301"/>
        <v>1.2110596148458825</v>
      </c>
      <c r="AQ382" s="32">
        <f t="shared" si="301"/>
        <v>7.3908523208725887</v>
      </c>
      <c r="AR382" s="32">
        <f t="shared" si="301"/>
        <v>12.869231101689474</v>
      </c>
      <c r="AS382" s="32">
        <f t="shared" si="301"/>
        <v>26.284888237309154</v>
      </c>
      <c r="AT382" s="33">
        <f t="shared" si="301"/>
        <v>0.35</v>
      </c>
      <c r="AU382" s="33">
        <f t="shared" si="301"/>
        <v>0.35</v>
      </c>
      <c r="AV382" s="34" t="e">
        <f t="shared" si="301"/>
        <v>#DIV/0!</v>
      </c>
      <c r="AW382" s="34" t="e">
        <f t="shared" si="301"/>
        <v>#DIV/0!</v>
      </c>
      <c r="AX382" s="35" t="e">
        <f t="shared" si="301"/>
        <v>#NUM!</v>
      </c>
      <c r="AY382" s="35" t="e">
        <f t="shared" si="301"/>
        <v>#NUM!</v>
      </c>
    </row>
    <row r="383" spans="6:51" x14ac:dyDescent="0.3">
      <c r="F383">
        <v>69</v>
      </c>
      <c r="G383" s="28"/>
      <c r="H383" s="28"/>
      <c r="I383" s="28"/>
      <c r="J383" s="28"/>
      <c r="K383" s="28"/>
      <c r="L383" s="29"/>
      <c r="M383" s="30"/>
      <c r="N383" s="31"/>
      <c r="O383" s="31"/>
      <c r="P383" s="32"/>
      <c r="Q383" s="32"/>
      <c r="R383" s="32"/>
      <c r="S383" s="33"/>
      <c r="T383" s="33"/>
      <c r="U383" s="34"/>
      <c r="V383" s="34"/>
      <c r="W383" s="35"/>
      <c r="X383" s="35"/>
      <c r="AG383">
        <f t="shared" si="297"/>
        <v>57.275858549886756</v>
      </c>
      <c r="AH383" s="28">
        <f t="shared" ref="AH383:AY383" si="302">AH$160+AH311</f>
        <v>2.1708675042147583</v>
      </c>
      <c r="AI383" s="28">
        <f t="shared" si="302"/>
        <v>4.0238680925308223</v>
      </c>
      <c r="AJ383" s="28">
        <f t="shared" si="302"/>
        <v>3.9460141167288252</v>
      </c>
      <c r="AK383" s="28">
        <f t="shared" si="302"/>
        <v>3.9960141121757307</v>
      </c>
      <c r="AL383" s="28">
        <f t="shared" si="302"/>
        <v>3.4780073203634569</v>
      </c>
      <c r="AM383" s="29">
        <f t="shared" si="302"/>
        <v>2.3569848759726133</v>
      </c>
      <c r="AN383" s="30">
        <f t="shared" si="302"/>
        <v>3.5272667975895353</v>
      </c>
      <c r="AO383" s="31">
        <f t="shared" si="302"/>
        <v>1.2110596148458825</v>
      </c>
      <c r="AP383" s="31">
        <f t="shared" si="302"/>
        <v>1.2110596148458825</v>
      </c>
      <c r="AQ383" s="32">
        <f t="shared" si="302"/>
        <v>7.3908523208725887</v>
      </c>
      <c r="AR383" s="32">
        <f t="shared" si="302"/>
        <v>12.869231101689474</v>
      </c>
      <c r="AS383" s="32">
        <f t="shared" si="302"/>
        <v>26.284888237309154</v>
      </c>
      <c r="AT383" s="33">
        <f t="shared" si="302"/>
        <v>0.35</v>
      </c>
      <c r="AU383" s="33">
        <f t="shared" si="302"/>
        <v>0.35</v>
      </c>
      <c r="AV383" s="34" t="e">
        <f t="shared" si="302"/>
        <v>#DIV/0!</v>
      </c>
      <c r="AW383" s="34" t="e">
        <f t="shared" si="302"/>
        <v>#DIV/0!</v>
      </c>
      <c r="AX383" s="35" t="e">
        <f t="shared" si="302"/>
        <v>#NUM!</v>
      </c>
      <c r="AY383" s="35" t="e">
        <f t="shared" si="302"/>
        <v>#NUM!</v>
      </c>
    </row>
    <row r="384" spans="6:51" x14ac:dyDescent="0.3">
      <c r="F384">
        <v>70</v>
      </c>
      <c r="G384" s="28"/>
      <c r="H384" s="28"/>
      <c r="I384" s="28"/>
      <c r="J384" s="28"/>
      <c r="K384" s="28"/>
      <c r="L384" s="29"/>
      <c r="M384" s="30"/>
      <c r="N384" s="31"/>
      <c r="O384" s="31"/>
      <c r="P384" s="32"/>
      <c r="Q384" s="32"/>
      <c r="R384" s="32"/>
      <c r="S384" s="33"/>
      <c r="T384" s="33"/>
      <c r="U384" s="34"/>
      <c r="V384" s="34"/>
      <c r="W384" s="35"/>
      <c r="X384" s="35"/>
      <c r="AG384">
        <f t="shared" si="297"/>
        <v>57.43878713009709</v>
      </c>
      <c r="AH384" s="28">
        <f t="shared" ref="AH384:AY384" si="303">AH$160+AH312</f>
        <v>2.1708675043597845</v>
      </c>
      <c r="AI384" s="28">
        <f t="shared" si="303"/>
        <v>4.0238680926247214</v>
      </c>
      <c r="AJ384" s="28">
        <f t="shared" si="303"/>
        <v>3.9460141168017016</v>
      </c>
      <c r="AK384" s="28">
        <f t="shared" si="303"/>
        <v>3.9960141123777451</v>
      </c>
      <c r="AL384" s="28">
        <f t="shared" si="303"/>
        <v>3.478469378397163</v>
      </c>
      <c r="AM384" s="29">
        <f t="shared" si="303"/>
        <v>2.3569848759726133</v>
      </c>
      <c r="AN384" s="30">
        <f t="shared" si="303"/>
        <v>3.5272932182957453</v>
      </c>
      <c r="AO384" s="31">
        <f t="shared" si="303"/>
        <v>1.2110596148458825</v>
      </c>
      <c r="AP384" s="31">
        <f t="shared" si="303"/>
        <v>1.2110596148458825</v>
      </c>
      <c r="AQ384" s="32">
        <f t="shared" si="303"/>
        <v>7.3908523208725887</v>
      </c>
      <c r="AR384" s="32">
        <f t="shared" si="303"/>
        <v>12.869231101689474</v>
      </c>
      <c r="AS384" s="32">
        <f t="shared" si="303"/>
        <v>26.284888237309154</v>
      </c>
      <c r="AT384" s="33">
        <f t="shared" si="303"/>
        <v>0.35</v>
      </c>
      <c r="AU384" s="33">
        <f t="shared" si="303"/>
        <v>0.35</v>
      </c>
      <c r="AV384" s="34" t="e">
        <f t="shared" si="303"/>
        <v>#DIV/0!</v>
      </c>
      <c r="AW384" s="34" t="e">
        <f t="shared" si="303"/>
        <v>#DIV/0!</v>
      </c>
      <c r="AX384" s="35" t="e">
        <f t="shared" si="303"/>
        <v>#NUM!</v>
      </c>
      <c r="AY384" s="35" t="e">
        <f t="shared" si="303"/>
        <v>#NUM!</v>
      </c>
    </row>
    <row r="386" spans="3:52" x14ac:dyDescent="0.3">
      <c r="C386" t="s">
        <v>31</v>
      </c>
      <c r="D386">
        <v>1</v>
      </c>
      <c r="E386" t="s">
        <v>68</v>
      </c>
      <c r="F386">
        <v>0</v>
      </c>
      <c r="G386" s="28"/>
      <c r="H386" s="28"/>
      <c r="I386" s="28"/>
      <c r="J386" s="28"/>
      <c r="K386" s="28"/>
      <c r="L386" s="29"/>
      <c r="M386" s="30"/>
      <c r="N386" s="31"/>
      <c r="O386" s="31"/>
      <c r="P386" s="32"/>
      <c r="Q386" s="32"/>
      <c r="R386" s="32"/>
      <c r="S386" s="33"/>
      <c r="T386" s="33"/>
      <c r="U386" s="34"/>
      <c r="V386" s="34"/>
      <c r="W386" s="35"/>
      <c r="X386" s="35"/>
      <c r="Y386" t="e">
        <f>NA()</f>
        <v>#N/A</v>
      </c>
      <c r="AD386" t="s">
        <v>31</v>
      </c>
      <c r="AE386">
        <v>1</v>
      </c>
      <c r="AF386" t="s">
        <v>68</v>
      </c>
      <c r="AG386">
        <f>AE14</f>
        <v>4.9458521066739074</v>
      </c>
      <c r="AH386" s="28">
        <f>300*AH314*AH86</f>
        <v>115.92741655643253</v>
      </c>
      <c r="AI386" s="28">
        <f t="shared" ref="AI386:AY386" si="304">300*AI314*AI86</f>
        <v>6303.6038110297668</v>
      </c>
      <c r="AJ386" s="28">
        <f t="shared" si="304"/>
        <v>760.03767557550782</v>
      </c>
      <c r="AK386" s="28">
        <f t="shared" si="304"/>
        <v>6034.8985866692828</v>
      </c>
      <c r="AL386" s="28">
        <f t="shared" si="304"/>
        <v>165.32968817172303</v>
      </c>
      <c r="AM386" s="29">
        <f t="shared" si="304"/>
        <v>782.78041170929328</v>
      </c>
      <c r="AN386" s="30">
        <f t="shared" si="304"/>
        <v>790.89754273369613</v>
      </c>
      <c r="AO386" s="31">
        <f t="shared" si="304"/>
        <v>346.38968236803197</v>
      </c>
      <c r="AP386" s="31">
        <f t="shared" si="304"/>
        <v>69.277936473606403</v>
      </c>
      <c r="AQ386" s="32">
        <f t="shared" si="304"/>
        <v>15559.575940449626</v>
      </c>
      <c r="AR386" s="32">
        <f t="shared" si="304"/>
        <v>10248.769080782173</v>
      </c>
      <c r="AS386" s="32">
        <f t="shared" si="304"/>
        <v>17991.02286171621</v>
      </c>
      <c r="AT386" s="33">
        <f t="shared" si="304"/>
        <v>130.69804496350062</v>
      </c>
      <c r="AU386" s="33">
        <f t="shared" si="304"/>
        <v>115.81698438431282</v>
      </c>
      <c r="AV386" s="34" t="e">
        <f t="shared" si="304"/>
        <v>#DIV/0!</v>
      </c>
      <c r="AW386" s="34" t="e">
        <f t="shared" si="304"/>
        <v>#DIV/0!</v>
      </c>
      <c r="AX386" s="35" t="e">
        <f t="shared" si="304"/>
        <v>#NUM!</v>
      </c>
      <c r="AY386" s="35" t="e">
        <f t="shared" si="304"/>
        <v>#NUM!</v>
      </c>
      <c r="AZ386" t="e">
        <f>NA()</f>
        <v>#N/A</v>
      </c>
    </row>
    <row r="387" spans="3:52" x14ac:dyDescent="0.3">
      <c r="D387">
        <v>2</v>
      </c>
      <c r="F387">
        <v>1</v>
      </c>
      <c r="G387" s="28"/>
      <c r="H387" s="28"/>
      <c r="I387" s="28"/>
      <c r="J387" s="28"/>
      <c r="K387" s="28"/>
      <c r="L387" s="29"/>
      <c r="M387" s="30"/>
      <c r="N387" s="31"/>
      <c r="O387" s="31"/>
      <c r="P387" s="32"/>
      <c r="Q387" s="32"/>
      <c r="R387" s="32"/>
      <c r="S387" s="33"/>
      <c r="T387" s="33"/>
      <c r="U387" s="34"/>
      <c r="V387" s="34"/>
      <c r="W387" s="35"/>
      <c r="X387" s="35"/>
      <c r="Y387" t="e">
        <f>NA()</f>
        <v>#N/A</v>
      </c>
      <c r="AE387">
        <v>2</v>
      </c>
      <c r="AG387">
        <f t="shared" ref="AG387:AG450" si="305">AE15</f>
        <v>5.2014595403979236</v>
      </c>
      <c r="AH387" s="28">
        <f t="shared" ref="AH387:AY387" si="306">300*AH315*AH87</f>
        <v>140.39205585245696</v>
      </c>
      <c r="AI387" s="28">
        <f t="shared" si="306"/>
        <v>6806.6028326944042</v>
      </c>
      <c r="AJ387" s="28">
        <f t="shared" si="306"/>
        <v>869.70420218737968</v>
      </c>
      <c r="AK387" s="28">
        <f t="shared" si="306"/>
        <v>6551.1514703597404</v>
      </c>
      <c r="AL387" s="28">
        <f t="shared" si="306"/>
        <v>195.57924479273868</v>
      </c>
      <c r="AM387" s="29">
        <f t="shared" si="306"/>
        <v>884.85042869945255</v>
      </c>
      <c r="AN387" s="30">
        <f t="shared" si="306"/>
        <v>868.14034692293683</v>
      </c>
      <c r="AO387" s="31">
        <f t="shared" si="306"/>
        <v>373.73140290463277</v>
      </c>
      <c r="AP387" s="31">
        <f t="shared" si="306"/>
        <v>74.746280580926566</v>
      </c>
      <c r="AQ387" s="32">
        <f t="shared" si="306"/>
        <v>16533.235782534033</v>
      </c>
      <c r="AR387" s="32">
        <f t="shared" si="306"/>
        <v>11063.556564539833</v>
      </c>
      <c r="AS387" s="32">
        <f t="shared" si="306"/>
        <v>20482.82724052314</v>
      </c>
      <c r="AT387" s="33">
        <f t="shared" si="306"/>
        <v>139.49577598730778</v>
      </c>
      <c r="AU387" s="33">
        <f t="shared" si="306"/>
        <v>125.24788391239906</v>
      </c>
      <c r="AV387" s="34" t="e">
        <f t="shared" si="306"/>
        <v>#DIV/0!</v>
      </c>
      <c r="AW387" s="34" t="e">
        <f t="shared" si="306"/>
        <v>#DIV/0!</v>
      </c>
      <c r="AX387" s="35" t="e">
        <f t="shared" si="306"/>
        <v>#NUM!</v>
      </c>
      <c r="AY387" s="35" t="e">
        <f t="shared" si="306"/>
        <v>#NUM!</v>
      </c>
      <c r="AZ387" t="e">
        <f>NA()</f>
        <v>#N/A</v>
      </c>
    </row>
    <row r="388" spans="3:52" x14ac:dyDescent="0.3">
      <c r="D388">
        <v>3</v>
      </c>
      <c r="F388">
        <v>2</v>
      </c>
      <c r="G388" s="28"/>
      <c r="H388" s="28"/>
      <c r="I388" s="28"/>
      <c r="J388" s="28"/>
      <c r="K388" s="28"/>
      <c r="L388" s="29"/>
      <c r="M388" s="30"/>
      <c r="N388" s="31"/>
      <c r="O388" s="31"/>
      <c r="P388" s="32"/>
      <c r="Q388" s="32"/>
      <c r="R388" s="32"/>
      <c r="S388" s="33"/>
      <c r="T388" s="33"/>
      <c r="U388" s="34"/>
      <c r="V388" s="34"/>
      <c r="W388" s="35"/>
      <c r="X388" s="35"/>
      <c r="Y388" t="e">
        <f>NA()</f>
        <v>#N/A</v>
      </c>
      <c r="AE388">
        <v>3</v>
      </c>
      <c r="AG388">
        <f t="shared" si="305"/>
        <v>5.4702770658848543</v>
      </c>
      <c r="AH388" s="28">
        <f t="shared" ref="AH388:AY388" si="307">300*AH316*AH88</f>
        <v>169.72863737007555</v>
      </c>
      <c r="AI388" s="28">
        <f t="shared" si="307"/>
        <v>7346.0636774827854</v>
      </c>
      <c r="AJ388" s="28">
        <f t="shared" si="307"/>
        <v>994.38670044780395</v>
      </c>
      <c r="AK388" s="28">
        <f t="shared" si="307"/>
        <v>7105.9341529699686</v>
      </c>
      <c r="AL388" s="28">
        <f t="shared" si="307"/>
        <v>230.98895884008502</v>
      </c>
      <c r="AM388" s="29">
        <f t="shared" si="307"/>
        <v>998.86394315018947</v>
      </c>
      <c r="AN388" s="30">
        <f t="shared" si="307"/>
        <v>952.56347649981888</v>
      </c>
      <c r="AO388" s="31">
        <f t="shared" si="307"/>
        <v>403.13642336362449</v>
      </c>
      <c r="AP388" s="31">
        <f t="shared" si="307"/>
        <v>80.627284672724898</v>
      </c>
      <c r="AQ388" s="32">
        <f t="shared" si="307"/>
        <v>17563.574620865602</v>
      </c>
      <c r="AR388" s="32">
        <f t="shared" si="307"/>
        <v>11937.69351422716</v>
      </c>
      <c r="AS388" s="32">
        <f t="shared" si="307"/>
        <v>23284.7593511462</v>
      </c>
      <c r="AT388" s="33">
        <f t="shared" si="307"/>
        <v>148.84533174676591</v>
      </c>
      <c r="AU388" s="33">
        <f t="shared" si="307"/>
        <v>135.396742612227</v>
      </c>
      <c r="AV388" s="34" t="e">
        <f t="shared" si="307"/>
        <v>#DIV/0!</v>
      </c>
      <c r="AW388" s="34" t="e">
        <f t="shared" si="307"/>
        <v>#DIV/0!</v>
      </c>
      <c r="AX388" s="35" t="e">
        <f t="shared" si="307"/>
        <v>#NUM!</v>
      </c>
      <c r="AY388" s="35" t="e">
        <f t="shared" si="307"/>
        <v>#NUM!</v>
      </c>
      <c r="AZ388" t="e">
        <f>NA()</f>
        <v>#N/A</v>
      </c>
    </row>
    <row r="389" spans="3:52" x14ac:dyDescent="0.3">
      <c r="D389">
        <v>4</v>
      </c>
      <c r="F389">
        <v>3</v>
      </c>
      <c r="G389" s="28"/>
      <c r="H389" s="28"/>
      <c r="I389" s="28"/>
      <c r="J389" s="28"/>
      <c r="K389" s="28"/>
      <c r="L389" s="29"/>
      <c r="M389" s="30"/>
      <c r="N389" s="31"/>
      <c r="O389" s="31"/>
      <c r="P389" s="32"/>
      <c r="Q389" s="32"/>
      <c r="R389" s="32"/>
      <c r="S389" s="33"/>
      <c r="T389" s="33"/>
      <c r="U389" s="34"/>
      <c r="V389" s="34"/>
      <c r="W389" s="35"/>
      <c r="X389" s="35"/>
      <c r="Y389" t="e">
        <f>NA()</f>
        <v>#N/A</v>
      </c>
      <c r="AE389">
        <v>4</v>
      </c>
      <c r="AG389">
        <f t="shared" si="305"/>
        <v>5.7529873961600746</v>
      </c>
      <c r="AH389" s="28">
        <f t="shared" ref="AH389:AY389" si="308">300*AH317*AH89</f>
        <v>204.82858099372515</v>
      </c>
      <c r="AI389" s="28">
        <f t="shared" si="308"/>
        <v>7923.9549018659754</v>
      </c>
      <c r="AJ389" s="28">
        <f t="shared" si="308"/>
        <v>1135.977421315042</v>
      </c>
      <c r="AK389" s="28">
        <f t="shared" si="308"/>
        <v>7701.1031355410314</v>
      </c>
      <c r="AL389" s="28">
        <f t="shared" si="308"/>
        <v>272.34853559480075</v>
      </c>
      <c r="AM389" s="29">
        <f t="shared" si="308"/>
        <v>1125.9621483172477</v>
      </c>
      <c r="AN389" s="30">
        <f t="shared" si="308"/>
        <v>1044.7782386017175</v>
      </c>
      <c r="AO389" s="31">
        <f t="shared" si="308"/>
        <v>434.74764728309049</v>
      </c>
      <c r="AP389" s="31">
        <f t="shared" si="308"/>
        <v>86.949529456618095</v>
      </c>
      <c r="AQ389" s="32">
        <f t="shared" si="308"/>
        <v>18653.390817268246</v>
      </c>
      <c r="AR389" s="32">
        <f t="shared" si="308"/>
        <v>12874.766946771302</v>
      </c>
      <c r="AS389" s="32">
        <f t="shared" si="308"/>
        <v>26428.562273572497</v>
      </c>
      <c r="AT389" s="33">
        <f t="shared" si="308"/>
        <v>158.7763630261968</v>
      </c>
      <c r="AU389" s="33">
        <f t="shared" si="308"/>
        <v>146.31133918449524</v>
      </c>
      <c r="AV389" s="34" t="e">
        <f t="shared" si="308"/>
        <v>#DIV/0!</v>
      </c>
      <c r="AW389" s="34" t="e">
        <f t="shared" si="308"/>
        <v>#DIV/0!</v>
      </c>
      <c r="AX389" s="35" t="e">
        <f t="shared" si="308"/>
        <v>#NUM!</v>
      </c>
      <c r="AY389" s="35" t="e">
        <f t="shared" si="308"/>
        <v>#NUM!</v>
      </c>
      <c r="AZ389" t="e">
        <f>NA()</f>
        <v>#N/A</v>
      </c>
    </row>
    <row r="390" spans="3:52" x14ac:dyDescent="0.3">
      <c r="D390">
        <v>5</v>
      </c>
      <c r="F390">
        <v>4</v>
      </c>
      <c r="G390" s="28"/>
      <c r="H390" s="28"/>
      <c r="I390" s="28"/>
      <c r="J390" s="28"/>
      <c r="K390" s="28"/>
      <c r="L390" s="29"/>
      <c r="M390" s="30"/>
      <c r="N390" s="31"/>
      <c r="O390" s="31"/>
      <c r="P390" s="32"/>
      <c r="Q390" s="32"/>
      <c r="R390" s="32"/>
      <c r="S390" s="33"/>
      <c r="T390" s="33"/>
      <c r="U390" s="34"/>
      <c r="V390" s="34"/>
      <c r="W390" s="35"/>
      <c r="X390" s="35"/>
      <c r="Y390" t="e">
        <f>NA()</f>
        <v>#N/A</v>
      </c>
      <c r="AE390">
        <v>5</v>
      </c>
      <c r="AG390">
        <f t="shared" si="305"/>
        <v>6.0503085276582826</v>
      </c>
      <c r="AH390" s="28">
        <f t="shared" ref="AH390:AY390" si="309">300*AH318*AH90</f>
        <v>246.72562633910871</v>
      </c>
      <c r="AI390" s="28">
        <f t="shared" si="309"/>
        <v>8542.2742564443815</v>
      </c>
      <c r="AJ390" s="28">
        <f t="shared" si="309"/>
        <v>1296.5743191984711</v>
      </c>
      <c r="AK390" s="28">
        <f t="shared" si="309"/>
        <v>8338.4933846884687</v>
      </c>
      <c r="AL390" s="28">
        <f t="shared" si="309"/>
        <v>320.5472037493065</v>
      </c>
      <c r="AM390" s="29">
        <f t="shared" si="309"/>
        <v>1267.3479529448366</v>
      </c>
      <c r="AN390" s="30">
        <f t="shared" si="309"/>
        <v>1145.4393312942113</v>
      </c>
      <c r="AO390" s="31">
        <f t="shared" si="309"/>
        <v>468.7161435305029</v>
      </c>
      <c r="AP390" s="31">
        <f t="shared" si="309"/>
        <v>93.743228706100595</v>
      </c>
      <c r="AQ390" s="32">
        <f t="shared" si="309"/>
        <v>19805.560859423607</v>
      </c>
      <c r="AR390" s="32">
        <f t="shared" si="309"/>
        <v>13878.479948823622</v>
      </c>
      <c r="AS390" s="32">
        <f t="shared" si="309"/>
        <v>29947.911843788363</v>
      </c>
      <c r="AT390" s="33">
        <f t="shared" si="309"/>
        <v>169.31949640106566</v>
      </c>
      <c r="AU390" s="33">
        <f t="shared" si="309"/>
        <v>158.04168102482095</v>
      </c>
      <c r="AV390" s="34" t="e">
        <f t="shared" si="309"/>
        <v>#DIV/0!</v>
      </c>
      <c r="AW390" s="34" t="e">
        <f t="shared" si="309"/>
        <v>#DIV/0!</v>
      </c>
      <c r="AX390" s="35" t="e">
        <f t="shared" si="309"/>
        <v>#NUM!</v>
      </c>
      <c r="AY390" s="35" t="e">
        <f t="shared" si="309"/>
        <v>#NUM!</v>
      </c>
      <c r="AZ390" t="e">
        <f>NA()</f>
        <v>#N/A</v>
      </c>
    </row>
    <row r="391" spans="3:52" x14ac:dyDescent="0.3">
      <c r="D391">
        <v>6</v>
      </c>
      <c r="F391">
        <v>5</v>
      </c>
      <c r="G391" s="28"/>
      <c r="H391" s="28"/>
      <c r="I391" s="28"/>
      <c r="J391" s="28"/>
      <c r="K391" s="28"/>
      <c r="L391" s="29"/>
      <c r="M391" s="30"/>
      <c r="N391" s="31"/>
      <c r="O391" s="31"/>
      <c r="P391" s="32"/>
      <c r="Q391" s="32"/>
      <c r="R391" s="32"/>
      <c r="S391" s="33"/>
      <c r="T391" s="33"/>
      <c r="U391" s="34"/>
      <c r="V391" s="34"/>
      <c r="W391" s="35"/>
      <c r="X391" s="35"/>
      <c r="Y391" t="e">
        <f>NA()</f>
        <v>#N/A</v>
      </c>
      <c r="AE391">
        <v>6</v>
      </c>
      <c r="AG391">
        <f t="shared" si="305"/>
        <v>6.3629955637114666</v>
      </c>
      <c r="AH391" s="28">
        <f t="shared" ref="AH391:AY391" si="310">300*AH319*AH91</f>
        <v>296.61319395540215</v>
      </c>
      <c r="AI391" s="28">
        <f t="shared" si="310"/>
        <v>9203.047108094981</v>
      </c>
      <c r="AJ391" s="28">
        <f t="shared" si="310"/>
        <v>1478.4968882385492</v>
      </c>
      <c r="AK391" s="28">
        <f t="shared" si="310"/>
        <v>9019.916777170376</v>
      </c>
      <c r="AL391" s="28">
        <f t="shared" si="310"/>
        <v>376.58130431385968</v>
      </c>
      <c r="AM391" s="29">
        <f t="shared" si="310"/>
        <v>1424.2801628725927</v>
      </c>
      <c r="AN391" s="30">
        <f t="shared" si="310"/>
        <v>1255.2465658527335</v>
      </c>
      <c r="AO391" s="31">
        <f t="shared" si="310"/>
        <v>505.20137180423069</v>
      </c>
      <c r="AP391" s="31">
        <f t="shared" si="310"/>
        <v>101.04027436084614</v>
      </c>
      <c r="AQ391" s="32">
        <f t="shared" si="310"/>
        <v>21023.033670933168</v>
      </c>
      <c r="AR391" s="32">
        <f t="shared" si="310"/>
        <v>14952.640409923402</v>
      </c>
      <c r="AS391" s="32">
        <f t="shared" si="310"/>
        <v>33878.27215820452</v>
      </c>
      <c r="AT391" s="33">
        <f t="shared" si="310"/>
        <v>180.50628331218309</v>
      </c>
      <c r="AU391" s="33">
        <f t="shared" si="310"/>
        <v>170.63996981936896</v>
      </c>
      <c r="AV391" s="34" t="e">
        <f t="shared" si="310"/>
        <v>#DIV/0!</v>
      </c>
      <c r="AW391" s="34" t="e">
        <f t="shared" si="310"/>
        <v>#DIV/0!</v>
      </c>
      <c r="AX391" s="35" t="e">
        <f t="shared" si="310"/>
        <v>#NUM!</v>
      </c>
      <c r="AY391" s="35" t="e">
        <f t="shared" si="310"/>
        <v>#NUM!</v>
      </c>
      <c r="AZ391" t="e">
        <f>NA()</f>
        <v>#N/A</v>
      </c>
    </row>
    <row r="392" spans="3:52" x14ac:dyDescent="0.3">
      <c r="D392">
        <v>7</v>
      </c>
      <c r="F392">
        <v>6</v>
      </c>
      <c r="G392" s="28"/>
      <c r="H392" s="28"/>
      <c r="I392" s="28"/>
      <c r="J392" s="28"/>
      <c r="K392" s="28"/>
      <c r="L392" s="29"/>
      <c r="M392" s="30"/>
      <c r="N392" s="31"/>
      <c r="O392" s="31"/>
      <c r="P392" s="32"/>
      <c r="Q392" s="32"/>
      <c r="R392" s="32"/>
      <c r="S392" s="33"/>
      <c r="T392" s="33"/>
      <c r="U392" s="34"/>
      <c r="V392" s="34"/>
      <c r="W392" s="35"/>
      <c r="X392" s="35"/>
      <c r="Y392" t="e">
        <f>NA()</f>
        <v>#N/A</v>
      </c>
      <c r="AE392">
        <v>7</v>
      </c>
      <c r="AG392">
        <f t="shared" si="305"/>
        <v>6.6918426322768392</v>
      </c>
      <c r="AH392" s="28">
        <f t="shared" ref="AH392:AY392" si="311">300*AH320*AH92</f>
        <v>355.86247710744129</v>
      </c>
      <c r="AI392" s="28">
        <f t="shared" si="311"/>
        <v>9908.326644617513</v>
      </c>
      <c r="AJ392" s="28">
        <f t="shared" si="311"/>
        <v>1684.3018644151471</v>
      </c>
      <c r="AK392" s="28">
        <f t="shared" si="311"/>
        <v>9747.164354523813</v>
      </c>
      <c r="AL392" s="28">
        <f t="shared" si="311"/>
        <v>441.5612535430252</v>
      </c>
      <c r="AM392" s="29">
        <f t="shared" si="311"/>
        <v>1598.0654556108225</v>
      </c>
      <c r="AN392" s="30">
        <f t="shared" si="311"/>
        <v>1374.9464228799741</v>
      </c>
      <c r="AO392" s="31">
        <f t="shared" si="311"/>
        <v>544.37137647272914</v>
      </c>
      <c r="AP392" s="31">
        <f t="shared" si="311"/>
        <v>108.87427529454582</v>
      </c>
      <c r="AQ392" s="32">
        <f t="shared" si="311"/>
        <v>22308.823618389564</v>
      </c>
      <c r="AR392" s="32">
        <f t="shared" si="311"/>
        <v>16101.14697271283</v>
      </c>
      <c r="AS392" s="32">
        <f t="shared" si="311"/>
        <v>38256.68539070616</v>
      </c>
      <c r="AT392" s="33">
        <f t="shared" si="311"/>
        <v>192.36913476798756</v>
      </c>
      <c r="AU392" s="33">
        <f t="shared" si="311"/>
        <v>184.16054130214604</v>
      </c>
      <c r="AV392" s="34" t="e">
        <f t="shared" si="311"/>
        <v>#DIV/0!</v>
      </c>
      <c r="AW392" s="34" t="e">
        <f t="shared" si="311"/>
        <v>#DIV/0!</v>
      </c>
      <c r="AX392" s="35" t="e">
        <f t="shared" si="311"/>
        <v>#NUM!</v>
      </c>
      <c r="AY392" s="35" t="e">
        <f t="shared" si="311"/>
        <v>#NUM!</v>
      </c>
      <c r="AZ392" t="e">
        <f>NA()</f>
        <v>#N/A</v>
      </c>
    </row>
    <row r="393" spans="3:52" x14ac:dyDescent="0.3">
      <c r="D393">
        <v>8</v>
      </c>
      <c r="F393">
        <v>7</v>
      </c>
      <c r="G393" s="28"/>
      <c r="H393" s="28"/>
      <c r="I393" s="28"/>
      <c r="J393" s="28"/>
      <c r="K393" s="28"/>
      <c r="L393" s="29"/>
      <c r="M393" s="30"/>
      <c r="N393" s="31"/>
      <c r="O393" s="31"/>
      <c r="P393" s="32"/>
      <c r="Q393" s="32"/>
      <c r="R393" s="32"/>
      <c r="S393" s="33"/>
      <c r="T393" s="33"/>
      <c r="U393" s="34"/>
      <c r="V393" s="34"/>
      <c r="W393" s="35"/>
      <c r="X393" s="35"/>
      <c r="Y393" t="e">
        <f>NA()</f>
        <v>#N/A</v>
      </c>
      <c r="AE393">
        <v>8</v>
      </c>
      <c r="AG393">
        <f t="shared" si="305"/>
        <v>7.0376849027752071</v>
      </c>
      <c r="AH393" s="28">
        <f t="shared" ref="AH393:AY393" si="312">300*AH321*AH93</f>
        <v>426.04088831661682</v>
      </c>
      <c r="AI393" s="28">
        <f t="shared" si="312"/>
        <v>10660.196026920637</v>
      </c>
      <c r="AJ393" s="28">
        <f t="shared" si="312"/>
        <v>1916.7984382156048</v>
      </c>
      <c r="AK393" s="28">
        <f t="shared" si="312"/>
        <v>10522.012687362592</v>
      </c>
      <c r="AL393" s="28">
        <f t="shared" si="312"/>
        <v>516.71750347442276</v>
      </c>
      <c r="AM393" s="29">
        <f t="shared" si="312"/>
        <v>1790.0478757970413</v>
      </c>
      <c r="AN393" s="30">
        <f t="shared" si="312"/>
        <v>1505.3333903204273</v>
      </c>
      <c r="AO393" s="31">
        <f t="shared" si="312"/>
        <v>586.40294141469315</v>
      </c>
      <c r="AP393" s="31">
        <f t="shared" si="312"/>
        <v>117.28058828293864</v>
      </c>
      <c r="AQ393" s="32">
        <f t="shared" si="312"/>
        <v>23666.00207983236</v>
      </c>
      <c r="AR393" s="32">
        <f t="shared" si="312"/>
        <v>17327.971906208841</v>
      </c>
      <c r="AS393" s="32">
        <f t="shared" si="312"/>
        <v>43121.487013686499</v>
      </c>
      <c r="AT393" s="33">
        <f t="shared" si="312"/>
        <v>204.94124004132564</v>
      </c>
      <c r="AU393" s="33">
        <f t="shared" si="312"/>
        <v>198.65977541838276</v>
      </c>
      <c r="AV393" s="34" t="e">
        <f t="shared" si="312"/>
        <v>#DIV/0!</v>
      </c>
      <c r="AW393" s="34" t="e">
        <f t="shared" si="312"/>
        <v>#DIV/0!</v>
      </c>
      <c r="AX393" s="35" t="e">
        <f t="shared" si="312"/>
        <v>#NUM!</v>
      </c>
      <c r="AY393" s="35" t="e">
        <f t="shared" si="312"/>
        <v>#NUM!</v>
      </c>
      <c r="AZ393" t="e">
        <f>NA()</f>
        <v>#N/A</v>
      </c>
    </row>
    <row r="394" spans="3:52" x14ac:dyDescent="0.3">
      <c r="D394">
        <v>9</v>
      </c>
      <c r="F394">
        <v>8</v>
      </c>
      <c r="G394" s="28"/>
      <c r="H394" s="28"/>
      <c r="I394" s="28"/>
      <c r="J394" s="28"/>
      <c r="K394" s="28"/>
      <c r="L394" s="29"/>
      <c r="M394" s="30"/>
      <c r="N394" s="31"/>
      <c r="O394" s="31"/>
      <c r="P394" s="32"/>
      <c r="Q394" s="32"/>
      <c r="R394" s="32"/>
      <c r="S394" s="33"/>
      <c r="T394" s="33"/>
      <c r="U394" s="34"/>
      <c r="V394" s="34"/>
      <c r="W394" s="35"/>
      <c r="X394" s="35"/>
      <c r="Y394" t="e">
        <f>NA()</f>
        <v>#N/A</v>
      </c>
      <c r="AE394">
        <v>9</v>
      </c>
      <c r="AG394">
        <f t="shared" si="305"/>
        <v>7.4014007071619208</v>
      </c>
      <c r="AH394" s="28">
        <f t="shared" ref="AH394:AY394" si="313">300*AH322*AH94</f>
        <v>513.60090089771825</v>
      </c>
      <c r="AI394" s="28">
        <f t="shared" si="313"/>
        <v>11460.772487674749</v>
      </c>
      <c r="AJ394" s="28">
        <f t="shared" si="313"/>
        <v>2179.0625450689936</v>
      </c>
      <c r="AK394" s="28">
        <f t="shared" si="313"/>
        <v>11346.234346105612</v>
      </c>
      <c r="AL394" s="28">
        <f t="shared" si="313"/>
        <v>603.40505397947504</v>
      </c>
      <c r="AM394" s="29">
        <f t="shared" si="313"/>
        <v>2001.5955939251851</v>
      </c>
      <c r="AN394" s="30">
        <f t="shared" si="313"/>
        <v>1647.2510242613441</v>
      </c>
      <c r="AO394" s="31">
        <f t="shared" si="313"/>
        <v>631.4816976494991</v>
      </c>
      <c r="AP394" s="31">
        <f t="shared" si="313"/>
        <v>126.29633952989984</v>
      </c>
      <c r="AQ394" s="32">
        <f t="shared" si="313"/>
        <v>25097.687433051153</v>
      </c>
      <c r="AR394" s="32">
        <f t="shared" si="313"/>
        <v>18637.14060378278</v>
      </c>
      <c r="AS394" s="32">
        <f t="shared" si="313"/>
        <v>48511.937869753376</v>
      </c>
      <c r="AT394" s="33">
        <f t="shared" si="313"/>
        <v>218.2564676443881</v>
      </c>
      <c r="AU394" s="33">
        <f t="shared" si="313"/>
        <v>214.19597287340702</v>
      </c>
      <c r="AV394" s="34" t="e">
        <f t="shared" si="313"/>
        <v>#DIV/0!</v>
      </c>
      <c r="AW394" s="34" t="e">
        <f t="shared" si="313"/>
        <v>#DIV/0!</v>
      </c>
      <c r="AX394" s="35" t="e">
        <f t="shared" si="313"/>
        <v>#NUM!</v>
      </c>
      <c r="AY394" s="35" t="e">
        <f t="shared" si="313"/>
        <v>#NUM!</v>
      </c>
      <c r="AZ394" t="e">
        <f>NA()</f>
        <v>#N/A</v>
      </c>
    </row>
    <row r="395" spans="3:52" x14ac:dyDescent="0.3">
      <c r="D395">
        <v>10</v>
      </c>
      <c r="F395">
        <v>9</v>
      </c>
      <c r="G395" s="28"/>
      <c r="H395" s="28"/>
      <c r="I395" s="28"/>
      <c r="J395" s="28"/>
      <c r="K395" s="28"/>
      <c r="L395" s="29"/>
      <c r="M395" s="30"/>
      <c r="N395" s="31"/>
      <c r="O395" s="31"/>
      <c r="P395" s="32"/>
      <c r="Q395" s="32"/>
      <c r="R395" s="32"/>
      <c r="S395" s="33"/>
      <c r="T395" s="33"/>
      <c r="U395" s="34"/>
      <c r="V395" s="34"/>
      <c r="W395" s="35"/>
      <c r="X395" s="35"/>
      <c r="Y395" t="e">
        <f>NA()</f>
        <v>#N/A</v>
      </c>
      <c r="AE395">
        <v>10</v>
      </c>
      <c r="AG395">
        <f t="shared" si="305"/>
        <v>7.7839137706172403</v>
      </c>
      <c r="AH395" s="28">
        <f t="shared" ref="AH395:AY395" si="314">300*AH323*AH95</f>
        <v>628.25227552964668</v>
      </c>
      <c r="AI395" s="28">
        <f t="shared" si="314"/>
        <v>12312.213166494234</v>
      </c>
      <c r="AJ395" s="28">
        <f t="shared" si="314"/>
        <v>2474.4497155595436</v>
      </c>
      <c r="AK395" s="28">
        <f t="shared" si="314"/>
        <v>12221.61210314567</v>
      </c>
      <c r="AL395" s="28">
        <f t="shared" si="314"/>
        <v>703.10599963127697</v>
      </c>
      <c r="AM395" s="29">
        <f t="shared" si="314"/>
        <v>2234.0846989713737</v>
      </c>
      <c r="AN395" s="30">
        <f t="shared" si="314"/>
        <v>1801.5926658149258</v>
      </c>
      <c r="AO395" s="31">
        <f t="shared" si="314"/>
        <v>679.80217462395171</v>
      </c>
      <c r="AP395" s="31">
        <f t="shared" si="314"/>
        <v>135.96043492479038</v>
      </c>
      <c r="AQ395" s="32">
        <f t="shared" si="314"/>
        <v>26607.033317365836</v>
      </c>
      <c r="AR395" s="32">
        <f t="shared" si="314"/>
        <v>20032.707408633785</v>
      </c>
      <c r="AS395" s="32">
        <f t="shared" si="314"/>
        <v>54467.76534224912</v>
      </c>
      <c r="AT395" s="33">
        <f t="shared" si="314"/>
        <v>232.34924679478885</v>
      </c>
      <c r="AU395" s="33">
        <f t="shared" si="314"/>
        <v>230.82919380315909</v>
      </c>
      <c r="AV395" s="34" t="e">
        <f t="shared" si="314"/>
        <v>#DIV/0!</v>
      </c>
      <c r="AW395" s="34" t="e">
        <f t="shared" si="314"/>
        <v>#DIV/0!</v>
      </c>
      <c r="AX395" s="35" t="e">
        <f t="shared" si="314"/>
        <v>#NUM!</v>
      </c>
      <c r="AY395" s="35" t="e">
        <f t="shared" si="314"/>
        <v>#NUM!</v>
      </c>
      <c r="AZ395" t="e">
        <f>NA()</f>
        <v>#N/A</v>
      </c>
    </row>
    <row r="396" spans="3:52" x14ac:dyDescent="0.3">
      <c r="D396">
        <v>11</v>
      </c>
      <c r="F396">
        <v>10</v>
      </c>
      <c r="G396" s="28"/>
      <c r="H396" s="28"/>
      <c r="I396" s="28"/>
      <c r="J396" s="28"/>
      <c r="K396" s="28"/>
      <c r="L396" s="29"/>
      <c r="M396" s="30"/>
      <c r="N396" s="31"/>
      <c r="O396" s="31"/>
      <c r="P396" s="32"/>
      <c r="Q396" s="32"/>
      <c r="R396" s="32"/>
      <c r="S396" s="33"/>
      <c r="T396" s="33"/>
      <c r="U396" s="34"/>
      <c r="V396" s="34"/>
      <c r="W396" s="35"/>
      <c r="X396" s="35"/>
      <c r="Y396" t="e">
        <f>NA()</f>
        <v>#N/A</v>
      </c>
      <c r="AE396">
        <v>11</v>
      </c>
      <c r="AG396">
        <f t="shared" si="305"/>
        <v>8.1861955575214029</v>
      </c>
      <c r="AH396" s="28">
        <f t="shared" ref="AH396:AY396" si="315">300*AH324*AH96</f>
        <v>768.23248500352997</v>
      </c>
      <c r="AI396" s="28">
        <f t="shared" si="315"/>
        <v>13216.722231659371</v>
      </c>
      <c r="AJ396" s="28">
        <f t="shared" si="315"/>
        <v>2806.605875514158</v>
      </c>
      <c r="AK396" s="28">
        <f t="shared" si="315"/>
        <v>13149.956074089991</v>
      </c>
      <c r="AL396" s="28">
        <f t="shared" si="315"/>
        <v>817.42952676089919</v>
      </c>
      <c r="AM396" s="29">
        <f t="shared" si="315"/>
        <v>2488.879840064832</v>
      </c>
      <c r="AN396" s="30">
        <f t="shared" si="315"/>
        <v>1969.3017394447352</v>
      </c>
      <c r="AO396" s="31">
        <f t="shared" si="315"/>
        <v>731.56778505572072</v>
      </c>
      <c r="AP396" s="31">
        <f t="shared" si="315"/>
        <v>146.31355701114416</v>
      </c>
      <c r="AQ396" s="32">
        <f t="shared" si="315"/>
        <v>28197.21501910135</v>
      </c>
      <c r="AR396" s="32">
        <f t="shared" si="315"/>
        <v>21518.727477473705</v>
      </c>
      <c r="AS396" s="32">
        <f t="shared" si="315"/>
        <v>61028.607208228183</v>
      </c>
      <c r="AT396" s="33">
        <f t="shared" si="315"/>
        <v>247.25442753144495</v>
      </c>
      <c r="AU396" s="33">
        <f t="shared" si="315"/>
        <v>248.62105409219049</v>
      </c>
      <c r="AV396" s="34" t="e">
        <f t="shared" si="315"/>
        <v>#DIV/0!</v>
      </c>
      <c r="AW396" s="34" t="e">
        <f t="shared" si="315"/>
        <v>#DIV/0!</v>
      </c>
      <c r="AX396" s="35" t="e">
        <f t="shared" si="315"/>
        <v>#NUM!</v>
      </c>
      <c r="AY396" s="35" t="e">
        <f t="shared" si="315"/>
        <v>#NUM!</v>
      </c>
      <c r="AZ396" t="e">
        <f>NA()</f>
        <v>#N/A</v>
      </c>
    </row>
    <row r="397" spans="3:52" x14ac:dyDescent="0.3">
      <c r="D397">
        <v>12</v>
      </c>
      <c r="F397">
        <v>11</v>
      </c>
      <c r="G397" s="28"/>
      <c r="H397" s="28"/>
      <c r="I397" s="28"/>
      <c r="J397" s="28"/>
      <c r="K397" s="28"/>
      <c r="L397" s="29"/>
      <c r="M397" s="30"/>
      <c r="N397" s="31"/>
      <c r="O397" s="31"/>
      <c r="P397" s="32"/>
      <c r="Q397" s="32"/>
      <c r="R397" s="32"/>
      <c r="S397" s="33"/>
      <c r="T397" s="33"/>
      <c r="U397" s="34"/>
      <c r="V397" s="34"/>
      <c r="W397" s="35"/>
      <c r="X397" s="35"/>
      <c r="Y397" t="e">
        <f>NA()</f>
        <v>#N/A</v>
      </c>
      <c r="AE397">
        <v>12</v>
      </c>
      <c r="AG397">
        <f t="shared" si="305"/>
        <v>8.6092677386724414</v>
      </c>
      <c r="AH397" s="28">
        <f t="shared" ref="AH397:AY397" si="316">300*AH325*AH97</f>
        <v>938.71541919542392</v>
      </c>
      <c r="AI397" s="28">
        <f t="shared" si="316"/>
        <v>14176.558585655654</v>
      </c>
      <c r="AJ397" s="28">
        <f t="shared" si="316"/>
        <v>3179.4753889634826</v>
      </c>
      <c r="AK397" s="28">
        <f t="shared" si="316"/>
        <v>14133.122577691911</v>
      </c>
      <c r="AL397" s="28">
        <f t="shared" si="316"/>
        <v>948.10871544086683</v>
      </c>
      <c r="AM397" s="29">
        <f t="shared" si="316"/>
        <v>2767.311595580079</v>
      </c>
      <c r="AN397" s="30">
        <f t="shared" si="316"/>
        <v>2151.3715499483314</v>
      </c>
      <c r="AO397" s="31">
        <f t="shared" si="316"/>
        <v>786.99073223568655</v>
      </c>
      <c r="AP397" s="31">
        <f t="shared" si="316"/>
        <v>157.39814644713732</v>
      </c>
      <c r="AQ397" s="32">
        <f t="shared" si="316"/>
        <v>29871.413829370031</v>
      </c>
      <c r="AR397" s="32">
        <f t="shared" si="316"/>
        <v>23099.224409311675</v>
      </c>
      <c r="AS397" s="32">
        <f t="shared" si="316"/>
        <v>68233.353711080839</v>
      </c>
      <c r="AT397" s="33">
        <f t="shared" si="316"/>
        <v>263.0071176058164</v>
      </c>
      <c r="AU397" s="33">
        <f t="shared" si="316"/>
        <v>267.6344747007409</v>
      </c>
      <c r="AV397" s="34" t="e">
        <f t="shared" si="316"/>
        <v>#DIV/0!</v>
      </c>
      <c r="AW397" s="34" t="e">
        <f t="shared" si="316"/>
        <v>#DIV/0!</v>
      </c>
      <c r="AX397" s="35" t="e">
        <f t="shared" si="316"/>
        <v>#NUM!</v>
      </c>
      <c r="AY397" s="35" t="e">
        <f t="shared" si="316"/>
        <v>#NUM!</v>
      </c>
      <c r="AZ397" t="e">
        <f>NA()</f>
        <v>#N/A</v>
      </c>
    </row>
    <row r="398" spans="3:52" x14ac:dyDescent="0.3">
      <c r="D398">
        <v>13</v>
      </c>
      <c r="F398">
        <v>12</v>
      </c>
      <c r="G398" s="28"/>
      <c r="H398" s="28"/>
      <c r="I398" s="28"/>
      <c r="J398" s="28"/>
      <c r="K398" s="28"/>
      <c r="L398" s="29"/>
      <c r="M398" s="30"/>
      <c r="N398" s="31"/>
      <c r="O398" s="31"/>
      <c r="P398" s="32"/>
      <c r="Q398" s="32"/>
      <c r="R398" s="32"/>
      <c r="S398" s="33"/>
      <c r="T398" s="33"/>
      <c r="U398" s="34"/>
      <c r="V398" s="34"/>
      <c r="W398" s="35"/>
      <c r="X398" s="35"/>
      <c r="Y398" t="e">
        <f>NA()</f>
        <v>#N/A</v>
      </c>
      <c r="AE398">
        <v>13</v>
      </c>
      <c r="AG398">
        <f t="shared" si="305"/>
        <v>9.0542047860126846</v>
      </c>
      <c r="AH398" s="28">
        <f t="shared" ref="AH398:AY398" si="317">300*AH326*AH98</f>
        <v>1145.6212228187389</v>
      </c>
      <c r="AI398" s="28">
        <f t="shared" si="317"/>
        <v>15194.04321113169</v>
      </c>
      <c r="AJ398" s="28">
        <f t="shared" si="317"/>
        <v>3597.3055369820363</v>
      </c>
      <c r="AK398" s="28">
        <f t="shared" si="317"/>
        <v>15173.033100223012</v>
      </c>
      <c r="AL398" s="28">
        <f t="shared" si="317"/>
        <v>1096.9934535792013</v>
      </c>
      <c r="AM398" s="29">
        <f t="shared" si="317"/>
        <v>3070.6505320435126</v>
      </c>
      <c r="AN398" s="30">
        <f t="shared" si="317"/>
        <v>2348.8444870960006</v>
      </c>
      <c r="AO398" s="31">
        <f t="shared" si="317"/>
        <v>846.29182767384202</v>
      </c>
      <c r="AP398" s="31">
        <f t="shared" si="317"/>
        <v>169.25836553476844</v>
      </c>
      <c r="AQ398" s="32">
        <f t="shared" si="317"/>
        <v>31632.799223421982</v>
      </c>
      <c r="AR398" s="32">
        <f t="shared" si="317"/>
        <v>24778.153392201017</v>
      </c>
      <c r="AS398" s="32">
        <f t="shared" si="317"/>
        <v>76119.386034620329</v>
      </c>
      <c r="AT398" s="33">
        <f t="shared" si="317"/>
        <v>279.64249426785113</v>
      </c>
      <c r="AU398" s="33">
        <f t="shared" si="317"/>
        <v>287.93337925967927</v>
      </c>
      <c r="AV398" s="34" t="e">
        <f t="shared" si="317"/>
        <v>#DIV/0!</v>
      </c>
      <c r="AW398" s="34" t="e">
        <f t="shared" si="317"/>
        <v>#DIV/0!</v>
      </c>
      <c r="AX398" s="35" t="e">
        <f t="shared" si="317"/>
        <v>#NUM!</v>
      </c>
      <c r="AY398" s="35" t="e">
        <f t="shared" si="317"/>
        <v>#NUM!</v>
      </c>
      <c r="AZ398" t="e">
        <f>NA()</f>
        <v>#N/A</v>
      </c>
    </row>
    <row r="399" spans="3:52" x14ac:dyDescent="0.3">
      <c r="D399">
        <v>14</v>
      </c>
      <c r="F399">
        <v>13</v>
      </c>
      <c r="G399" s="28"/>
      <c r="H399" s="28"/>
      <c r="I399" s="28"/>
      <c r="J399" s="28"/>
      <c r="K399" s="28"/>
      <c r="L399" s="29"/>
      <c r="M399" s="30"/>
      <c r="N399" s="31"/>
      <c r="O399" s="31"/>
      <c r="P399" s="32"/>
      <c r="Q399" s="32"/>
      <c r="R399" s="32"/>
      <c r="S399" s="33"/>
      <c r="T399" s="33"/>
      <c r="U399" s="34"/>
      <c r="V399" s="34"/>
      <c r="W399" s="35"/>
      <c r="X399" s="35"/>
      <c r="Y399" t="e">
        <f>NA()</f>
        <v>#N/A</v>
      </c>
      <c r="AE399">
        <v>14</v>
      </c>
      <c r="AG399">
        <f t="shared" si="305"/>
        <v>9.5221367014538032</v>
      </c>
      <c r="AH399" s="28">
        <f t="shared" ref="AH399:AY399" si="318">300*AH327*AH99</f>
        <v>1395.5670725661967</v>
      </c>
      <c r="AI399" s="28">
        <f t="shared" si="318"/>
        <v>16271.565014213886</v>
      </c>
      <c r="AJ399" s="28">
        <f t="shared" si="318"/>
        <v>4176.7960521345876</v>
      </c>
      <c r="AK399" s="28">
        <f t="shared" si="318"/>
        <v>16271.691440742014</v>
      </c>
      <c r="AL399" s="28">
        <f t="shared" si="318"/>
        <v>1266.0387427241308</v>
      </c>
      <c r="AM399" s="29">
        <f t="shared" si="318"/>
        <v>3400.0780215763375</v>
      </c>
      <c r="AN399" s="30">
        <f t="shared" si="318"/>
        <v>2562.8105388561812</v>
      </c>
      <c r="AO399" s="31">
        <f t="shared" si="318"/>
        <v>909.70020595342407</v>
      </c>
      <c r="AP399" s="31">
        <f t="shared" si="318"/>
        <v>181.94004119068487</v>
      </c>
      <c r="AQ399" s="32">
        <f t="shared" si="318"/>
        <v>33484.508714223652</v>
      </c>
      <c r="AR399" s="32">
        <f t="shared" si="318"/>
        <v>26559.359658252608</v>
      </c>
      <c r="AS399" s="32">
        <f t="shared" si="318"/>
        <v>84721.712749665749</v>
      </c>
      <c r="AT399" s="33">
        <f t="shared" si="318"/>
        <v>297.1955890929645</v>
      </c>
      <c r="AU399" s="33">
        <f t="shared" si="318"/>
        <v>309.58233516823663</v>
      </c>
      <c r="AV399" s="34" t="e">
        <f t="shared" si="318"/>
        <v>#DIV/0!</v>
      </c>
      <c r="AW399" s="34" t="e">
        <f t="shared" si="318"/>
        <v>#DIV/0!</v>
      </c>
      <c r="AX399" s="35" t="e">
        <f t="shared" si="318"/>
        <v>#NUM!</v>
      </c>
      <c r="AY399" s="35" t="e">
        <f t="shared" si="318"/>
        <v>#NUM!</v>
      </c>
      <c r="AZ399" t="e">
        <f>NA()</f>
        <v>#N/A</v>
      </c>
    </row>
    <row r="400" spans="3:52" x14ac:dyDescent="0.3">
      <c r="D400">
        <v>15</v>
      </c>
      <c r="F400">
        <v>14</v>
      </c>
      <c r="G400" s="28"/>
      <c r="H400" s="28"/>
      <c r="I400" s="28"/>
      <c r="J400" s="28"/>
      <c r="K400" s="28"/>
      <c r="L400" s="29"/>
      <c r="M400" s="30"/>
      <c r="N400" s="31"/>
      <c r="O400" s="31"/>
      <c r="P400" s="32"/>
      <c r="Q400" s="32"/>
      <c r="R400" s="32"/>
      <c r="S400" s="33"/>
      <c r="T400" s="33"/>
      <c r="U400" s="34"/>
      <c r="V400" s="34"/>
      <c r="W400" s="35"/>
      <c r="X400" s="35"/>
      <c r="Y400" t="e">
        <f>NA()</f>
        <v>#N/A</v>
      </c>
      <c r="AE400">
        <v>15</v>
      </c>
      <c r="AG400">
        <f t="shared" si="305"/>
        <v>10.014251886730682</v>
      </c>
      <c r="AH400" s="28">
        <f t="shared" ref="AH400:AY400" si="319">300*AH328*AH100</f>
        <v>1695.7454167200231</v>
      </c>
      <c r="AI400" s="28">
        <f t="shared" si="319"/>
        <v>17411.583893332187</v>
      </c>
      <c r="AJ400" s="28">
        <f t="shared" si="319"/>
        <v>4947.4548903103077</v>
      </c>
      <c r="AK400" s="28">
        <f t="shared" si="319"/>
        <v>17431.196938822977</v>
      </c>
      <c r="AL400" s="28">
        <f t="shared" si="319"/>
        <v>1457.28767546268</v>
      </c>
      <c r="AM400" s="29">
        <f t="shared" si="319"/>
        <v>3756.6540159113642</v>
      </c>
      <c r="AN400" s="30">
        <f t="shared" si="319"/>
        <v>2794.4050064671278</v>
      </c>
      <c r="AO400" s="31">
        <f t="shared" si="319"/>
        <v>977.45292265704063</v>
      </c>
      <c r="AP400" s="31">
        <f t="shared" si="319"/>
        <v>195.49058453140813</v>
      </c>
      <c r="AQ400" s="32">
        <f t="shared" si="319"/>
        <v>35429.625239628476</v>
      </c>
      <c r="AR400" s="32">
        <f t="shared" si="319"/>
        <v>28446.532087854175</v>
      </c>
      <c r="AS400" s="32">
        <f t="shared" si="319"/>
        <v>94072.009961793738</v>
      </c>
      <c r="AT400" s="33">
        <f t="shared" si="319"/>
        <v>315.70104406370808</v>
      </c>
      <c r="AU400" s="33">
        <f t="shared" si="319"/>
        <v>332.64613350442471</v>
      </c>
      <c r="AV400" s="34" t="e">
        <f t="shared" si="319"/>
        <v>#DIV/0!</v>
      </c>
      <c r="AW400" s="34" t="e">
        <f t="shared" si="319"/>
        <v>#DIV/0!</v>
      </c>
      <c r="AX400" s="35" t="e">
        <f t="shared" si="319"/>
        <v>#NUM!</v>
      </c>
      <c r="AY400" s="35" t="e">
        <f t="shared" si="319"/>
        <v>#NUM!</v>
      </c>
      <c r="AZ400" t="e">
        <f>NA()</f>
        <v>#N/A</v>
      </c>
    </row>
    <row r="401" spans="4:52" x14ac:dyDescent="0.3">
      <c r="D401">
        <v>16</v>
      </c>
      <c r="F401">
        <v>15</v>
      </c>
      <c r="G401" s="28"/>
      <c r="H401" s="28"/>
      <c r="I401" s="28"/>
      <c r="J401" s="28"/>
      <c r="K401" s="28"/>
      <c r="L401" s="29"/>
      <c r="M401" s="30"/>
      <c r="N401" s="31"/>
      <c r="O401" s="31"/>
      <c r="P401" s="32"/>
      <c r="Q401" s="32"/>
      <c r="R401" s="32"/>
      <c r="S401" s="33"/>
      <c r="T401" s="33"/>
      <c r="U401" s="34"/>
      <c r="V401" s="34"/>
      <c r="W401" s="35"/>
      <c r="X401" s="35"/>
      <c r="Y401" t="e">
        <f>NA()</f>
        <v>#N/A</v>
      </c>
      <c r="AE401">
        <v>16</v>
      </c>
      <c r="AG401">
        <f t="shared" si="305"/>
        <v>10.531800161572754</v>
      </c>
      <c r="AH401" s="28">
        <f t="shared" ref="AH401:AY401" si="320">300*AH329*AH101</f>
        <v>2053.7207672152203</v>
      </c>
      <c r="AI401" s="28">
        <f t="shared" si="320"/>
        <v>18616.629730189914</v>
      </c>
      <c r="AJ401" s="28">
        <f t="shared" si="320"/>
        <v>5827.5690430609156</v>
      </c>
      <c r="AK401" s="28">
        <f t="shared" si="320"/>
        <v>18653.751687164568</v>
      </c>
      <c r="AL401" s="28">
        <f t="shared" si="320"/>
        <v>1672.8484010860757</v>
      </c>
      <c r="AM401" s="29">
        <f t="shared" si="320"/>
        <v>4141.2821268389825</v>
      </c>
      <c r="AN401" s="30">
        <f t="shared" si="320"/>
        <v>3044.8053076563911</v>
      </c>
      <c r="AO401" s="31">
        <f t="shared" si="320"/>
        <v>1049.7944202732299</v>
      </c>
      <c r="AP401" s="31">
        <f t="shared" si="320"/>
        <v>209.95888405464601</v>
      </c>
      <c r="AQ401" s="32">
        <f t="shared" si="320"/>
        <v>37471.151953125176</v>
      </c>
      <c r="AR401" s="32">
        <f t="shared" si="320"/>
        <v>30443.151869607005</v>
      </c>
      <c r="AS401" s="32">
        <f t="shared" si="320"/>
        <v>104197.57579804491</v>
      </c>
      <c r="AT401" s="33">
        <f t="shared" si="320"/>
        <v>335.19283723523142</v>
      </c>
      <c r="AU401" s="33">
        <f t="shared" si="320"/>
        <v>357.18930325388249</v>
      </c>
      <c r="AV401" s="34" t="e">
        <f t="shared" si="320"/>
        <v>#DIV/0!</v>
      </c>
      <c r="AW401" s="34" t="e">
        <f t="shared" si="320"/>
        <v>#DIV/0!</v>
      </c>
      <c r="AX401" s="35" t="e">
        <f t="shared" si="320"/>
        <v>#NUM!</v>
      </c>
      <c r="AY401" s="35" t="e">
        <f t="shared" si="320"/>
        <v>#NUM!</v>
      </c>
      <c r="AZ401" t="e">
        <f>NA()</f>
        <v>#N/A</v>
      </c>
    </row>
    <row r="402" spans="4:52" x14ac:dyDescent="0.3">
      <c r="D402">
        <v>17</v>
      </c>
      <c r="F402">
        <v>16</v>
      </c>
      <c r="G402" s="28"/>
      <c r="H402" s="28"/>
      <c r="I402" s="28"/>
      <c r="J402" s="28"/>
      <c r="K402" s="28"/>
      <c r="L402" s="29"/>
      <c r="M402" s="30"/>
      <c r="N402" s="31"/>
      <c r="O402" s="31"/>
      <c r="P402" s="32"/>
      <c r="Q402" s="32"/>
      <c r="R402" s="32"/>
      <c r="S402" s="33"/>
      <c r="T402" s="33"/>
      <c r="U402" s="34"/>
      <c r="V402" s="34"/>
      <c r="W402" s="35"/>
      <c r="X402" s="35"/>
      <c r="Y402" t="e">
        <f>NA()</f>
        <v>#N/A</v>
      </c>
      <c r="AE402">
        <v>17</v>
      </c>
      <c r="AG402">
        <f t="shared" si="305"/>
        <v>11.076095937857938</v>
      </c>
      <c r="AH402" s="28">
        <f t="shared" ref="AH402:AY402" si="321">300*AH330*AH102</f>
        <v>2477.1493074954083</v>
      </c>
      <c r="AI402" s="28">
        <f t="shared" si="321"/>
        <v>19889.29608325494</v>
      </c>
      <c r="AJ402" s="28">
        <f t="shared" si="321"/>
        <v>6823.8210563536177</v>
      </c>
      <c r="AK402" s="28">
        <f t="shared" si="321"/>
        <v>19941.659832690417</v>
      </c>
      <c r="AL402" s="28">
        <f t="shared" si="321"/>
        <v>1914.8644784579944</v>
      </c>
      <c r="AM402" s="29">
        <f t="shared" si="321"/>
        <v>4554.6725352804815</v>
      </c>
      <c r="AN402" s="30">
        <f t="shared" si="321"/>
        <v>3315.2267484423337</v>
      </c>
      <c r="AO402" s="31">
        <f t="shared" si="321"/>
        <v>1126.9758461144027</v>
      </c>
      <c r="AP402" s="31">
        <f t="shared" si="321"/>
        <v>225.39516922288053</v>
      </c>
      <c r="AQ402" s="32">
        <f t="shared" si="321"/>
        <v>39611.984303346799</v>
      </c>
      <c r="AR402" s="32">
        <f t="shared" si="321"/>
        <v>32552.436204686594</v>
      </c>
      <c r="AS402" s="32">
        <f t="shared" si="321"/>
        <v>115120.21546143392</v>
      </c>
      <c r="AT402" s="33">
        <f t="shared" si="321"/>
        <v>355.70397648575539</v>
      </c>
      <c r="AU402" s="33">
        <f t="shared" si="321"/>
        <v>383.27555570376222</v>
      </c>
      <c r="AV402" s="34" t="e">
        <f t="shared" si="321"/>
        <v>#DIV/0!</v>
      </c>
      <c r="AW402" s="34" t="e">
        <f t="shared" si="321"/>
        <v>#DIV/0!</v>
      </c>
      <c r="AX402" s="35" t="e">
        <f t="shared" si="321"/>
        <v>#NUM!</v>
      </c>
      <c r="AY402" s="35" t="e">
        <f t="shared" si="321"/>
        <v>#NUM!</v>
      </c>
      <c r="AZ402" t="e">
        <f>NA()</f>
        <v>#N/A</v>
      </c>
    </row>
    <row r="403" spans="4:52" x14ac:dyDescent="0.3">
      <c r="D403">
        <v>18</v>
      </c>
      <c r="F403">
        <v>17</v>
      </c>
      <c r="G403" s="28"/>
      <c r="H403" s="28"/>
      <c r="I403" s="28"/>
      <c r="J403" s="28"/>
      <c r="K403" s="28"/>
      <c r="L403" s="29"/>
      <c r="M403" s="30"/>
      <c r="N403" s="31"/>
      <c r="O403" s="31"/>
      <c r="P403" s="32"/>
      <c r="Q403" s="32"/>
      <c r="R403" s="32"/>
      <c r="S403" s="33"/>
      <c r="T403" s="33"/>
      <c r="U403" s="34"/>
      <c r="V403" s="34"/>
      <c r="W403" s="35"/>
      <c r="X403" s="35"/>
      <c r="Y403" t="e">
        <f>NA()</f>
        <v>#N/A</v>
      </c>
      <c r="AE403">
        <v>18</v>
      </c>
      <c r="AG403">
        <f t="shared" si="305"/>
        <v>11.648521557810575</v>
      </c>
      <c r="AH403" s="28">
        <f t="shared" ref="AH403:AY403" si="322">300*AH331*AH103</f>
        <v>2973.4442987090124</v>
      </c>
      <c r="AI403" s="28">
        <f t="shared" si="322"/>
        <v>21232.227568249207</v>
      </c>
      <c r="AJ403" s="28">
        <f t="shared" si="322"/>
        <v>7941.6663374223772</v>
      </c>
      <c r="AK403" s="28">
        <f t="shared" si="322"/>
        <v>21297.317471907496</v>
      </c>
      <c r="AL403" s="28">
        <f t="shared" si="322"/>
        <v>2185.478151445715</v>
      </c>
      <c r="AM403" s="29">
        <f t="shared" si="322"/>
        <v>4997.3034402660514</v>
      </c>
      <c r="AN403" s="30">
        <f t="shared" si="322"/>
        <v>3606.9171396226279</v>
      </c>
      <c r="AO403" s="31">
        <f t="shared" si="322"/>
        <v>1209.2542055160302</v>
      </c>
      <c r="AP403" s="31">
        <f t="shared" si="322"/>
        <v>241.85084110320608</v>
      </c>
      <c r="AQ403" s="32">
        <f t="shared" si="322"/>
        <v>41854.879308008203</v>
      </c>
      <c r="AR403" s="32">
        <f t="shared" si="322"/>
        <v>34777.27714470918</v>
      </c>
      <c r="AS403" s="32">
        <f t="shared" si="322"/>
        <v>126855.07922187758</v>
      </c>
      <c r="AT403" s="33">
        <f t="shared" si="322"/>
        <v>377.26616009114338</v>
      </c>
      <c r="AU403" s="33">
        <f t="shared" si="322"/>
        <v>410.96715536005553</v>
      </c>
      <c r="AV403" s="34" t="e">
        <f t="shared" si="322"/>
        <v>#DIV/0!</v>
      </c>
      <c r="AW403" s="34" t="e">
        <f t="shared" si="322"/>
        <v>#DIV/0!</v>
      </c>
      <c r="AX403" s="35" t="e">
        <f t="shared" si="322"/>
        <v>#NUM!</v>
      </c>
      <c r="AY403" s="35" t="e">
        <f t="shared" si="322"/>
        <v>#NUM!</v>
      </c>
      <c r="AZ403" t="e">
        <f>NA()</f>
        <v>#N/A</v>
      </c>
    </row>
    <row r="404" spans="4:52" x14ac:dyDescent="0.3">
      <c r="D404">
        <v>19</v>
      </c>
      <c r="F404">
        <v>18</v>
      </c>
      <c r="G404" s="28"/>
      <c r="H404" s="28"/>
      <c r="I404" s="28"/>
      <c r="J404" s="28"/>
      <c r="K404" s="28"/>
      <c r="L404" s="29"/>
      <c r="M404" s="30"/>
      <c r="N404" s="31"/>
      <c r="O404" s="31"/>
      <c r="P404" s="32"/>
      <c r="Q404" s="32"/>
      <c r="R404" s="32"/>
      <c r="S404" s="33"/>
      <c r="T404" s="33"/>
      <c r="U404" s="34"/>
      <c r="V404" s="34"/>
      <c r="W404" s="35"/>
      <c r="X404" s="35"/>
      <c r="Y404" t="e">
        <f>NA()</f>
        <v>#N/A</v>
      </c>
      <c r="AE404">
        <v>19</v>
      </c>
      <c r="AG404">
        <f t="shared" si="305"/>
        <v>12.250530804721352</v>
      </c>
      <c r="AH404" s="28">
        <f t="shared" ref="AH404:AY404" si="323">300*AH332*AH104</f>
        <v>3549.4310593087293</v>
      </c>
      <c r="AI404" s="28">
        <f t="shared" si="323"/>
        <v>22648.100223608541</v>
      </c>
      <c r="AJ404" s="28">
        <f t="shared" si="323"/>
        <v>9185.3159229896755</v>
      </c>
      <c r="AK404" s="28">
        <f t="shared" si="323"/>
        <v>22723.192221861031</v>
      </c>
      <c r="AL404" s="28">
        <f t="shared" si="323"/>
        <v>2486.7862804567822</v>
      </c>
      <c r="AM404" s="29">
        <f t="shared" si="323"/>
        <v>5469.3819590217045</v>
      </c>
      <c r="AN404" s="30">
        <f t="shared" si="323"/>
        <v>3921.1501317819243</v>
      </c>
      <c r="AO404" s="31">
        <f t="shared" si="323"/>
        <v>1296.8913329876989</v>
      </c>
      <c r="AP404" s="31">
        <f t="shared" si="323"/>
        <v>259.37826659753978</v>
      </c>
      <c r="AQ404" s="32">
        <f t="shared" si="323"/>
        <v>44202.4219544523</v>
      </c>
      <c r="AR404" s="32">
        <f t="shared" si="323"/>
        <v>37120.175772054055</v>
      </c>
      <c r="AS404" s="32">
        <f t="shared" si="323"/>
        <v>139409.48219397821</v>
      </c>
      <c r="AT404" s="33">
        <f t="shared" si="323"/>
        <v>399.9094031758587</v>
      </c>
      <c r="AU404" s="33">
        <f t="shared" si="323"/>
        <v>440.32421445667757</v>
      </c>
      <c r="AV404" s="34" t="e">
        <f t="shared" si="323"/>
        <v>#DIV/0!</v>
      </c>
      <c r="AW404" s="34" t="e">
        <f t="shared" si="323"/>
        <v>#DIV/0!</v>
      </c>
      <c r="AX404" s="35" t="e">
        <f t="shared" si="323"/>
        <v>#NUM!</v>
      </c>
      <c r="AY404" s="35" t="e">
        <f t="shared" si="323"/>
        <v>#NUM!</v>
      </c>
      <c r="AZ404" t="e">
        <f>NA()</f>
        <v>#N/A</v>
      </c>
    </row>
    <row r="405" spans="4:52" x14ac:dyDescent="0.3">
      <c r="D405">
        <v>20</v>
      </c>
      <c r="F405">
        <v>19</v>
      </c>
      <c r="G405" s="28"/>
      <c r="H405" s="28"/>
      <c r="I405" s="28"/>
      <c r="J405" s="28"/>
      <c r="K405" s="28"/>
      <c r="L405" s="29"/>
      <c r="M405" s="30"/>
      <c r="N405" s="31"/>
      <c r="O405" s="31"/>
      <c r="P405" s="32"/>
      <c r="Q405" s="32"/>
      <c r="R405" s="32"/>
      <c r="S405" s="33"/>
      <c r="T405" s="33"/>
      <c r="U405" s="34"/>
      <c r="V405" s="34"/>
      <c r="W405" s="35"/>
      <c r="X405" s="35"/>
      <c r="Y405" t="e">
        <f>NA()</f>
        <v>#N/A</v>
      </c>
      <c r="AE405">
        <v>20</v>
      </c>
      <c r="AG405">
        <f t="shared" si="305"/>
        <v>12.883652595105344</v>
      </c>
      <c r="AH405" s="28">
        <f t="shared" ref="AH405:AY405" si="324">300*AH333*AH105</f>
        <v>4211.0515373389899</v>
      </c>
      <c r="AI405" s="28">
        <f t="shared" si="324"/>
        <v>24139.594554046653</v>
      </c>
      <c r="AJ405" s="28">
        <f t="shared" si="324"/>
        <v>10557.892423729165</v>
      </c>
      <c r="AK405" s="28">
        <f t="shared" si="324"/>
        <v>24221.792241531526</v>
      </c>
      <c r="AL405" s="28">
        <f t="shared" si="324"/>
        <v>2820.7889290662642</v>
      </c>
      <c r="AM405" s="29">
        <f t="shared" si="324"/>
        <v>5970.805591956394</v>
      </c>
      <c r="AN405" s="30">
        <f t="shared" si="324"/>
        <v>4259.2171430264098</v>
      </c>
      <c r="AO405" s="31">
        <f t="shared" si="324"/>
        <v>1390.1526636021865</v>
      </c>
      <c r="AP405" s="31">
        <f t="shared" si="324"/>
        <v>278.03053272043735</v>
      </c>
      <c r="AQ405" s="32">
        <f t="shared" si="324"/>
        <v>46656.988692291066</v>
      </c>
      <c r="AR405" s="32">
        <f t="shared" si="324"/>
        <v>39583.172071899273</v>
      </c>
      <c r="AS405" s="32">
        <f t="shared" si="324"/>
        <v>152781.74128955539</v>
      </c>
      <c r="AT405" s="33">
        <f t="shared" si="324"/>
        <v>423.66162949095803</v>
      </c>
      <c r="AU405" s="33">
        <f t="shared" si="324"/>
        <v>471.40390906046207</v>
      </c>
      <c r="AV405" s="34" t="e">
        <f t="shared" si="324"/>
        <v>#DIV/0!</v>
      </c>
      <c r="AW405" s="34" t="e">
        <f t="shared" si="324"/>
        <v>#DIV/0!</v>
      </c>
      <c r="AX405" s="35" t="e">
        <f t="shared" si="324"/>
        <v>#NUM!</v>
      </c>
      <c r="AY405" s="35" t="e">
        <f t="shared" si="324"/>
        <v>#NUM!</v>
      </c>
      <c r="AZ405" t="e">
        <f>NA()</f>
        <v>#N/A</v>
      </c>
    </row>
    <row r="406" spans="4:52" x14ac:dyDescent="0.3">
      <c r="D406">
        <v>21</v>
      </c>
      <c r="F406">
        <v>20</v>
      </c>
      <c r="G406" s="28"/>
      <c r="H406" s="28"/>
      <c r="I406" s="28"/>
      <c r="J406" s="28"/>
      <c r="K406" s="28"/>
      <c r="L406" s="29"/>
      <c r="M406" s="30"/>
      <c r="N406" s="31"/>
      <c r="O406" s="31"/>
      <c r="P406" s="32"/>
      <c r="Q406" s="32"/>
      <c r="R406" s="32"/>
      <c r="S406" s="33"/>
      <c r="T406" s="33"/>
      <c r="U406" s="34"/>
      <c r="V406" s="34"/>
      <c r="W406" s="35"/>
      <c r="X406" s="35"/>
      <c r="Y406" t="e">
        <f>NA()</f>
        <v>#N/A</v>
      </c>
      <c r="AE406">
        <v>21</v>
      </c>
      <c r="AG406">
        <f t="shared" si="305"/>
        <v>13.549494861675118</v>
      </c>
      <c r="AH406" s="28">
        <f t="shared" ref="AH406:AY406" si="325">300*AH334*AH106</f>
        <v>4963.1816269313122</v>
      </c>
      <c r="AI406" s="28">
        <f t="shared" si="325"/>
        <v>25709.361380066137</v>
      </c>
      <c r="AJ406" s="28">
        <f t="shared" si="325"/>
        <v>12061.755994292966</v>
      </c>
      <c r="AK406" s="28">
        <f t="shared" si="325"/>
        <v>25795.625212219078</v>
      </c>
      <c r="AL406" s="28">
        <f t="shared" si="325"/>
        <v>3189.3309396528907</v>
      </c>
      <c r="AM406" s="29">
        <f t="shared" si="325"/>
        <v>6501.1255610186463</v>
      </c>
      <c r="AN406" s="30">
        <f t="shared" si="325"/>
        <v>4622.4177573389552</v>
      </c>
      <c r="AO406" s="31">
        <f t="shared" si="325"/>
        <v>1489.3057867995876</v>
      </c>
      <c r="AP406" s="31">
        <f t="shared" si="325"/>
        <v>297.86115735991757</v>
      </c>
      <c r="AQ406" s="32">
        <f t="shared" si="325"/>
        <v>49220.70802449745</v>
      </c>
      <c r="AR406" s="32">
        <f t="shared" si="325"/>
        <v>42167.771006410549</v>
      </c>
      <c r="AS406" s="32">
        <f t="shared" si="325"/>
        <v>166960.07095821694</v>
      </c>
      <c r="AT406" s="33">
        <f t="shared" si="325"/>
        <v>448.54822846314698</v>
      </c>
      <c r="AU406" s="33">
        <f t="shared" si="325"/>
        <v>504.25961596547853</v>
      </c>
      <c r="AV406" s="34" t="e">
        <f t="shared" si="325"/>
        <v>#DIV/0!</v>
      </c>
      <c r="AW406" s="34" t="e">
        <f t="shared" si="325"/>
        <v>#DIV/0!</v>
      </c>
      <c r="AX406" s="35" t="e">
        <f t="shared" si="325"/>
        <v>#NUM!</v>
      </c>
      <c r="AY406" s="35" t="e">
        <f t="shared" si="325"/>
        <v>#NUM!</v>
      </c>
      <c r="AZ406" t="e">
        <f>NA()</f>
        <v>#N/A</v>
      </c>
    </row>
    <row r="407" spans="4:52" x14ac:dyDescent="0.3">
      <c r="D407">
        <v>22</v>
      </c>
      <c r="F407">
        <v>21</v>
      </c>
      <c r="G407" s="28"/>
      <c r="H407" s="28"/>
      <c r="I407" s="28"/>
      <c r="J407" s="28"/>
      <c r="K407" s="28"/>
      <c r="L407" s="29"/>
      <c r="M407" s="30"/>
      <c r="N407" s="31"/>
      <c r="O407" s="31"/>
      <c r="P407" s="32"/>
      <c r="Q407" s="32"/>
      <c r="R407" s="32"/>
      <c r="S407" s="33"/>
      <c r="T407" s="33"/>
      <c r="U407" s="34"/>
      <c r="V407" s="34"/>
      <c r="W407" s="35"/>
      <c r="X407" s="35"/>
      <c r="Y407" t="e">
        <f>NA()</f>
        <v>#N/A</v>
      </c>
      <c r="AE407">
        <v>22</v>
      </c>
      <c r="AG407">
        <f t="shared" si="305"/>
        <v>14.249748636990411</v>
      </c>
      <c r="AH407" s="28">
        <f t="shared" ref="AH407:AY407" si="326">300*AH335*AH107</f>
        <v>5809.6071365693024</v>
      </c>
      <c r="AI407" s="28">
        <f t="shared" si="326"/>
        <v>27359.981044584205</v>
      </c>
      <c r="AJ407" s="28">
        <f t="shared" si="326"/>
        <v>13698.960203449646</v>
      </c>
      <c r="AK407" s="28">
        <f t="shared" si="326"/>
        <v>27447.148470207143</v>
      </c>
      <c r="AL407" s="28">
        <f t="shared" si="326"/>
        <v>3594.0372340669792</v>
      </c>
      <c r="AM407" s="29">
        <f t="shared" si="326"/>
        <v>7059.5135038148837</v>
      </c>
      <c r="AN407" s="30">
        <f t="shared" si="326"/>
        <v>5012.0484791712552</v>
      </c>
      <c r="AO407" s="31">
        <f t="shared" si="326"/>
        <v>1594.618765018444</v>
      </c>
      <c r="AP407" s="31">
        <f t="shared" si="326"/>
        <v>318.92375300368883</v>
      </c>
      <c r="AQ407" s="32">
        <f t="shared" si="326"/>
        <v>51895.41825247871</v>
      </c>
      <c r="AR407" s="32">
        <f t="shared" si="326"/>
        <v>44874.865483329508</v>
      </c>
      <c r="AS407" s="32">
        <f t="shared" si="326"/>
        <v>181921.58479894488</v>
      </c>
      <c r="AT407" s="33">
        <f t="shared" si="326"/>
        <v>474.59157805680337</v>
      </c>
      <c r="AU407" s="33">
        <f t="shared" si="326"/>
        <v>538.93997103872925</v>
      </c>
      <c r="AV407" s="34" t="e">
        <f t="shared" si="326"/>
        <v>#DIV/0!</v>
      </c>
      <c r="AW407" s="34" t="e">
        <f t="shared" si="326"/>
        <v>#DIV/0!</v>
      </c>
      <c r="AX407" s="35" t="e">
        <f t="shared" si="326"/>
        <v>#NUM!</v>
      </c>
      <c r="AY407" s="35" t="e">
        <f t="shared" si="326"/>
        <v>#NUM!</v>
      </c>
      <c r="AZ407" t="e">
        <f>NA()</f>
        <v>#N/A</v>
      </c>
    </row>
    <row r="408" spans="4:52" x14ac:dyDescent="0.3">
      <c r="D408">
        <v>23</v>
      </c>
      <c r="F408">
        <v>22</v>
      </c>
      <c r="G408" s="28"/>
      <c r="H408" s="28"/>
      <c r="I408" s="28"/>
      <c r="J408" s="28"/>
      <c r="K408" s="28"/>
      <c r="L408" s="29"/>
      <c r="M408" s="30"/>
      <c r="N408" s="31"/>
      <c r="O408" s="31"/>
      <c r="P408" s="32"/>
      <c r="Q408" s="32"/>
      <c r="R408" s="32"/>
      <c r="S408" s="33"/>
      <c r="T408" s="33"/>
      <c r="U408" s="34"/>
      <c r="V408" s="34"/>
      <c r="W408" s="35"/>
      <c r="X408" s="35"/>
      <c r="Y408" t="e">
        <f>NA()</f>
        <v>#N/A</v>
      </c>
      <c r="AE408">
        <v>23</v>
      </c>
      <c r="AG408">
        <f t="shared" si="305"/>
        <v>14.986192348155662</v>
      </c>
      <c r="AH408" s="28">
        <f t="shared" ref="AH408:AY408" si="327">300*AH336*AH108</f>
        <v>6753.1653592795647</v>
      </c>
      <c r="AI408" s="28">
        <f t="shared" si="327"/>
        <v>29093.916888145879</v>
      </c>
      <c r="AJ408" s="28">
        <f t="shared" si="327"/>
        <v>15471.761509483029</v>
      </c>
      <c r="AK408" s="28">
        <f t="shared" si="327"/>
        <v>29178.712034777207</v>
      </c>
      <c r="AL408" s="28">
        <f t="shared" si="327"/>
        <v>4036.2430364768716</v>
      </c>
      <c r="AM408" s="29">
        <f t="shared" si="327"/>
        <v>7644.7331442509239</v>
      </c>
      <c r="AN408" s="30">
        <f t="shared" si="327"/>
        <v>5452.405847344724</v>
      </c>
      <c r="AO408" s="31">
        <f t="shared" si="327"/>
        <v>1706.3582002214002</v>
      </c>
      <c r="AP408" s="31">
        <f t="shared" si="327"/>
        <v>341.2716400442801</v>
      </c>
      <c r="AQ408" s="32">
        <f t="shared" si="327"/>
        <v>54682.622488838992</v>
      </c>
      <c r="AR408" s="32">
        <f t="shared" si="327"/>
        <v>47704.657112517823</v>
      </c>
      <c r="AS408" s="32">
        <f t="shared" si="327"/>
        <v>197631.45433386817</v>
      </c>
      <c r="AT408" s="33">
        <f t="shared" si="327"/>
        <v>501.81053470198924</v>
      </c>
      <c r="AU408" s="33">
        <f t="shared" si="327"/>
        <v>575.48785145025568</v>
      </c>
      <c r="AV408" s="34" t="e">
        <f t="shared" si="327"/>
        <v>#DIV/0!</v>
      </c>
      <c r="AW408" s="34" t="e">
        <f t="shared" si="327"/>
        <v>#DIV/0!</v>
      </c>
      <c r="AX408" s="35" t="e">
        <f t="shared" si="327"/>
        <v>#NUM!</v>
      </c>
      <c r="AY408" s="35" t="e">
        <f t="shared" si="327"/>
        <v>#NUM!</v>
      </c>
      <c r="AZ408" t="e">
        <f>NA()</f>
        <v>#N/A</v>
      </c>
    </row>
    <row r="409" spans="4:52" x14ac:dyDescent="0.3">
      <c r="D409">
        <v>24</v>
      </c>
      <c r="F409">
        <v>23</v>
      </c>
      <c r="G409" s="28"/>
      <c r="H409" s="28"/>
      <c r="I409" s="28"/>
      <c r="J409" s="28"/>
      <c r="K409" s="28"/>
      <c r="L409" s="29"/>
      <c r="M409" s="30"/>
      <c r="N409" s="31"/>
      <c r="O409" s="31"/>
      <c r="P409" s="32"/>
      <c r="Q409" s="32"/>
      <c r="R409" s="32"/>
      <c r="S409" s="33"/>
      <c r="T409" s="33"/>
      <c r="U409" s="34"/>
      <c r="V409" s="34"/>
      <c r="W409" s="35"/>
      <c r="X409" s="35"/>
      <c r="Y409" t="e">
        <f>NA()</f>
        <v>#N/A</v>
      </c>
      <c r="AE409">
        <v>24</v>
      </c>
      <c r="AG409">
        <f t="shared" si="305"/>
        <v>15.760696333472486</v>
      </c>
      <c r="AH409" s="28">
        <f t="shared" ref="AH409:AY409" si="328">300*AH337*AH109</f>
        <v>7796.0069088136506</v>
      </c>
      <c r="AI409" s="28">
        <f t="shared" si="328"/>
        <v>30913.464158334857</v>
      </c>
      <c r="AJ409" s="28">
        <f t="shared" si="328"/>
        <v>17383.081356621515</v>
      </c>
      <c r="AK409" s="28">
        <f t="shared" si="328"/>
        <v>30992.496622045721</v>
      </c>
      <c r="AL409" s="28">
        <f t="shared" si="328"/>
        <v>4516.9207205557141</v>
      </c>
      <c r="AM409" s="29">
        <f t="shared" si="328"/>
        <v>8255.1186471266737</v>
      </c>
      <c r="AN409" s="30">
        <f t="shared" si="328"/>
        <v>6001.5340876101445</v>
      </c>
      <c r="AO409" s="31">
        <f t="shared" si="328"/>
        <v>1824.7870325430561</v>
      </c>
      <c r="AP409" s="31">
        <f t="shared" si="328"/>
        <v>364.9574065086112</v>
      </c>
      <c r="AQ409" s="32">
        <f t="shared" si="328"/>
        <v>57583.441119310861</v>
      </c>
      <c r="AR409" s="32">
        <f t="shared" si="328"/>
        <v>50656.575862638965</v>
      </c>
      <c r="AS409" s="32">
        <f t="shared" si="328"/>
        <v>214042.27863805092</v>
      </c>
      <c r="AT409" s="33">
        <f t="shared" si="328"/>
        <v>530.21989237320008</v>
      </c>
      <c r="AU409" s="33">
        <f t="shared" si="328"/>
        <v>613.93928631200356</v>
      </c>
      <c r="AV409" s="34" t="e">
        <f t="shared" si="328"/>
        <v>#DIV/0!</v>
      </c>
      <c r="AW409" s="34" t="e">
        <f t="shared" si="328"/>
        <v>#DIV/0!</v>
      </c>
      <c r="AX409" s="35" t="e">
        <f t="shared" si="328"/>
        <v>#NUM!</v>
      </c>
      <c r="AY409" s="35" t="e">
        <f t="shared" si="328"/>
        <v>#NUM!</v>
      </c>
      <c r="AZ409" t="e">
        <f>NA()</f>
        <v>#N/A</v>
      </c>
    </row>
    <row r="410" spans="4:52" x14ac:dyDescent="0.3">
      <c r="D410">
        <v>25</v>
      </c>
      <c r="F410">
        <v>24</v>
      </c>
      <c r="G410" s="28"/>
      <c r="H410" s="28"/>
      <c r="I410" s="28"/>
      <c r="J410" s="28"/>
      <c r="K410" s="28"/>
      <c r="L410" s="29"/>
      <c r="M410" s="30"/>
      <c r="N410" s="31"/>
      <c r="O410" s="31"/>
      <c r="P410" s="32"/>
      <c r="Q410" s="32"/>
      <c r="R410" s="32"/>
      <c r="S410" s="33"/>
      <c r="T410" s="33"/>
      <c r="U410" s="34"/>
      <c r="V410" s="34"/>
      <c r="W410" s="35"/>
      <c r="X410" s="35"/>
      <c r="Y410" t="e">
        <f>NA()</f>
        <v>#N/A</v>
      </c>
      <c r="AE410">
        <v>25</v>
      </c>
      <c r="AG410">
        <f t="shared" si="305"/>
        <v>16.575227592518086</v>
      </c>
      <c r="AH410" s="28">
        <f t="shared" ref="AH410:AY410" si="329">300*AH338*AH110</f>
        <v>8939.8847958248316</v>
      </c>
      <c r="AI410" s="28">
        <f t="shared" si="329"/>
        <v>32820.695640660153</v>
      </c>
      <c r="AJ410" s="28">
        <f t="shared" si="329"/>
        <v>19436.816444289263</v>
      </c>
      <c r="AK410" s="28">
        <f t="shared" si="329"/>
        <v>32890.448844346349</v>
      </c>
      <c r="AL410" s="28">
        <f t="shared" si="329"/>
        <v>5036.6055091485869</v>
      </c>
      <c r="AM410" s="29">
        <f t="shared" si="329"/>
        <v>8888.5613824855263</v>
      </c>
      <c r="AN410" s="30">
        <f t="shared" si="329"/>
        <v>6591.8646996217694</v>
      </c>
      <c r="AO410" s="31">
        <f t="shared" si="329"/>
        <v>1950.1620570435216</v>
      </c>
      <c r="AP410" s="31">
        <f t="shared" si="329"/>
        <v>390.03241140870438</v>
      </c>
      <c r="AQ410" s="32">
        <f t="shared" si="329"/>
        <v>60598.56197316308</v>
      </c>
      <c r="AR410" s="32">
        <f t="shared" si="329"/>
        <v>53729.199962629216</v>
      </c>
      <c r="AS410" s="32">
        <f t="shared" si="329"/>
        <v>231093.71856842461</v>
      </c>
      <c r="AT410" s="33">
        <f t="shared" si="329"/>
        <v>559.82981386137578</v>
      </c>
      <c r="AU410" s="33">
        <f t="shared" si="329"/>
        <v>654.3223026724213</v>
      </c>
      <c r="AV410" s="34" t="e">
        <f t="shared" si="329"/>
        <v>#DIV/0!</v>
      </c>
      <c r="AW410" s="34" t="e">
        <f t="shared" si="329"/>
        <v>#DIV/0!</v>
      </c>
      <c r="AX410" s="35" t="e">
        <f t="shared" si="329"/>
        <v>#NUM!</v>
      </c>
      <c r="AY410" s="35" t="e">
        <f t="shared" si="329"/>
        <v>#NUM!</v>
      </c>
      <c r="AZ410" t="e">
        <f>NA()</f>
        <v>#N/A</v>
      </c>
    </row>
    <row r="411" spans="4:52" x14ac:dyDescent="0.3">
      <c r="D411">
        <v>26</v>
      </c>
      <c r="F411">
        <v>25</v>
      </c>
      <c r="G411" s="28"/>
      <c r="H411" s="28"/>
      <c r="I411" s="28"/>
      <c r="J411" s="28"/>
      <c r="K411" s="28"/>
      <c r="L411" s="29"/>
      <c r="M411" s="30"/>
      <c r="N411" s="31"/>
      <c r="O411" s="31"/>
      <c r="P411" s="32"/>
      <c r="Q411" s="32"/>
      <c r="R411" s="32"/>
      <c r="S411" s="33"/>
      <c r="T411" s="33"/>
      <c r="U411" s="34"/>
      <c r="V411" s="34"/>
      <c r="W411" s="35"/>
      <c r="X411" s="35"/>
      <c r="Y411" t="e">
        <f>NA()</f>
        <v>#N/A</v>
      </c>
      <c r="AE411">
        <v>26</v>
      </c>
      <c r="AG411">
        <f t="shared" si="305"/>
        <v>17.431854781713245</v>
      </c>
      <c r="AH411" s="28">
        <f t="shared" ref="AH411:AY411" si="330">300*AH339*AH111</f>
        <v>10186.355900497529</v>
      </c>
      <c r="AI411" s="28">
        <f t="shared" si="330"/>
        <v>34817.405283387328</v>
      </c>
      <c r="AJ411" s="28">
        <f t="shared" si="330"/>
        <v>21637.915222407581</v>
      </c>
      <c r="AK411" s="28">
        <f t="shared" si="330"/>
        <v>34874.215669224192</v>
      </c>
      <c r="AL411" s="28">
        <f t="shared" si="330"/>
        <v>5595.3227704823503</v>
      </c>
      <c r="AM411" s="29">
        <f t="shared" si="330"/>
        <v>9542.5067597585039</v>
      </c>
      <c r="AN411" s="30">
        <f t="shared" si="330"/>
        <v>7224.126818074491</v>
      </c>
      <c r="AO411" s="31">
        <f t="shared" si="330"/>
        <v>2082.7311469986448</v>
      </c>
      <c r="AP411" s="31">
        <f t="shared" si="330"/>
        <v>416.54622939972893</v>
      </c>
      <c r="AQ411" s="32">
        <f t="shared" si="330"/>
        <v>63728.1885495323</v>
      </c>
      <c r="AR411" s="32">
        <f t="shared" si="330"/>
        <v>56920.177633980398</v>
      </c>
      <c r="AS411" s="32">
        <f t="shared" si="330"/>
        <v>248712.44652430862</v>
      </c>
      <c r="AT411" s="33">
        <f t="shared" si="330"/>
        <v>590.64523836818876</v>
      </c>
      <c r="AU411" s="33">
        <f t="shared" si="330"/>
        <v>696.655716568961</v>
      </c>
      <c r="AV411" s="34" t="e">
        <f t="shared" si="330"/>
        <v>#DIV/0!</v>
      </c>
      <c r="AW411" s="34" t="e">
        <f t="shared" si="330"/>
        <v>#DIV/0!</v>
      </c>
      <c r="AX411" s="35" t="e">
        <f t="shared" si="330"/>
        <v>#NUM!</v>
      </c>
      <c r="AY411" s="35" t="e">
        <f t="shared" si="330"/>
        <v>#NUM!</v>
      </c>
      <c r="AZ411" t="e">
        <f>NA()</f>
        <v>#N/A</v>
      </c>
    </row>
    <row r="412" spans="4:52" x14ac:dyDescent="0.3">
      <c r="D412">
        <v>27</v>
      </c>
      <c r="F412">
        <v>26</v>
      </c>
      <c r="G412" s="28"/>
      <c r="H412" s="28"/>
      <c r="I412" s="28"/>
      <c r="J412" s="28"/>
      <c r="K412" s="28"/>
      <c r="L412" s="29"/>
      <c r="M412" s="30"/>
      <c r="N412" s="31"/>
      <c r="O412" s="31"/>
      <c r="P412" s="32"/>
      <c r="Q412" s="32"/>
      <c r="R412" s="32"/>
      <c r="S412" s="33"/>
      <c r="T412" s="33"/>
      <c r="U412" s="34"/>
      <c r="V412" s="34"/>
      <c r="W412" s="35"/>
      <c r="X412" s="35"/>
      <c r="Y412" t="e">
        <f>NA()</f>
        <v>#N/A</v>
      </c>
      <c r="AE412">
        <v>27</v>
      </c>
      <c r="AG412">
        <f t="shared" si="305"/>
        <v>18.332753468067196</v>
      </c>
      <c r="AH412" s="28">
        <f t="shared" ref="AH412:AY412" si="331">300*AH340*AH112</f>
        <v>11536.798026920405</v>
      </c>
      <c r="AI412" s="28">
        <f t="shared" si="331"/>
        <v>36905.050956903484</v>
      </c>
      <c r="AJ412" s="28">
        <f t="shared" si="331"/>
        <v>23992.183796771482</v>
      </c>
      <c r="AK412" s="28">
        <f t="shared" si="331"/>
        <v>36945.079893428359</v>
      </c>
      <c r="AL412" s="28">
        <f t="shared" si="331"/>
        <v>6192.5201221962689</v>
      </c>
      <c r="AM412" s="29">
        <f t="shared" si="331"/>
        <v>10213.962628255042</v>
      </c>
      <c r="AN412" s="30">
        <f t="shared" si="331"/>
        <v>7898.7810813874848</v>
      </c>
      <c r="AO412" s="31">
        <f t="shared" si="331"/>
        <v>2222.7301753967295</v>
      </c>
      <c r="AP412" s="31">
        <f t="shared" si="331"/>
        <v>444.54603507934598</v>
      </c>
      <c r="AQ412" s="32">
        <f t="shared" si="331"/>
        <v>66971.986745576098</v>
      </c>
      <c r="AR412" s="32">
        <f t="shared" si="331"/>
        <v>60226.152483519116</v>
      </c>
      <c r="AS412" s="32">
        <f t="shared" si="331"/>
        <v>266812.45658959157</v>
      </c>
      <c r="AT412" s="33">
        <f t="shared" si="331"/>
        <v>622.66527076585749</v>
      </c>
      <c r="AU412" s="33">
        <f t="shared" si="331"/>
        <v>740.94788191721204</v>
      </c>
      <c r="AV412" s="34" t="e">
        <f t="shared" si="331"/>
        <v>#DIV/0!</v>
      </c>
      <c r="AW412" s="34" t="e">
        <f t="shared" si="331"/>
        <v>#DIV/0!</v>
      </c>
      <c r="AX412" s="35" t="e">
        <f t="shared" si="331"/>
        <v>#NUM!</v>
      </c>
      <c r="AY412" s="35" t="e">
        <f t="shared" si="331"/>
        <v>#NUM!</v>
      </c>
      <c r="AZ412" t="e">
        <f>NA()</f>
        <v>#N/A</v>
      </c>
    </row>
    <row r="413" spans="4:52" x14ac:dyDescent="0.3">
      <c r="D413">
        <v>28</v>
      </c>
      <c r="F413">
        <v>27</v>
      </c>
      <c r="G413" s="28"/>
      <c r="H413" s="28"/>
      <c r="I413" s="28"/>
      <c r="J413" s="28"/>
      <c r="K413" s="28"/>
      <c r="L413" s="29"/>
      <c r="M413" s="30"/>
      <c r="N413" s="31"/>
      <c r="O413" s="31"/>
      <c r="P413" s="32"/>
      <c r="Q413" s="32"/>
      <c r="R413" s="32"/>
      <c r="S413" s="33"/>
      <c r="T413" s="33"/>
      <c r="U413" s="34"/>
      <c r="V413" s="34"/>
      <c r="W413" s="35"/>
      <c r="X413" s="35"/>
      <c r="Y413" t="e">
        <f>NA()</f>
        <v>#N/A</v>
      </c>
      <c r="AE413">
        <v>28</v>
      </c>
      <c r="AG413">
        <f t="shared" si="305"/>
        <v>19.280211654442091</v>
      </c>
      <c r="AH413" s="28">
        <f t="shared" ref="AH413:AY413" si="332">300*AH341*AH113</f>
        <v>12992.200869418988</v>
      </c>
      <c r="AI413" s="28">
        <f t="shared" si="332"/>
        <v>39084.697278262625</v>
      </c>
      <c r="AJ413" s="28">
        <f t="shared" si="332"/>
        <v>26505.840574747854</v>
      </c>
      <c r="AK413" s="28">
        <f t="shared" si="332"/>
        <v>39103.897947671197</v>
      </c>
      <c r="AL413" s="28">
        <f t="shared" si="332"/>
        <v>6827.0079281175031</v>
      </c>
      <c r="AM413" s="29">
        <f t="shared" si="332"/>
        <v>10899.520469676567</v>
      </c>
      <c r="AN413" s="30">
        <f t="shared" si="332"/>
        <v>8616.0192801537105</v>
      </c>
      <c r="AO413" s="31">
        <f t="shared" si="332"/>
        <v>2370.3796304418761</v>
      </c>
      <c r="AP413" s="31">
        <f t="shared" si="332"/>
        <v>474.07592608837518</v>
      </c>
      <c r="AQ413" s="32">
        <f t="shared" si="332"/>
        <v>70329.030640761615</v>
      </c>
      <c r="AR413" s="32">
        <f t="shared" si="332"/>
        <v>63642.694623910451</v>
      </c>
      <c r="AS413" s="32">
        <f t="shared" si="332"/>
        <v>285295.77029504388</v>
      </c>
      <c r="AT413" s="33">
        <f t="shared" si="332"/>
        <v>655.8825592021301</v>
      </c>
      <c r="AU413" s="33">
        <f t="shared" si="332"/>
        <v>787.19541338644228</v>
      </c>
      <c r="AV413" s="34" t="e">
        <f t="shared" si="332"/>
        <v>#DIV/0!</v>
      </c>
      <c r="AW413" s="34" t="e">
        <f t="shared" si="332"/>
        <v>#DIV/0!</v>
      </c>
      <c r="AX413" s="35" t="e">
        <f t="shared" si="332"/>
        <v>#NUM!</v>
      </c>
      <c r="AY413" s="35" t="e">
        <f t="shared" si="332"/>
        <v>#NUM!</v>
      </c>
      <c r="AZ413" t="e">
        <f>NA()</f>
        <v>#N/A</v>
      </c>
    </row>
    <row r="414" spans="4:52" x14ac:dyDescent="0.3">
      <c r="D414">
        <v>29</v>
      </c>
      <c r="F414">
        <v>28</v>
      </c>
      <c r="G414" s="28"/>
      <c r="H414" s="28"/>
      <c r="I414" s="28"/>
      <c r="J414" s="28"/>
      <c r="K414" s="28"/>
      <c r="L414" s="29"/>
      <c r="M414" s="30"/>
      <c r="N414" s="31"/>
      <c r="O414" s="31"/>
      <c r="P414" s="32"/>
      <c r="Q414" s="32"/>
      <c r="R414" s="32"/>
      <c r="S414" s="33"/>
      <c r="T414" s="33"/>
      <c r="U414" s="34"/>
      <c r="V414" s="34"/>
      <c r="W414" s="35"/>
      <c r="X414" s="35"/>
      <c r="Y414" t="e">
        <f>NA()</f>
        <v>#N/A</v>
      </c>
      <c r="AE414">
        <v>29</v>
      </c>
      <c r="AG414">
        <f t="shared" si="305"/>
        <v>20.276635590369683</v>
      </c>
      <c r="AH414" s="28">
        <f t="shared" ref="AH414:AY414" si="333">300*AH342*AH114</f>
        <v>14552.760793074725</v>
      </c>
      <c r="AI414" s="28">
        <f t="shared" si="333"/>
        <v>41356.959194236362</v>
      </c>
      <c r="AJ414" s="28">
        <f t="shared" si="333"/>
        <v>29184.889752527721</v>
      </c>
      <c r="AK414" s="28">
        <f t="shared" si="333"/>
        <v>41351.040875025377</v>
      </c>
      <c r="AL414" s="28">
        <f t="shared" si="333"/>
        <v>7496.9120042297682</v>
      </c>
      <c r="AM414" s="29">
        <f t="shared" si="333"/>
        <v>11595.390226108593</v>
      </c>
      <c r="AN414" s="30">
        <f t="shared" si="333"/>
        <v>9375.7713653718693</v>
      </c>
      <c r="AO414" s="31">
        <f t="shared" si="333"/>
        <v>2525.88092598297</v>
      </c>
      <c r="AP414" s="31">
        <f t="shared" si="333"/>
        <v>505.17618519659402</v>
      </c>
      <c r="AQ414" s="32">
        <f t="shared" si="333"/>
        <v>73797.748009228264</v>
      </c>
      <c r="AR414" s="32">
        <f t="shared" si="333"/>
        <v>67164.239810238912</v>
      </c>
      <c r="AS414" s="32">
        <f t="shared" si="333"/>
        <v>304053.56005474308</v>
      </c>
      <c r="AT414" s="33">
        <f t="shared" si="333"/>
        <v>690.28266917733993</v>
      </c>
      <c r="AU414" s="33">
        <f t="shared" si="333"/>
        <v>835.38190303113527</v>
      </c>
      <c r="AV414" s="34" t="e">
        <f t="shared" si="333"/>
        <v>#DIV/0!</v>
      </c>
      <c r="AW414" s="34" t="e">
        <f t="shared" si="333"/>
        <v>#DIV/0!</v>
      </c>
      <c r="AX414" s="35" t="e">
        <f t="shared" si="333"/>
        <v>#NUM!</v>
      </c>
      <c r="AY414" s="35" t="e">
        <f t="shared" si="333"/>
        <v>#NUM!</v>
      </c>
      <c r="AZ414" t="e">
        <f>NA()</f>
        <v>#N/A</v>
      </c>
    </row>
    <row r="415" spans="4:52" x14ac:dyDescent="0.3">
      <c r="D415">
        <v>30</v>
      </c>
      <c r="F415">
        <v>29</v>
      </c>
      <c r="G415" s="28"/>
      <c r="H415" s="28"/>
      <c r="I415" s="28"/>
      <c r="J415" s="28"/>
      <c r="K415" s="28"/>
      <c r="L415" s="29"/>
      <c r="M415" s="30"/>
      <c r="N415" s="31"/>
      <c r="O415" s="31"/>
      <c r="P415" s="32"/>
      <c r="Q415" s="32"/>
      <c r="R415" s="32"/>
      <c r="S415" s="33"/>
      <c r="T415" s="33"/>
      <c r="U415" s="34"/>
      <c r="V415" s="34"/>
      <c r="W415" s="35"/>
      <c r="X415" s="35"/>
      <c r="Y415" t="e">
        <f>NA()</f>
        <v>#N/A</v>
      </c>
      <c r="AE415">
        <v>30</v>
      </c>
      <c r="AG415">
        <f t="shared" si="305"/>
        <v>21.324555883177815</v>
      </c>
      <c r="AH415" s="28">
        <f t="shared" ref="AH415:AY415" si="334">300*AH343*AH115</f>
        <v>16217.368218739348</v>
      </c>
      <c r="AI415" s="28">
        <f t="shared" si="334"/>
        <v>43721.946803594881</v>
      </c>
      <c r="AJ415" s="28">
        <f t="shared" si="334"/>
        <v>32034.414130374782</v>
      </c>
      <c r="AK415" s="28">
        <f t="shared" si="334"/>
        <v>43686.338905435783</v>
      </c>
      <c r="AL415" s="28">
        <f t="shared" si="334"/>
        <v>8199.6423911286565</v>
      </c>
      <c r="AM415" s="29">
        <f t="shared" si="334"/>
        <v>12297.449116819156</v>
      </c>
      <c r="AN415" s="30">
        <f t="shared" si="334"/>
        <v>10177.71807185509</v>
      </c>
      <c r="AO415" s="31">
        <f t="shared" si="334"/>
        <v>2689.4124139840778</v>
      </c>
      <c r="AP415" s="31">
        <f t="shared" si="334"/>
        <v>537.88248279681557</v>
      </c>
      <c r="AQ415" s="32">
        <f t="shared" si="334"/>
        <v>77375.866357724022</v>
      </c>
      <c r="AR415" s="32">
        <f t="shared" si="334"/>
        <v>70784.039073535328</v>
      </c>
      <c r="AS415" s="32">
        <f t="shared" si="334"/>
        <v>322967.69579696498</v>
      </c>
      <c r="AT415" s="33">
        <f t="shared" si="334"/>
        <v>725.8434637603541</v>
      </c>
      <c r="AU415" s="33">
        <f t="shared" si="334"/>
        <v>885.47665424869388</v>
      </c>
      <c r="AV415" s="34" t="e">
        <f t="shared" si="334"/>
        <v>#DIV/0!</v>
      </c>
      <c r="AW415" s="34" t="e">
        <f t="shared" si="334"/>
        <v>#DIV/0!</v>
      </c>
      <c r="AX415" s="35" t="e">
        <f t="shared" si="334"/>
        <v>#NUM!</v>
      </c>
      <c r="AY415" s="35" t="e">
        <f t="shared" si="334"/>
        <v>#NUM!</v>
      </c>
      <c r="AZ415" t="e">
        <f>NA()</f>
        <v>#N/A</v>
      </c>
    </row>
    <row r="416" spans="4:52" x14ac:dyDescent="0.3">
      <c r="D416">
        <v>31</v>
      </c>
      <c r="F416">
        <v>30</v>
      </c>
      <c r="G416" s="28"/>
      <c r="H416" s="28"/>
      <c r="I416" s="28"/>
      <c r="J416" s="28"/>
      <c r="K416" s="28"/>
      <c r="L416" s="29"/>
      <c r="M416" s="30"/>
      <c r="N416" s="31"/>
      <c r="O416" s="31"/>
      <c r="P416" s="32"/>
      <c r="Q416" s="32"/>
      <c r="R416" s="32"/>
      <c r="S416" s="33"/>
      <c r="T416" s="33"/>
      <c r="U416" s="34"/>
      <c r="V416" s="34"/>
      <c r="W416" s="35"/>
      <c r="X416" s="35"/>
      <c r="Y416" t="e">
        <f>NA()</f>
        <v>#N/A</v>
      </c>
      <c r="AE416">
        <v>31</v>
      </c>
      <c r="AG416">
        <f t="shared" si="305"/>
        <v>22.426633924947051</v>
      </c>
      <c r="AH416" s="28">
        <f t="shared" ref="AH416:AY416" si="335">300*AH344*AH116</f>
        <v>17983.100416165547</v>
      </c>
      <c r="AI416" s="28">
        <f t="shared" si="335"/>
        <v>46179.211754925789</v>
      </c>
      <c r="AJ416" s="28">
        <f t="shared" si="335"/>
        <v>35057.890165895922</v>
      </c>
      <c r="AK416" s="28">
        <f t="shared" si="335"/>
        <v>46109.029748840214</v>
      </c>
      <c r="AL416" s="28">
        <f t="shared" si="335"/>
        <v>8931.8818566141817</v>
      </c>
      <c r="AM416" s="29">
        <f t="shared" si="335"/>
        <v>13001.304211380348</v>
      </c>
      <c r="AN416" s="30">
        <f t="shared" si="335"/>
        <v>11021.306660565093</v>
      </c>
      <c r="AO416" s="31">
        <f t="shared" si="335"/>
        <v>2861.125113502228</v>
      </c>
      <c r="AP416" s="31">
        <f t="shared" si="335"/>
        <v>572.22502270044561</v>
      </c>
      <c r="AQ416" s="32">
        <f t="shared" si="335"/>
        <v>81060.360418244934</v>
      </c>
      <c r="AR416" s="32">
        <f t="shared" si="335"/>
        <v>74494.121482068847</v>
      </c>
      <c r="AS416" s="32">
        <f t="shared" si="335"/>
        <v>341912.70095781487</v>
      </c>
      <c r="AT416" s="33">
        <f t="shared" si="335"/>
        <v>762.53450121659125</v>
      </c>
      <c r="AU416" s="33">
        <f t="shared" si="335"/>
        <v>937.43346052170716</v>
      </c>
      <c r="AV416" s="34" t="e">
        <f t="shared" si="335"/>
        <v>#DIV/0!</v>
      </c>
      <c r="AW416" s="34" t="e">
        <f t="shared" si="335"/>
        <v>#DIV/0!</v>
      </c>
      <c r="AX416" s="35" t="e">
        <f t="shared" si="335"/>
        <v>#NUM!</v>
      </c>
      <c r="AY416" s="35" t="e">
        <f t="shared" si="335"/>
        <v>#NUM!</v>
      </c>
      <c r="AZ416" t="e">
        <f>NA()</f>
        <v>#N/A</v>
      </c>
    </row>
    <row r="417" spans="4:52" x14ac:dyDescent="0.3">
      <c r="D417">
        <v>32</v>
      </c>
      <c r="F417">
        <v>31</v>
      </c>
      <c r="G417" s="28"/>
      <c r="H417" s="28"/>
      <c r="I417" s="28"/>
      <c r="J417" s="28"/>
      <c r="K417" s="28"/>
      <c r="L417" s="29"/>
      <c r="M417" s="30"/>
      <c r="N417" s="31"/>
      <c r="O417" s="31"/>
      <c r="P417" s="32"/>
      <c r="Q417" s="32"/>
      <c r="R417" s="32"/>
      <c r="S417" s="33"/>
      <c r="T417" s="33"/>
      <c r="U417" s="34"/>
      <c r="V417" s="34"/>
      <c r="W417" s="35"/>
      <c r="X417" s="35"/>
      <c r="Y417" t="e">
        <f>NA()</f>
        <v>#N/A</v>
      </c>
      <c r="AE417">
        <v>32</v>
      </c>
      <c r="AG417">
        <f t="shared" si="305"/>
        <v>23.585668651620018</v>
      </c>
      <c r="AH417" s="28">
        <f t="shared" ref="AH417:AY417" si="336">300*AH345*AH117</f>
        <v>19844.817606543238</v>
      </c>
      <c r="AI417" s="28">
        <f t="shared" si="336"/>
        <v>48727.695507337725</v>
      </c>
      <c r="AJ417" s="28">
        <f t="shared" si="336"/>
        <v>38256.605368197103</v>
      </c>
      <c r="AK417" s="28">
        <f t="shared" si="336"/>
        <v>48617.710588919479</v>
      </c>
      <c r="AL417" s="28">
        <f t="shared" si="336"/>
        <v>9689.5973304264389</v>
      </c>
      <c r="AM417" s="29">
        <f t="shared" si="336"/>
        <v>13702.36786701341</v>
      </c>
      <c r="AN417" s="30">
        <f t="shared" si="336"/>
        <v>11905.766780135556</v>
      </c>
      <c r="AO417" s="31">
        <f t="shared" si="336"/>
        <v>3041.138179197244</v>
      </c>
      <c r="AP417" s="31">
        <f t="shared" si="336"/>
        <v>608.22763583944879</v>
      </c>
      <c r="AQ417" s="32">
        <f t="shared" si="336"/>
        <v>84847.402159644087</v>
      </c>
      <c r="AR417" s="32">
        <f t="shared" si="336"/>
        <v>78285.272753141282</v>
      </c>
      <c r="AS417" s="32">
        <f t="shared" si="336"/>
        <v>360758.08268998575</v>
      </c>
      <c r="AT417" s="33">
        <f t="shared" si="336"/>
        <v>800.31646295865846</v>
      </c>
      <c r="AU417" s="33">
        <f t="shared" si="336"/>
        <v>991.18946025795492</v>
      </c>
      <c r="AV417" s="34" t="e">
        <f t="shared" si="336"/>
        <v>#DIV/0!</v>
      </c>
      <c r="AW417" s="34" t="e">
        <f t="shared" si="336"/>
        <v>#DIV/0!</v>
      </c>
      <c r="AX417" s="35" t="e">
        <f t="shared" si="336"/>
        <v>#NUM!</v>
      </c>
      <c r="AY417" s="35" t="e">
        <f t="shared" si="336"/>
        <v>#NUM!</v>
      </c>
      <c r="AZ417" t="e">
        <f>NA()</f>
        <v>#N/A</v>
      </c>
    </row>
    <row r="418" spans="4:52" x14ac:dyDescent="0.3">
      <c r="D418">
        <v>33</v>
      </c>
      <c r="F418">
        <v>32</v>
      </c>
      <c r="G418" s="28"/>
      <c r="H418" s="28"/>
      <c r="I418" s="28"/>
      <c r="J418" s="28"/>
      <c r="K418" s="28"/>
      <c r="L418" s="29"/>
      <c r="M418" s="30"/>
      <c r="N418" s="31"/>
      <c r="O418" s="31"/>
      <c r="P418" s="32"/>
      <c r="Q418" s="32"/>
      <c r="R418" s="32"/>
      <c r="S418" s="33"/>
      <c r="T418" s="33"/>
      <c r="U418" s="34"/>
      <c r="V418" s="34"/>
      <c r="W418" s="35"/>
      <c r="X418" s="35"/>
      <c r="Y418" t="e">
        <f>NA()</f>
        <v>#N/A</v>
      </c>
      <c r="AE418">
        <v>33</v>
      </c>
      <c r="AG418">
        <f t="shared" si="305"/>
        <v>24.804603651429346</v>
      </c>
      <c r="AH418" s="28">
        <f t="shared" ref="AH418:AY418" si="337">300*AH346*AH118</f>
        <v>21794.920379882711</v>
      </c>
      <c r="AI418" s="28">
        <f t="shared" si="337"/>
        <v>51365.679795577656</v>
      </c>
      <c r="AJ418" s="28">
        <f t="shared" si="337"/>
        <v>41629.221292783608</v>
      </c>
      <c r="AK418" s="28">
        <f t="shared" si="337"/>
        <v>51210.293785093891</v>
      </c>
      <c r="AL418" s="28">
        <f t="shared" si="337"/>
        <v>10468.076726140873</v>
      </c>
      <c r="AM418" s="29">
        <f t="shared" si="337"/>
        <v>14395.944436257196</v>
      </c>
      <c r="AN418" s="30">
        <f t="shared" si="337"/>
        <v>12830.123296635773</v>
      </c>
      <c r="AO418" s="31">
        <f t="shared" si="337"/>
        <v>3229.5341421914659</v>
      </c>
      <c r="AP418" s="31">
        <f t="shared" si="337"/>
        <v>645.90682843829325</v>
      </c>
      <c r="AQ418" s="32">
        <f t="shared" si="337"/>
        <v>88732.314517776991</v>
      </c>
      <c r="AR418" s="32">
        <f t="shared" si="337"/>
        <v>82147.032455455133</v>
      </c>
      <c r="AS418" s="32">
        <f t="shared" si="337"/>
        <v>379370.97902488842</v>
      </c>
      <c r="AT418" s="33">
        <f t="shared" si="337"/>
        <v>839.14062635282482</v>
      </c>
      <c r="AU418" s="33">
        <f t="shared" si="337"/>
        <v>1046.6641027118717</v>
      </c>
      <c r="AV418" s="34" t="e">
        <f t="shared" si="337"/>
        <v>#DIV/0!</v>
      </c>
      <c r="AW418" s="34" t="e">
        <f t="shared" si="337"/>
        <v>#DIV/0!</v>
      </c>
      <c r="AX418" s="35" t="e">
        <f t="shared" si="337"/>
        <v>#NUM!</v>
      </c>
      <c r="AY418" s="35" t="e">
        <f t="shared" si="337"/>
        <v>#NUM!</v>
      </c>
      <c r="AZ418" t="e">
        <f>NA()</f>
        <v>#N/A</v>
      </c>
    </row>
    <row r="419" spans="4:52" x14ac:dyDescent="0.3">
      <c r="D419">
        <v>34</v>
      </c>
      <c r="F419">
        <v>33</v>
      </c>
      <c r="G419" s="28"/>
      <c r="H419" s="28"/>
      <c r="I419" s="28"/>
      <c r="J419" s="28"/>
      <c r="K419" s="28"/>
      <c r="L419" s="29"/>
      <c r="M419" s="30"/>
      <c r="N419" s="31"/>
      <c r="O419" s="31"/>
      <c r="P419" s="32"/>
      <c r="Q419" s="32"/>
      <c r="R419" s="32"/>
      <c r="S419" s="33"/>
      <c r="T419" s="33"/>
      <c r="U419" s="34"/>
      <c r="V419" s="34"/>
      <c r="W419" s="35"/>
      <c r="X419" s="35"/>
      <c r="Y419" t="e">
        <f>NA()</f>
        <v>#N/A</v>
      </c>
      <c r="AE419">
        <v>34</v>
      </c>
      <c r="AG419">
        <f t="shared" si="305"/>
        <v>26.08653464069765</v>
      </c>
      <c r="AH419" s="28">
        <f t="shared" ref="AH419:AY419" si="338">300*AH347*AH119</f>
        <v>23823.282981354983</v>
      </c>
      <c r="AI419" s="28">
        <f t="shared" si="338"/>
        <v>54090.739787574814</v>
      </c>
      <c r="AJ419" s="28">
        <f t="shared" si="338"/>
        <v>45171.488688078382</v>
      </c>
      <c r="AK419" s="28">
        <f t="shared" si="338"/>
        <v>53883.966459604657</v>
      </c>
      <c r="AL419" s="28">
        <f t="shared" si="338"/>
        <v>11261.992577264265</v>
      </c>
      <c r="AM419" s="29">
        <f t="shared" si="338"/>
        <v>15077.32594756545</v>
      </c>
      <c r="AN419" s="30">
        <f t="shared" si="338"/>
        <v>13793.203202299017</v>
      </c>
      <c r="AO419" s="31">
        <f t="shared" si="338"/>
        <v>3426.3539671126332</v>
      </c>
      <c r="AP419" s="31">
        <f t="shared" si="338"/>
        <v>685.27079342252671</v>
      </c>
      <c r="AQ419" s="32">
        <f t="shared" si="338"/>
        <v>92709.530175018997</v>
      </c>
      <c r="AR419" s="32">
        <f t="shared" si="338"/>
        <v>86067.712467899371</v>
      </c>
      <c r="AS419" s="32">
        <f t="shared" si="338"/>
        <v>397619.04424141115</v>
      </c>
      <c r="AT419" s="33">
        <f t="shared" si="338"/>
        <v>878.94839846581226</v>
      </c>
      <c r="AU419" s="33">
        <f t="shared" si="338"/>
        <v>1103.7582632765261</v>
      </c>
      <c r="AV419" s="34" t="e">
        <f t="shared" si="338"/>
        <v>#DIV/0!</v>
      </c>
      <c r="AW419" s="34" t="e">
        <f t="shared" si="338"/>
        <v>#DIV/0!</v>
      </c>
      <c r="AX419" s="35" t="e">
        <f t="shared" si="338"/>
        <v>#NUM!</v>
      </c>
      <c r="AY419" s="35" t="e">
        <f t="shared" si="338"/>
        <v>#NUM!</v>
      </c>
      <c r="AZ419" t="e">
        <f>NA()</f>
        <v>#N/A</v>
      </c>
    </row>
    <row r="420" spans="4:52" x14ac:dyDescent="0.3">
      <c r="D420">
        <v>35</v>
      </c>
      <c r="F420">
        <v>34</v>
      </c>
      <c r="G420" s="28"/>
      <c r="H420" s="28"/>
      <c r="I420" s="28"/>
      <c r="J420" s="28"/>
      <c r="K420" s="28"/>
      <c r="L420" s="29"/>
      <c r="M420" s="30"/>
      <c r="N420" s="31"/>
      <c r="O420" s="31"/>
      <c r="P420" s="32"/>
      <c r="Q420" s="32"/>
      <c r="R420" s="32"/>
      <c r="S420" s="33"/>
      <c r="T420" s="33"/>
      <c r="U420" s="34"/>
      <c r="V420" s="34"/>
      <c r="W420" s="35"/>
      <c r="X420" s="35"/>
      <c r="Y420" t="e">
        <f>NA()</f>
        <v>#N/A</v>
      </c>
      <c r="AE420">
        <v>35</v>
      </c>
      <c r="AG420">
        <f t="shared" si="305"/>
        <v>27.434717325995447</v>
      </c>
      <c r="AH420" s="28">
        <f t="shared" ref="AH420:AY420" si="339">300*AH348*AH120</f>
        <v>25917.346474123962</v>
      </c>
      <c r="AI420" s="28">
        <f t="shared" si="339"/>
        <v>56899.700636520429</v>
      </c>
      <c r="AJ420" s="28">
        <f t="shared" si="339"/>
        <v>48876.09581807108</v>
      </c>
      <c r="AK420" s="28">
        <f t="shared" si="339"/>
        <v>56635.154416771416</v>
      </c>
      <c r="AL420" s="28">
        <f t="shared" si="339"/>
        <v>12065.492636039335</v>
      </c>
      <c r="AM420" s="29">
        <f t="shared" si="339"/>
        <v>15741.893803617215</v>
      </c>
      <c r="AN420" s="30">
        <f t="shared" si="339"/>
        <v>14793.634388838382</v>
      </c>
      <c r="AO420" s="31">
        <f t="shared" si="339"/>
        <v>3631.5919813292567</v>
      </c>
      <c r="AP420" s="31">
        <f t="shared" si="339"/>
        <v>726.31839626585133</v>
      </c>
      <c r="AQ420" s="32">
        <f t="shared" si="339"/>
        <v>96772.556842110847</v>
      </c>
      <c r="AR420" s="32">
        <f t="shared" si="339"/>
        <v>90034.439178211978</v>
      </c>
      <c r="AS420" s="32">
        <f t="shared" si="339"/>
        <v>415373.47444066074</v>
      </c>
      <c r="AT420" s="33">
        <f t="shared" si="339"/>
        <v>919.67092824785323</v>
      </c>
      <c r="AU420" s="33">
        <f t="shared" si="339"/>
        <v>1162.3535491646765</v>
      </c>
      <c r="AV420" s="34" t="e">
        <f t="shared" si="339"/>
        <v>#DIV/0!</v>
      </c>
      <c r="AW420" s="34" t="e">
        <f t="shared" si="339"/>
        <v>#DIV/0!</v>
      </c>
      <c r="AX420" s="35" t="e">
        <f t="shared" si="339"/>
        <v>#NUM!</v>
      </c>
      <c r="AY420" s="35" t="e">
        <f t="shared" si="339"/>
        <v>#NUM!</v>
      </c>
      <c r="AZ420" t="e">
        <f>NA()</f>
        <v>#N/A</v>
      </c>
    </row>
    <row r="421" spans="4:52" x14ac:dyDescent="0.3">
      <c r="D421">
        <v>36</v>
      </c>
      <c r="F421">
        <v>35</v>
      </c>
      <c r="G421" s="28"/>
      <c r="H421" s="28"/>
      <c r="I421" s="28"/>
      <c r="J421" s="28"/>
      <c r="K421" s="28"/>
      <c r="L421" s="29"/>
      <c r="M421" s="30"/>
      <c r="N421" s="31"/>
      <c r="O421" s="31"/>
      <c r="P421" s="32"/>
      <c r="Q421" s="32"/>
      <c r="R421" s="32"/>
      <c r="S421" s="33"/>
      <c r="T421" s="33"/>
      <c r="U421" s="34"/>
      <c r="V421" s="34"/>
      <c r="W421" s="35"/>
      <c r="X421" s="35"/>
      <c r="Y421" t="e">
        <f>NA()</f>
        <v>#N/A</v>
      </c>
      <c r="AE421">
        <v>36</v>
      </c>
      <c r="AG421">
        <f t="shared" si="305"/>
        <v>28.852575672624699</v>
      </c>
      <c r="AH421" s="28">
        <f t="shared" ref="AH421:AY421" si="340">300*AH349*AH121</f>
        <v>28062.343207321039</v>
      </c>
      <c r="AI421" s="28">
        <f t="shared" si="340"/>
        <v>59788.598379336756</v>
      </c>
      <c r="AJ421" s="28">
        <f t="shared" si="340"/>
        <v>52732.620942292138</v>
      </c>
      <c r="AK421" s="28">
        <f t="shared" si="340"/>
        <v>59459.491161319784</v>
      </c>
      <c r="AL421" s="28">
        <f t="shared" si="340"/>
        <v>12891.122637587359</v>
      </c>
      <c r="AM421" s="29">
        <f t="shared" si="340"/>
        <v>16385.222981116247</v>
      </c>
      <c r="AN421" s="30">
        <f t="shared" si="340"/>
        <v>15829.835092819727</v>
      </c>
      <c r="AO421" s="31">
        <f t="shared" si="340"/>
        <v>3845.1907456033014</v>
      </c>
      <c r="AP421" s="31">
        <f t="shared" si="340"/>
        <v>769.03814912066036</v>
      </c>
      <c r="AQ421" s="32">
        <f t="shared" si="340"/>
        <v>100913.95060221451</v>
      </c>
      <c r="AR421" s="32">
        <f t="shared" si="340"/>
        <v>94033.221599349825</v>
      </c>
      <c r="AS421" s="32">
        <f t="shared" si="340"/>
        <v>432512.05995634297</v>
      </c>
      <c r="AT421" s="33">
        <f t="shared" si="340"/>
        <v>961.22881583972912</v>
      </c>
      <c r="AU421" s="33">
        <f t="shared" si="340"/>
        <v>1222.311838414578</v>
      </c>
      <c r="AV421" s="34" t="e">
        <f t="shared" si="340"/>
        <v>#DIV/0!</v>
      </c>
      <c r="AW421" s="34" t="e">
        <f t="shared" si="340"/>
        <v>#DIV/0!</v>
      </c>
      <c r="AX421" s="35" t="e">
        <f t="shared" si="340"/>
        <v>#NUM!</v>
      </c>
      <c r="AY421" s="35" t="e">
        <f t="shared" si="340"/>
        <v>#NUM!</v>
      </c>
      <c r="AZ421" t="e">
        <f>NA()</f>
        <v>#N/A</v>
      </c>
    </row>
    <row r="422" spans="4:52" x14ac:dyDescent="0.3">
      <c r="D422">
        <v>37</v>
      </c>
      <c r="F422">
        <v>36</v>
      </c>
      <c r="G422" s="28"/>
      <c r="H422" s="28"/>
      <c r="I422" s="28"/>
      <c r="J422" s="28"/>
      <c r="K422" s="28"/>
      <c r="L422" s="29"/>
      <c r="M422" s="30"/>
      <c r="N422" s="31"/>
      <c r="O422" s="31"/>
      <c r="P422" s="32"/>
      <c r="Q422" s="32"/>
      <c r="R422" s="32"/>
      <c r="S422" s="33"/>
      <c r="T422" s="33"/>
      <c r="U422" s="34"/>
      <c r="V422" s="34"/>
      <c r="W422" s="35"/>
      <c r="X422" s="35"/>
      <c r="Y422" t="e">
        <f>NA()</f>
        <v>#N/A</v>
      </c>
      <c r="AE422">
        <v>37</v>
      </c>
      <c r="AG422">
        <f t="shared" si="305"/>
        <v>30.343710600427304</v>
      </c>
      <c r="AH422" s="28">
        <f t="shared" ref="AH422:AY422" si="341">300*AH350*AH122</f>
        <v>30241.624815778338</v>
      </c>
      <c r="AI422" s="28">
        <f t="shared" si="341"/>
        <v>62752.646386077293</v>
      </c>
      <c r="AJ422" s="28">
        <f t="shared" si="341"/>
        <v>56727.563049056531</v>
      </c>
      <c r="AK422" s="28">
        <f t="shared" si="341"/>
        <v>62351.793102097014</v>
      </c>
      <c r="AL422" s="28">
        <f t="shared" si="341"/>
        <v>15292.918532537844</v>
      </c>
      <c r="AM422" s="29">
        <f t="shared" si="341"/>
        <v>17003.184802451131</v>
      </c>
      <c r="AN422" s="30">
        <f t="shared" si="341"/>
        <v>16899.994063428738</v>
      </c>
      <c r="AO422" s="31">
        <f t="shared" si="341"/>
        <v>4067.035949445647</v>
      </c>
      <c r="AP422" s="31">
        <f t="shared" si="341"/>
        <v>813.40718988912943</v>
      </c>
      <c r="AQ422" s="32">
        <f t="shared" si="341"/>
        <v>105125.29896180997</v>
      </c>
      <c r="AR422" s="32">
        <f t="shared" si="341"/>
        <v>98049.047140164403</v>
      </c>
      <c r="AS422" s="32">
        <f t="shared" si="341"/>
        <v>448922.1412978337</v>
      </c>
      <c r="AT422" s="33">
        <f t="shared" si="341"/>
        <v>1003.5319385725177</v>
      </c>
      <c r="AU422" s="33">
        <f t="shared" si="341"/>
        <v>1283.4750960033423</v>
      </c>
      <c r="AV422" s="34" t="e">
        <f t="shared" si="341"/>
        <v>#DIV/0!</v>
      </c>
      <c r="AW422" s="34" t="e">
        <f t="shared" si="341"/>
        <v>#DIV/0!</v>
      </c>
      <c r="AX422" s="35" t="e">
        <f t="shared" si="341"/>
        <v>#NUM!</v>
      </c>
      <c r="AY422" s="35" t="e">
        <f t="shared" si="341"/>
        <v>#NUM!</v>
      </c>
      <c r="AZ422" t="e">
        <f>NA()</f>
        <v>#N/A</v>
      </c>
    </row>
    <row r="423" spans="4:52" x14ac:dyDescent="0.3">
      <c r="D423">
        <v>38</v>
      </c>
      <c r="F423">
        <v>37</v>
      </c>
      <c r="G423" s="28"/>
      <c r="H423" s="28"/>
      <c r="I423" s="28"/>
      <c r="J423" s="28"/>
      <c r="K423" s="28"/>
      <c r="L423" s="29"/>
      <c r="M423" s="30"/>
      <c r="N423" s="31"/>
      <c r="O423" s="31"/>
      <c r="P423" s="32"/>
      <c r="Q423" s="32"/>
      <c r="R423" s="32"/>
      <c r="S423" s="33"/>
      <c r="T423" s="33"/>
      <c r="U423" s="34"/>
      <c r="V423" s="34"/>
      <c r="W423" s="35"/>
      <c r="X423" s="35"/>
      <c r="Y423" t="e">
        <f>NA()</f>
        <v>#N/A</v>
      </c>
      <c r="AE423">
        <v>38</v>
      </c>
      <c r="AG423">
        <f t="shared" si="305"/>
        <v>31.911909129003085</v>
      </c>
      <c r="AH423" s="28">
        <f t="shared" ref="AH423:AY423" si="342">300*AH351*AH123</f>
        <v>32437.072011184031</v>
      </c>
      <c r="AI423" s="28">
        <f t="shared" si="342"/>
        <v>65786.208791953919</v>
      </c>
      <c r="AJ423" s="28">
        <f t="shared" si="342"/>
        <v>60844.435166608957</v>
      </c>
      <c r="AK423" s="28">
        <f t="shared" si="342"/>
        <v>65306.042305618095</v>
      </c>
      <c r="AL423" s="28">
        <f t="shared" si="342"/>
        <v>17467.588685147064</v>
      </c>
      <c r="AM423" s="29">
        <f t="shared" si="342"/>
        <v>17592.044129426304</v>
      </c>
      <c r="AN423" s="30">
        <f t="shared" si="342"/>
        <v>18002.042801263178</v>
      </c>
      <c r="AO423" s="31">
        <f t="shared" si="342"/>
        <v>4296.9514290880743</v>
      </c>
      <c r="AP423" s="31">
        <f t="shared" si="342"/>
        <v>859.39028581761499</v>
      </c>
      <c r="AQ423" s="32">
        <f t="shared" si="342"/>
        <v>109397.21530779489</v>
      </c>
      <c r="AR423" s="32">
        <f t="shared" si="342"/>
        <v>102066.00618204038</v>
      </c>
      <c r="AS423" s="32">
        <f t="shared" si="342"/>
        <v>464503.34211428999</v>
      </c>
      <c r="AT423" s="33">
        <f t="shared" si="342"/>
        <v>1046.4794136983826</v>
      </c>
      <c r="AU423" s="33">
        <f t="shared" si="342"/>
        <v>1345.665510358401</v>
      </c>
      <c r="AV423" s="34" t="e">
        <f t="shared" si="342"/>
        <v>#DIV/0!</v>
      </c>
      <c r="AW423" s="34" t="e">
        <f t="shared" si="342"/>
        <v>#DIV/0!</v>
      </c>
      <c r="AX423" s="35" t="e">
        <f t="shared" si="342"/>
        <v>#NUM!</v>
      </c>
      <c r="AY423" s="35" t="e">
        <f t="shared" si="342"/>
        <v>#NUM!</v>
      </c>
      <c r="AZ423" t="e">
        <f>NA()</f>
        <v>#N/A</v>
      </c>
    </row>
    <row r="424" spans="4:52" x14ac:dyDescent="0.3">
      <c r="D424">
        <v>39</v>
      </c>
      <c r="F424">
        <v>38</v>
      </c>
      <c r="G424" s="28"/>
      <c r="H424" s="28"/>
      <c r="I424" s="28"/>
      <c r="J424" s="28"/>
      <c r="K424" s="28"/>
      <c r="L424" s="29"/>
      <c r="M424" s="30"/>
      <c r="N424" s="31"/>
      <c r="O424" s="31"/>
      <c r="P424" s="32"/>
      <c r="Q424" s="32"/>
      <c r="R424" s="32"/>
      <c r="S424" s="33"/>
      <c r="T424" s="33"/>
      <c r="U424" s="34"/>
      <c r="V424" s="34"/>
      <c r="W424" s="35"/>
      <c r="X424" s="35"/>
      <c r="Y424" t="e">
        <f>NA()</f>
        <v>#N/A</v>
      </c>
      <c r="AE424">
        <v>39</v>
      </c>
      <c r="AG424">
        <f t="shared" si="305"/>
        <v>33.561153995563402</v>
      </c>
      <c r="AH424" s="28">
        <f t="shared" ref="AH424:AY424" si="343">300*AH352*AH124</f>
        <v>34629.569327200064</v>
      </c>
      <c r="AI424" s="28">
        <f t="shared" si="343"/>
        <v>68882.782523644972</v>
      </c>
      <c r="AJ424" s="28">
        <f t="shared" si="343"/>
        <v>65063.915681170736</v>
      </c>
      <c r="AK424" s="28">
        <f t="shared" si="343"/>
        <v>68315.378372214705</v>
      </c>
      <c r="AL424" s="28">
        <f t="shared" si="343"/>
        <v>19434.497668900985</v>
      </c>
      <c r="AM424" s="29">
        <f t="shared" si="343"/>
        <v>18148.546837765778</v>
      </c>
      <c r="AN424" s="30">
        <f t="shared" si="343"/>
        <v>19133.62239443199</v>
      </c>
      <c r="AO424" s="31">
        <f t="shared" si="343"/>
        <v>4534.6944208087089</v>
      </c>
      <c r="AP424" s="31">
        <f t="shared" si="343"/>
        <v>906.93888416174161</v>
      </c>
      <c r="AQ424" s="32">
        <f t="shared" si="343"/>
        <v>113719.34648630278</v>
      </c>
      <c r="AR424" s="32">
        <f t="shared" si="343"/>
        <v>106067.44588216755</v>
      </c>
      <c r="AS424" s="32">
        <f t="shared" si="343"/>
        <v>479169.95704226167</v>
      </c>
      <c r="AT424" s="33">
        <f t="shared" si="343"/>
        <v>1089.9597178409731</v>
      </c>
      <c r="AU424" s="33">
        <f t="shared" si="343"/>
        <v>1408.6859914564461</v>
      </c>
      <c r="AV424" s="34" t="e">
        <f t="shared" si="343"/>
        <v>#DIV/0!</v>
      </c>
      <c r="AW424" s="34" t="e">
        <f t="shared" si="343"/>
        <v>#DIV/0!</v>
      </c>
      <c r="AX424" s="35" t="e">
        <f t="shared" si="343"/>
        <v>#NUM!</v>
      </c>
      <c r="AY424" s="35" t="e">
        <f t="shared" si="343"/>
        <v>#NUM!</v>
      </c>
      <c r="AZ424" t="e">
        <f>NA()</f>
        <v>#N/A</v>
      </c>
    </row>
    <row r="425" spans="4:52" x14ac:dyDescent="0.3">
      <c r="D425">
        <v>40</v>
      </c>
      <c r="F425">
        <v>39</v>
      </c>
      <c r="G425" s="28"/>
      <c r="H425" s="28"/>
      <c r="I425" s="28"/>
      <c r="J425" s="28"/>
      <c r="K425" s="28"/>
      <c r="L425" s="29"/>
      <c r="M425" s="30"/>
      <c r="N425" s="31"/>
      <c r="O425" s="31"/>
      <c r="P425" s="32"/>
      <c r="Q425" s="32"/>
      <c r="R425" s="32"/>
      <c r="S425" s="33"/>
      <c r="T425" s="33"/>
      <c r="U425" s="34"/>
      <c r="V425" s="34"/>
      <c r="W425" s="35"/>
      <c r="X425" s="35"/>
      <c r="Y425" t="e">
        <f>NA()</f>
        <v>#N/A</v>
      </c>
      <c r="AE425">
        <v>40</v>
      </c>
      <c r="AG425">
        <f t="shared" si="305"/>
        <v>35.295633769846724</v>
      </c>
      <c r="AH425" s="28">
        <f t="shared" ref="AH425:AY425" si="344">300*AH353*AH125</f>
        <v>36799.529177757278</v>
      </c>
      <c r="AI425" s="28">
        <f t="shared" si="344"/>
        <v>72034.989649757874</v>
      </c>
      <c r="AJ425" s="28">
        <f t="shared" si="344"/>
        <v>69364.060963310534</v>
      </c>
      <c r="AK425" s="28">
        <f t="shared" si="344"/>
        <v>71372.101129801857</v>
      </c>
      <c r="AL425" s="28">
        <f t="shared" si="344"/>
        <v>21212.860734512215</v>
      </c>
      <c r="AM425" s="29">
        <f t="shared" si="344"/>
        <v>18669.993688690709</v>
      </c>
      <c r="AN425" s="30">
        <f t="shared" si="344"/>
        <v>20292.048380544878</v>
      </c>
      <c r="AO425" s="31">
        <f t="shared" si="344"/>
        <v>4779.9511768892435</v>
      </c>
      <c r="AP425" s="31">
        <f t="shared" si="344"/>
        <v>955.99023537784876</v>
      </c>
      <c r="AQ425" s="32">
        <f t="shared" si="344"/>
        <v>118080.39518725031</v>
      </c>
      <c r="AR425" s="32">
        <f t="shared" si="344"/>
        <v>110036.15275215569</v>
      </c>
      <c r="AS425" s="32">
        <f t="shared" si="344"/>
        <v>492852.88455088256</v>
      </c>
      <c r="AT425" s="33">
        <f t="shared" si="344"/>
        <v>1133.8509824729226</v>
      </c>
      <c r="AU425" s="33">
        <f t="shared" si="344"/>
        <v>1472.321067734968</v>
      </c>
      <c r="AV425" s="34" t="e">
        <f t="shared" si="344"/>
        <v>#DIV/0!</v>
      </c>
      <c r="AW425" s="34" t="e">
        <f t="shared" si="344"/>
        <v>#DIV/0!</v>
      </c>
      <c r="AX425" s="35" t="e">
        <f t="shared" si="344"/>
        <v>#NUM!</v>
      </c>
      <c r="AY425" s="35" t="e">
        <f t="shared" si="344"/>
        <v>#NUM!</v>
      </c>
      <c r="AZ425" t="e">
        <f>NA()</f>
        <v>#N/A</v>
      </c>
    </row>
    <row r="426" spans="4:52" x14ac:dyDescent="0.3">
      <c r="D426">
        <v>41</v>
      </c>
      <c r="F426">
        <v>40</v>
      </c>
      <c r="G426" s="28"/>
      <c r="H426" s="28"/>
      <c r="I426" s="28"/>
      <c r="J426" s="28"/>
      <c r="K426" s="28"/>
      <c r="L426" s="29"/>
      <c r="M426" s="30"/>
      <c r="N426" s="31"/>
      <c r="O426" s="31"/>
      <c r="P426" s="32"/>
      <c r="Q426" s="32"/>
      <c r="R426" s="32"/>
      <c r="S426" s="33"/>
      <c r="T426" s="33"/>
      <c r="U426" s="34"/>
      <c r="V426" s="34"/>
      <c r="W426" s="35"/>
      <c r="X426" s="35"/>
      <c r="Y426" t="e">
        <f>NA()</f>
        <v>#N/A</v>
      </c>
      <c r="AE426">
        <v>41</v>
      </c>
      <c r="AG426">
        <f t="shared" si="305"/>
        <v>37.119753491784877</v>
      </c>
      <c r="AH426" s="28">
        <f t="shared" ref="AH426:AY426" si="345">300*AH354*AH126</f>
        <v>38927.447540171524</v>
      </c>
      <c r="AI426" s="28">
        <f t="shared" si="345"/>
        <v>75234.581833017714</v>
      </c>
      <c r="AJ426" s="28">
        <f t="shared" si="345"/>
        <v>73720.585809789874</v>
      </c>
      <c r="AK426" s="28">
        <f t="shared" si="345"/>
        <v>74467.68586966295</v>
      </c>
      <c r="AL426" s="28">
        <f t="shared" si="345"/>
        <v>22820.348183502316</v>
      </c>
      <c r="AM426" s="29">
        <f t="shared" si="345"/>
        <v>19154.297222323741</v>
      </c>
      <c r="AN426" s="30">
        <f t="shared" si="345"/>
        <v>21474.277583738589</v>
      </c>
      <c r="AO426" s="31">
        <f t="shared" si="345"/>
        <v>5032.3330851550936</v>
      </c>
      <c r="AP426" s="31">
        <f t="shared" si="345"/>
        <v>1006.4666170310189</v>
      </c>
      <c r="AQ426" s="32">
        <f t="shared" si="345"/>
        <v>122468.1587301839</v>
      </c>
      <c r="AR426" s="32">
        <f t="shared" si="345"/>
        <v>113954.56256171929</v>
      </c>
      <c r="AS426" s="32">
        <f t="shared" si="345"/>
        <v>505501.01466902532</v>
      </c>
      <c r="AT426" s="33">
        <f t="shared" si="345"/>
        <v>1178.0214833046873</v>
      </c>
      <c r="AU426" s="33">
        <f t="shared" si="345"/>
        <v>1536.3382129945976</v>
      </c>
      <c r="AV426" s="34" t="e">
        <f t="shared" si="345"/>
        <v>#DIV/0!</v>
      </c>
      <c r="AW426" s="34" t="e">
        <f t="shared" si="345"/>
        <v>#DIV/0!</v>
      </c>
      <c r="AX426" s="35" t="e">
        <f t="shared" si="345"/>
        <v>#NUM!</v>
      </c>
      <c r="AY426" s="35" t="e">
        <f t="shared" si="345"/>
        <v>#NUM!</v>
      </c>
      <c r="AZ426" t="e">
        <f>NA()</f>
        <v>#N/A</v>
      </c>
    </row>
    <row r="427" spans="4:52" x14ac:dyDescent="0.3">
      <c r="D427">
        <v>42</v>
      </c>
      <c r="F427">
        <v>41</v>
      </c>
      <c r="G427" s="28"/>
      <c r="H427" s="28"/>
      <c r="I427" s="28"/>
      <c r="J427" s="28"/>
      <c r="K427" s="28"/>
      <c r="L427" s="29"/>
      <c r="M427" s="30"/>
      <c r="N427" s="31"/>
      <c r="O427" s="31"/>
      <c r="P427" s="32"/>
      <c r="Q427" s="32"/>
      <c r="R427" s="32"/>
      <c r="S427" s="33"/>
      <c r="T427" s="33"/>
      <c r="U427" s="34"/>
      <c r="V427" s="34"/>
      <c r="W427" s="35"/>
      <c r="X427" s="35"/>
      <c r="Y427" t="e">
        <f>NA()</f>
        <v>#N/A</v>
      </c>
      <c r="AE427">
        <v>42</v>
      </c>
      <c r="AG427">
        <f t="shared" si="305"/>
        <v>38.85778775562828</v>
      </c>
      <c r="AH427" s="28">
        <f t="shared" ref="AH427:AY427" si="346">300*AH355*AH127</f>
        <v>40807.534704390069</v>
      </c>
      <c r="AI427" s="28">
        <f t="shared" si="346"/>
        <v>78173.5634066442</v>
      </c>
      <c r="AJ427" s="28">
        <f t="shared" si="346"/>
        <v>77703.566578569676</v>
      </c>
      <c r="AK427" s="28">
        <f t="shared" si="346"/>
        <v>77304.648417988035</v>
      </c>
      <c r="AL427" s="28">
        <f t="shared" si="346"/>
        <v>24145.099280319999</v>
      </c>
      <c r="AM427" s="29">
        <f t="shared" si="346"/>
        <v>19560.693208100274</v>
      </c>
      <c r="AN427" s="30">
        <f t="shared" si="346"/>
        <v>22565.612415961819</v>
      </c>
      <c r="AO427" s="31">
        <f t="shared" si="346"/>
        <v>5267.3041846695878</v>
      </c>
      <c r="AP427" s="31">
        <f t="shared" si="346"/>
        <v>1053.4608369339178</v>
      </c>
      <c r="AQ427" s="32">
        <f t="shared" si="346"/>
        <v>126464.89375597062</v>
      </c>
      <c r="AR427" s="32">
        <f t="shared" si="346"/>
        <v>117454.45108784147</v>
      </c>
      <c r="AS427" s="32">
        <f t="shared" si="346"/>
        <v>516062.75476809428</v>
      </c>
      <c r="AT427" s="33">
        <f t="shared" si="346"/>
        <v>1218.2565617224839</v>
      </c>
      <c r="AU427" s="33">
        <f t="shared" si="346"/>
        <v>1594.595459094257</v>
      </c>
      <c r="AV427" s="34" t="e">
        <f t="shared" si="346"/>
        <v>#DIV/0!</v>
      </c>
      <c r="AW427" s="34" t="e">
        <f t="shared" si="346"/>
        <v>#DIV/0!</v>
      </c>
      <c r="AX427" s="35" t="e">
        <f t="shared" si="346"/>
        <v>#NUM!</v>
      </c>
      <c r="AY427" s="35" t="e">
        <f t="shared" si="346"/>
        <v>#NUM!</v>
      </c>
      <c r="AZ427" t="e">
        <f>NA()</f>
        <v>#N/A</v>
      </c>
    </row>
    <row r="428" spans="4:52" x14ac:dyDescent="0.3">
      <c r="D428">
        <v>43</v>
      </c>
      <c r="F428">
        <v>42</v>
      </c>
      <c r="G428" s="28"/>
      <c r="H428" s="28"/>
      <c r="I428" s="28"/>
      <c r="J428" s="28"/>
      <c r="K428" s="28"/>
      <c r="L428" s="29"/>
      <c r="M428" s="30"/>
      <c r="N428" s="31"/>
      <c r="O428" s="31"/>
      <c r="P428" s="32"/>
      <c r="Q428" s="32"/>
      <c r="R428" s="32"/>
      <c r="S428" s="33"/>
      <c r="T428" s="33"/>
      <c r="U428" s="34"/>
      <c r="V428" s="34"/>
      <c r="W428" s="35"/>
      <c r="X428" s="35"/>
      <c r="Y428" t="e">
        <f>NA()</f>
        <v>#N/A</v>
      </c>
      <c r="AE428">
        <v>43</v>
      </c>
      <c r="AG428">
        <f t="shared" si="305"/>
        <v>40.467341024247702</v>
      </c>
      <c r="AH428" s="28">
        <f t="shared" ref="AH428:AY428" si="347">300*AH356*AH128</f>
        <v>42422.348734020423</v>
      </c>
      <c r="AI428" s="28">
        <f t="shared" si="347"/>
        <v>80800.810338801646</v>
      </c>
      <c r="AJ428" s="28">
        <f t="shared" si="347"/>
        <v>81240.378610809872</v>
      </c>
      <c r="AK428" s="28">
        <f t="shared" si="347"/>
        <v>79835.280051230948</v>
      </c>
      <c r="AL428" s="28">
        <f t="shared" si="347"/>
        <v>25220.89113360324</v>
      </c>
      <c r="AM428" s="29">
        <f t="shared" si="347"/>
        <v>19894.024480418575</v>
      </c>
      <c r="AN428" s="30">
        <f t="shared" si="347"/>
        <v>23545.356367535107</v>
      </c>
      <c r="AO428" s="31">
        <f t="shared" si="347"/>
        <v>5479.9840730347887</v>
      </c>
      <c r="AP428" s="31">
        <f t="shared" si="347"/>
        <v>1095.9968146069577</v>
      </c>
      <c r="AQ428" s="32">
        <f t="shared" si="347"/>
        <v>130010.97806107589</v>
      </c>
      <c r="AR428" s="32">
        <f t="shared" si="347"/>
        <v>120501.21505331762</v>
      </c>
      <c r="AS428" s="32">
        <f t="shared" si="347"/>
        <v>524685.1048394274</v>
      </c>
      <c r="AT428" s="33">
        <f t="shared" si="347"/>
        <v>1253.9495204365246</v>
      </c>
      <c r="AU428" s="33">
        <f t="shared" si="347"/>
        <v>1646.203414856717</v>
      </c>
      <c r="AV428" s="34" t="e">
        <f t="shared" si="347"/>
        <v>#DIV/0!</v>
      </c>
      <c r="AW428" s="34" t="e">
        <f t="shared" si="347"/>
        <v>#DIV/0!</v>
      </c>
      <c r="AX428" s="35" t="e">
        <f t="shared" si="347"/>
        <v>#NUM!</v>
      </c>
      <c r="AY428" s="35" t="e">
        <f t="shared" si="347"/>
        <v>#NUM!</v>
      </c>
      <c r="AZ428" t="e">
        <f>NA()</f>
        <v>#N/A</v>
      </c>
    </row>
    <row r="429" spans="4:52" x14ac:dyDescent="0.3">
      <c r="D429">
        <v>44</v>
      </c>
      <c r="F429">
        <v>43</v>
      </c>
      <c r="G429" s="28"/>
      <c r="H429" s="28"/>
      <c r="I429" s="28"/>
      <c r="J429" s="28"/>
      <c r="K429" s="28"/>
      <c r="L429" s="29"/>
      <c r="M429" s="30"/>
      <c r="N429" s="31"/>
      <c r="O429" s="31"/>
      <c r="P429" s="32"/>
      <c r="Q429" s="32"/>
      <c r="R429" s="32"/>
      <c r="S429" s="33"/>
      <c r="T429" s="33"/>
      <c r="U429" s="34"/>
      <c r="V429" s="34"/>
      <c r="W429" s="35"/>
      <c r="X429" s="35"/>
      <c r="Y429" t="e">
        <f>NA()</f>
        <v>#N/A</v>
      </c>
      <c r="AE429">
        <v>44</v>
      </c>
      <c r="AG429">
        <f t="shared" si="305"/>
        <v>41.95047391357199</v>
      </c>
      <c r="AH429" s="28">
        <f t="shared" ref="AH429:AY429" si="348">300*AH357*AH129</f>
        <v>43805.750034361437</v>
      </c>
      <c r="AI429" s="28">
        <f t="shared" si="348"/>
        <v>83142.28339913924</v>
      </c>
      <c r="AJ429" s="28">
        <f t="shared" si="348"/>
        <v>84367.590141705718</v>
      </c>
      <c r="AK429" s="28">
        <f t="shared" si="348"/>
        <v>82086.209005522556</v>
      </c>
      <c r="AL429" s="28">
        <f t="shared" si="348"/>
        <v>26101.964547575095</v>
      </c>
      <c r="AM429" s="29">
        <f t="shared" si="348"/>
        <v>20168.185680342911</v>
      </c>
      <c r="AN429" s="30">
        <f t="shared" si="348"/>
        <v>24421.683417405638</v>
      </c>
      <c r="AO429" s="31">
        <f t="shared" si="348"/>
        <v>5671.6901906840903</v>
      </c>
      <c r="AP429" s="31">
        <f t="shared" si="348"/>
        <v>1134.3380381368181</v>
      </c>
      <c r="AQ429" s="32">
        <f t="shared" si="348"/>
        <v>133150.41636975715</v>
      </c>
      <c r="AR429" s="32">
        <f t="shared" si="348"/>
        <v>123150.43103203861</v>
      </c>
      <c r="AS429" s="32">
        <f t="shared" si="348"/>
        <v>531745.78368311725</v>
      </c>
      <c r="AT429" s="33">
        <f t="shared" si="348"/>
        <v>1285.5406558947766</v>
      </c>
      <c r="AU429" s="33">
        <f t="shared" si="348"/>
        <v>1691.8035042076935</v>
      </c>
      <c r="AV429" s="34" t="e">
        <f t="shared" si="348"/>
        <v>#DIV/0!</v>
      </c>
      <c r="AW429" s="34" t="e">
        <f t="shared" si="348"/>
        <v>#DIV/0!</v>
      </c>
      <c r="AX429" s="35" t="e">
        <f t="shared" si="348"/>
        <v>#NUM!</v>
      </c>
      <c r="AY429" s="35" t="e">
        <f t="shared" si="348"/>
        <v>#NUM!</v>
      </c>
      <c r="AZ429" t="e">
        <f>NA()</f>
        <v>#N/A</v>
      </c>
    </row>
    <row r="430" spans="4:52" x14ac:dyDescent="0.3">
      <c r="D430">
        <v>45</v>
      </c>
      <c r="F430">
        <v>44</v>
      </c>
      <c r="G430" s="28"/>
      <c r="H430" s="28"/>
      <c r="I430" s="28"/>
      <c r="J430" s="28"/>
      <c r="K430" s="28"/>
      <c r="L430" s="29"/>
      <c r="M430" s="30"/>
      <c r="N430" s="31"/>
      <c r="O430" s="31"/>
      <c r="P430" s="32"/>
      <c r="Q430" s="32"/>
      <c r="R430" s="32"/>
      <c r="S430" s="33"/>
      <c r="T430" s="33"/>
      <c r="U430" s="34"/>
      <c r="V430" s="34"/>
      <c r="W430" s="35"/>
      <c r="X430" s="35"/>
      <c r="Y430" t="e">
        <f>NA()</f>
        <v>#N/A</v>
      </c>
      <c r="AE430">
        <v>45</v>
      </c>
      <c r="AG430">
        <f t="shared" si="305"/>
        <v>43.317115956604354</v>
      </c>
      <c r="AH430" s="28">
        <f t="shared" ref="AH430:AY430" si="349">300*AH358*AH130</f>
        <v>44994.726295136104</v>
      </c>
      <c r="AI430" s="28">
        <f t="shared" si="349"/>
        <v>85233.369541131367</v>
      </c>
      <c r="AJ430" s="28">
        <f t="shared" si="349"/>
        <v>87136.319382639034</v>
      </c>
      <c r="AK430" s="28">
        <f t="shared" si="349"/>
        <v>84092.79826163681</v>
      </c>
      <c r="AL430" s="28">
        <f t="shared" si="349"/>
        <v>26832.010986200126</v>
      </c>
      <c r="AM430" s="29">
        <f t="shared" si="349"/>
        <v>20395.454150399877</v>
      </c>
      <c r="AN430" s="30">
        <f t="shared" si="349"/>
        <v>25206.68721922642</v>
      </c>
      <c r="AO430" s="31">
        <f t="shared" si="349"/>
        <v>5844.6694756270863</v>
      </c>
      <c r="AP430" s="31">
        <f t="shared" si="349"/>
        <v>1168.9338951254174</v>
      </c>
      <c r="AQ430" s="32">
        <f t="shared" si="349"/>
        <v>135937.66155262155</v>
      </c>
      <c r="AR430" s="32">
        <f t="shared" si="349"/>
        <v>125462.93554703699</v>
      </c>
      <c r="AS430" s="32">
        <f t="shared" si="349"/>
        <v>537574.88875370054</v>
      </c>
      <c r="AT430" s="33">
        <f t="shared" si="349"/>
        <v>1313.577660455436</v>
      </c>
      <c r="AU430" s="33">
        <f t="shared" si="349"/>
        <v>1732.1982590349805</v>
      </c>
      <c r="AV430" s="34" t="e">
        <f t="shared" si="349"/>
        <v>#DIV/0!</v>
      </c>
      <c r="AW430" s="34" t="e">
        <f t="shared" si="349"/>
        <v>#DIV/0!</v>
      </c>
      <c r="AX430" s="35" t="e">
        <f t="shared" si="349"/>
        <v>#NUM!</v>
      </c>
      <c r="AY430" s="35" t="e">
        <f t="shared" si="349"/>
        <v>#NUM!</v>
      </c>
      <c r="AZ430" t="e">
        <f>NA()</f>
        <v>#N/A</v>
      </c>
    </row>
    <row r="431" spans="4:52" x14ac:dyDescent="0.3">
      <c r="D431">
        <v>46</v>
      </c>
      <c r="F431">
        <v>45</v>
      </c>
      <c r="G431" s="28"/>
      <c r="H431" s="28"/>
      <c r="I431" s="28"/>
      <c r="J431" s="28"/>
      <c r="K431" s="28"/>
      <c r="L431" s="29"/>
      <c r="M431" s="30"/>
      <c r="N431" s="31"/>
      <c r="O431" s="31"/>
      <c r="P431" s="32"/>
      <c r="Q431" s="32"/>
      <c r="R431" s="32"/>
      <c r="S431" s="33"/>
      <c r="T431" s="33"/>
      <c r="U431" s="34"/>
      <c r="V431" s="34"/>
      <c r="W431" s="35"/>
      <c r="X431" s="35"/>
      <c r="Y431" t="e">
        <f>NA()</f>
        <v>#N/A</v>
      </c>
      <c r="AE431">
        <v>46</v>
      </c>
      <c r="AG431">
        <f t="shared" si="305"/>
        <v>44.576416783406593</v>
      </c>
      <c r="AH431" s="28">
        <f t="shared" ref="AH431:AY431" si="350">300*AH359*AH131</f>
        <v>46020.247847155129</v>
      </c>
      <c r="AI431" s="28">
        <f t="shared" si="350"/>
        <v>87104.615330958259</v>
      </c>
      <c r="AJ431" s="28">
        <f t="shared" si="350"/>
        <v>89591.709218280448</v>
      </c>
      <c r="AK431" s="28">
        <f t="shared" si="350"/>
        <v>85885.445696621784</v>
      </c>
      <c r="AL431" s="28">
        <f t="shared" si="350"/>
        <v>27442.975526884922</v>
      </c>
      <c r="AM431" s="29">
        <f t="shared" si="350"/>
        <v>20585.267411037457</v>
      </c>
      <c r="AN431" s="30">
        <f t="shared" si="350"/>
        <v>25910.974743010946</v>
      </c>
      <c r="AO431" s="31">
        <f t="shared" si="350"/>
        <v>6000.9229056752774</v>
      </c>
      <c r="AP431" s="31">
        <f t="shared" si="350"/>
        <v>1200.1845811350556</v>
      </c>
      <c r="AQ431" s="32">
        <f t="shared" si="350"/>
        <v>138418.81566308945</v>
      </c>
      <c r="AR431" s="32">
        <f t="shared" si="350"/>
        <v>127489.06335633862</v>
      </c>
      <c r="AS431" s="32">
        <f t="shared" si="350"/>
        <v>542424.85212791723</v>
      </c>
      <c r="AT431" s="33">
        <f t="shared" si="350"/>
        <v>1338.5253053859133</v>
      </c>
      <c r="AU431" s="33">
        <f t="shared" si="350"/>
        <v>1768.0720198504828</v>
      </c>
      <c r="AV431" s="34" t="e">
        <f t="shared" si="350"/>
        <v>#DIV/0!</v>
      </c>
      <c r="AW431" s="34" t="e">
        <f t="shared" si="350"/>
        <v>#DIV/0!</v>
      </c>
      <c r="AX431" s="35" t="e">
        <f t="shared" si="350"/>
        <v>#NUM!</v>
      </c>
      <c r="AY431" s="35" t="e">
        <f t="shared" si="350"/>
        <v>#NUM!</v>
      </c>
      <c r="AZ431" t="e">
        <f>NA()</f>
        <v>#N/A</v>
      </c>
    </row>
    <row r="432" spans="4:52" x14ac:dyDescent="0.3">
      <c r="D432">
        <v>47</v>
      </c>
      <c r="F432">
        <v>46</v>
      </c>
      <c r="G432" s="28"/>
      <c r="H432" s="28"/>
      <c r="I432" s="28"/>
      <c r="J432" s="28"/>
      <c r="K432" s="28"/>
      <c r="L432" s="29"/>
      <c r="M432" s="30"/>
      <c r="N432" s="31"/>
      <c r="O432" s="31"/>
      <c r="P432" s="32"/>
      <c r="Q432" s="32"/>
      <c r="R432" s="32"/>
      <c r="S432" s="33"/>
      <c r="T432" s="33"/>
      <c r="U432" s="34"/>
      <c r="V432" s="34"/>
      <c r="W432" s="35"/>
      <c r="X432" s="35"/>
      <c r="Y432" t="e">
        <f>NA()</f>
        <v>#N/A</v>
      </c>
      <c r="AE432">
        <v>47</v>
      </c>
      <c r="AG432">
        <f t="shared" si="305"/>
        <v>45.736807377615186</v>
      </c>
      <c r="AH432" s="28">
        <f t="shared" ref="AH432:AY432" si="351">300*AH360*AH132</f>
        <v>46908.081954936977</v>
      </c>
      <c r="AI432" s="28">
        <f t="shared" si="351"/>
        <v>88782.402053139303</v>
      </c>
      <c r="AJ432" s="28">
        <f t="shared" si="351"/>
        <v>91773.233178582348</v>
      </c>
      <c r="AK432" s="28">
        <f t="shared" si="351"/>
        <v>87490.303505104355</v>
      </c>
      <c r="AL432" s="28">
        <f t="shared" si="351"/>
        <v>27958.735064778062</v>
      </c>
      <c r="AM432" s="29">
        <f t="shared" si="351"/>
        <v>20744.928211039492</v>
      </c>
      <c r="AN432" s="30">
        <f t="shared" si="351"/>
        <v>26543.829836774712</v>
      </c>
      <c r="AO432" s="31">
        <f t="shared" si="351"/>
        <v>6142.2267186761346</v>
      </c>
      <c r="AP432" s="31">
        <f t="shared" si="351"/>
        <v>1228.445343735227</v>
      </c>
      <c r="AQ432" s="32">
        <f t="shared" si="351"/>
        <v>140633.03411194918</v>
      </c>
      <c r="AR432" s="32">
        <f t="shared" si="351"/>
        <v>129270.58832156887</v>
      </c>
      <c r="AS432" s="32">
        <f t="shared" si="351"/>
        <v>546490.03807665722</v>
      </c>
      <c r="AT432" s="33">
        <f t="shared" si="351"/>
        <v>1360.7789592713764</v>
      </c>
      <c r="AU432" s="33">
        <f t="shared" si="351"/>
        <v>1800.0086144505808</v>
      </c>
      <c r="AV432" s="34" t="e">
        <f t="shared" si="351"/>
        <v>#DIV/0!</v>
      </c>
      <c r="AW432" s="34" t="e">
        <f t="shared" si="351"/>
        <v>#DIV/0!</v>
      </c>
      <c r="AX432" s="35" t="e">
        <f t="shared" si="351"/>
        <v>#NUM!</v>
      </c>
      <c r="AY432" s="35" t="e">
        <f t="shared" si="351"/>
        <v>#NUM!</v>
      </c>
      <c r="AZ432" t="e">
        <f>NA()</f>
        <v>#N/A</v>
      </c>
    </row>
    <row r="433" spans="4:52" x14ac:dyDescent="0.3">
      <c r="D433">
        <v>48</v>
      </c>
      <c r="F433">
        <v>47</v>
      </c>
      <c r="G433" s="28"/>
      <c r="H433" s="28"/>
      <c r="I433" s="28"/>
      <c r="J433" s="28"/>
      <c r="K433" s="28"/>
      <c r="L433" s="29"/>
      <c r="M433" s="30"/>
      <c r="N433" s="31"/>
      <c r="O433" s="31"/>
      <c r="P433" s="32"/>
      <c r="Q433" s="32"/>
      <c r="R433" s="32"/>
      <c r="S433" s="33"/>
      <c r="T433" s="33"/>
      <c r="U433" s="34"/>
      <c r="V433" s="34"/>
      <c r="W433" s="35"/>
      <c r="X433" s="35"/>
      <c r="Y433" t="e">
        <f>NA()</f>
        <v>#N/A</v>
      </c>
      <c r="AE433">
        <v>48</v>
      </c>
      <c r="AG433">
        <f t="shared" si="305"/>
        <v>46.806056521639796</v>
      </c>
      <c r="AH433" s="28">
        <f t="shared" ref="AH433:AY433" si="352">300*AH361*AH133</f>
        <v>47679.606686654311</v>
      </c>
      <c r="AI433" s="28">
        <f t="shared" si="352"/>
        <v>90289.542665498258</v>
      </c>
      <c r="AJ433" s="28">
        <f t="shared" si="352"/>
        <v>93715.203176112729</v>
      </c>
      <c r="AK433" s="28">
        <f t="shared" si="352"/>
        <v>88929.906655728526</v>
      </c>
      <c r="AL433" s="28">
        <f t="shared" si="352"/>
        <v>28397.467399649588</v>
      </c>
      <c r="AM433" s="29">
        <f t="shared" si="352"/>
        <v>20880.127768456234</v>
      </c>
      <c r="AN433" s="30">
        <f t="shared" si="352"/>
        <v>27113.372021006016</v>
      </c>
      <c r="AO433" s="31">
        <f t="shared" si="352"/>
        <v>6270.1550114965421</v>
      </c>
      <c r="AP433" s="31">
        <f t="shared" si="352"/>
        <v>1254.0310022993085</v>
      </c>
      <c r="AQ433" s="32">
        <f t="shared" si="352"/>
        <v>142613.685520464</v>
      </c>
      <c r="AR433" s="32">
        <f t="shared" si="352"/>
        <v>130842.30471131467</v>
      </c>
      <c r="AS433" s="32">
        <f t="shared" si="352"/>
        <v>549921.20439126366</v>
      </c>
      <c r="AT433" s="33">
        <f t="shared" si="352"/>
        <v>1380.6759132547693</v>
      </c>
      <c r="AU433" s="33">
        <f t="shared" si="352"/>
        <v>1828.5068206791457</v>
      </c>
      <c r="AV433" s="34" t="e">
        <f t="shared" si="352"/>
        <v>#DIV/0!</v>
      </c>
      <c r="AW433" s="34" t="e">
        <f t="shared" si="352"/>
        <v>#DIV/0!</v>
      </c>
      <c r="AX433" s="35" t="e">
        <f t="shared" si="352"/>
        <v>#NUM!</v>
      </c>
      <c r="AY433" s="35" t="e">
        <f t="shared" si="352"/>
        <v>#NUM!</v>
      </c>
      <c r="AZ433" t="e">
        <f>NA()</f>
        <v>#N/A</v>
      </c>
    </row>
    <row r="434" spans="4:52" x14ac:dyDescent="0.3">
      <c r="D434">
        <v>49</v>
      </c>
      <c r="F434">
        <v>48</v>
      </c>
      <c r="G434" s="28"/>
      <c r="H434" s="28"/>
      <c r="I434" s="28"/>
      <c r="J434" s="28"/>
      <c r="K434" s="28"/>
      <c r="L434" s="29"/>
      <c r="M434" s="30"/>
      <c r="N434" s="31"/>
      <c r="O434" s="31"/>
      <c r="P434" s="32"/>
      <c r="Q434" s="32"/>
      <c r="R434" s="32"/>
      <c r="S434" s="33"/>
      <c r="T434" s="33"/>
      <c r="U434" s="34"/>
      <c r="V434" s="34"/>
      <c r="W434" s="35"/>
      <c r="X434" s="35"/>
      <c r="Y434" t="e">
        <f>NA()</f>
        <v>#N/A</v>
      </c>
      <c r="AE434">
        <v>49</v>
      </c>
      <c r="AG434">
        <f t="shared" si="305"/>
        <v>47.791322808443105</v>
      </c>
      <c r="AH434" s="28">
        <f t="shared" ref="AH434:AY434" si="353">300*AH362*AH134</f>
        <v>48352.550053841034</v>
      </c>
      <c r="AI434" s="28">
        <f t="shared" si="353"/>
        <v>91645.799850405398</v>
      </c>
      <c r="AJ434" s="28">
        <f t="shared" si="353"/>
        <v>95447.346080096075</v>
      </c>
      <c r="AK434" s="28">
        <f t="shared" si="353"/>
        <v>90223.713149016883</v>
      </c>
      <c r="AL434" s="28">
        <f t="shared" si="353"/>
        <v>28773.228327414396</v>
      </c>
      <c r="AM434" s="29">
        <f t="shared" si="353"/>
        <v>20995.33405321114</v>
      </c>
      <c r="AN434" s="30">
        <f t="shared" si="353"/>
        <v>27626.703357806604</v>
      </c>
      <c r="AO434" s="31">
        <f t="shared" si="353"/>
        <v>6386.1018752440932</v>
      </c>
      <c r="AP434" s="31">
        <f t="shared" si="353"/>
        <v>1277.2203750488188</v>
      </c>
      <c r="AQ434" s="32">
        <f t="shared" si="353"/>
        <v>144389.30723035446</v>
      </c>
      <c r="AR434" s="32">
        <f t="shared" si="353"/>
        <v>132233.30755440827</v>
      </c>
      <c r="AS434" s="32">
        <f t="shared" si="353"/>
        <v>552836.17447946314</v>
      </c>
      <c r="AT434" s="33">
        <f t="shared" si="353"/>
        <v>1398.5048079699486</v>
      </c>
      <c r="AU434" s="33">
        <f t="shared" si="353"/>
        <v>1853.993622919334</v>
      </c>
      <c r="AV434" s="34" t="e">
        <f t="shared" si="353"/>
        <v>#DIV/0!</v>
      </c>
      <c r="AW434" s="34" t="e">
        <f t="shared" si="353"/>
        <v>#DIV/0!</v>
      </c>
      <c r="AX434" s="35" t="e">
        <f t="shared" si="353"/>
        <v>#NUM!</v>
      </c>
      <c r="AY434" s="35" t="e">
        <f t="shared" si="353"/>
        <v>#NUM!</v>
      </c>
      <c r="AZ434" t="e">
        <f>NA()</f>
        <v>#N/A</v>
      </c>
    </row>
    <row r="435" spans="4:52" x14ac:dyDescent="0.3">
      <c r="D435">
        <v>50</v>
      </c>
      <c r="F435">
        <v>49</v>
      </c>
      <c r="G435" s="28"/>
      <c r="H435" s="28"/>
      <c r="I435" s="28"/>
      <c r="J435" s="28"/>
      <c r="K435" s="28"/>
      <c r="L435" s="29"/>
      <c r="M435" s="30"/>
      <c r="N435" s="31"/>
      <c r="O435" s="31"/>
      <c r="P435" s="32"/>
      <c r="Q435" s="32"/>
      <c r="R435" s="32"/>
      <c r="S435" s="33"/>
      <c r="T435" s="33"/>
      <c r="U435" s="34"/>
      <c r="V435" s="34"/>
      <c r="W435" s="35"/>
      <c r="X435" s="35"/>
      <c r="Y435" t="e">
        <f>NA()</f>
        <v>#N/A</v>
      </c>
      <c r="AE435">
        <v>50</v>
      </c>
      <c r="AG435">
        <f t="shared" si="305"/>
        <v>48.699202568119411</v>
      </c>
      <c r="AH435" s="28">
        <f t="shared" ref="AH435:AY435" si="354">300*AH363*AH135</f>
        <v>48941.629112251358</v>
      </c>
      <c r="AI435" s="28">
        <f t="shared" si="354"/>
        <v>92868.33051236489</v>
      </c>
      <c r="AJ435" s="28">
        <f t="shared" si="354"/>
        <v>96995.377688445209</v>
      </c>
      <c r="AK435" s="28">
        <f t="shared" si="354"/>
        <v>91388.563999548671</v>
      </c>
      <c r="AL435" s="28">
        <f t="shared" si="354"/>
        <v>29097.032246995608</v>
      </c>
      <c r="AM435" s="29">
        <f t="shared" si="354"/>
        <v>21094.080683982123</v>
      </c>
      <c r="AN435" s="30">
        <f t="shared" si="354"/>
        <v>28090.040570330799</v>
      </c>
      <c r="AO435" s="31">
        <f t="shared" si="354"/>
        <v>6491.3021200284547</v>
      </c>
      <c r="AP435" s="31">
        <f t="shared" si="354"/>
        <v>1298.2604240056912</v>
      </c>
      <c r="AQ435" s="32">
        <f t="shared" si="354"/>
        <v>145984.39199390597</v>
      </c>
      <c r="AR435" s="32">
        <f t="shared" si="354"/>
        <v>133468.02648509433</v>
      </c>
      <c r="AS435" s="32">
        <f t="shared" si="354"/>
        <v>555327.73562047631</v>
      </c>
      <c r="AT435" s="33">
        <f t="shared" si="354"/>
        <v>1414.5134550040209</v>
      </c>
      <c r="AU435" s="33">
        <f t="shared" si="354"/>
        <v>1876.8354419547734</v>
      </c>
      <c r="AV435" s="34" t="e">
        <f t="shared" si="354"/>
        <v>#DIV/0!</v>
      </c>
      <c r="AW435" s="34" t="e">
        <f t="shared" si="354"/>
        <v>#DIV/0!</v>
      </c>
      <c r="AX435" s="35" t="e">
        <f t="shared" si="354"/>
        <v>#NUM!</v>
      </c>
      <c r="AY435" s="35" t="e">
        <f t="shared" si="354"/>
        <v>#NUM!</v>
      </c>
      <c r="AZ435" t="e">
        <f>NA()</f>
        <v>#N/A</v>
      </c>
    </row>
    <row r="436" spans="4:52" x14ac:dyDescent="0.3">
      <c r="D436">
        <v>51</v>
      </c>
      <c r="F436">
        <v>50</v>
      </c>
      <c r="G436" s="28"/>
      <c r="H436" s="28"/>
      <c r="I436" s="28"/>
      <c r="J436" s="28"/>
      <c r="K436" s="28"/>
      <c r="L436" s="29"/>
      <c r="M436" s="30"/>
      <c r="N436" s="31"/>
      <c r="O436" s="31"/>
      <c r="P436" s="32"/>
      <c r="Q436" s="32"/>
      <c r="R436" s="32"/>
      <c r="S436" s="33"/>
      <c r="T436" s="33"/>
      <c r="U436" s="34"/>
      <c r="V436" s="34"/>
      <c r="W436" s="35"/>
      <c r="X436" s="35"/>
      <c r="Y436" t="e">
        <f>NA()</f>
        <v>#N/A</v>
      </c>
      <c r="AE436">
        <v>51</v>
      </c>
      <c r="AG436">
        <f t="shared" si="305"/>
        <v>49.535774030139265</v>
      </c>
      <c r="AH436" s="28">
        <f t="shared" ref="AH436:AY436" si="355">300*AH364*AH136</f>
        <v>49459.087435288333</v>
      </c>
      <c r="AI436" s="28">
        <f t="shared" si="355"/>
        <v>93972.064562508851</v>
      </c>
      <c r="AJ436" s="28">
        <f t="shared" si="355"/>
        <v>98381.538347879177</v>
      </c>
      <c r="AK436" s="28">
        <f t="shared" si="355"/>
        <v>92439.07265771048</v>
      </c>
      <c r="AL436" s="28">
        <f t="shared" si="355"/>
        <v>29377.611168351414</v>
      </c>
      <c r="AM436" s="29">
        <f t="shared" si="355"/>
        <v>21179.182810915911</v>
      </c>
      <c r="AN436" s="30">
        <f t="shared" si="355"/>
        <v>28508.831872237701</v>
      </c>
      <c r="AO436" s="31">
        <f t="shared" si="355"/>
        <v>6586.8501639702999</v>
      </c>
      <c r="AP436" s="31">
        <f t="shared" si="355"/>
        <v>1317.3700327940601</v>
      </c>
      <c r="AQ436" s="32">
        <f t="shared" si="355"/>
        <v>147420.03614533704</v>
      </c>
      <c r="AR436" s="32">
        <f t="shared" si="355"/>
        <v>134567.06012669625</v>
      </c>
      <c r="AS436" s="32">
        <f t="shared" si="355"/>
        <v>557469.51105675567</v>
      </c>
      <c r="AT436" s="33">
        <f t="shared" si="355"/>
        <v>1428.9153188150074</v>
      </c>
      <c r="AU436" s="33">
        <f t="shared" si="355"/>
        <v>1897.3475809478514</v>
      </c>
      <c r="AV436" s="34" t="e">
        <f t="shared" si="355"/>
        <v>#DIV/0!</v>
      </c>
      <c r="AW436" s="34" t="e">
        <f t="shared" si="355"/>
        <v>#DIV/0!</v>
      </c>
      <c r="AX436" s="35" t="e">
        <f t="shared" si="355"/>
        <v>#NUM!</v>
      </c>
      <c r="AY436" s="35" t="e">
        <f t="shared" si="355"/>
        <v>#NUM!</v>
      </c>
      <c r="AZ436" t="e">
        <f>NA()</f>
        <v>#N/A</v>
      </c>
    </row>
    <row r="437" spans="4:52" x14ac:dyDescent="0.3">
      <c r="D437">
        <v>52</v>
      </c>
      <c r="F437">
        <v>51</v>
      </c>
      <c r="G437" s="28"/>
      <c r="H437" s="28"/>
      <c r="I437" s="28"/>
      <c r="J437" s="28"/>
      <c r="K437" s="28"/>
      <c r="L437" s="29"/>
      <c r="M437" s="30"/>
      <c r="N437" s="31"/>
      <c r="O437" s="31"/>
      <c r="P437" s="32"/>
      <c r="Q437" s="32"/>
      <c r="R437" s="32"/>
      <c r="S437" s="33"/>
      <c r="T437" s="33"/>
      <c r="U437" s="34"/>
      <c r="V437" s="34"/>
      <c r="W437" s="35"/>
      <c r="X437" s="35"/>
      <c r="Y437" t="e">
        <f>NA()</f>
        <v>#N/A</v>
      </c>
      <c r="AE437">
        <v>52</v>
      </c>
      <c r="AG437">
        <f t="shared" si="305"/>
        <v>50.306638016924872</v>
      </c>
      <c r="AH437" s="28">
        <f t="shared" ref="AH437:AY437" si="356">300*AH365*AH137</f>
        <v>49915.139807690481</v>
      </c>
      <c r="AI437" s="28">
        <f t="shared" si="356"/>
        <v>94970.026437053311</v>
      </c>
      <c r="AJ437" s="28">
        <f t="shared" si="356"/>
        <v>99625.074788528073</v>
      </c>
      <c r="AK437" s="28">
        <f t="shared" si="356"/>
        <v>93387.953681115978</v>
      </c>
      <c r="AL437" s="28">
        <f t="shared" si="356"/>
        <v>29621.959238252592</v>
      </c>
      <c r="AM437" s="29">
        <f t="shared" si="356"/>
        <v>21252.899305424373</v>
      </c>
      <c r="AN437" s="30">
        <f t="shared" si="356"/>
        <v>28887.85914336787</v>
      </c>
      <c r="AO437" s="31">
        <f t="shared" si="356"/>
        <v>6673.7169593960043</v>
      </c>
      <c r="AP437" s="31">
        <f t="shared" si="356"/>
        <v>1334.7433918792012</v>
      </c>
      <c r="AQ437" s="32">
        <f t="shared" si="356"/>
        <v>148714.47451326586</v>
      </c>
      <c r="AR437" s="32">
        <f t="shared" si="356"/>
        <v>135547.85015847115</v>
      </c>
      <c r="AS437" s="32">
        <f t="shared" si="356"/>
        <v>559320.35023160453</v>
      </c>
      <c r="AT437" s="33">
        <f t="shared" si="356"/>
        <v>1441.894889775652</v>
      </c>
      <c r="AU437" s="33">
        <f t="shared" si="356"/>
        <v>1915.8021396148677</v>
      </c>
      <c r="AV437" s="34" t="e">
        <f t="shared" si="356"/>
        <v>#DIV/0!</v>
      </c>
      <c r="AW437" s="34" t="e">
        <f t="shared" si="356"/>
        <v>#DIV/0!</v>
      </c>
      <c r="AX437" s="35" t="e">
        <f t="shared" si="356"/>
        <v>#NUM!</v>
      </c>
      <c r="AY437" s="35" t="e">
        <f t="shared" si="356"/>
        <v>#NUM!</v>
      </c>
      <c r="AZ437" t="e">
        <f>NA()</f>
        <v>#N/A</v>
      </c>
    </row>
    <row r="438" spans="4:52" x14ac:dyDescent="0.3">
      <c r="D438">
        <v>53</v>
      </c>
      <c r="F438">
        <v>52</v>
      </c>
      <c r="G438" s="28"/>
      <c r="H438" s="28"/>
      <c r="I438" s="28"/>
      <c r="J438" s="28"/>
      <c r="K438" s="28"/>
      <c r="L438" s="29"/>
      <c r="M438" s="30"/>
      <c r="N438" s="31"/>
      <c r="O438" s="31"/>
      <c r="P438" s="32"/>
      <c r="Q438" s="32"/>
      <c r="R438" s="32"/>
      <c r="S438" s="33"/>
      <c r="T438" s="33"/>
      <c r="U438" s="34"/>
      <c r="V438" s="34"/>
      <c r="W438" s="35"/>
      <c r="X438" s="35"/>
      <c r="Y438" t="e">
        <f>NA()</f>
        <v>#N/A</v>
      </c>
      <c r="AE438">
        <v>53</v>
      </c>
      <c r="AG438">
        <f t="shared" si="305"/>
        <v>51.016955441198782</v>
      </c>
      <c r="AH438" s="28">
        <f t="shared" ref="AH438:AY438" si="357">300*AH366*AH138</f>
        <v>50318.336657891508</v>
      </c>
      <c r="AI438" s="28">
        <f t="shared" si="357"/>
        <v>95873.607466871428</v>
      </c>
      <c r="AJ438" s="28">
        <f t="shared" si="357"/>
        <v>100742.66397428024</v>
      </c>
      <c r="AK438" s="28">
        <f t="shared" si="357"/>
        <v>94246.299762479233</v>
      </c>
      <c r="AL438" s="28">
        <f t="shared" si="357"/>
        <v>29835.730530873971</v>
      </c>
      <c r="AM438" s="29">
        <f t="shared" si="357"/>
        <v>21317.055343129676</v>
      </c>
      <c r="AN438" s="30">
        <f t="shared" si="357"/>
        <v>29231.326649775598</v>
      </c>
      <c r="AO438" s="31">
        <f t="shared" si="357"/>
        <v>6752.7649941399059</v>
      </c>
      <c r="AP438" s="31">
        <f t="shared" si="357"/>
        <v>1350.5529988279811</v>
      </c>
      <c r="AQ438" s="32">
        <f t="shared" si="357"/>
        <v>149883.52285145095</v>
      </c>
      <c r="AR438" s="32">
        <f t="shared" si="357"/>
        <v>136425.2269447865</v>
      </c>
      <c r="AS438" s="32">
        <f t="shared" si="357"/>
        <v>560927.6316184731</v>
      </c>
      <c r="AT438" s="33">
        <f t="shared" si="357"/>
        <v>1453.6121432977463</v>
      </c>
      <c r="AU438" s="33">
        <f t="shared" si="357"/>
        <v>1932.4346326699676</v>
      </c>
      <c r="AV438" s="34" t="e">
        <f t="shared" si="357"/>
        <v>#DIV/0!</v>
      </c>
      <c r="AW438" s="34" t="e">
        <f t="shared" si="357"/>
        <v>#DIV/0!</v>
      </c>
      <c r="AX438" s="35" t="e">
        <f t="shared" si="357"/>
        <v>#NUM!</v>
      </c>
      <c r="AY438" s="35" t="e">
        <f t="shared" si="357"/>
        <v>#NUM!</v>
      </c>
      <c r="AZ438" t="e">
        <f>NA()</f>
        <v>#N/A</v>
      </c>
    </row>
    <row r="439" spans="4:52" x14ac:dyDescent="0.3">
      <c r="D439">
        <v>54</v>
      </c>
      <c r="F439">
        <v>53</v>
      </c>
      <c r="G439" s="28"/>
      <c r="H439" s="28"/>
      <c r="I439" s="28"/>
      <c r="J439" s="28"/>
      <c r="K439" s="28"/>
      <c r="L439" s="29"/>
      <c r="M439" s="30"/>
      <c r="N439" s="31"/>
      <c r="O439" s="31"/>
      <c r="P439" s="32"/>
      <c r="Q439" s="32"/>
      <c r="R439" s="32"/>
      <c r="S439" s="33"/>
      <c r="T439" s="33"/>
      <c r="U439" s="34"/>
      <c r="V439" s="34"/>
      <c r="W439" s="35"/>
      <c r="X439" s="35"/>
      <c r="Y439" t="e">
        <f>NA()</f>
        <v>#N/A</v>
      </c>
      <c r="AE439">
        <v>54</v>
      </c>
      <c r="AG439">
        <f t="shared" si="305"/>
        <v>51.671481858149477</v>
      </c>
      <c r="AH439" s="28">
        <f t="shared" ref="AH439:AY439" si="358">300*AH367*AH139</f>
        <v>50675.861136952604</v>
      </c>
      <c r="AI439" s="28">
        <f t="shared" si="358"/>
        <v>96692.796464729108</v>
      </c>
      <c r="AJ439" s="28">
        <f t="shared" si="358"/>
        <v>101748.78069311031</v>
      </c>
      <c r="AK439" s="28">
        <f t="shared" si="358"/>
        <v>95023.815198254742</v>
      </c>
      <c r="AL439" s="28">
        <f t="shared" si="358"/>
        <v>30023.534212617218</v>
      </c>
      <c r="AM439" s="29">
        <f t="shared" si="358"/>
        <v>21373.135641022949</v>
      </c>
      <c r="AN439" s="30">
        <f t="shared" si="358"/>
        <v>29542.937724678522</v>
      </c>
      <c r="AO439" s="31">
        <f t="shared" si="358"/>
        <v>6824.7614915679133</v>
      </c>
      <c r="AP439" s="31">
        <f t="shared" si="358"/>
        <v>1364.9522983135828</v>
      </c>
      <c r="AQ439" s="32">
        <f t="shared" si="358"/>
        <v>150940.94474546687</v>
      </c>
      <c r="AR439" s="32">
        <f t="shared" si="358"/>
        <v>137211.85236827494</v>
      </c>
      <c r="AS439" s="32">
        <f t="shared" si="358"/>
        <v>562329.76384856668</v>
      </c>
      <c r="AT439" s="33">
        <f t="shared" si="358"/>
        <v>1464.2062472761861</v>
      </c>
      <c r="AU439" s="33">
        <f t="shared" si="358"/>
        <v>1947.4495222808603</v>
      </c>
      <c r="AV439" s="34" t="e">
        <f t="shared" si="358"/>
        <v>#DIV/0!</v>
      </c>
      <c r="AW439" s="34" t="e">
        <f t="shared" si="358"/>
        <v>#DIV/0!</v>
      </c>
      <c r="AX439" s="35" t="e">
        <f t="shared" si="358"/>
        <v>#NUM!</v>
      </c>
      <c r="AY439" s="35" t="e">
        <f t="shared" si="358"/>
        <v>#NUM!</v>
      </c>
      <c r="AZ439" t="e">
        <f>NA()</f>
        <v>#N/A</v>
      </c>
    </row>
    <row r="440" spans="4:52" x14ac:dyDescent="0.3">
      <c r="D440">
        <v>55</v>
      </c>
      <c r="F440">
        <v>54</v>
      </c>
      <c r="G440" s="28"/>
      <c r="H440" s="28"/>
      <c r="I440" s="28"/>
      <c r="J440" s="28"/>
      <c r="K440" s="28"/>
      <c r="L440" s="29"/>
      <c r="M440" s="30"/>
      <c r="N440" s="31"/>
      <c r="O440" s="31"/>
      <c r="P440" s="32"/>
      <c r="Q440" s="32"/>
      <c r="R440" s="32"/>
      <c r="S440" s="33"/>
      <c r="T440" s="33"/>
      <c r="U440" s="34"/>
      <c r="V440" s="34"/>
      <c r="W440" s="35"/>
      <c r="X440" s="35"/>
      <c r="Y440" t="e">
        <f>NA()</f>
        <v>#N/A</v>
      </c>
      <c r="AE440">
        <v>55</v>
      </c>
      <c r="AG440">
        <f t="shared" si="305"/>
        <v>52.274599303739727</v>
      </c>
      <c r="AH440" s="28">
        <f t="shared" ref="AH440:AY440" si="359">300*AH368*AH140</f>
        <v>50993.77068643002</v>
      </c>
      <c r="AI440" s="28">
        <f t="shared" si="359"/>
        <v>97436.375000928922</v>
      </c>
      <c r="AJ440" s="28">
        <f t="shared" si="359"/>
        <v>102656.01347035285</v>
      </c>
      <c r="AK440" s="28">
        <f t="shared" si="359"/>
        <v>95729.012788883905</v>
      </c>
      <c r="AL440" s="28">
        <f t="shared" si="359"/>
        <v>30189.156549823227</v>
      </c>
      <c r="AM440" s="29">
        <f t="shared" si="359"/>
        <v>21422.355836831844</v>
      </c>
      <c r="AN440" s="30">
        <f t="shared" si="359"/>
        <v>29825.960856009173</v>
      </c>
      <c r="AO440" s="31">
        <f t="shared" si="359"/>
        <v>6890.3899719071242</v>
      </c>
      <c r="AP440" s="31">
        <f t="shared" si="359"/>
        <v>1378.077994381425</v>
      </c>
      <c r="AQ440" s="32">
        <f t="shared" si="359"/>
        <v>151898.75677665899</v>
      </c>
      <c r="AR440" s="32">
        <f t="shared" si="359"/>
        <v>137918.58034701881</v>
      </c>
      <c r="AS440" s="32">
        <f t="shared" si="359"/>
        <v>563558.09251199337</v>
      </c>
      <c r="AT440" s="33">
        <f t="shared" si="359"/>
        <v>1473.7986516162553</v>
      </c>
      <c r="AU440" s="33">
        <f t="shared" si="359"/>
        <v>1961.0248453458796</v>
      </c>
      <c r="AV440" s="34" t="e">
        <f t="shared" si="359"/>
        <v>#DIV/0!</v>
      </c>
      <c r="AW440" s="34" t="e">
        <f t="shared" si="359"/>
        <v>#DIV/0!</v>
      </c>
      <c r="AX440" s="35" t="e">
        <f t="shared" si="359"/>
        <v>#NUM!</v>
      </c>
      <c r="AY440" s="35" t="e">
        <f t="shared" si="359"/>
        <v>#NUM!</v>
      </c>
      <c r="AZ440" t="e">
        <f>NA()</f>
        <v>#N/A</v>
      </c>
    </row>
    <row r="441" spans="4:52" x14ac:dyDescent="0.3">
      <c r="D441">
        <v>56</v>
      </c>
      <c r="F441">
        <v>55</v>
      </c>
      <c r="G441" s="28"/>
      <c r="H441" s="28"/>
      <c r="I441" s="28"/>
      <c r="J441" s="28"/>
      <c r="K441" s="28"/>
      <c r="L441" s="29"/>
      <c r="M441" s="30"/>
      <c r="N441" s="31"/>
      <c r="O441" s="31"/>
      <c r="P441" s="32"/>
      <c r="Q441" s="32"/>
      <c r="R441" s="32"/>
      <c r="S441" s="33"/>
      <c r="T441" s="33"/>
      <c r="U441" s="34"/>
      <c r="V441" s="34"/>
      <c r="W441" s="35"/>
      <c r="X441" s="35"/>
      <c r="Y441" t="e">
        <f>NA()</f>
        <v>#N/A</v>
      </c>
      <c r="AE441">
        <v>56</v>
      </c>
      <c r="AG441">
        <f t="shared" si="305"/>
        <v>52.830345632314121</v>
      </c>
      <c r="AH441" s="28">
        <f t="shared" ref="AH441:AY441" si="360">300*AH369*AH141</f>
        <v>51277.193347397901</v>
      </c>
      <c r="AI441" s="28">
        <f t="shared" si="360"/>
        <v>98112.082939058455</v>
      </c>
      <c r="AJ441" s="28">
        <f t="shared" si="360"/>
        <v>103475.3345156537</v>
      </c>
      <c r="AK441" s="28">
        <f t="shared" si="360"/>
        <v>96369.380118776971</v>
      </c>
      <c r="AL441" s="28">
        <f t="shared" si="360"/>
        <v>30335.729897104131</v>
      </c>
      <c r="AM441" s="29">
        <f t="shared" si="360"/>
        <v>21465.717493702843</v>
      </c>
      <c r="AN441" s="30">
        <f t="shared" si="360"/>
        <v>30083.286555380026</v>
      </c>
      <c r="AO441" s="31">
        <f t="shared" si="360"/>
        <v>6950.2603494314089</v>
      </c>
      <c r="AP441" s="31">
        <f t="shared" si="360"/>
        <v>1390.052069886282</v>
      </c>
      <c r="AQ441" s="32">
        <f t="shared" si="360"/>
        <v>152767.48312114831</v>
      </c>
      <c r="AR441" s="32">
        <f t="shared" si="360"/>
        <v>138554.75133402908</v>
      </c>
      <c r="AS441" s="32">
        <f t="shared" si="360"/>
        <v>564638.36371194059</v>
      </c>
      <c r="AT441" s="33">
        <f t="shared" si="360"/>
        <v>1482.4956695300548</v>
      </c>
      <c r="AU441" s="33">
        <f t="shared" si="360"/>
        <v>1973.3160886217138</v>
      </c>
      <c r="AV441" s="34" t="e">
        <f t="shared" si="360"/>
        <v>#DIV/0!</v>
      </c>
      <c r="AW441" s="34" t="e">
        <f t="shared" si="360"/>
        <v>#DIV/0!</v>
      </c>
      <c r="AX441" s="35" t="e">
        <f t="shared" si="360"/>
        <v>#NUM!</v>
      </c>
      <c r="AY441" s="35" t="e">
        <f t="shared" si="360"/>
        <v>#NUM!</v>
      </c>
      <c r="AZ441" t="e">
        <f>NA()</f>
        <v>#N/A</v>
      </c>
    </row>
    <row r="442" spans="4:52" x14ac:dyDescent="0.3">
      <c r="D442">
        <v>57</v>
      </c>
      <c r="F442">
        <v>56</v>
      </c>
      <c r="G442" s="28"/>
      <c r="H442" s="28"/>
      <c r="I442" s="28"/>
      <c r="J442" s="28"/>
      <c r="K442" s="28"/>
      <c r="L442" s="29"/>
      <c r="M442" s="30"/>
      <c r="N442" s="31"/>
      <c r="O442" s="31"/>
      <c r="P442" s="32"/>
      <c r="Q442" s="32"/>
      <c r="R442" s="32"/>
      <c r="S442" s="33"/>
      <c r="T442" s="33"/>
      <c r="U442" s="34"/>
      <c r="V442" s="34"/>
      <c r="W442" s="35"/>
      <c r="X442" s="35"/>
      <c r="Y442" t="e">
        <f>NA()</f>
        <v>#N/A</v>
      </c>
      <c r="AE442">
        <v>57</v>
      </c>
      <c r="AG442">
        <f t="shared" si="305"/>
        <v>53.342441549920437</v>
      </c>
      <c r="AH442" s="28">
        <f t="shared" ref="AH442:AY442" si="361">300*AH370*AH142</f>
        <v>51530.487400711041</v>
      </c>
      <c r="AI442" s="28">
        <f t="shared" si="361"/>
        <v>98726.75896931524</v>
      </c>
      <c r="AJ442" s="28">
        <f t="shared" si="361"/>
        <v>104216.32959672164</v>
      </c>
      <c r="AK442" s="28">
        <f t="shared" si="361"/>
        <v>96951.520225525703</v>
      </c>
      <c r="AL442" s="28">
        <f t="shared" si="361"/>
        <v>30465.862702313592</v>
      </c>
      <c r="AM442" s="29">
        <f t="shared" si="361"/>
        <v>21504.050763282477</v>
      </c>
      <c r="AN442" s="30">
        <f t="shared" si="361"/>
        <v>30317.476264361652</v>
      </c>
      <c r="AO442" s="31">
        <f t="shared" si="361"/>
        <v>7004.9177369389317</v>
      </c>
      <c r="AP442" s="31">
        <f t="shared" si="361"/>
        <v>1400.9835473877865</v>
      </c>
      <c r="AQ442" s="32">
        <f t="shared" si="361"/>
        <v>153556.36864588517</v>
      </c>
      <c r="AR442" s="32">
        <f t="shared" si="361"/>
        <v>139128.43375144759</v>
      </c>
      <c r="AS442" s="32">
        <f t="shared" si="361"/>
        <v>565591.85496278689</v>
      </c>
      <c r="AT442" s="33">
        <f t="shared" si="361"/>
        <v>1490.3906402808161</v>
      </c>
      <c r="AU442" s="33">
        <f t="shared" si="361"/>
        <v>1984.4594397407152</v>
      </c>
      <c r="AV442" s="34" t="e">
        <f t="shared" si="361"/>
        <v>#DIV/0!</v>
      </c>
      <c r="AW442" s="34" t="e">
        <f t="shared" si="361"/>
        <v>#DIV/0!</v>
      </c>
      <c r="AX442" s="35" t="e">
        <f t="shared" si="361"/>
        <v>#NUM!</v>
      </c>
      <c r="AY442" s="35" t="e">
        <f t="shared" si="361"/>
        <v>#NUM!</v>
      </c>
      <c r="AZ442" t="e">
        <f>NA()</f>
        <v>#N/A</v>
      </c>
    </row>
    <row r="443" spans="4:52" x14ac:dyDescent="0.3">
      <c r="D443">
        <v>58</v>
      </c>
      <c r="F443">
        <v>57</v>
      </c>
      <c r="G443" s="28"/>
      <c r="H443" s="28"/>
      <c r="I443" s="28"/>
      <c r="J443" s="28"/>
      <c r="K443" s="28"/>
      <c r="L443" s="29"/>
      <c r="M443" s="30"/>
      <c r="N443" s="31"/>
      <c r="O443" s="31"/>
      <c r="P443" s="32"/>
      <c r="Q443" s="32"/>
      <c r="R443" s="32"/>
      <c r="S443" s="33"/>
      <c r="T443" s="33"/>
      <c r="U443" s="34"/>
      <c r="V443" s="34"/>
      <c r="W443" s="35"/>
      <c r="X443" s="35"/>
      <c r="Y443" t="e">
        <f>NA()</f>
        <v>#N/A</v>
      </c>
      <c r="AE443">
        <v>58</v>
      </c>
      <c r="AG443">
        <f t="shared" si="305"/>
        <v>53.814315524332059</v>
      </c>
      <c r="AH443" s="28">
        <f t="shared" ref="AH443:AY443" si="362">300*AH371*AH143</f>
        <v>51757.371396636241</v>
      </c>
      <c r="AI443" s="28">
        <f t="shared" si="362"/>
        <v>99286.460135273825</v>
      </c>
      <c r="AJ443" s="28">
        <f t="shared" si="362"/>
        <v>104887.39342823501</v>
      </c>
      <c r="AK443" s="28">
        <f t="shared" si="362"/>
        <v>97481.2708503389</v>
      </c>
      <c r="AL443" s="28">
        <f t="shared" si="362"/>
        <v>30581.740481808771</v>
      </c>
      <c r="AM443" s="29">
        <f t="shared" si="362"/>
        <v>21538.047689086696</v>
      </c>
      <c r="AN443" s="30">
        <f t="shared" si="362"/>
        <v>30530.804416945681</v>
      </c>
      <c r="AO443" s="31">
        <f t="shared" si="362"/>
        <v>7054.8501179395316</v>
      </c>
      <c r="AP443" s="31">
        <f t="shared" si="362"/>
        <v>1410.9700235879063</v>
      </c>
      <c r="AQ443" s="32">
        <f t="shared" si="362"/>
        <v>154273.55785291153</v>
      </c>
      <c r="AR443" s="32">
        <f t="shared" si="362"/>
        <v>139646.62265432437</v>
      </c>
      <c r="AS443" s="32">
        <f t="shared" si="362"/>
        <v>566436.25482475734</v>
      </c>
      <c r="AT443" s="33">
        <f t="shared" si="362"/>
        <v>1497.5657466059661</v>
      </c>
      <c r="AU443" s="33">
        <f t="shared" si="362"/>
        <v>1994.5745204828527</v>
      </c>
      <c r="AV443" s="34" t="e">
        <f t="shared" si="362"/>
        <v>#DIV/0!</v>
      </c>
      <c r="AW443" s="34" t="e">
        <f t="shared" si="362"/>
        <v>#DIV/0!</v>
      </c>
      <c r="AX443" s="35" t="e">
        <f t="shared" si="362"/>
        <v>#NUM!</v>
      </c>
      <c r="AY443" s="35" t="e">
        <f t="shared" si="362"/>
        <v>#NUM!</v>
      </c>
      <c r="AZ443" t="e">
        <f>NA()</f>
        <v>#N/A</v>
      </c>
    </row>
    <row r="444" spans="4:52" x14ac:dyDescent="0.3">
      <c r="D444">
        <v>59</v>
      </c>
      <c r="F444">
        <v>58</v>
      </c>
      <c r="G444" s="28"/>
      <c r="H444" s="28"/>
      <c r="I444" s="28"/>
      <c r="J444" s="28"/>
      <c r="K444" s="28"/>
      <c r="L444" s="29"/>
      <c r="M444" s="30"/>
      <c r="N444" s="31"/>
      <c r="O444" s="31"/>
      <c r="P444" s="32"/>
      <c r="Q444" s="32"/>
      <c r="R444" s="32"/>
      <c r="S444" s="33"/>
      <c r="T444" s="33"/>
      <c r="U444" s="34"/>
      <c r="V444" s="34"/>
      <c r="W444" s="35"/>
      <c r="X444" s="35"/>
      <c r="Y444" t="e">
        <f>NA()</f>
        <v>#N/A</v>
      </c>
      <c r="AE444">
        <v>59</v>
      </c>
      <c r="AG444">
        <f t="shared" si="305"/>
        <v>54.249126738543261</v>
      </c>
      <c r="AH444" s="28">
        <f t="shared" ref="AH444:AY444" si="363">300*AH372*AH144</f>
        <v>51961.030304559208</v>
      </c>
      <c r="AI444" s="28">
        <f t="shared" si="363"/>
        <v>99796.563707436799</v>
      </c>
      <c r="AJ444" s="28">
        <f t="shared" si="363"/>
        <v>105495.89563548994</v>
      </c>
      <c r="AK444" s="28">
        <f t="shared" si="363"/>
        <v>97963.805763987431</v>
      </c>
      <c r="AL444" s="28">
        <f t="shared" si="363"/>
        <v>30685.204932550856</v>
      </c>
      <c r="AM444" s="29">
        <f t="shared" si="363"/>
        <v>21568.288367184894</v>
      </c>
      <c r="AN444" s="30">
        <f t="shared" si="363"/>
        <v>30725.294638701245</v>
      </c>
      <c r="AO444" s="31">
        <f t="shared" si="363"/>
        <v>7100.4950323168714</v>
      </c>
      <c r="AP444" s="31">
        <f t="shared" si="363"/>
        <v>1420.0990064633745</v>
      </c>
      <c r="AQ444" s="32">
        <f t="shared" si="363"/>
        <v>154926.2456431482</v>
      </c>
      <c r="AR444" s="32">
        <f t="shared" si="363"/>
        <v>140115.40381620362</v>
      </c>
      <c r="AS444" s="32">
        <f t="shared" si="363"/>
        <v>567186.35152782744</v>
      </c>
      <c r="AT444" s="33">
        <f t="shared" si="363"/>
        <v>1504.0935466156675</v>
      </c>
      <c r="AU444" s="33">
        <f t="shared" si="363"/>
        <v>2003.7666902815608</v>
      </c>
      <c r="AV444" s="34" t="e">
        <f t="shared" si="363"/>
        <v>#DIV/0!</v>
      </c>
      <c r="AW444" s="34" t="e">
        <f t="shared" si="363"/>
        <v>#DIV/0!</v>
      </c>
      <c r="AX444" s="35" t="e">
        <f t="shared" si="363"/>
        <v>#NUM!</v>
      </c>
      <c r="AY444" s="35" t="e">
        <f t="shared" si="363"/>
        <v>#NUM!</v>
      </c>
      <c r="AZ444" t="e">
        <f>NA()</f>
        <v>#N/A</v>
      </c>
    </row>
    <row r="445" spans="4:52" x14ac:dyDescent="0.3">
      <c r="D445">
        <v>60</v>
      </c>
      <c r="F445">
        <v>59</v>
      </c>
      <c r="G445" s="28"/>
      <c r="H445" s="28"/>
      <c r="I445" s="28"/>
      <c r="J445" s="28"/>
      <c r="K445" s="28"/>
      <c r="L445" s="29"/>
      <c r="M445" s="30"/>
      <c r="N445" s="31"/>
      <c r="O445" s="31"/>
      <c r="P445" s="32"/>
      <c r="Q445" s="32"/>
      <c r="R445" s="32"/>
      <c r="S445" s="33"/>
      <c r="T445" s="33"/>
      <c r="U445" s="34"/>
      <c r="V445" s="34"/>
      <c r="W445" s="35"/>
      <c r="X445" s="35"/>
      <c r="Y445" t="e">
        <f>NA()</f>
        <v>#N/A</v>
      </c>
      <c r="AE445">
        <v>60</v>
      </c>
      <c r="AG445">
        <f t="shared" si="305"/>
        <v>54.649786241410681</v>
      </c>
      <c r="AH445" s="28">
        <f t="shared" ref="AH445:AY445" si="364">300*AH373*AH145</f>
        <v>52144.202402544688</v>
      </c>
      <c r="AI445" s="28">
        <f t="shared" si="364"/>
        <v>100261.85420920805</v>
      </c>
      <c r="AJ445" s="28">
        <f t="shared" si="364"/>
        <v>106048.32174706635</v>
      </c>
      <c r="AK445" s="28">
        <f t="shared" si="364"/>
        <v>98403.721074710731</v>
      </c>
      <c r="AL445" s="28">
        <f t="shared" si="364"/>
        <v>30777.816410525094</v>
      </c>
      <c r="AM445" s="29">
        <f t="shared" si="364"/>
        <v>21595.261622179903</v>
      </c>
      <c r="AN445" s="30">
        <f t="shared" si="364"/>
        <v>30902.750932352592</v>
      </c>
      <c r="AO445" s="31">
        <f t="shared" si="364"/>
        <v>7142.2454054303471</v>
      </c>
      <c r="AP445" s="31">
        <f t="shared" si="364"/>
        <v>1428.4490810860696</v>
      </c>
      <c r="AQ445" s="32">
        <f t="shared" si="364"/>
        <v>155520.80475918716</v>
      </c>
      <c r="AR445" s="32">
        <f t="shared" si="364"/>
        <v>140540.0897680434</v>
      </c>
      <c r="AS445" s="32">
        <f t="shared" si="364"/>
        <v>567854.57545855187</v>
      </c>
      <c r="AT445" s="33">
        <f t="shared" si="364"/>
        <v>1510.0382690321744</v>
      </c>
      <c r="AU445" s="33">
        <f t="shared" si="364"/>
        <v>2012.1289925622523</v>
      </c>
      <c r="AV445" s="34" t="e">
        <f t="shared" si="364"/>
        <v>#DIV/0!</v>
      </c>
      <c r="AW445" s="34" t="e">
        <f t="shared" si="364"/>
        <v>#DIV/0!</v>
      </c>
      <c r="AX445" s="35" t="e">
        <f t="shared" si="364"/>
        <v>#NUM!</v>
      </c>
      <c r="AY445" s="35" t="e">
        <f t="shared" si="364"/>
        <v>#NUM!</v>
      </c>
      <c r="AZ445" t="e">
        <f>NA()</f>
        <v>#N/A</v>
      </c>
    </row>
    <row r="446" spans="4:52" x14ac:dyDescent="0.3">
      <c r="D446">
        <v>61</v>
      </c>
      <c r="F446">
        <v>60</v>
      </c>
      <c r="G446" s="28"/>
      <c r="H446" s="28"/>
      <c r="I446" s="28"/>
      <c r="J446" s="28"/>
      <c r="K446" s="28"/>
      <c r="L446" s="29"/>
      <c r="M446" s="30"/>
      <c r="N446" s="31"/>
      <c r="O446" s="31"/>
      <c r="P446" s="32"/>
      <c r="Q446" s="32"/>
      <c r="R446" s="32"/>
      <c r="S446" s="33"/>
      <c r="T446" s="33"/>
      <c r="U446" s="34"/>
      <c r="V446" s="34"/>
      <c r="W446" s="35"/>
      <c r="X446" s="35"/>
      <c r="Y446" t="e">
        <f>NA()</f>
        <v>#N/A</v>
      </c>
      <c r="AE446">
        <v>61</v>
      </c>
      <c r="AG446">
        <f t="shared" si="305"/>
        <v>55.01897643704347</v>
      </c>
      <c r="AH446" s="28">
        <f t="shared" ref="AH446:AY446" si="365">300*AH374*AH146</f>
        <v>52309.250615987577</v>
      </c>
      <c r="AI446" s="28">
        <f t="shared" si="365"/>
        <v>100686.59793892875</v>
      </c>
      <c r="AJ446" s="28">
        <f t="shared" si="365"/>
        <v>106550.39306826319</v>
      </c>
      <c r="AK446" s="28">
        <f t="shared" si="365"/>
        <v>98805.10893337024</v>
      </c>
      <c r="AL446" s="28">
        <f t="shared" si="365"/>
        <v>30860.90363727888</v>
      </c>
      <c r="AM446" s="29">
        <f t="shared" si="365"/>
        <v>21619.381445776951</v>
      </c>
      <c r="AN446" s="30">
        <f t="shared" si="365"/>
        <v>31064.784580562016</v>
      </c>
      <c r="AO446" s="31">
        <f t="shared" si="365"/>
        <v>7180.4546350753526</v>
      </c>
      <c r="AP446" s="31">
        <f t="shared" si="365"/>
        <v>1436.0909270150705</v>
      </c>
      <c r="AQ446" s="32">
        <f t="shared" si="365"/>
        <v>156062.89387053013</v>
      </c>
      <c r="AR446" s="32">
        <f t="shared" si="365"/>
        <v>140925.33301054983</v>
      </c>
      <c r="AS446" s="32">
        <f t="shared" si="365"/>
        <v>568451.42913581349</v>
      </c>
      <c r="AT446" s="33">
        <f t="shared" si="365"/>
        <v>1515.4569117572253</v>
      </c>
      <c r="AU446" s="33">
        <f t="shared" si="365"/>
        <v>2019.7438037594654</v>
      </c>
      <c r="AV446" s="34" t="e">
        <f t="shared" si="365"/>
        <v>#DIV/0!</v>
      </c>
      <c r="AW446" s="34" t="e">
        <f t="shared" si="365"/>
        <v>#DIV/0!</v>
      </c>
      <c r="AX446" s="35" t="e">
        <f t="shared" si="365"/>
        <v>#NUM!</v>
      </c>
      <c r="AY446" s="35" t="e">
        <f t="shared" si="365"/>
        <v>#NUM!</v>
      </c>
      <c r="AZ446" t="e">
        <f>NA()</f>
        <v>#N/A</v>
      </c>
    </row>
    <row r="447" spans="4:52" x14ac:dyDescent="0.3">
      <c r="D447">
        <v>62</v>
      </c>
      <c r="F447">
        <v>61</v>
      </c>
      <c r="G447" s="28"/>
      <c r="H447" s="28"/>
      <c r="I447" s="28"/>
      <c r="J447" s="28"/>
      <c r="K447" s="28"/>
      <c r="L447" s="29"/>
      <c r="M447" s="30"/>
      <c r="N447" s="31"/>
      <c r="O447" s="31"/>
      <c r="P447" s="32"/>
      <c r="Q447" s="32"/>
      <c r="R447" s="32"/>
      <c r="S447" s="33"/>
      <c r="T447" s="33"/>
      <c r="U447" s="34"/>
      <c r="V447" s="34"/>
      <c r="W447" s="35"/>
      <c r="X447" s="35"/>
      <c r="Y447" t="e">
        <f>NA()</f>
        <v>#N/A</v>
      </c>
      <c r="AE447">
        <v>62</v>
      </c>
      <c r="AG447">
        <f t="shared" si="305"/>
        <v>55.359169043423464</v>
      </c>
      <c r="AH447" s="28">
        <f t="shared" ref="AH447:AY447" si="366">300*AH375*AH147</f>
        <v>52458.221277854522</v>
      </c>
      <c r="AI447" s="28">
        <f t="shared" si="366"/>
        <v>101074.60694457454</v>
      </c>
      <c r="AJ447" s="28">
        <f t="shared" si="366"/>
        <v>107007.16872700684</v>
      </c>
      <c r="AK447" s="28">
        <f t="shared" si="366"/>
        <v>99171.620642895359</v>
      </c>
      <c r="AL447" s="28">
        <f t="shared" si="366"/>
        <v>30935.603517099604</v>
      </c>
      <c r="AM447" s="29">
        <f t="shared" si="366"/>
        <v>21641.000141894685</v>
      </c>
      <c r="AN447" s="30">
        <f t="shared" si="366"/>
        <v>31212.837391134824</v>
      </c>
      <c r="AO447" s="31">
        <f t="shared" si="366"/>
        <v>7215.4410361674491</v>
      </c>
      <c r="AP447" s="31">
        <f t="shared" si="366"/>
        <v>1443.0882072334898</v>
      </c>
      <c r="AQ447" s="32">
        <f t="shared" si="366"/>
        <v>156557.54954188954</v>
      </c>
      <c r="AR447" s="32">
        <f t="shared" si="366"/>
        <v>141275.22058346932</v>
      </c>
      <c r="AS447" s="32">
        <f t="shared" si="366"/>
        <v>568985.83002876153</v>
      </c>
      <c r="AT447" s="33">
        <f t="shared" si="366"/>
        <v>1520.4001765485705</v>
      </c>
      <c r="AU447" s="33">
        <f t="shared" si="366"/>
        <v>2026.6842343438436</v>
      </c>
      <c r="AV447" s="34" t="e">
        <f t="shared" si="366"/>
        <v>#DIV/0!</v>
      </c>
      <c r="AW447" s="34" t="e">
        <f t="shared" si="366"/>
        <v>#DIV/0!</v>
      </c>
      <c r="AX447" s="35" t="e">
        <f t="shared" si="366"/>
        <v>#NUM!</v>
      </c>
      <c r="AY447" s="35" t="e">
        <f t="shared" si="366"/>
        <v>#NUM!</v>
      </c>
      <c r="AZ447" t="e">
        <f>NA()</f>
        <v>#N/A</v>
      </c>
    </row>
    <row r="448" spans="4:52" x14ac:dyDescent="0.3">
      <c r="D448">
        <v>63</v>
      </c>
      <c r="F448">
        <v>62</v>
      </c>
      <c r="G448" s="28"/>
      <c r="H448" s="28"/>
      <c r="I448" s="28"/>
      <c r="J448" s="28"/>
      <c r="K448" s="28"/>
      <c r="L448" s="29"/>
      <c r="M448" s="30"/>
      <c r="N448" s="31"/>
      <c r="O448" s="31"/>
      <c r="P448" s="32"/>
      <c r="Q448" s="32"/>
      <c r="R448" s="32"/>
      <c r="S448" s="33"/>
      <c r="T448" s="33"/>
      <c r="U448" s="34"/>
      <c r="V448" s="34"/>
      <c r="W448" s="35"/>
      <c r="X448" s="35"/>
      <c r="Y448" t="e">
        <f>NA()</f>
        <v>#N/A</v>
      </c>
      <c r="AE448">
        <v>63</v>
      </c>
      <c r="AG448">
        <f t="shared" si="305"/>
        <v>55.672641640487548</v>
      </c>
      <c r="AH448" s="28">
        <f t="shared" ref="AH448:AY448" si="367">300*AH376*AH148</f>
        <v>52592.892691600282</v>
      </c>
      <c r="AI448" s="28">
        <f t="shared" si="367"/>
        <v>101429.29408486359</v>
      </c>
      <c r="AJ448" s="28">
        <f t="shared" si="367"/>
        <v>107423.13268339714</v>
      </c>
      <c r="AK448" s="28">
        <f t="shared" si="367"/>
        <v>99506.520840842757</v>
      </c>
      <c r="AL448" s="28">
        <f t="shared" si="367"/>
        <v>31002.893237361535</v>
      </c>
      <c r="AM448" s="29">
        <f t="shared" si="367"/>
        <v>21660.418896958898</v>
      </c>
      <c r="AN448" s="30">
        <f t="shared" si="367"/>
        <v>31348.201817678684</v>
      </c>
      <c r="AO448" s="31">
        <f t="shared" si="367"/>
        <v>7247.4917298004248</v>
      </c>
      <c r="AP448" s="31">
        <f t="shared" si="367"/>
        <v>1449.4983459600849</v>
      </c>
      <c r="AQ448" s="32">
        <f t="shared" si="367"/>
        <v>157009.26474116751</v>
      </c>
      <c r="AR448" s="32">
        <f t="shared" si="367"/>
        <v>141593.35335478125</v>
      </c>
      <c r="AS448" s="32">
        <f t="shared" si="367"/>
        <v>569465.38545005419</v>
      </c>
      <c r="AT448" s="33">
        <f t="shared" si="367"/>
        <v>1524.9132667357126</v>
      </c>
      <c r="AU448" s="33">
        <f t="shared" si="367"/>
        <v>2033.0153225494325</v>
      </c>
      <c r="AV448" s="34" t="e">
        <f t="shared" si="367"/>
        <v>#DIV/0!</v>
      </c>
      <c r="AW448" s="34" t="e">
        <f t="shared" si="367"/>
        <v>#DIV/0!</v>
      </c>
      <c r="AX448" s="35" t="e">
        <f t="shared" si="367"/>
        <v>#NUM!</v>
      </c>
      <c r="AY448" s="35" t="e">
        <f t="shared" si="367"/>
        <v>#NUM!</v>
      </c>
      <c r="AZ448" t="e">
        <f>NA()</f>
        <v>#N/A</v>
      </c>
    </row>
    <row r="449" spans="4:52" x14ac:dyDescent="0.3">
      <c r="D449">
        <v>64</v>
      </c>
      <c r="F449">
        <v>63</v>
      </c>
      <c r="G449" s="28"/>
      <c r="H449" s="28"/>
      <c r="I449" s="28"/>
      <c r="J449" s="28"/>
      <c r="K449" s="28"/>
      <c r="L449" s="29"/>
      <c r="M449" s="30"/>
      <c r="N449" s="31"/>
      <c r="O449" s="31"/>
      <c r="P449" s="32"/>
      <c r="Q449" s="32"/>
      <c r="R449" s="32"/>
      <c r="S449" s="33"/>
      <c r="T449" s="33"/>
      <c r="U449" s="34"/>
      <c r="V449" s="34"/>
      <c r="W449" s="35"/>
      <c r="X449" s="35"/>
      <c r="Y449" t="e">
        <f>NA()</f>
        <v>#N/A</v>
      </c>
      <c r="AE449">
        <v>64</v>
      </c>
      <c r="AG449">
        <f t="shared" si="305"/>
        <v>55.961492918461353</v>
      </c>
      <c r="AH449" s="28">
        <f t="shared" ref="AH449:AY449" si="368">300*AH377*AH149</f>
        <v>52714.815405297522</v>
      </c>
      <c r="AI449" s="28">
        <f t="shared" si="368"/>
        <v>101753.72054193716</v>
      </c>
      <c r="AJ449" s="28">
        <f t="shared" si="368"/>
        <v>107802.26805749694</v>
      </c>
      <c r="AK449" s="28">
        <f t="shared" si="368"/>
        <v>99812.734144164919</v>
      </c>
      <c r="AL449" s="28">
        <f t="shared" si="368"/>
        <v>31063.616303999901</v>
      </c>
      <c r="AM449" s="29">
        <f t="shared" si="368"/>
        <v>21677.896325705409</v>
      </c>
      <c r="AN449" s="30">
        <f t="shared" si="368"/>
        <v>31472.038409144479</v>
      </c>
      <c r="AO449" s="31">
        <f t="shared" si="368"/>
        <v>7276.8660515615602</v>
      </c>
      <c r="AP449" s="31">
        <f t="shared" si="368"/>
        <v>1455.3732103123123</v>
      </c>
      <c r="AQ449" s="32">
        <f t="shared" si="368"/>
        <v>157422.05607098728</v>
      </c>
      <c r="AR449" s="32">
        <f t="shared" si="368"/>
        <v>141882.91274168354</v>
      </c>
      <c r="AS449" s="32">
        <f t="shared" si="368"/>
        <v>569896.61420301744</v>
      </c>
      <c r="AT449" s="33">
        <f t="shared" si="368"/>
        <v>1529.0365701496287</v>
      </c>
      <c r="AU449" s="33">
        <f t="shared" si="368"/>
        <v>2038.7950544040013</v>
      </c>
      <c r="AV449" s="34" t="e">
        <f t="shared" si="368"/>
        <v>#DIV/0!</v>
      </c>
      <c r="AW449" s="34" t="e">
        <f t="shared" si="368"/>
        <v>#DIV/0!</v>
      </c>
      <c r="AX449" s="35" t="e">
        <f t="shared" si="368"/>
        <v>#NUM!</v>
      </c>
      <c r="AY449" s="35" t="e">
        <f t="shared" si="368"/>
        <v>#NUM!</v>
      </c>
      <c r="AZ449" t="e">
        <f>NA()</f>
        <v>#N/A</v>
      </c>
    </row>
    <row r="450" spans="4:52" x14ac:dyDescent="0.3">
      <c r="D450">
        <v>65</v>
      </c>
      <c r="F450">
        <v>64</v>
      </c>
      <c r="G450" s="28"/>
      <c r="H450" s="28"/>
      <c r="I450" s="28"/>
      <c r="J450" s="28"/>
      <c r="K450" s="28"/>
      <c r="L450" s="29"/>
      <c r="M450" s="30"/>
      <c r="N450" s="31"/>
      <c r="O450" s="31"/>
      <c r="P450" s="32"/>
      <c r="Q450" s="32"/>
      <c r="R450" s="32"/>
      <c r="S450" s="33"/>
      <c r="T450" s="33"/>
      <c r="U450" s="34"/>
      <c r="V450" s="34"/>
      <c r="W450" s="35"/>
      <c r="X450" s="35"/>
      <c r="Y450" t="e">
        <f>NA()</f>
        <v>#N/A</v>
      </c>
      <c r="AE450">
        <v>65</v>
      </c>
      <c r="AG450">
        <f t="shared" si="305"/>
        <v>56.227656728531329</v>
      </c>
      <c r="AH450" s="28">
        <f t="shared" ref="AH450:AY450" si="369">300*AH378*AH150</f>
        <v>52825.345728864675</v>
      </c>
      <c r="AI450" s="28">
        <f t="shared" si="369"/>
        <v>102050.63692762867</v>
      </c>
      <c r="AJ450" s="28">
        <f t="shared" si="369"/>
        <v>108148.12075523312</v>
      </c>
      <c r="AK450" s="28">
        <f t="shared" si="369"/>
        <v>100092.88541410337</v>
      </c>
      <c r="AL450" s="28">
        <f t="shared" si="369"/>
        <v>31118.503778482722</v>
      </c>
      <c r="AM450" s="29">
        <f t="shared" si="369"/>
        <v>21693.655416360303</v>
      </c>
      <c r="AN450" s="30">
        <f t="shared" si="369"/>
        <v>31585.390973464164</v>
      </c>
      <c r="AO450" s="31">
        <f t="shared" si="369"/>
        <v>7303.7985436497011</v>
      </c>
      <c r="AP450" s="31">
        <f t="shared" si="369"/>
        <v>1460.7597087299403</v>
      </c>
      <c r="AQ450" s="32">
        <f t="shared" si="369"/>
        <v>157799.52152411375</v>
      </c>
      <c r="AR450" s="32">
        <f t="shared" si="369"/>
        <v>142146.71705741822</v>
      </c>
      <c r="AS450" s="32">
        <f t="shared" si="369"/>
        <v>570285.12625184038</v>
      </c>
      <c r="AT450" s="33">
        <f t="shared" si="369"/>
        <v>1532.8062455707009</v>
      </c>
      <c r="AU450" s="33">
        <f t="shared" si="369"/>
        <v>2044.0752378550133</v>
      </c>
      <c r="AV450" s="34" t="e">
        <f t="shared" si="369"/>
        <v>#DIV/0!</v>
      </c>
      <c r="AW450" s="34" t="e">
        <f t="shared" si="369"/>
        <v>#DIV/0!</v>
      </c>
      <c r="AX450" s="35" t="e">
        <f t="shared" si="369"/>
        <v>#NUM!</v>
      </c>
      <c r="AY450" s="35" t="e">
        <f t="shared" si="369"/>
        <v>#NUM!</v>
      </c>
      <c r="AZ450" t="e">
        <f>NA()</f>
        <v>#N/A</v>
      </c>
    </row>
    <row r="451" spans="4:52" x14ac:dyDescent="0.3">
      <c r="D451">
        <v>66</v>
      </c>
      <c r="F451">
        <v>65</v>
      </c>
      <c r="G451" s="28"/>
      <c r="H451" s="28"/>
      <c r="I451" s="28"/>
      <c r="J451" s="28"/>
      <c r="K451" s="28"/>
      <c r="L451" s="29"/>
      <c r="M451" s="30"/>
      <c r="N451" s="31"/>
      <c r="O451" s="31"/>
      <c r="P451" s="32"/>
      <c r="Q451" s="32"/>
      <c r="R451" s="32"/>
      <c r="S451" s="33"/>
      <c r="T451" s="33"/>
      <c r="U451" s="34"/>
      <c r="V451" s="34"/>
      <c r="W451" s="35"/>
      <c r="X451" s="35"/>
      <c r="Y451" t="e">
        <f>NA()</f>
        <v>#N/A</v>
      </c>
      <c r="AE451">
        <v>66</v>
      </c>
      <c r="AG451">
        <f t="shared" ref="AG451:AG456" si="370">AE79</f>
        <v>56.472915029924017</v>
      </c>
      <c r="AH451" s="28">
        <f t="shared" ref="AH451:AY451" si="371">300*AH379*AH151</f>
        <v>52925.673726323723</v>
      </c>
      <c r="AI451" s="28">
        <f t="shared" si="371"/>
        <v>102322.51894004481</v>
      </c>
      <c r="AJ451" s="28">
        <f t="shared" si="371"/>
        <v>108463.85405401076</v>
      </c>
      <c r="AK451" s="28">
        <f t="shared" si="371"/>
        <v>100349.33460805532</v>
      </c>
      <c r="AL451" s="28">
        <f t="shared" si="371"/>
        <v>31168.191694385372</v>
      </c>
      <c r="AM451" s="29">
        <f t="shared" si="371"/>
        <v>21707.889203510826</v>
      </c>
      <c r="AN451" s="30">
        <f t="shared" si="371"/>
        <v>31689.199782366006</v>
      </c>
      <c r="AO451" s="31">
        <f t="shared" si="371"/>
        <v>7328.5015863423905</v>
      </c>
      <c r="AP451" s="31">
        <f t="shared" si="371"/>
        <v>1465.7003172684781</v>
      </c>
      <c r="AQ451" s="32">
        <f t="shared" si="371"/>
        <v>158144.89025118653</v>
      </c>
      <c r="AR451" s="32">
        <f t="shared" si="371"/>
        <v>142387.26926493665</v>
      </c>
      <c r="AS451" s="32">
        <f t="shared" si="371"/>
        <v>570635.7691165487</v>
      </c>
      <c r="AT451" s="33">
        <f t="shared" si="371"/>
        <v>1536.254727843047</v>
      </c>
      <c r="AU451" s="33">
        <f t="shared" si="371"/>
        <v>2048.9022540204915</v>
      </c>
      <c r="AV451" s="34" t="e">
        <f t="shared" si="371"/>
        <v>#DIV/0!</v>
      </c>
      <c r="AW451" s="34" t="e">
        <f t="shared" si="371"/>
        <v>#DIV/0!</v>
      </c>
      <c r="AX451" s="35" t="e">
        <f t="shared" si="371"/>
        <v>#NUM!</v>
      </c>
      <c r="AY451" s="35" t="e">
        <f t="shared" si="371"/>
        <v>#NUM!</v>
      </c>
      <c r="AZ451" t="e">
        <f>NA()</f>
        <v>#N/A</v>
      </c>
    </row>
    <row r="452" spans="4:52" x14ac:dyDescent="0.3">
      <c r="D452">
        <v>67</v>
      </c>
      <c r="F452">
        <v>66</v>
      </c>
      <c r="G452" s="28"/>
      <c r="H452" s="28"/>
      <c r="I452" s="28"/>
      <c r="J452" s="28"/>
      <c r="K452" s="28"/>
      <c r="L452" s="29"/>
      <c r="M452" s="30"/>
      <c r="N452" s="31"/>
      <c r="O452" s="31"/>
      <c r="P452" s="32"/>
      <c r="Q452" s="32"/>
      <c r="R452" s="32"/>
      <c r="S452" s="33"/>
      <c r="T452" s="33"/>
      <c r="U452" s="34"/>
      <c r="V452" s="34"/>
      <c r="W452" s="35"/>
      <c r="X452" s="35"/>
      <c r="Y452" t="e">
        <f>NA()</f>
        <v>#N/A</v>
      </c>
      <c r="AE452">
        <v>67</v>
      </c>
      <c r="AG452">
        <f t="shared" si="370"/>
        <v>56.698909820073034</v>
      </c>
      <c r="AH452" s="28">
        <f t="shared" ref="AH452:AY452" si="372">300*AH380*AH152</f>
        <v>53016.846676094348</v>
      </c>
      <c r="AI452" s="28">
        <f t="shared" si="372"/>
        <v>102571.59837329318</v>
      </c>
      <c r="AJ452" s="28">
        <f t="shared" si="372"/>
        <v>108752.29554127048</v>
      </c>
      <c r="AK452" s="28">
        <f t="shared" si="372"/>
        <v>100584.20702725087</v>
      </c>
      <c r="AL452" s="28">
        <f t="shared" si="372"/>
        <v>31213.235414324168</v>
      </c>
      <c r="AM452" s="29">
        <f t="shared" si="372"/>
        <v>21720.765424368066</v>
      </c>
      <c r="AN452" s="30">
        <f t="shared" si="372"/>
        <v>31784.313095083598</v>
      </c>
      <c r="AO452" s="31">
        <f t="shared" si="372"/>
        <v>7351.1677165747788</v>
      </c>
      <c r="AP452" s="31">
        <f t="shared" si="372"/>
        <v>1470.2335433149558</v>
      </c>
      <c r="AQ452" s="32">
        <f t="shared" si="372"/>
        <v>158461.06557486916</v>
      </c>
      <c r="AR452" s="32">
        <f t="shared" si="372"/>
        <v>142606.79758796323</v>
      </c>
      <c r="AS452" s="32">
        <f t="shared" si="372"/>
        <v>570952.74774999835</v>
      </c>
      <c r="AT452" s="33">
        <f t="shared" si="372"/>
        <v>1539.411164224699</v>
      </c>
      <c r="AU452" s="33">
        <f t="shared" si="372"/>
        <v>2053.3177046859755</v>
      </c>
      <c r="AV452" s="34" t="e">
        <f t="shared" si="372"/>
        <v>#DIV/0!</v>
      </c>
      <c r="AW452" s="34" t="e">
        <f t="shared" si="372"/>
        <v>#DIV/0!</v>
      </c>
      <c r="AX452" s="35" t="e">
        <f t="shared" si="372"/>
        <v>#NUM!</v>
      </c>
      <c r="AY452" s="35" t="e">
        <f t="shared" si="372"/>
        <v>#NUM!</v>
      </c>
      <c r="AZ452" t="e">
        <f>NA()</f>
        <v>#N/A</v>
      </c>
    </row>
    <row r="453" spans="4:52" x14ac:dyDescent="0.3">
      <c r="D453">
        <v>68</v>
      </c>
      <c r="F453">
        <v>67</v>
      </c>
      <c r="G453" s="28"/>
      <c r="H453" s="28"/>
      <c r="I453" s="28"/>
      <c r="J453" s="28"/>
      <c r="K453" s="28"/>
      <c r="L453" s="29"/>
      <c r="M453" s="30"/>
      <c r="N453" s="31"/>
      <c r="O453" s="31"/>
      <c r="P453" s="32"/>
      <c r="Q453" s="32"/>
      <c r="R453" s="32"/>
      <c r="S453" s="33"/>
      <c r="T453" s="33"/>
      <c r="U453" s="34"/>
      <c r="V453" s="34"/>
      <c r="W453" s="35"/>
      <c r="X453" s="35"/>
      <c r="Y453" t="e">
        <f>NA()</f>
        <v>#N/A</v>
      </c>
      <c r="AE453">
        <v>68</v>
      </c>
      <c r="AG453">
        <f t="shared" si="370"/>
        <v>56.907154127745713</v>
      </c>
      <c r="AH453" s="28">
        <f t="shared" ref="AH453:AY453" si="373">300*AH381*AH153</f>
        <v>53099.788801819152</v>
      </c>
      <c r="AI453" s="28">
        <f t="shared" si="373"/>
        <v>102799.89015529843</v>
      </c>
      <c r="AJ453" s="28">
        <f t="shared" si="373"/>
        <v>109015.9775739928</v>
      </c>
      <c r="AK453" s="28">
        <f t="shared" si="373"/>
        <v>100799.41963827063</v>
      </c>
      <c r="AL453" s="28">
        <f t="shared" si="373"/>
        <v>31254.121522832458</v>
      </c>
      <c r="AM453" s="29">
        <f t="shared" si="373"/>
        <v>21732.43035863779</v>
      </c>
      <c r="AN453" s="30">
        <f t="shared" si="373"/>
        <v>31871.497236860421</v>
      </c>
      <c r="AO453" s="31">
        <f t="shared" si="373"/>
        <v>7371.9716746901922</v>
      </c>
      <c r="AP453" s="31">
        <f t="shared" si="373"/>
        <v>1474.3943349380384</v>
      </c>
      <c r="AQ453" s="32">
        <f t="shared" si="373"/>
        <v>158750.66227661553</v>
      </c>
      <c r="AR453" s="32">
        <f t="shared" si="373"/>
        <v>142807.29016484131</v>
      </c>
      <c r="AS453" s="32">
        <f t="shared" si="373"/>
        <v>571239.72317297151</v>
      </c>
      <c r="AT453" s="33">
        <f t="shared" si="373"/>
        <v>1542.3017924313106</v>
      </c>
      <c r="AU453" s="33">
        <f t="shared" si="373"/>
        <v>2057.3589719586275</v>
      </c>
      <c r="AV453" s="34" t="e">
        <f t="shared" si="373"/>
        <v>#DIV/0!</v>
      </c>
      <c r="AW453" s="34" t="e">
        <f t="shared" si="373"/>
        <v>#DIV/0!</v>
      </c>
      <c r="AX453" s="35" t="e">
        <f t="shared" si="373"/>
        <v>#NUM!</v>
      </c>
      <c r="AY453" s="35" t="e">
        <f t="shared" si="373"/>
        <v>#NUM!</v>
      </c>
      <c r="AZ453" t="e">
        <f>NA()</f>
        <v>#N/A</v>
      </c>
    </row>
    <row r="454" spans="4:52" x14ac:dyDescent="0.3">
      <c r="D454">
        <v>69</v>
      </c>
      <c r="F454">
        <v>68</v>
      </c>
      <c r="G454" s="28"/>
      <c r="H454" s="28"/>
      <c r="I454" s="28"/>
      <c r="J454" s="28"/>
      <c r="K454" s="28"/>
      <c r="L454" s="29"/>
      <c r="M454" s="30"/>
      <c r="N454" s="31"/>
      <c r="O454" s="31"/>
      <c r="P454" s="32"/>
      <c r="Q454" s="32"/>
      <c r="R454" s="32"/>
      <c r="S454" s="33"/>
      <c r="T454" s="33"/>
      <c r="U454" s="34"/>
      <c r="V454" s="34"/>
      <c r="W454" s="35"/>
      <c r="X454" s="35"/>
      <c r="Y454" t="e">
        <f>NA()</f>
        <v>#N/A</v>
      </c>
      <c r="AE454">
        <v>69</v>
      </c>
      <c r="AG454">
        <f t="shared" si="370"/>
        <v>57.099042142728173</v>
      </c>
      <c r="AH454" s="28">
        <f t="shared" ref="AH454:AY454" si="374">300*AH382*AH154</f>
        <v>53175.317924064191</v>
      </c>
      <c r="AI454" s="28">
        <f t="shared" si="374"/>
        <v>103009.2159822539</v>
      </c>
      <c r="AJ454" s="28">
        <f t="shared" si="374"/>
        <v>109257.17223872508</v>
      </c>
      <c r="AK454" s="28">
        <f t="shared" si="374"/>
        <v>100996.70403799898</v>
      </c>
      <c r="AL454" s="28">
        <f t="shared" si="374"/>
        <v>31291.277724321673</v>
      </c>
      <c r="AM454" s="29">
        <f t="shared" si="374"/>
        <v>21743.012009586822</v>
      </c>
      <c r="AN454" s="30">
        <f t="shared" si="374"/>
        <v>31951.445432787092</v>
      </c>
      <c r="AO454" s="31">
        <f t="shared" si="374"/>
        <v>7391.0722146685166</v>
      </c>
      <c r="AP454" s="31">
        <f t="shared" si="374"/>
        <v>1478.2144429337034</v>
      </c>
      <c r="AQ454" s="32">
        <f t="shared" si="374"/>
        <v>159016.03901183262</v>
      </c>
      <c r="AR454" s="32">
        <f t="shared" si="374"/>
        <v>142990.52471707252</v>
      </c>
      <c r="AS454" s="32">
        <f t="shared" si="374"/>
        <v>571499.89400891063</v>
      </c>
      <c r="AT454" s="33">
        <f t="shared" si="374"/>
        <v>1544.950269097634</v>
      </c>
      <c r="AU454" s="33">
        <f t="shared" si="374"/>
        <v>2061.0597033487747</v>
      </c>
      <c r="AV454" s="34" t="e">
        <f t="shared" si="374"/>
        <v>#DIV/0!</v>
      </c>
      <c r="AW454" s="34" t="e">
        <f t="shared" si="374"/>
        <v>#DIV/0!</v>
      </c>
      <c r="AX454" s="35" t="e">
        <f t="shared" si="374"/>
        <v>#NUM!</v>
      </c>
      <c r="AY454" s="35" t="e">
        <f t="shared" si="374"/>
        <v>#NUM!</v>
      </c>
      <c r="AZ454" t="e">
        <f>NA()</f>
        <v>#N/A</v>
      </c>
    </row>
    <row r="455" spans="4:52" x14ac:dyDescent="0.3">
      <c r="D455">
        <v>70</v>
      </c>
      <c r="F455">
        <v>69</v>
      </c>
      <c r="G455" s="28"/>
      <c r="H455" s="28"/>
      <c r="I455" s="28"/>
      <c r="J455" s="28"/>
      <c r="K455" s="28"/>
      <c r="L455" s="29"/>
      <c r="M455" s="30"/>
      <c r="N455" s="31"/>
      <c r="O455" s="31"/>
      <c r="P455" s="32"/>
      <c r="Q455" s="32"/>
      <c r="R455" s="32"/>
      <c r="S455" s="33"/>
      <c r="T455" s="33"/>
      <c r="U455" s="34"/>
      <c r="V455" s="34"/>
      <c r="W455" s="35"/>
      <c r="X455" s="35"/>
      <c r="Y455" t="e">
        <f>NA()</f>
        <v>#N/A</v>
      </c>
      <c r="AE455">
        <v>70</v>
      </c>
      <c r="AG455">
        <f t="shared" si="370"/>
        <v>57.275858549886756</v>
      </c>
      <c r="AH455" s="28">
        <f t="shared" ref="AH455:AY455" si="375">300*AH383*AH155</f>
        <v>53244.159561475957</v>
      </c>
      <c r="AI455" s="28">
        <f t="shared" si="375"/>
        <v>103201.22502962845</v>
      </c>
      <c r="AJ455" s="28">
        <f t="shared" si="375"/>
        <v>109477.92163434012</v>
      </c>
      <c r="AK455" s="28">
        <f t="shared" si="375"/>
        <v>101177.6265415838</v>
      </c>
      <c r="AL455" s="28">
        <f t="shared" si="375"/>
        <v>31325.081117814898</v>
      </c>
      <c r="AM455" s="29">
        <f t="shared" si="375"/>
        <v>21752.622750966053</v>
      </c>
      <c r="AN455" s="30">
        <f t="shared" si="375"/>
        <v>32024.785567620736</v>
      </c>
      <c r="AO455" s="31">
        <f t="shared" si="375"/>
        <v>7408.6137082086361</v>
      </c>
      <c r="AP455" s="31">
        <f t="shared" si="375"/>
        <v>1481.7227416417272</v>
      </c>
      <c r="AQ455" s="32">
        <f t="shared" si="375"/>
        <v>159259.32656914383</v>
      </c>
      <c r="AR455" s="32">
        <f t="shared" si="375"/>
        <v>143158.0940320587</v>
      </c>
      <c r="AS455" s="32">
        <f t="shared" si="375"/>
        <v>571736.06418606592</v>
      </c>
      <c r="AT455" s="33">
        <f t="shared" si="375"/>
        <v>1547.3779559546831</v>
      </c>
      <c r="AU455" s="33">
        <f t="shared" si="375"/>
        <v>2064.4502333729633</v>
      </c>
      <c r="AV455" s="34" t="e">
        <f t="shared" si="375"/>
        <v>#DIV/0!</v>
      </c>
      <c r="AW455" s="34" t="e">
        <f t="shared" si="375"/>
        <v>#DIV/0!</v>
      </c>
      <c r="AX455" s="35" t="e">
        <f t="shared" si="375"/>
        <v>#NUM!</v>
      </c>
      <c r="AY455" s="35" t="e">
        <f t="shared" si="375"/>
        <v>#NUM!</v>
      </c>
      <c r="AZ455" t="e">
        <f>NA()</f>
        <v>#N/A</v>
      </c>
    </row>
    <row r="456" spans="4:52" x14ac:dyDescent="0.3">
      <c r="D456">
        <v>71</v>
      </c>
      <c r="F456">
        <v>70</v>
      </c>
      <c r="G456" s="28"/>
      <c r="H456" s="28"/>
      <c r="I456" s="28"/>
      <c r="J456" s="28"/>
      <c r="K456" s="28"/>
      <c r="L456" s="29"/>
      <c r="M456" s="30"/>
      <c r="N456" s="31"/>
      <c r="O456" s="31"/>
      <c r="P456" s="32"/>
      <c r="Q456" s="32"/>
      <c r="R456" s="32"/>
      <c r="S456" s="33"/>
      <c r="T456" s="33"/>
      <c r="U456" s="34"/>
      <c r="V456" s="34"/>
      <c r="W456" s="35"/>
      <c r="X456" s="35"/>
      <c r="Y456" t="e">
        <f>NA()</f>
        <v>#N/A</v>
      </c>
      <c r="AE456">
        <v>71</v>
      </c>
      <c r="AG456">
        <f t="shared" si="370"/>
        <v>57.43878713009709</v>
      </c>
      <c r="AH456" s="28">
        <f t="shared" ref="AH456:AY456" si="376">300*AH384*AH156</f>
        <v>53306.958912303533</v>
      </c>
      <c r="AI456" s="28">
        <f t="shared" si="376"/>
        <v>103377.41214570822</v>
      </c>
      <c r="AJ456" s="28">
        <f t="shared" si="376"/>
        <v>109680.06416845099</v>
      </c>
      <c r="AK456" s="28">
        <f t="shared" si="376"/>
        <v>101343.60579809465</v>
      </c>
      <c r="AL456" s="28">
        <f t="shared" si="376"/>
        <v>31355.865144545329</v>
      </c>
      <c r="AM456" s="29">
        <f t="shared" si="376"/>
        <v>21761.361538887264</v>
      </c>
      <c r="AN456" s="30">
        <f t="shared" si="376"/>
        <v>32092.087016985457</v>
      </c>
      <c r="AO456" s="31">
        <f t="shared" si="376"/>
        <v>7424.7275688226782</v>
      </c>
      <c r="AP456" s="31">
        <f t="shared" si="376"/>
        <v>1484.9455137645357</v>
      </c>
      <c r="AQ456" s="32">
        <f t="shared" si="376"/>
        <v>159482.4525740078</v>
      </c>
      <c r="AR456" s="32">
        <f t="shared" si="376"/>
        <v>143311.42791987403</v>
      </c>
      <c r="AS456" s="32">
        <f t="shared" si="376"/>
        <v>571950.69939828187</v>
      </c>
      <c r="AT456" s="33">
        <f t="shared" si="376"/>
        <v>1549.6041698438646</v>
      </c>
      <c r="AU456" s="33">
        <f t="shared" si="376"/>
        <v>2067.557950975784</v>
      </c>
      <c r="AV456" s="34" t="e">
        <f t="shared" si="376"/>
        <v>#DIV/0!</v>
      </c>
      <c r="AW456" s="34" t="e">
        <f t="shared" si="376"/>
        <v>#DIV/0!</v>
      </c>
      <c r="AX456" s="35" t="e">
        <f t="shared" si="376"/>
        <v>#NUM!</v>
      </c>
      <c r="AY456" s="35" t="e">
        <f t="shared" si="376"/>
        <v>#NUM!</v>
      </c>
      <c r="AZ456" t="e">
        <f>NA()</f>
        <v>#N/A</v>
      </c>
    </row>
  </sheetData>
  <mergeCells count="7">
    <mergeCell ref="CR53:CS53"/>
    <mergeCell ref="D4:E4"/>
    <mergeCell ref="BD2:BE2"/>
    <mergeCell ref="BP53:BQ53"/>
    <mergeCell ref="BN53:BO53"/>
    <mergeCell ref="CE53:CF53"/>
    <mergeCell ref="H2:Y2"/>
  </mergeCells>
  <pageMargins left="0.7" right="0.7" top="0.75" bottom="0.75" header="0.3" footer="0.3"/>
  <headerFooter>
    <oddHeader>&amp;R&amp;"Calibri"&amp;12&amp;K000000 UNCLASSIFIED - NON CLASSIFIÉ&amp;1#_x000D_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I456"/>
  <sheetViews>
    <sheetView workbookViewId="0"/>
  </sheetViews>
  <sheetFormatPr defaultRowHeight="14.4" x14ac:dyDescent="0.3"/>
  <cols>
    <col min="1" max="1" width="12.33203125" customWidth="1"/>
    <col min="2" max="2" width="17" customWidth="1"/>
    <col min="3" max="4" width="17.44140625" customWidth="1"/>
    <col min="5" max="5" width="10.44140625" customWidth="1"/>
    <col min="6" max="6" width="14" customWidth="1"/>
    <col min="7" max="9" width="11.5546875" hidden="1" customWidth="1"/>
    <col min="10" max="26" width="9.109375" hidden="1" customWidth="1"/>
    <col min="27" max="27" width="10" hidden="1" customWidth="1"/>
    <col min="28" max="32" width="9.109375" customWidth="1"/>
    <col min="33" max="33" width="15.33203125" customWidth="1"/>
    <col min="34" max="54" width="9.109375" customWidth="1"/>
    <col min="55" max="55" width="12.44140625" customWidth="1"/>
    <col min="56" max="56" width="10.5546875" customWidth="1"/>
    <col min="57" max="57" width="9.109375"/>
    <col min="58" max="58" width="10.88671875" customWidth="1"/>
    <col min="59" max="59" width="9.109375"/>
    <col min="60" max="60" width="20.6640625" customWidth="1"/>
    <col min="61" max="61" width="18" customWidth="1"/>
    <col min="62" max="62" width="9.6640625" customWidth="1"/>
    <col min="63" max="63" width="8.44140625" customWidth="1"/>
    <col min="64" max="64" width="11.109375" customWidth="1"/>
    <col min="65" max="95" width="12.109375" customWidth="1"/>
    <col min="96" max="127" width="9.109375"/>
    <col min="128" max="128" width="12" bestFit="1" customWidth="1"/>
    <col min="129" max="130" width="9.109375"/>
    <col min="131" max="131" width="9.6640625" customWidth="1"/>
    <col min="132" max="132" width="10.6640625" customWidth="1"/>
    <col min="133" max="259" width="9.109375"/>
    <col min="260" max="260" width="16.33203125" customWidth="1"/>
    <col min="261" max="291" width="9.109375"/>
    <col min="292" max="292" width="15.6640625" customWidth="1"/>
    <col min="293" max="348" width="9.109375"/>
  </cols>
  <sheetData>
    <row r="1" spans="1:321" x14ac:dyDescent="0.3">
      <c r="A1" t="s">
        <v>326</v>
      </c>
    </row>
    <row r="2" spans="1:321" x14ac:dyDescent="0.3">
      <c r="B2" s="1" t="s">
        <v>30</v>
      </c>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1"/>
      <c r="BE2" s="1"/>
      <c r="BF2" s="1"/>
      <c r="BG2" s="1"/>
      <c r="BH2" s="1"/>
      <c r="BI2" s="45"/>
      <c r="BJ2" s="1"/>
      <c r="BK2" s="1"/>
      <c r="BL2" s="1"/>
      <c r="BM2" s="1"/>
      <c r="BN2" s="36"/>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36"/>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row>
    <row r="3" spans="1:321" x14ac:dyDescent="0.3">
      <c r="A3" s="7" t="s">
        <v>28</v>
      </c>
      <c r="B3" s="6" t="s">
        <v>19</v>
      </c>
      <c r="C3" s="6" t="s">
        <v>27</v>
      </c>
      <c r="D3" s="1"/>
      <c r="E3" s="1"/>
      <c r="F3" s="6" t="s">
        <v>0</v>
      </c>
      <c r="G3" s="47"/>
      <c r="H3" s="47"/>
      <c r="I3" s="47"/>
      <c r="J3" s="47"/>
      <c r="K3" s="47"/>
      <c r="L3" s="48"/>
      <c r="M3" s="49"/>
      <c r="N3" s="50"/>
      <c r="O3" s="50"/>
      <c r="P3" s="51"/>
      <c r="Q3" s="51"/>
      <c r="R3" s="51"/>
      <c r="S3" s="52"/>
      <c r="T3" s="52"/>
      <c r="U3" s="53"/>
      <c r="V3" s="53"/>
      <c r="W3" s="54"/>
      <c r="X3" s="54"/>
      <c r="Y3" s="1"/>
      <c r="Z3" s="55"/>
      <c r="AA3" s="55"/>
      <c r="AB3" s="1"/>
      <c r="AC3" s="1"/>
      <c r="AD3" s="1"/>
      <c r="AE3" s="1"/>
      <c r="AF3" s="1"/>
      <c r="AG3" s="6" t="s">
        <v>0</v>
      </c>
      <c r="AH3" s="47" t="s">
        <v>4</v>
      </c>
      <c r="AI3" s="47" t="s">
        <v>5</v>
      </c>
      <c r="AJ3" s="47" t="s">
        <v>6</v>
      </c>
      <c r="AK3" s="47" t="s">
        <v>7</v>
      </c>
      <c r="AL3" s="47" t="s">
        <v>8</v>
      </c>
      <c r="AM3" s="48" t="s">
        <v>50</v>
      </c>
      <c r="AN3" s="49" t="s">
        <v>9</v>
      </c>
      <c r="AO3" s="50" t="s">
        <v>10</v>
      </c>
      <c r="AP3" s="50" t="s">
        <v>11</v>
      </c>
      <c r="AQ3" s="51" t="s">
        <v>12</v>
      </c>
      <c r="AR3" s="51" t="s">
        <v>13</v>
      </c>
      <c r="AS3" s="51" t="s">
        <v>14</v>
      </c>
      <c r="AT3" s="52" t="s">
        <v>20</v>
      </c>
      <c r="AU3" s="52" t="s">
        <v>21</v>
      </c>
      <c r="AV3" s="53" t="s">
        <v>16</v>
      </c>
      <c r="AW3" s="53" t="s">
        <v>17</v>
      </c>
      <c r="AX3" s="54" t="s">
        <v>18</v>
      </c>
      <c r="AY3" s="54" t="s">
        <v>24</v>
      </c>
      <c r="AZ3" s="1" t="s">
        <v>56</v>
      </c>
      <c r="BA3" s="55" t="s">
        <v>62</v>
      </c>
      <c r="BB3" s="55" t="s">
        <v>63</v>
      </c>
      <c r="BC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EB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Z3" s="1"/>
      <c r="KF3" s="1"/>
    </row>
    <row r="4" spans="1:321" x14ac:dyDescent="0.3">
      <c r="A4" s="13">
        <v>1</v>
      </c>
      <c r="B4" s="11" t="str">
        <f>IF('FBP outputs'!$D$2=TRUE, IF('FBP outputs'!$G$1=6,INDEX(Settings!$H$5:$H$34,'Calcs-control1'!A4),IF('FBP outputs'!$G$1&gt;12,A4*5-5,"")), "")</f>
        <v/>
      </c>
      <c r="C4" s="8">
        <v>18</v>
      </c>
      <c r="F4" s="1" t="s">
        <v>1</v>
      </c>
      <c r="G4" s="21"/>
      <c r="H4" s="21"/>
      <c r="I4" s="21"/>
      <c r="J4" s="21"/>
      <c r="K4" s="21"/>
      <c r="L4" s="22"/>
      <c r="M4" s="20"/>
      <c r="N4" s="23"/>
      <c r="O4" s="23"/>
      <c r="P4" s="24"/>
      <c r="Q4" s="24"/>
      <c r="R4" s="24"/>
      <c r="S4" s="25"/>
      <c r="T4" s="25"/>
      <c r="U4" s="26"/>
      <c r="V4" s="26"/>
      <c r="W4" s="27"/>
      <c r="X4" s="27"/>
      <c r="Z4" s="22"/>
      <c r="AA4" s="22"/>
      <c r="AG4" s="1" t="s">
        <v>1</v>
      </c>
      <c r="AH4" s="21">
        <v>90</v>
      </c>
      <c r="AI4" s="21">
        <v>110</v>
      </c>
      <c r="AJ4" s="21">
        <v>110</v>
      </c>
      <c r="AK4" s="21">
        <v>110</v>
      </c>
      <c r="AL4" s="21">
        <v>30</v>
      </c>
      <c r="AM4" s="22"/>
      <c r="AN4" s="20">
        <v>45</v>
      </c>
      <c r="AO4" s="23">
        <v>30</v>
      </c>
      <c r="AP4" s="23">
        <v>30</v>
      </c>
      <c r="AQ4" s="24">
        <v>75</v>
      </c>
      <c r="AR4" s="24">
        <v>40</v>
      </c>
      <c r="AS4" s="24">
        <v>55</v>
      </c>
      <c r="AT4" s="25">
        <v>190</v>
      </c>
      <c r="AU4" s="25">
        <v>250</v>
      </c>
      <c r="AV4" s="26"/>
      <c r="AW4" s="26"/>
      <c r="AX4" s="27">
        <v>120</v>
      </c>
      <c r="AY4" s="27">
        <v>100</v>
      </c>
      <c r="BA4" s="22">
        <v>30</v>
      </c>
      <c r="BB4" s="22">
        <v>60</v>
      </c>
    </row>
    <row r="5" spans="1:321" x14ac:dyDescent="0.3">
      <c r="A5" s="13">
        <v>2</v>
      </c>
      <c r="B5" s="11" t="str">
        <f>IF('FBP outputs'!$D$2=TRUE, IF('FBP outputs'!$G$1=6,INDEX(Settings!$H$5:$H$34,'Calcs-control1'!A5),IF('FBP outputs'!$G$1&gt;12,A5*5-5,"")), "")</f>
        <v/>
      </c>
      <c r="C5" s="3" t="str">
        <f>INDEX($B$4:$B$24, $C$4)</f>
        <v/>
      </c>
      <c r="F5" s="1" t="s">
        <v>2</v>
      </c>
      <c r="G5" s="21"/>
      <c r="H5" s="21"/>
      <c r="I5" s="21"/>
      <c r="J5" s="21"/>
      <c r="K5" s="21"/>
      <c r="L5" s="22"/>
      <c r="M5" s="20"/>
      <c r="N5" s="23"/>
      <c r="O5" s="23"/>
      <c r="P5" s="24"/>
      <c r="Q5" s="24"/>
      <c r="R5" s="24"/>
      <c r="S5" s="25"/>
      <c r="T5" s="25"/>
      <c r="U5" s="26"/>
      <c r="V5" s="26"/>
      <c r="W5" s="27"/>
      <c r="X5" s="27"/>
      <c r="Z5" s="22"/>
      <c r="AA5" s="22"/>
      <c r="AG5" s="1" t="s">
        <v>2</v>
      </c>
      <c r="AH5" s="21">
        <v>6.4899999999999999E-2</v>
      </c>
      <c r="AI5" s="21">
        <v>2.8199999999999999E-2</v>
      </c>
      <c r="AJ5" s="21">
        <v>4.4400000000000002E-2</v>
      </c>
      <c r="AK5" s="21">
        <v>2.93E-2</v>
      </c>
      <c r="AL5" s="21">
        <v>6.9699999999999998E-2</v>
      </c>
      <c r="AM5" s="22"/>
      <c r="AN5" s="20">
        <v>3.0499999999999999E-2</v>
      </c>
      <c r="AO5" s="23">
        <v>2.3199999999999998E-2</v>
      </c>
      <c r="AP5" s="23">
        <v>2.3199999999999998E-2</v>
      </c>
      <c r="AQ5" s="24">
        <v>2.9700000000000001E-2</v>
      </c>
      <c r="AR5" s="24">
        <v>4.3799999999999999E-2</v>
      </c>
      <c r="AS5" s="24">
        <v>8.2900000000000001E-2</v>
      </c>
      <c r="AT5" s="25">
        <v>3.1E-2</v>
      </c>
      <c r="AU5" s="25">
        <v>3.5000000000000003E-2</v>
      </c>
      <c r="AV5" s="26"/>
      <c r="AW5" s="26"/>
      <c r="AX5" s="27">
        <v>5.7200000000000001E-2</v>
      </c>
      <c r="AY5" s="27">
        <v>4.0399999999999998E-2</v>
      </c>
      <c r="BA5" s="22">
        <v>0.08</v>
      </c>
      <c r="BB5" s="22">
        <v>4.9700000000000001E-2</v>
      </c>
    </row>
    <row r="6" spans="1:321" x14ac:dyDescent="0.3">
      <c r="A6" s="13">
        <v>3</v>
      </c>
      <c r="B6" s="11" t="str">
        <f>IF('FBP outputs'!$D$2=TRUE, IF('FBP outputs'!$G$1=6,INDEX(Settings!$H$5:$H$34,'Calcs-control1'!A6),IF('FBP outputs'!$G$1&gt;12,A6*5-5,"")), "")</f>
        <v/>
      </c>
      <c r="F6" s="1" t="s">
        <v>3</v>
      </c>
      <c r="G6" s="21"/>
      <c r="H6" s="21"/>
      <c r="I6" s="21"/>
      <c r="J6" s="21"/>
      <c r="K6" s="21"/>
      <c r="L6" s="22"/>
      <c r="M6" s="20"/>
      <c r="N6" s="23"/>
      <c r="O6" s="23"/>
      <c r="P6" s="24"/>
      <c r="Q6" s="24"/>
      <c r="R6" s="24"/>
      <c r="S6" s="25"/>
      <c r="T6" s="25"/>
      <c r="U6" s="26"/>
      <c r="V6" s="26"/>
      <c r="W6" s="27"/>
      <c r="X6" s="27"/>
      <c r="Z6" s="22"/>
      <c r="AA6" s="22"/>
      <c r="AG6" s="1" t="s">
        <v>3</v>
      </c>
      <c r="AH6" s="21">
        <v>4.5</v>
      </c>
      <c r="AI6" s="21">
        <v>1.5</v>
      </c>
      <c r="AJ6" s="21">
        <v>3</v>
      </c>
      <c r="AK6" s="21">
        <v>1.5</v>
      </c>
      <c r="AL6" s="21">
        <v>4</v>
      </c>
      <c r="AM6" s="22"/>
      <c r="AN6" s="20">
        <v>2</v>
      </c>
      <c r="AO6" s="23">
        <v>1.6</v>
      </c>
      <c r="AP6" s="23">
        <v>1.6</v>
      </c>
      <c r="AQ6" s="24">
        <v>1.3</v>
      </c>
      <c r="AR6" s="24">
        <v>1.7</v>
      </c>
      <c r="AS6" s="24">
        <v>3.2</v>
      </c>
      <c r="AT6" s="25">
        <v>1.4</v>
      </c>
      <c r="AU6" s="25">
        <v>1.7</v>
      </c>
      <c r="AV6" s="26"/>
      <c r="AW6" s="26"/>
      <c r="AX6" s="27">
        <v>1.4</v>
      </c>
      <c r="AY6" s="27">
        <v>1.48</v>
      </c>
      <c r="BA6" s="22">
        <v>3</v>
      </c>
      <c r="BB6" s="22">
        <v>1</v>
      </c>
    </row>
    <row r="7" spans="1:321" x14ac:dyDescent="0.3">
      <c r="A7" s="13">
        <v>4</v>
      </c>
      <c r="B7" s="11" t="str">
        <f>IF('FBP outputs'!$D$2=TRUE, IF('FBP outputs'!$G$1=6,INDEX(Settings!$H$5:$H$34,'Calcs-control1'!A7),IF('FBP outputs'!$G$1&gt;12,A7*5-5,"")), "")</f>
        <v/>
      </c>
      <c r="F7" s="1" t="s">
        <v>29</v>
      </c>
      <c r="S7" s="25"/>
      <c r="T7" s="25"/>
      <c r="U7" s="26"/>
      <c r="V7" s="26"/>
      <c r="W7" s="27"/>
      <c r="X7" s="27"/>
      <c r="AG7" s="1" t="s">
        <v>29</v>
      </c>
      <c r="AT7" s="25" t="str">
        <f t="shared" ref="AT7:AY7" si="0">$C$5</f>
        <v/>
      </c>
      <c r="AU7" s="25" t="str">
        <f t="shared" si="0"/>
        <v/>
      </c>
      <c r="AV7" s="26" t="str">
        <f t="shared" si="0"/>
        <v/>
      </c>
      <c r="AW7" s="26" t="str">
        <f t="shared" si="0"/>
        <v/>
      </c>
      <c r="AX7" s="27" t="str">
        <f t="shared" si="0"/>
        <v/>
      </c>
      <c r="AY7" s="27" t="str">
        <f t="shared" si="0"/>
        <v/>
      </c>
      <c r="IZ7" s="1"/>
      <c r="KF7" s="1"/>
    </row>
    <row r="8" spans="1:321" x14ac:dyDescent="0.3">
      <c r="A8" s="13">
        <v>5</v>
      </c>
      <c r="B8" s="11" t="str">
        <f>IF('FBP outputs'!$D$2=TRUE, IF('FBP outputs'!$G$1=6,INDEX(Settings!$H$5:$H$34,'Calcs-control1'!A8),IF('FBP outputs'!$G$1&gt;12,A8*5-5,"")), "")</f>
        <v/>
      </c>
      <c r="F8" s="1" t="s">
        <v>58</v>
      </c>
      <c r="S8" s="25"/>
      <c r="T8" s="25"/>
      <c r="U8" s="26"/>
      <c r="V8" s="26"/>
      <c r="W8" s="27"/>
      <c r="X8" s="27"/>
      <c r="AG8" s="1" t="s">
        <v>58</v>
      </c>
      <c r="AT8" s="25" t="e">
        <f>IF(AT7&lt;58.8, 0.005*(EXP(0.061*AT7)-1), 0.176+0.02*(AT7-58.8))</f>
        <v>#VALUE!</v>
      </c>
      <c r="AU8" s="25" t="e">
        <f>IF(AU7&lt;58.8, 0.005*(EXP(0.061*AU7)-1), 0.176+0.02*(AU7-58.8))</f>
        <v>#VALUE!</v>
      </c>
      <c r="AV8" s="26"/>
      <c r="AW8" s="26"/>
      <c r="AX8" s="27"/>
      <c r="AY8" s="27"/>
    </row>
    <row r="9" spans="1:321" x14ac:dyDescent="0.3">
      <c r="A9" s="13">
        <v>6</v>
      </c>
      <c r="B9" s="11" t="str">
        <f>IF('FBP outputs'!$D$2=TRUE, IF('FBP outputs'!$G$1=6,INDEX(Settings!$H$5:$H$34,'Calcs-control1'!A9),IF('FBP outputs'!$G$1&gt;12,A9*5-5,"")), "")</f>
        <v/>
      </c>
      <c r="F9" s="1" t="s">
        <v>25</v>
      </c>
      <c r="G9" s="21"/>
      <c r="H9" s="21"/>
      <c r="I9" s="21"/>
      <c r="J9" s="21"/>
      <c r="K9" s="21"/>
      <c r="L9" s="22"/>
      <c r="M9" s="20"/>
      <c r="N9" s="23"/>
      <c r="O9" s="23"/>
      <c r="P9" s="24"/>
      <c r="Q9" s="24"/>
      <c r="R9" s="24"/>
      <c r="S9" s="25"/>
      <c r="T9" s="25"/>
      <c r="U9" s="26"/>
      <c r="V9" s="26"/>
      <c r="W9" s="27"/>
      <c r="X9" s="27"/>
      <c r="Z9" s="22"/>
      <c r="AA9" s="22"/>
      <c r="AG9" s="1" t="s">
        <v>25</v>
      </c>
      <c r="AH9" s="21">
        <v>0.9</v>
      </c>
      <c r="AI9" s="21">
        <v>0.7</v>
      </c>
      <c r="AJ9" s="21">
        <v>0.75</v>
      </c>
      <c r="AK9" s="21">
        <v>0.8</v>
      </c>
      <c r="AL9" s="21">
        <v>0.8</v>
      </c>
      <c r="AM9" s="22"/>
      <c r="AN9" s="20">
        <v>0.85</v>
      </c>
      <c r="AO9" s="23">
        <v>0.9</v>
      </c>
      <c r="AP9" s="23">
        <v>0.9</v>
      </c>
      <c r="AQ9" s="24">
        <v>0.75</v>
      </c>
      <c r="AR9" s="24">
        <v>0.75</v>
      </c>
      <c r="AS9" s="24">
        <v>0.75</v>
      </c>
      <c r="AT9" s="25"/>
      <c r="AU9" s="25"/>
      <c r="AV9" s="26">
        <v>0.8</v>
      </c>
      <c r="AW9" s="26">
        <v>0.8</v>
      </c>
      <c r="AX9" s="27">
        <v>0.8</v>
      </c>
      <c r="AY9" s="27">
        <v>0.8</v>
      </c>
      <c r="BA9" s="22">
        <v>0.8</v>
      </c>
      <c r="BB9" s="22"/>
      <c r="CQ9" s="36"/>
    </row>
    <row r="10" spans="1:321" x14ac:dyDescent="0.3">
      <c r="A10" s="13">
        <v>7</v>
      </c>
      <c r="B10" s="11" t="str">
        <f>IF('FBP outputs'!$D$2=TRUE, IF('FBP outputs'!$G$1=6,INDEX(Settings!$H$5:$H$34,'Calcs-control1'!A10),IF('FBP outputs'!$G$1&gt;12,A10*5-5,"")), "")</f>
        <v/>
      </c>
      <c r="F10" s="1" t="s">
        <v>26</v>
      </c>
      <c r="G10" s="21"/>
      <c r="H10" s="21"/>
      <c r="I10" s="21"/>
      <c r="J10" s="21"/>
      <c r="K10" s="21"/>
      <c r="L10" s="22"/>
      <c r="M10" s="20"/>
      <c r="N10" s="23"/>
      <c r="O10" s="23"/>
      <c r="P10" s="24"/>
      <c r="Q10" s="24"/>
      <c r="R10" s="24"/>
      <c r="S10" s="25"/>
      <c r="T10" s="25"/>
      <c r="U10" s="26"/>
      <c r="V10" s="26"/>
      <c r="W10" s="27"/>
      <c r="X10" s="27"/>
      <c r="Z10" s="22"/>
      <c r="AA10" s="22"/>
      <c r="AG10" s="1" t="s">
        <v>26</v>
      </c>
      <c r="AH10" s="21">
        <v>72</v>
      </c>
      <c r="AI10" s="21">
        <v>64</v>
      </c>
      <c r="AJ10" s="21">
        <v>62</v>
      </c>
      <c r="AK10" s="21">
        <v>66</v>
      </c>
      <c r="AL10" s="21">
        <v>56</v>
      </c>
      <c r="AM10" s="22">
        <v>62</v>
      </c>
      <c r="AN10" s="20">
        <v>106</v>
      </c>
      <c r="AO10" s="23">
        <v>32</v>
      </c>
      <c r="AP10" s="23">
        <v>32</v>
      </c>
      <c r="AQ10" s="24">
        <v>38</v>
      </c>
      <c r="AR10" s="24">
        <v>63</v>
      </c>
      <c r="AS10" s="24">
        <v>31</v>
      </c>
      <c r="AT10" s="25"/>
      <c r="AU10" s="25"/>
      <c r="AV10" s="26">
        <v>50</v>
      </c>
      <c r="AW10" s="26">
        <v>50</v>
      </c>
      <c r="AX10" s="27">
        <v>50</v>
      </c>
      <c r="AY10" s="27">
        <v>50</v>
      </c>
      <c r="BA10" s="22">
        <v>62</v>
      </c>
      <c r="BB10" s="22"/>
    </row>
    <row r="11" spans="1:321" x14ac:dyDescent="0.3">
      <c r="A11" s="13">
        <v>8</v>
      </c>
      <c r="B11" s="11" t="str">
        <f>IF('FBP outputs'!$D$2=TRUE, IF('FBP outputs'!$G$1=6,INDEX(Settings!$H$5:$H$34,'Calcs-control1'!A11),IF('FBP outputs'!$G$1&gt;12,A11*5-5,"")), "")</f>
        <v/>
      </c>
      <c r="F11" s="1" t="s">
        <v>60</v>
      </c>
      <c r="G11" s="21"/>
      <c r="H11" s="21"/>
      <c r="I11" s="21"/>
      <c r="J11" s="21"/>
      <c r="K11" s="21"/>
      <c r="L11" s="22"/>
      <c r="M11" s="20"/>
      <c r="N11" s="23"/>
      <c r="O11" s="23"/>
      <c r="P11" s="24"/>
      <c r="Q11" s="24"/>
      <c r="R11" s="24"/>
      <c r="S11" s="25"/>
      <c r="T11" s="25"/>
      <c r="U11" s="26"/>
      <c r="V11" s="26"/>
      <c r="W11" s="27"/>
      <c r="X11" s="27"/>
      <c r="Z11" s="22"/>
      <c r="AA11" s="22"/>
      <c r="AG11" s="1" t="s">
        <v>60</v>
      </c>
      <c r="AH11" s="21">
        <f>IF(Settings!$J$6=Settings!$C$46, AH10, Settings!$J$6)</f>
        <v>90</v>
      </c>
      <c r="AI11" s="21">
        <f>IF(Settings!$J$6=Settings!$C$46, AI10, Settings!$J$6)</f>
        <v>90</v>
      </c>
      <c r="AJ11" s="21">
        <f>IF(Settings!$J$6=Settings!$C$46, AJ10, Settings!$J$6)</f>
        <v>90</v>
      </c>
      <c r="AK11" s="21">
        <f>IF(Settings!$J$6=Settings!$C$46, AK10, Settings!$J$6)</f>
        <v>90</v>
      </c>
      <c r="AL11" s="21">
        <f>IF(Settings!$J$6=Settings!$C$46, AL10, Settings!$J$6)</f>
        <v>90</v>
      </c>
      <c r="AM11" s="22">
        <f>IF(Settings!$J$6=Settings!$C$46, AM10, Settings!$J$6)</f>
        <v>90</v>
      </c>
      <c r="AN11" s="20">
        <f>IF(Settings!$J$6=Settings!$C$46, AN10, Settings!$J$6)</f>
        <v>90</v>
      </c>
      <c r="AO11" s="23">
        <f>IF(Settings!$J$6=Settings!$C$46, AO10, Settings!$J$6)</f>
        <v>90</v>
      </c>
      <c r="AP11" s="23">
        <f>IF(Settings!$J$6=Settings!$C$46, AP10, Settings!$J$6)</f>
        <v>90</v>
      </c>
      <c r="AQ11" s="24">
        <f>IF(Settings!$J$6=Settings!$C$46, AQ10, Settings!$J$6)</f>
        <v>90</v>
      </c>
      <c r="AR11" s="24">
        <f>IF(Settings!$J$6=Settings!$C$46, AR10, Settings!$J$6)</f>
        <v>90</v>
      </c>
      <c r="AS11" s="24">
        <f>IF(Settings!$J$6=Settings!$C$46, AS10, Settings!$J$6)</f>
        <v>90</v>
      </c>
      <c r="AT11" s="25"/>
      <c r="AU11" s="25"/>
      <c r="AV11" s="26">
        <f>IF(Settings!$J$6=Settings!$C$46, AV10, Settings!$J$6)</f>
        <v>90</v>
      </c>
      <c r="AW11" s="26">
        <f>IF(Settings!$J$6=Settings!$C$46, AW10, Settings!$J$6)</f>
        <v>90</v>
      </c>
      <c r="AX11" s="27">
        <f>IF(Settings!$J$6=Settings!$C$46, AX10, Settings!$J$6)</f>
        <v>90</v>
      </c>
      <c r="AY11" s="27">
        <f>IF(Settings!$J$6=Settings!$C$46, AY10, Settings!$J$6)</f>
        <v>90</v>
      </c>
      <c r="BA11" s="22">
        <f>IF(Settings!$J$6=Settings!$C$46, BA10, Settings!$J$6)</f>
        <v>90</v>
      </c>
      <c r="BB11" s="22"/>
    </row>
    <row r="12" spans="1:321" x14ac:dyDescent="0.3">
      <c r="A12" s="13">
        <v>9</v>
      </c>
      <c r="B12" s="11" t="str">
        <f>IF('FBP outputs'!$D$2=TRUE, IF('FBP outputs'!$G$1=6,INDEX(Settings!$H$5:$H$34,'Calcs-control1'!A12),IF('FBP outputs'!$G$1&gt;12,A12*5-5,"")), "")</f>
        <v/>
      </c>
      <c r="F12" s="1" t="s">
        <v>23</v>
      </c>
      <c r="G12" s="21"/>
      <c r="H12" s="21"/>
      <c r="I12" s="21"/>
      <c r="J12" s="21"/>
      <c r="K12" s="21"/>
      <c r="L12" s="22"/>
      <c r="M12" s="20"/>
      <c r="N12" s="23"/>
      <c r="O12" s="23"/>
      <c r="P12" s="24"/>
      <c r="Q12" s="24"/>
      <c r="R12" s="24"/>
      <c r="S12" s="25"/>
      <c r="T12" s="25"/>
      <c r="U12" s="26"/>
      <c r="V12" s="26"/>
      <c r="W12" s="27"/>
      <c r="X12" s="27"/>
      <c r="Z12" s="22"/>
      <c r="AA12" s="22"/>
      <c r="AG12" s="1" t="s">
        <v>23</v>
      </c>
      <c r="AH12" s="21">
        <f>EXP(50*LN(AH$9)*(1/AH$11-1/AH$10))</f>
        <v>1.0147409973967205</v>
      </c>
      <c r="AI12" s="21">
        <f>EXP(50*LN(AI$9)*(1/AI$11-1/AI$10))</f>
        <v>1.0838283625171539</v>
      </c>
      <c r="AJ12" s="21">
        <f>EXP(50*LN(AJ$9)*(1/AJ$11-1/AJ$10))</f>
        <v>1.0748469697739855</v>
      </c>
      <c r="AK12" s="21">
        <f>EXP(50*LN(AK$9)*(1/AK$11-1/AK$10))</f>
        <v>1.0461110279903743</v>
      </c>
      <c r="AL12" s="21">
        <f>EXP(50*LN(AL$9)*(1/AL$11-1/AL$10))</f>
        <v>1.0781716329516178</v>
      </c>
      <c r="AM12" s="22"/>
      <c r="AN12" s="20">
        <f t="shared" ref="AN12:AS12" si="1">EXP(50*LN(AN$9)*(1/AN$11-1/AN$10))</f>
        <v>0.9864640247358869</v>
      </c>
      <c r="AO12" s="23">
        <f t="shared" si="1"/>
        <v>1.1119243755373263</v>
      </c>
      <c r="AP12" s="23">
        <f t="shared" si="1"/>
        <v>1.1119243755373263</v>
      </c>
      <c r="AQ12" s="24">
        <f t="shared" si="1"/>
        <v>1.2444649383116662</v>
      </c>
      <c r="AR12" s="24">
        <f t="shared" si="1"/>
        <v>1.070896053860118</v>
      </c>
      <c r="AS12" s="24">
        <f t="shared" si="1"/>
        <v>1.3555129845637648</v>
      </c>
      <c r="AT12" s="25"/>
      <c r="AU12" s="25"/>
      <c r="AV12" s="26">
        <f>EXP(50*LN(AV$9)*(1/AV$11-1/AV$10))</f>
        <v>1.1042594305568985</v>
      </c>
      <c r="AW12" s="26">
        <f>EXP(50*LN(AW$9)*(1/AW$11-1/AW$10))</f>
        <v>1.1042594305568985</v>
      </c>
      <c r="AX12" s="27">
        <f>EXP(50*LN(AX$9)*(1/AX$11-1/AX$10))</f>
        <v>1.1042594305568985</v>
      </c>
      <c r="AY12" s="27">
        <f>EXP(50*LN(AY$9)*(1/AY$11-1/AY$10))</f>
        <v>1.1042594305568985</v>
      </c>
      <c r="BA12" s="22">
        <f>EXP(50*LN(BA$9)*(1/BA$11-1/BA$10))</f>
        <v>1.0575827053482205</v>
      </c>
      <c r="BB12" s="22"/>
    </row>
    <row r="13" spans="1:321" x14ac:dyDescent="0.3">
      <c r="A13" s="13">
        <v>10</v>
      </c>
      <c r="B13" s="11" t="str">
        <f>IF('FBP outputs'!$D$2=TRUE, IF('FBP outputs'!$G$1=6,INDEX(Settings!$H$5:$H$34,'Calcs-control1'!A13),IF('FBP outputs'!$G$1&gt;12,A13*5-5,"")), "")</f>
        <v/>
      </c>
      <c r="AC13" t="s">
        <v>54</v>
      </c>
      <c r="AD13" t="s">
        <v>53</v>
      </c>
      <c r="AE13" t="s">
        <v>52</v>
      </c>
    </row>
    <row r="14" spans="1:321" x14ac:dyDescent="0.3">
      <c r="A14" s="13">
        <v>11</v>
      </c>
      <c r="B14" s="11" t="str">
        <f>IF('FBP outputs'!$D$2=TRUE, IF('FBP outputs'!$G$1=6,INDEX(Settings!$H$5:$H$34,'Calcs-control1'!A14),IF('FBP outputs'!$G$1&gt;12,A14*5-5,"")), "")</f>
        <v/>
      </c>
      <c r="E14" s="1" t="s">
        <v>64</v>
      </c>
      <c r="F14">
        <v>0</v>
      </c>
      <c r="G14" s="21"/>
      <c r="H14" s="21"/>
      <c r="I14" s="21"/>
      <c r="J14" s="21"/>
      <c r="K14" s="21"/>
      <c r="L14" s="22"/>
      <c r="M14" s="21"/>
      <c r="N14" s="23"/>
      <c r="O14" s="23"/>
      <c r="P14" s="24"/>
      <c r="Q14" s="24"/>
      <c r="R14" s="24"/>
      <c r="S14" s="25"/>
      <c r="T14" s="25"/>
      <c r="U14" s="26"/>
      <c r="V14" s="26"/>
      <c r="W14" s="27"/>
      <c r="X14" s="27"/>
      <c r="Z14" s="22"/>
      <c r="AA14" s="22"/>
      <c r="AC14">
        <v>0</v>
      </c>
      <c r="AD14" s="39">
        <f>147.2*(101-AC158)/(59.5+AC158)</f>
        <v>9.7807308970099669</v>
      </c>
      <c r="AE14" s="42">
        <f>0.208*EXP(0.05039*AC14)*91.9*(EXP(-0.1386*$AD$14)*(1+($AD$14^5.31/(4.93*10^7))))</f>
        <v>4.9458521066739074</v>
      </c>
      <c r="AF14" s="1" t="s">
        <v>64</v>
      </c>
      <c r="AG14">
        <f>AE14</f>
        <v>4.9458521066739074</v>
      </c>
      <c r="AH14" s="21">
        <f>AH$4*(1-EXP(-AH$5*$AG14))^AH$6</f>
        <v>0.26801315552922778</v>
      </c>
      <c r="AI14" s="21">
        <f t="shared" ref="AI14:AL29" si="2">AI$4*(1-EXP(-AI$5*$AG14))^AI$6</f>
        <v>5.1668599337897323</v>
      </c>
      <c r="AJ14" s="21">
        <f t="shared" si="2"/>
        <v>0.84300057308549536</v>
      </c>
      <c r="AK14" s="21">
        <f t="shared" si="2"/>
        <v>5.4503497821536948</v>
      </c>
      <c r="AL14" s="21">
        <f t="shared" si="2"/>
        <v>0.21686271714321542</v>
      </c>
      <c r="AM14" s="22"/>
      <c r="AN14" s="21">
        <f>AN$4*(1-EXP(-AN$5*$AG14))^AN$6</f>
        <v>0.88227741464730136</v>
      </c>
      <c r="AO14" s="23">
        <f>AO$4*(1-EXP(-AO$5*$AG14))^AO$6</f>
        <v>0.85743838155273511</v>
      </c>
      <c r="AP14" s="23">
        <f>IF(Settings!$J$6&gt;69, 0.2*(AO14), 0)</f>
        <v>0.17148767631054704</v>
      </c>
      <c r="AQ14" s="24">
        <f>AQ$4*(1-EXP(-AQ$5*$AG14))^AQ$6</f>
        <v>5.6389638705733285</v>
      </c>
      <c r="AR14" s="24">
        <f t="shared" ref="AR14:AS29" si="3">AR$4*(1-EXP(-AR$5*$AG14))^AR$6</f>
        <v>2.4788516414090984</v>
      </c>
      <c r="AS14" s="24">
        <f t="shared" si="3"/>
        <v>1.6831576057147284</v>
      </c>
      <c r="AT14" s="25" t="e">
        <f>AT$8*(AT$4*(1-EXP(-AT$5*AG14))^AT$6)</f>
        <v>#VALUE!</v>
      </c>
      <c r="AU14" s="25" t="e">
        <f>AU$8*(AU$4*(1-EXP(-AU$5*AG14))^AU$6)</f>
        <v>#VALUE!</v>
      </c>
      <c r="AV14" s="26" t="e">
        <f>(AV$7/100*$AI14)+((100-AV$7)/100*$AO14)</f>
        <v>#VALUE!</v>
      </c>
      <c r="AW14" s="26" t="e">
        <f>(AW$7/100*$AI14)+((100-AW$7)/100*$AP14)</f>
        <v>#VALUE!</v>
      </c>
      <c r="AX14" s="27" t="e">
        <f>$AX$7/100*(($AX$4*(1-EXP(-$AX$5*AG14))^$AX$6)) + ((100-$AX$7)/100*AO14)</f>
        <v>#VALUE!</v>
      </c>
      <c r="AY14" s="27" t="e">
        <f>$AY$7/100*(($AY$4*(1-EXP(-$AY$5*AG14))^$AY$6)) + ((100-$AY$7)/100*AP14)</f>
        <v>#VALUE!</v>
      </c>
      <c r="BA14" s="22">
        <f>BA$4*(1-EXP(-BA$5*$AG14))^BA$6</f>
        <v>1.046761060785157</v>
      </c>
      <c r="BB14" s="22">
        <f>BB$4*(1-EXP(-BB$5*$AG14))^BB$6</f>
        <v>13.075697767317445</v>
      </c>
    </row>
    <row r="15" spans="1:321" x14ac:dyDescent="0.3">
      <c r="A15" s="13">
        <v>12</v>
      </c>
      <c r="B15" s="11" t="str">
        <f>IF('FBP outputs'!$D$2=TRUE, IF('FBP outputs'!$G$1=6,INDEX(Settings!$H$5:$H$34,'Calcs-control1'!A15),IF('FBP outputs'!$G$1&gt;12,A15*5-5,"")), "")</f>
        <v/>
      </c>
      <c r="F15">
        <v>1</v>
      </c>
      <c r="G15" s="21"/>
      <c r="H15" s="21"/>
      <c r="I15" s="21"/>
      <c r="J15" s="21"/>
      <c r="K15" s="21"/>
      <c r="L15" s="22"/>
      <c r="M15" s="21"/>
      <c r="N15" s="23"/>
      <c r="O15" s="23"/>
      <c r="P15" s="24"/>
      <c r="Q15" s="24"/>
      <c r="R15" s="24"/>
      <c r="S15" s="25"/>
      <c r="T15" s="25"/>
      <c r="U15" s="26"/>
      <c r="V15" s="26"/>
      <c r="W15" s="27"/>
      <c r="X15" s="27"/>
      <c r="Z15" s="22"/>
      <c r="AA15" s="22"/>
      <c r="AC15">
        <v>1</v>
      </c>
      <c r="AE15" s="42">
        <f t="shared" ref="AE15:AE54" si="4">0.208*EXP(0.05039*AC15)*91.9*(EXP(-0.1386*$AD$14)*(1+($AD$14^5.31/(4.93*10^7))))</f>
        <v>5.2014595403979236</v>
      </c>
      <c r="AG15">
        <f t="shared" ref="AG15:AG78" si="5">AE15</f>
        <v>5.2014595403979236</v>
      </c>
      <c r="AH15" s="21">
        <f t="shared" ref="AH15:AL46" si="6">AH$4*(1-EXP(-AH$5*$AG15))^AH$6</f>
        <v>0.32457307354844833</v>
      </c>
      <c r="AI15" s="21">
        <f t="shared" si="2"/>
        <v>5.5432053399517525</v>
      </c>
      <c r="AJ15" s="21">
        <f t="shared" si="2"/>
        <v>0.9646378915409265</v>
      </c>
      <c r="AK15" s="21">
        <f t="shared" si="2"/>
        <v>5.8461710776881715</v>
      </c>
      <c r="AL15" s="21">
        <f t="shared" si="2"/>
        <v>0.25654101759701731</v>
      </c>
      <c r="AM15" s="22"/>
      <c r="AN15" s="21">
        <f t="shared" ref="AN15:AO46" si="7">AN$4*(1-EXP(-AN$5*$AG15))^AN$6</f>
        <v>0.96844481041974939</v>
      </c>
      <c r="AO15" s="23">
        <f t="shared" si="7"/>
        <v>0.92511892112741445</v>
      </c>
      <c r="AP15" s="23">
        <f>IF(Settings!$J$6&gt;69, 0.2*(AO15), 0)</f>
        <v>0.18502378422548291</v>
      </c>
      <c r="AQ15" s="24">
        <f t="shared" ref="AQ15:AS46" si="8">AQ$4*(1-EXP(-AQ$5*$AG15))^AQ$6</f>
        <v>5.9918290574367337</v>
      </c>
      <c r="AR15" s="24">
        <f t="shared" si="3"/>
        <v>2.6759228482625681</v>
      </c>
      <c r="AS15" s="24">
        <f t="shared" si="3"/>
        <v>1.9162793978651311</v>
      </c>
      <c r="AT15" s="25" t="e">
        <f t="shared" ref="AT15:AT78" si="9">AT$8*(AT$4*(1-EXP(-AT$5*AG15))^AT$6)</f>
        <v>#VALUE!</v>
      </c>
      <c r="AU15" s="25" t="e">
        <f t="shared" ref="AU15:AU78" si="10">AU$8*(AU$4*(1-EXP(-AU$5*AG15))^AU$6)</f>
        <v>#VALUE!</v>
      </c>
      <c r="AV15" s="26" t="e">
        <f t="shared" ref="AV15:AV78" si="11">(AV$7/100*$AI15)+((100-AV$7)/100*$AO15)</f>
        <v>#VALUE!</v>
      </c>
      <c r="AW15" s="26" t="e">
        <f t="shared" ref="AW15:AW78" si="12">(AW$7/100*$AI15)+((100-AW$7)/100*$AP15)</f>
        <v>#VALUE!</v>
      </c>
      <c r="AX15" s="27" t="e">
        <f t="shared" ref="AX15:AX78" si="13">$AX$7/100*(($AX$4*(1-EXP(-$AX$5*AG15))^$AX$6)) + ((100-$AX$7)/100*AO15)</f>
        <v>#VALUE!</v>
      </c>
      <c r="AY15" s="27" t="e">
        <f t="shared" ref="AY15:AY78" si="14">$AY$7/100*(($AY$4*(1-EXP(-$AY$5*AG15))^$AY$6)) + ((100-$AY$7)/100*AP15)</f>
        <v>#VALUE!</v>
      </c>
      <c r="BA15" s="22">
        <f t="shared" ref="BA15:BB30" si="15">BA$4*(1-EXP(-BA$5*$AG15))^BA$6</f>
        <v>1.1832526204368274</v>
      </c>
      <c r="BB15" s="22">
        <f t="shared" si="15"/>
        <v>13.668039104459098</v>
      </c>
    </row>
    <row r="16" spans="1:321" x14ac:dyDescent="0.3">
      <c r="A16" s="13">
        <v>13</v>
      </c>
      <c r="B16" s="11" t="str">
        <f>IF('FBP outputs'!$D$2=TRUE, IF('FBP outputs'!$G$1=6,INDEX(Settings!$H$5:$H$34,'Calcs-control1'!A16),IF('FBP outputs'!$G$1&gt;12,A16*5-5,"")), "")</f>
        <v/>
      </c>
      <c r="F16">
        <v>2</v>
      </c>
      <c r="G16" s="21"/>
      <c r="H16" s="21"/>
      <c r="I16" s="21"/>
      <c r="J16" s="21"/>
      <c r="K16" s="21"/>
      <c r="L16" s="22"/>
      <c r="M16" s="21"/>
      <c r="N16" s="23"/>
      <c r="O16" s="23"/>
      <c r="P16" s="24"/>
      <c r="Q16" s="24"/>
      <c r="R16" s="24"/>
      <c r="S16" s="25"/>
      <c r="T16" s="25"/>
      <c r="U16" s="26"/>
      <c r="V16" s="26"/>
      <c r="W16" s="27"/>
      <c r="X16" s="27"/>
      <c r="Z16" s="22"/>
      <c r="AA16" s="22"/>
      <c r="AC16">
        <v>2</v>
      </c>
      <c r="AE16" s="42">
        <f t="shared" si="4"/>
        <v>5.4702770658848543</v>
      </c>
      <c r="AG16">
        <f t="shared" si="5"/>
        <v>5.4702770658848543</v>
      </c>
      <c r="AH16" s="21">
        <f t="shared" si="6"/>
        <v>0.3923964583743314</v>
      </c>
      <c r="AI16" s="21">
        <f t="shared" si="2"/>
        <v>5.9453830135232257</v>
      </c>
      <c r="AJ16" s="21">
        <f t="shared" si="2"/>
        <v>1.1029302694913756</v>
      </c>
      <c r="AK16" s="21">
        <f t="shared" si="2"/>
        <v>6.2690104990920572</v>
      </c>
      <c r="AL16" s="21">
        <f t="shared" si="2"/>
        <v>0.30298788921753234</v>
      </c>
      <c r="AM16" s="22"/>
      <c r="AN16" s="21">
        <f t="shared" si="7"/>
        <v>1.0626221424697055</v>
      </c>
      <c r="AO16" s="23">
        <f t="shared" si="7"/>
        <v>0.99790686613639612</v>
      </c>
      <c r="AP16" s="23">
        <f>IF(Settings!$J$6&gt;69, 0.2*(AO16), 0)</f>
        <v>0.19958137322727923</v>
      </c>
      <c r="AQ16" s="24">
        <f t="shared" si="8"/>
        <v>6.3652353447312393</v>
      </c>
      <c r="AR16" s="24">
        <f t="shared" si="3"/>
        <v>2.8873488054159906</v>
      </c>
      <c r="AS16" s="24">
        <f t="shared" si="3"/>
        <v>2.1784153185929669</v>
      </c>
      <c r="AT16" s="25" t="e">
        <f t="shared" si="9"/>
        <v>#VALUE!</v>
      </c>
      <c r="AU16" s="25" t="e">
        <f t="shared" si="10"/>
        <v>#VALUE!</v>
      </c>
      <c r="AV16" s="26" t="e">
        <f t="shared" si="11"/>
        <v>#VALUE!</v>
      </c>
      <c r="AW16" s="26" t="e">
        <f t="shared" si="12"/>
        <v>#VALUE!</v>
      </c>
      <c r="AX16" s="27" t="e">
        <f t="shared" si="13"/>
        <v>#VALUE!</v>
      </c>
      <c r="AY16" s="27" t="e">
        <f t="shared" si="14"/>
        <v>#VALUE!</v>
      </c>
      <c r="BA16" s="22">
        <f t="shared" si="15"/>
        <v>1.3357154382910628</v>
      </c>
      <c r="BB16" s="22">
        <f t="shared" si="15"/>
        <v>14.282928129537485</v>
      </c>
    </row>
    <row r="17" spans="1:257" x14ac:dyDescent="0.3">
      <c r="A17" s="13">
        <v>14</v>
      </c>
      <c r="B17" s="11" t="str">
        <f>IF('FBP outputs'!$D$2=TRUE, IF('FBP outputs'!$G$1=6,INDEX(Settings!$H$5:$H$34,'Calcs-control1'!A17),IF('FBP outputs'!$G$1&gt;12,A17*5-5,"")), "")</f>
        <v/>
      </c>
      <c r="F17">
        <v>3</v>
      </c>
      <c r="G17" s="21"/>
      <c r="H17" s="21"/>
      <c r="I17" s="21"/>
      <c r="J17" s="21"/>
      <c r="K17" s="21"/>
      <c r="L17" s="22"/>
      <c r="M17" s="21"/>
      <c r="N17" s="23"/>
      <c r="O17" s="23"/>
      <c r="P17" s="24"/>
      <c r="Q17" s="24"/>
      <c r="R17" s="24"/>
      <c r="S17" s="25"/>
      <c r="T17" s="25"/>
      <c r="U17" s="26"/>
      <c r="V17" s="26"/>
      <c r="W17" s="27"/>
      <c r="X17" s="27"/>
      <c r="Z17" s="22"/>
      <c r="AA17" s="22"/>
      <c r="AC17">
        <v>3</v>
      </c>
      <c r="AE17" s="42">
        <f t="shared" si="4"/>
        <v>5.7529873961600746</v>
      </c>
      <c r="AG17">
        <f t="shared" si="5"/>
        <v>5.7529873961600746</v>
      </c>
      <c r="AH17" s="21">
        <f t="shared" si="6"/>
        <v>0.47354418795297648</v>
      </c>
      <c r="AI17" s="21">
        <f t="shared" si="2"/>
        <v>6.3749628757238153</v>
      </c>
      <c r="AJ17" s="21">
        <f t="shared" si="2"/>
        <v>1.2599765090008692</v>
      </c>
      <c r="AK17" s="21">
        <f t="shared" si="2"/>
        <v>6.7204904569154804</v>
      </c>
      <c r="AL17" s="21">
        <f t="shared" si="2"/>
        <v>0.35723918730021442</v>
      </c>
      <c r="AM17" s="22"/>
      <c r="AN17" s="21">
        <f t="shared" si="7"/>
        <v>1.1654913480287035</v>
      </c>
      <c r="AO17" s="23">
        <f t="shared" si="7"/>
        <v>1.0761559539588499</v>
      </c>
      <c r="AP17" s="23">
        <f>IF(Settings!$J$6&gt;69, 0.2*(AO17), 0)</f>
        <v>0.21523119079177</v>
      </c>
      <c r="AQ17" s="24">
        <f t="shared" si="8"/>
        <v>6.760196889994444</v>
      </c>
      <c r="AR17" s="24">
        <f t="shared" si="3"/>
        <v>3.1139970983059722</v>
      </c>
      <c r="AS17" s="24">
        <f t="shared" si="3"/>
        <v>2.4725351049120667</v>
      </c>
      <c r="AT17" s="25" t="e">
        <f t="shared" si="9"/>
        <v>#VALUE!</v>
      </c>
      <c r="AU17" s="25" t="e">
        <f t="shared" si="10"/>
        <v>#VALUE!</v>
      </c>
      <c r="AV17" s="26" t="e">
        <f t="shared" si="11"/>
        <v>#VALUE!</v>
      </c>
      <c r="AW17" s="26" t="e">
        <f t="shared" si="12"/>
        <v>#VALUE!</v>
      </c>
      <c r="AX17" s="27" t="e">
        <f t="shared" si="13"/>
        <v>#VALUE!</v>
      </c>
      <c r="AY17" s="27" t="e">
        <f t="shared" si="14"/>
        <v>#VALUE!</v>
      </c>
      <c r="BA17" s="22">
        <f t="shared" si="15"/>
        <v>1.5056755574693743</v>
      </c>
      <c r="BB17" s="22">
        <f t="shared" si="15"/>
        <v>14.92079342529909</v>
      </c>
    </row>
    <row r="18" spans="1:257" x14ac:dyDescent="0.3">
      <c r="A18" s="13">
        <v>15</v>
      </c>
      <c r="B18" s="11" t="str">
        <f>IF('FBP outputs'!$D$2=TRUE, IF('FBP outputs'!$G$1=6,INDEX(Settings!$H$5:$H$34,'Calcs-control1'!A18),IF('FBP outputs'!$G$1&gt;12,A18*5-5,"")), "")</f>
        <v/>
      </c>
      <c r="F18">
        <v>4</v>
      </c>
      <c r="G18" s="21"/>
      <c r="H18" s="21"/>
      <c r="I18" s="21"/>
      <c r="J18" s="21"/>
      <c r="K18" s="21"/>
      <c r="L18" s="22"/>
      <c r="M18" s="21"/>
      <c r="N18" s="23"/>
      <c r="O18" s="23"/>
      <c r="P18" s="24"/>
      <c r="Q18" s="24"/>
      <c r="R18" s="24"/>
      <c r="S18" s="25"/>
      <c r="T18" s="25"/>
      <c r="U18" s="26"/>
      <c r="V18" s="26"/>
      <c r="W18" s="27"/>
      <c r="X18" s="27"/>
      <c r="Z18" s="22"/>
      <c r="AA18" s="22"/>
      <c r="AC18">
        <v>4</v>
      </c>
      <c r="AE18" s="42">
        <f t="shared" si="4"/>
        <v>6.0503085276582826</v>
      </c>
      <c r="AG18">
        <f t="shared" si="5"/>
        <v>6.0503085276582826</v>
      </c>
      <c r="AH18" s="21">
        <f t="shared" si="6"/>
        <v>0.57040616990615167</v>
      </c>
      <c r="AI18" s="21">
        <f t="shared" si="2"/>
        <v>6.8335839307103505</v>
      </c>
      <c r="AJ18" s="21">
        <f t="shared" si="2"/>
        <v>1.4381035694113549</v>
      </c>
      <c r="AK18" s="21">
        <f t="shared" si="2"/>
        <v>7.2023020799203525</v>
      </c>
      <c r="AL18" s="21">
        <f t="shared" si="2"/>
        <v>0.42046131185786556</v>
      </c>
      <c r="AM18" s="22"/>
      <c r="AN18" s="21">
        <f t="shared" si="7"/>
        <v>1.277782768620725</v>
      </c>
      <c r="AO18" s="23">
        <f t="shared" si="7"/>
        <v>1.1602401340852539</v>
      </c>
      <c r="AP18" s="23">
        <f>IF(Settings!$J$6&gt;69, 0.2*(AO18), 0)</f>
        <v>0.23204802681705081</v>
      </c>
      <c r="AQ18" s="24">
        <f t="shared" si="8"/>
        <v>7.1777561644461931</v>
      </c>
      <c r="AR18" s="24">
        <f t="shared" si="3"/>
        <v>3.356763385947918</v>
      </c>
      <c r="AS18" s="24">
        <f t="shared" si="3"/>
        <v>2.8017893136253909</v>
      </c>
      <c r="AT18" s="25" t="e">
        <f t="shared" si="9"/>
        <v>#VALUE!</v>
      </c>
      <c r="AU18" s="25" t="e">
        <f t="shared" si="10"/>
        <v>#VALUE!</v>
      </c>
      <c r="AV18" s="26" t="e">
        <f t="shared" si="11"/>
        <v>#VALUE!</v>
      </c>
      <c r="AW18" s="26" t="e">
        <f t="shared" si="12"/>
        <v>#VALUE!</v>
      </c>
      <c r="AX18" s="27" t="e">
        <f t="shared" si="13"/>
        <v>#VALUE!</v>
      </c>
      <c r="AY18" s="27" t="e">
        <f t="shared" si="14"/>
        <v>#VALUE!</v>
      </c>
      <c r="BA18" s="22">
        <f t="shared" si="15"/>
        <v>1.6947415491805986</v>
      </c>
      <c r="BB18" s="22">
        <f t="shared" si="15"/>
        <v>15.582025064694209</v>
      </c>
    </row>
    <row r="19" spans="1:257" x14ac:dyDescent="0.3">
      <c r="A19" s="13">
        <v>16</v>
      </c>
      <c r="B19" s="11" t="str">
        <f>IF('FBP outputs'!$D$2=TRUE, IF('FBP outputs'!$G$1=6,INDEX(Settings!$H$5:$H$34,'Calcs-control1'!A19),IF('FBP outputs'!$G$1&gt;12,A19*5-5,"")), "")</f>
        <v/>
      </c>
      <c r="F19">
        <v>5</v>
      </c>
      <c r="G19" s="21"/>
      <c r="H19" s="21"/>
      <c r="I19" s="21"/>
      <c r="J19" s="21"/>
      <c r="K19" s="21"/>
      <c r="L19" s="22"/>
      <c r="M19" s="21"/>
      <c r="N19" s="23"/>
      <c r="O19" s="23"/>
      <c r="P19" s="24"/>
      <c r="Q19" s="24"/>
      <c r="R19" s="24"/>
      <c r="S19" s="25"/>
      <c r="T19" s="25"/>
      <c r="U19" s="26"/>
      <c r="V19" s="26"/>
      <c r="W19" s="27"/>
      <c r="X19" s="27"/>
      <c r="Z19" s="22"/>
      <c r="AA19" s="22"/>
      <c r="AC19">
        <v>5</v>
      </c>
      <c r="AE19" s="42">
        <f t="shared" si="4"/>
        <v>6.3629955637114666</v>
      </c>
      <c r="AG19">
        <f t="shared" si="5"/>
        <v>6.3629955637114666</v>
      </c>
      <c r="AH19" s="21">
        <f t="shared" si="6"/>
        <v>0.68574147897872006</v>
      </c>
      <c r="AI19" s="21">
        <f t="shared" si="2"/>
        <v>7.3229537146236563</v>
      </c>
      <c r="AJ19" s="21">
        <f t="shared" si="2"/>
        <v>1.6398841322523288</v>
      </c>
      <c r="AK19" s="21">
        <f t="shared" si="2"/>
        <v>7.7162041989360048</v>
      </c>
      <c r="AL19" s="21">
        <f t="shared" si="2"/>
        <v>0.49396116197845352</v>
      </c>
      <c r="AM19" s="22"/>
      <c r="AN19" s="21">
        <f t="shared" si="7"/>
        <v>1.4002770713353354</v>
      </c>
      <c r="AO19" s="23">
        <f t="shared" si="7"/>
        <v>1.2505541263142974</v>
      </c>
      <c r="AP19" s="23">
        <f>IF(Settings!$J$6&gt;69, 0.2*(AO19), 0)</f>
        <v>0.25011082526285949</v>
      </c>
      <c r="AQ19" s="24">
        <f t="shared" si="8"/>
        <v>7.6189818908916243</v>
      </c>
      <c r="AR19" s="24">
        <f t="shared" si="3"/>
        <v>3.6165686758462763</v>
      </c>
      <c r="AS19" s="24">
        <f t="shared" si="3"/>
        <v>3.1694958029815954</v>
      </c>
      <c r="AT19" s="25" t="e">
        <f t="shared" si="9"/>
        <v>#VALUE!</v>
      </c>
      <c r="AU19" s="25" t="e">
        <f t="shared" si="10"/>
        <v>#VALUE!</v>
      </c>
      <c r="AV19" s="26" t="e">
        <f t="shared" si="11"/>
        <v>#VALUE!</v>
      </c>
      <c r="AW19" s="26" t="e">
        <f t="shared" si="12"/>
        <v>#VALUE!</v>
      </c>
      <c r="AX19" s="27" t="e">
        <f t="shared" si="13"/>
        <v>#VALUE!</v>
      </c>
      <c r="AY19" s="27" t="e">
        <f t="shared" si="14"/>
        <v>#VALUE!</v>
      </c>
      <c r="BA19" s="22">
        <f t="shared" si="15"/>
        <v>1.9045967321643333</v>
      </c>
      <c r="BB19" s="22">
        <f t="shared" si="15"/>
        <v>16.266968650248867</v>
      </c>
    </row>
    <row r="20" spans="1:257" x14ac:dyDescent="0.3">
      <c r="A20" s="13">
        <v>17</v>
      </c>
      <c r="B20" s="11" t="str">
        <f>IF('FBP outputs'!$D$2=TRUE, IF('FBP outputs'!$G$1=6,INDEX(Settings!$H$5:$H$34,'Calcs-control1'!A20),IF('FBP outputs'!$G$1&gt;12,A20*5-5,"")), "")</f>
        <v/>
      </c>
      <c r="F20">
        <v>6</v>
      </c>
      <c r="G20" s="21"/>
      <c r="H20" s="21"/>
      <c r="I20" s="21"/>
      <c r="J20" s="21"/>
      <c r="K20" s="21"/>
      <c r="L20" s="22"/>
      <c r="M20" s="21"/>
      <c r="N20" s="23"/>
      <c r="O20" s="23"/>
      <c r="P20" s="24"/>
      <c r="Q20" s="24"/>
      <c r="R20" s="24"/>
      <c r="S20" s="25"/>
      <c r="T20" s="25"/>
      <c r="U20" s="26"/>
      <c r="V20" s="26"/>
      <c r="W20" s="27"/>
      <c r="X20" s="27"/>
      <c r="Z20" s="22"/>
      <c r="AA20" s="22"/>
      <c r="AC20">
        <v>6</v>
      </c>
      <c r="AE20" s="42">
        <f t="shared" si="4"/>
        <v>6.6918426322768392</v>
      </c>
      <c r="AG20">
        <f t="shared" si="5"/>
        <v>6.6918426322768392</v>
      </c>
      <c r="AH20" s="21">
        <f t="shared" si="6"/>
        <v>0.82272018351745746</v>
      </c>
      <c r="AI20" s="21">
        <f t="shared" si="2"/>
        <v>7.8448471215228555</v>
      </c>
      <c r="AJ20" s="21">
        <f t="shared" si="2"/>
        <v>1.8681540173331539</v>
      </c>
      <c r="AK20" s="21">
        <f t="shared" si="2"/>
        <v>8.2640216395618449</v>
      </c>
      <c r="AL20" s="21">
        <f t="shared" si="2"/>
        <v>0.57919526908587371</v>
      </c>
      <c r="AM20" s="22"/>
      <c r="AN20" s="21">
        <f t="shared" si="7"/>
        <v>1.533806984738044</v>
      </c>
      <c r="AO20" s="23">
        <f t="shared" si="7"/>
        <v>1.3475139005742189</v>
      </c>
      <c r="AP20" s="23">
        <f>IF(Settings!$J$6&gt;69, 0.2*(AO20), 0)</f>
        <v>0.2695027801148438</v>
      </c>
      <c r="AQ20" s="24">
        <f t="shared" si="8"/>
        <v>8.084966509405815</v>
      </c>
      <c r="AR20" s="24">
        <f t="shared" si="3"/>
        <v>3.8943559257978984</v>
      </c>
      <c r="AS20" s="24">
        <f t="shared" si="3"/>
        <v>3.579120068921978</v>
      </c>
      <c r="AT20" s="25" t="e">
        <f t="shared" si="9"/>
        <v>#VALUE!</v>
      </c>
      <c r="AU20" s="25" t="e">
        <f t="shared" si="10"/>
        <v>#VALUE!</v>
      </c>
      <c r="AV20" s="26" t="e">
        <f t="shared" si="11"/>
        <v>#VALUE!</v>
      </c>
      <c r="AW20" s="26" t="e">
        <f t="shared" si="12"/>
        <v>#VALUE!</v>
      </c>
      <c r="AX20" s="27" t="e">
        <f t="shared" si="13"/>
        <v>#VALUE!</v>
      </c>
      <c r="AY20" s="27" t="e">
        <f t="shared" si="14"/>
        <v>#VALUE!</v>
      </c>
      <c r="BA20" s="22">
        <f t="shared" si="15"/>
        <v>2.1369884408151707</v>
      </c>
      <c r="BB20" s="22">
        <f t="shared" si="15"/>
        <v>16.975918948239126</v>
      </c>
    </row>
    <row r="21" spans="1:257" x14ac:dyDescent="0.3">
      <c r="A21" s="13">
        <v>18</v>
      </c>
      <c r="B21" s="11" t="str">
        <f>IF('FBP outputs'!$D$2=TRUE, IF('FBP outputs'!$G$1=6,INDEX(Settings!$H$5:$H$34,'Calcs-control1'!A21),IF('FBP outputs'!$G$1&gt;12,A21*5-5,"")), "")</f>
        <v/>
      </c>
      <c r="F21">
        <v>7</v>
      </c>
      <c r="G21" s="21"/>
      <c r="H21" s="21"/>
      <c r="I21" s="21"/>
      <c r="J21" s="21"/>
      <c r="K21" s="21"/>
      <c r="L21" s="22"/>
      <c r="M21" s="21"/>
      <c r="N21" s="23"/>
      <c r="O21" s="23"/>
      <c r="P21" s="24"/>
      <c r="Q21" s="24"/>
      <c r="R21" s="24"/>
      <c r="S21" s="25"/>
      <c r="T21" s="25"/>
      <c r="U21" s="26"/>
      <c r="V21" s="26"/>
      <c r="W21" s="27"/>
      <c r="X21" s="27"/>
      <c r="Z21" s="22"/>
      <c r="AA21" s="22"/>
      <c r="AC21">
        <v>7</v>
      </c>
      <c r="AE21" s="42">
        <f t="shared" si="4"/>
        <v>7.0376849027752071</v>
      </c>
      <c r="AG21">
        <f t="shared" si="5"/>
        <v>7.0376849027752071</v>
      </c>
      <c r="AH21" s="21">
        <f t="shared" si="6"/>
        <v>0.98496599211824631</v>
      </c>
      <c r="AI21" s="21">
        <f t="shared" si="2"/>
        <v>8.4011045157418298</v>
      </c>
      <c r="AJ21" s="21">
        <f t="shared" si="2"/>
        <v>2.1260290559696151</v>
      </c>
      <c r="AK21" s="21">
        <f t="shared" si="2"/>
        <v>8.8476427277976057</v>
      </c>
      <c r="AL21" s="21">
        <f t="shared" si="2"/>
        <v>0.67777761537015768</v>
      </c>
      <c r="AM21" s="22"/>
      <c r="AN21" s="21">
        <f t="shared" si="7"/>
        <v>1.6792587914783252</v>
      </c>
      <c r="AO21" s="23">
        <f t="shared" si="7"/>
        <v>1.45155706020758</v>
      </c>
      <c r="AP21" s="23">
        <f>IF(Settings!$J$6&gt;69, 0.2*(AO21), 0)</f>
        <v>0.290311412041516</v>
      </c>
      <c r="AQ21" s="24">
        <f t="shared" si="8"/>
        <v>8.5768231216481077</v>
      </c>
      <c r="AR21" s="24">
        <f t="shared" si="3"/>
        <v>4.1910859014806077</v>
      </c>
      <c r="AS21" s="24">
        <f t="shared" si="3"/>
        <v>4.0342486024661586</v>
      </c>
      <c r="AT21" s="25" t="e">
        <f t="shared" si="9"/>
        <v>#VALUE!</v>
      </c>
      <c r="AU21" s="25" t="e">
        <f t="shared" si="10"/>
        <v>#VALUE!</v>
      </c>
      <c r="AV21" s="26" t="e">
        <f t="shared" si="11"/>
        <v>#VALUE!</v>
      </c>
      <c r="AW21" s="26" t="e">
        <f t="shared" si="12"/>
        <v>#VALUE!</v>
      </c>
      <c r="AX21" s="27" t="e">
        <f t="shared" si="13"/>
        <v>#VALUE!</v>
      </c>
      <c r="AY21" s="27" t="e">
        <f t="shared" si="14"/>
        <v>#VALUE!</v>
      </c>
      <c r="BA21" s="22">
        <f t="shared" si="15"/>
        <v>2.3937139781435879</v>
      </c>
      <c r="BB21" s="22">
        <f t="shared" si="15"/>
        <v>17.709113124159849</v>
      </c>
    </row>
    <row r="22" spans="1:257" x14ac:dyDescent="0.3">
      <c r="A22" s="13">
        <v>19</v>
      </c>
      <c r="B22" s="11" t="str">
        <f>IF('FBP outputs'!$D$2=TRUE, IF('FBP outputs'!$G$1=6,INDEX(Settings!$H$5:$H$34,'Calcs-control1'!A22),IF('FBP outputs'!$G$1&gt;12,A22*5-5,"")), "")</f>
        <v/>
      </c>
      <c r="F22">
        <v>8</v>
      </c>
      <c r="G22" s="21"/>
      <c r="H22" s="21"/>
      <c r="I22" s="21"/>
      <c r="J22" s="21"/>
      <c r="K22" s="21"/>
      <c r="L22" s="22"/>
      <c r="M22" s="21"/>
      <c r="N22" s="23"/>
      <c r="O22" s="23"/>
      <c r="P22" s="24"/>
      <c r="Q22" s="24"/>
      <c r="R22" s="24"/>
      <c r="S22" s="25"/>
      <c r="T22" s="25"/>
      <c r="U22" s="26"/>
      <c r="V22" s="26"/>
      <c r="W22" s="27"/>
      <c r="X22" s="27"/>
      <c r="Z22" s="22"/>
      <c r="AA22" s="22"/>
      <c r="AC22">
        <v>8</v>
      </c>
      <c r="AE22" s="42">
        <f t="shared" si="4"/>
        <v>7.4014007071619208</v>
      </c>
      <c r="AG22">
        <f t="shared" si="5"/>
        <v>7.4014007071619208</v>
      </c>
      <c r="AH22" s="21">
        <f t="shared" si="6"/>
        <v>1.1765985460919606</v>
      </c>
      <c r="AI22" s="21">
        <f t="shared" si="2"/>
        <v>8.9936290330315263</v>
      </c>
      <c r="AJ22" s="21">
        <f t="shared" si="2"/>
        <v>2.4169209413090513</v>
      </c>
      <c r="AK22" s="21">
        <f t="shared" si="2"/>
        <v>9.4690159056188499</v>
      </c>
      <c r="AL22" s="21">
        <f t="shared" si="2"/>
        <v>0.79148555223803019</v>
      </c>
      <c r="AM22" s="22"/>
      <c r="AN22" s="21">
        <f t="shared" si="7"/>
        <v>1.8375735116549361</v>
      </c>
      <c r="AO22" s="23">
        <f t="shared" si="7"/>
        <v>1.5631431083951095</v>
      </c>
      <c r="AP22" s="23">
        <f>IF(Settings!$J$6&gt;69, 0.2*(AO22), 0)</f>
        <v>0.31262862167902195</v>
      </c>
      <c r="AQ22" s="24">
        <f t="shared" si="8"/>
        <v>9.0956818625114835</v>
      </c>
      <c r="AR22" s="24">
        <f t="shared" si="3"/>
        <v>4.5077322176658194</v>
      </c>
      <c r="AS22" s="24">
        <f t="shared" si="3"/>
        <v>4.5385544680279857</v>
      </c>
      <c r="AT22" s="25" t="e">
        <f t="shared" si="9"/>
        <v>#VALUE!</v>
      </c>
      <c r="AU22" s="25" t="e">
        <f t="shared" si="10"/>
        <v>#VALUE!</v>
      </c>
      <c r="AV22" s="26" t="e">
        <f t="shared" si="11"/>
        <v>#VALUE!</v>
      </c>
      <c r="AW22" s="26" t="e">
        <f t="shared" si="12"/>
        <v>#VALUE!</v>
      </c>
      <c r="AX22" s="27" t="e">
        <f t="shared" si="13"/>
        <v>#VALUE!</v>
      </c>
      <c r="AY22" s="27" t="e">
        <f t="shared" si="14"/>
        <v>#VALUE!</v>
      </c>
      <c r="BA22" s="22">
        <f t="shared" si="15"/>
        <v>2.6766029090903336</v>
      </c>
      <c r="BB22" s="22">
        <f t="shared" si="15"/>
        <v>18.466723592591855</v>
      </c>
    </row>
    <row r="23" spans="1:257" x14ac:dyDescent="0.3">
      <c r="A23" s="13">
        <v>20</v>
      </c>
      <c r="B23" s="11" t="str">
        <f>IF('FBP outputs'!$D$2=TRUE, IF('FBP outputs'!$G$1=6,INDEX(Settings!$H$5:$H$34,'Calcs-control1'!A23),IF('FBP outputs'!$G$1&gt;12,A23*5-5,"")), "")</f>
        <v/>
      </c>
      <c r="F23">
        <v>9</v>
      </c>
      <c r="G23" s="21"/>
      <c r="H23" s="21"/>
      <c r="I23" s="21"/>
      <c r="J23" s="21"/>
      <c r="K23" s="21"/>
      <c r="L23" s="22"/>
      <c r="M23" s="21"/>
      <c r="N23" s="23"/>
      <c r="O23" s="23"/>
      <c r="P23" s="24"/>
      <c r="Q23" s="24"/>
      <c r="R23" s="24"/>
      <c r="S23" s="25"/>
      <c r="T23" s="25"/>
      <c r="U23" s="26"/>
      <c r="V23" s="26"/>
      <c r="W23" s="27"/>
      <c r="X23" s="27"/>
      <c r="Z23" s="22"/>
      <c r="AA23" s="22"/>
      <c r="AC23">
        <v>9</v>
      </c>
      <c r="AE23" s="42">
        <f t="shared" si="4"/>
        <v>7.7839137706172403</v>
      </c>
      <c r="AG23">
        <f t="shared" si="5"/>
        <v>7.7839137706172403</v>
      </c>
      <c r="AH23" s="21">
        <f t="shared" si="6"/>
        <v>1.4022738337060217</v>
      </c>
      <c r="AI23" s="21">
        <f t="shared" si="2"/>
        <v>9.624382965843564</v>
      </c>
      <c r="AJ23" s="21">
        <f t="shared" si="2"/>
        <v>2.7445514812254874</v>
      </c>
      <c r="AK23" s="21">
        <f t="shared" si="2"/>
        <v>10.130145346751211</v>
      </c>
      <c r="AL23" s="21">
        <f t="shared" si="2"/>
        <v>0.92226314103587703</v>
      </c>
      <c r="AM23" s="22"/>
      <c r="AN23" s="21">
        <f t="shared" si="7"/>
        <v>2.0097477025262878</v>
      </c>
      <c r="AO23" s="23">
        <f t="shared" si="7"/>
        <v>1.6827535751087526</v>
      </c>
      <c r="AP23" s="23">
        <f>IF(Settings!$J$6&gt;69, 0.2*(AO23), 0)</f>
        <v>0.33655071502175055</v>
      </c>
      <c r="AQ23" s="24">
        <f t="shared" si="8"/>
        <v>9.6426856460608121</v>
      </c>
      <c r="AR23" s="24">
        <f t="shared" si="3"/>
        <v>4.8452754911685672</v>
      </c>
      <c r="AS23" s="24">
        <f t="shared" si="3"/>
        <v>5.0957543774332299</v>
      </c>
      <c r="AT23" s="25" t="e">
        <f t="shared" si="9"/>
        <v>#VALUE!</v>
      </c>
      <c r="AU23" s="25" t="e">
        <f t="shared" si="10"/>
        <v>#VALUE!</v>
      </c>
      <c r="AV23" s="26" t="e">
        <f t="shared" si="11"/>
        <v>#VALUE!</v>
      </c>
      <c r="AW23" s="26" t="e">
        <f t="shared" si="12"/>
        <v>#VALUE!</v>
      </c>
      <c r="AX23" s="27" t="e">
        <f t="shared" si="13"/>
        <v>#VALUE!</v>
      </c>
      <c r="AY23" s="27" t="e">
        <f t="shared" si="14"/>
        <v>#VALUE!</v>
      </c>
      <c r="BA23" s="22">
        <f t="shared" si="15"/>
        <v>2.987495387464612</v>
      </c>
      <c r="BB23" s="22">
        <f t="shared" si="15"/>
        <v>19.248850502263736</v>
      </c>
      <c r="CQ23" s="36"/>
    </row>
    <row r="24" spans="1:257" x14ac:dyDescent="0.3">
      <c r="A24" s="13">
        <v>21</v>
      </c>
      <c r="B24" s="11" t="str">
        <f>IF('FBP outputs'!$D$2=TRUE, IF('FBP outputs'!$G$1=6,INDEX(Settings!$H$5:$H$34,'Calcs-control1'!A24),IF('FBP outputs'!$G$1&gt;12,A24*5-5,"")), "")</f>
        <v/>
      </c>
      <c r="F24">
        <v>10</v>
      </c>
      <c r="G24" s="21"/>
      <c r="H24" s="21"/>
      <c r="I24" s="21"/>
      <c r="J24" s="21"/>
      <c r="K24" s="21"/>
      <c r="L24" s="22"/>
      <c r="M24" s="21"/>
      <c r="N24" s="23"/>
      <c r="O24" s="23"/>
      <c r="P24" s="24"/>
      <c r="Q24" s="24"/>
      <c r="R24" s="24"/>
      <c r="S24" s="25"/>
      <c r="T24" s="25"/>
      <c r="U24" s="26"/>
      <c r="V24" s="26"/>
      <c r="W24" s="27"/>
      <c r="X24" s="27"/>
      <c r="Z24" s="22"/>
      <c r="AA24" s="22"/>
      <c r="AC24">
        <v>10</v>
      </c>
      <c r="AE24" s="42">
        <f t="shared" si="4"/>
        <v>8.1861955575214029</v>
      </c>
      <c r="AG24">
        <f t="shared" si="5"/>
        <v>8.1861955575214029</v>
      </c>
      <c r="AH24" s="21">
        <f t="shared" si="6"/>
        <v>1.6672208130081445</v>
      </c>
      <c r="AI24" s="21">
        <f t="shared" si="2"/>
        <v>10.295383121448808</v>
      </c>
      <c r="AJ24" s="21">
        <f t="shared" si="2"/>
        <v>3.1129645773046954</v>
      </c>
      <c r="AK24" s="21">
        <f t="shared" si="2"/>
        <v>10.83308545664444</v>
      </c>
      <c r="AL24" s="21">
        <f t="shared" si="2"/>
        <v>1.0722211491885008</v>
      </c>
      <c r="AM24" s="22"/>
      <c r="AN24" s="21">
        <f t="shared" si="7"/>
        <v>2.1968337913053295</v>
      </c>
      <c r="AO24" s="23">
        <f t="shared" si="7"/>
        <v>1.8108919795937521</v>
      </c>
      <c r="AP24" s="23">
        <f>IF(Settings!$J$6&gt;69, 0.2*(AO24), 0)</f>
        <v>0.36217839591875045</v>
      </c>
      <c r="AQ24" s="24">
        <f t="shared" si="8"/>
        <v>10.218985231477037</v>
      </c>
      <c r="AR24" s="24">
        <f t="shared" si="3"/>
        <v>5.2046965355667663</v>
      </c>
      <c r="AS24" s="24">
        <f t="shared" si="3"/>
        <v>5.7095566593542291</v>
      </c>
      <c r="AT24" s="25" t="e">
        <f t="shared" si="9"/>
        <v>#VALUE!</v>
      </c>
      <c r="AU24" s="25" t="e">
        <f t="shared" si="10"/>
        <v>#VALUE!</v>
      </c>
      <c r="AV24" s="26" t="e">
        <f t="shared" si="11"/>
        <v>#VALUE!</v>
      </c>
      <c r="AW24" s="26" t="e">
        <f t="shared" si="12"/>
        <v>#VALUE!</v>
      </c>
      <c r="AX24" s="27" t="e">
        <f t="shared" si="13"/>
        <v>#VALUE!</v>
      </c>
      <c r="AY24" s="27" t="e">
        <f t="shared" si="14"/>
        <v>#VALUE!</v>
      </c>
      <c r="BA24" s="22">
        <f t="shared" si="15"/>
        <v>3.3282162693163948</v>
      </c>
      <c r="BB24" s="22">
        <f t="shared" si="15"/>
        <v>20.055513885952536</v>
      </c>
      <c r="CQ24" s="36"/>
    </row>
    <row r="25" spans="1:257" x14ac:dyDescent="0.3">
      <c r="A25" s="13">
        <v>22</v>
      </c>
      <c r="F25">
        <v>11</v>
      </c>
      <c r="G25" s="21"/>
      <c r="H25" s="21"/>
      <c r="I25" s="21"/>
      <c r="J25" s="21"/>
      <c r="K25" s="21"/>
      <c r="L25" s="22"/>
      <c r="M25" s="21"/>
      <c r="N25" s="23"/>
      <c r="O25" s="23"/>
      <c r="P25" s="24"/>
      <c r="Q25" s="24"/>
      <c r="R25" s="24"/>
      <c r="S25" s="25"/>
      <c r="T25" s="25"/>
      <c r="U25" s="26"/>
      <c r="V25" s="26"/>
      <c r="W25" s="27"/>
      <c r="X25" s="27"/>
      <c r="Z25" s="22"/>
      <c r="AA25" s="22"/>
      <c r="AC25">
        <v>11</v>
      </c>
      <c r="AE25" s="42">
        <f t="shared" si="4"/>
        <v>8.6092677386724414</v>
      </c>
      <c r="AG25">
        <f t="shared" si="5"/>
        <v>8.6092677386724414</v>
      </c>
      <c r="AH25" s="21">
        <f t="shared" si="6"/>
        <v>1.9772719106725103</v>
      </c>
      <c r="AI25" s="21">
        <f t="shared" si="2"/>
        <v>11.008695035490744</v>
      </c>
      <c r="AJ25" s="21">
        <f t="shared" si="2"/>
        <v>3.5265351457451048</v>
      </c>
      <c r="AK25" s="21">
        <f t="shared" si="2"/>
        <v>11.579934135158853</v>
      </c>
      <c r="AL25" s="21">
        <f t="shared" si="2"/>
        <v>1.2436328553653935</v>
      </c>
      <c r="AM25" s="22"/>
      <c r="AN25" s="21">
        <f t="shared" si="7"/>
        <v>2.3999398486856656</v>
      </c>
      <c r="AO25" s="23">
        <f t="shared" si="7"/>
        <v>1.9480836009087938</v>
      </c>
      <c r="AP25" s="23">
        <f>IF(Settings!$J$6&gt;69, 0.2*(AO25), 0)</f>
        <v>0.3896167201817588</v>
      </c>
      <c r="AQ25" s="24">
        <f t="shared" si="8"/>
        <v>10.82573355414303</v>
      </c>
      <c r="AR25" s="24">
        <f t="shared" si="3"/>
        <v>5.5869685316326194</v>
      </c>
      <c r="AS25" s="24">
        <f t="shared" si="3"/>
        <v>6.3835997066413261</v>
      </c>
      <c r="AT25" s="25" t="e">
        <f t="shared" si="9"/>
        <v>#VALUE!</v>
      </c>
      <c r="AU25" s="25" t="e">
        <f t="shared" si="10"/>
        <v>#VALUE!</v>
      </c>
      <c r="AV25" s="26" t="e">
        <f t="shared" si="11"/>
        <v>#VALUE!</v>
      </c>
      <c r="AW25" s="26" t="e">
        <f t="shared" si="12"/>
        <v>#VALUE!</v>
      </c>
      <c r="AX25" s="27" t="e">
        <f t="shared" si="13"/>
        <v>#VALUE!</v>
      </c>
      <c r="AY25" s="27" t="e">
        <f t="shared" si="14"/>
        <v>#VALUE!</v>
      </c>
      <c r="BA25" s="22">
        <f t="shared" si="15"/>
        <v>3.7005448501031761</v>
      </c>
      <c r="BB25" s="22">
        <f t="shared" si="15"/>
        <v>20.886645514933925</v>
      </c>
    </row>
    <row r="26" spans="1:257" x14ac:dyDescent="0.3">
      <c r="A26" s="13">
        <v>23</v>
      </c>
      <c r="F26">
        <v>12</v>
      </c>
      <c r="G26" s="21"/>
      <c r="H26" s="21"/>
      <c r="I26" s="21"/>
      <c r="J26" s="21"/>
      <c r="K26" s="21"/>
      <c r="L26" s="22"/>
      <c r="M26" s="21"/>
      <c r="N26" s="23"/>
      <c r="O26" s="23"/>
      <c r="P26" s="24"/>
      <c r="Q26" s="24"/>
      <c r="R26" s="24"/>
      <c r="S26" s="25"/>
      <c r="T26" s="25"/>
      <c r="U26" s="26"/>
      <c r="V26" s="26"/>
      <c r="W26" s="27"/>
      <c r="X26" s="27"/>
      <c r="Z26" s="22"/>
      <c r="AA26" s="22"/>
      <c r="AC26">
        <v>12</v>
      </c>
      <c r="AE26" s="42">
        <f t="shared" si="4"/>
        <v>9.0542047860126846</v>
      </c>
      <c r="AG26">
        <f t="shared" si="5"/>
        <v>9.0542047860126846</v>
      </c>
      <c r="AH26" s="21">
        <f t="shared" si="6"/>
        <v>2.3388846295265933</v>
      </c>
      <c r="AI26" s="21">
        <f t="shared" si="2"/>
        <v>11.766425918312533</v>
      </c>
      <c r="AJ26" s="21">
        <f t="shared" si="2"/>
        <v>3.9899740850915331</v>
      </c>
      <c r="AK26" s="21">
        <f t="shared" si="2"/>
        <v>12.372824676053053</v>
      </c>
      <c r="AL26" s="21">
        <f t="shared" si="2"/>
        <v>1.4389247549079562</v>
      </c>
      <c r="AM26" s="22"/>
      <c r="AN26" s="21">
        <f t="shared" si="7"/>
        <v>2.6202287015846792</v>
      </c>
      <c r="AO26" s="23">
        <f t="shared" si="7"/>
        <v>2.094875026534377</v>
      </c>
      <c r="AP26" s="23">
        <f>IF(Settings!$J$6&gt;69, 0.2*(AO26), 0)</f>
        <v>0.41897500530687543</v>
      </c>
      <c r="AQ26" s="24">
        <f t="shared" si="8"/>
        <v>11.464079267241397</v>
      </c>
      <c r="AR26" s="24">
        <f t="shared" si="3"/>
        <v>5.9930481137015059</v>
      </c>
      <c r="AS26" s="24">
        <f t="shared" si="3"/>
        <v>7.1213807314502464</v>
      </c>
      <c r="AT26" s="25" t="e">
        <f t="shared" si="9"/>
        <v>#VALUE!</v>
      </c>
      <c r="AU26" s="25" t="e">
        <f t="shared" si="10"/>
        <v>#VALUE!</v>
      </c>
      <c r="AV26" s="26" t="e">
        <f t="shared" si="11"/>
        <v>#VALUE!</v>
      </c>
      <c r="AW26" s="26" t="e">
        <f t="shared" si="12"/>
        <v>#VALUE!</v>
      </c>
      <c r="AX26" s="27" t="e">
        <f t="shared" si="13"/>
        <v>#VALUE!</v>
      </c>
      <c r="AY26" s="27" t="e">
        <f t="shared" si="14"/>
        <v>#VALUE!</v>
      </c>
      <c r="BA26" s="22">
        <f t="shared" si="15"/>
        <v>4.1061801753619607</v>
      </c>
      <c r="BB26" s="22">
        <f t="shared" si="15"/>
        <v>21.742080509024852</v>
      </c>
    </row>
    <row r="27" spans="1:257" x14ac:dyDescent="0.3">
      <c r="A27" s="13">
        <v>24</v>
      </c>
      <c r="F27">
        <v>13</v>
      </c>
      <c r="G27" s="21"/>
      <c r="H27" s="21"/>
      <c r="I27" s="21"/>
      <c r="J27" s="21"/>
      <c r="K27" s="21"/>
      <c r="L27" s="22"/>
      <c r="M27" s="21"/>
      <c r="N27" s="23"/>
      <c r="O27" s="23"/>
      <c r="P27" s="24"/>
      <c r="Q27" s="24"/>
      <c r="R27" s="24"/>
      <c r="S27" s="25"/>
      <c r="T27" s="25"/>
      <c r="U27" s="26"/>
      <c r="V27" s="26"/>
      <c r="W27" s="27"/>
      <c r="X27" s="27"/>
      <c r="Z27" s="22"/>
      <c r="AA27" s="22"/>
      <c r="AC27">
        <v>13</v>
      </c>
      <c r="AE27" s="42">
        <f t="shared" si="4"/>
        <v>9.5221367014538032</v>
      </c>
      <c r="AG27">
        <f t="shared" si="5"/>
        <v>9.5221367014538032</v>
      </c>
      <c r="AH27" s="21">
        <f t="shared" si="6"/>
        <v>2.7591510685899259</v>
      </c>
      <c r="AI27" s="21">
        <f t="shared" si="2"/>
        <v>12.57071620727856</v>
      </c>
      <c r="AJ27" s="21">
        <f t="shared" si="2"/>
        <v>4.5083282850795907</v>
      </c>
      <c r="AK27" s="21">
        <f t="shared" si="2"/>
        <v>13.213916174349883</v>
      </c>
      <c r="AL27" s="21">
        <f t="shared" si="2"/>
        <v>1.6606612205701463</v>
      </c>
      <c r="AM27" s="22"/>
      <c r="AN27" s="21">
        <f t="shared" si="7"/>
        <v>2.8589162745878314</v>
      </c>
      <c r="AO27" s="23">
        <f t="shared" si="7"/>
        <v>2.251833446534782</v>
      </c>
      <c r="AP27" s="23">
        <f>IF(Settings!$J$6&gt;69, 0.2*(AO27), 0)</f>
        <v>0.45036668930695645</v>
      </c>
      <c r="AQ27" s="24">
        <f t="shared" si="8"/>
        <v>12.135159440466646</v>
      </c>
      <c r="AR27" s="24">
        <f t="shared" si="3"/>
        <v>6.4238653212595853</v>
      </c>
      <c r="AS27" s="24">
        <f t="shared" si="3"/>
        <v>7.9261749751439874</v>
      </c>
      <c r="AT27" s="25" t="e">
        <f t="shared" si="9"/>
        <v>#VALUE!</v>
      </c>
      <c r="AU27" s="25" t="e">
        <f t="shared" si="10"/>
        <v>#VALUE!</v>
      </c>
      <c r="AV27" s="26" t="e">
        <f t="shared" si="11"/>
        <v>#VALUE!</v>
      </c>
      <c r="AW27" s="26" t="e">
        <f t="shared" si="12"/>
        <v>#VALUE!</v>
      </c>
      <c r="AX27" s="27" t="e">
        <f t="shared" si="13"/>
        <v>#VALUE!</v>
      </c>
      <c r="AY27" s="27" t="e">
        <f t="shared" si="14"/>
        <v>#VALUE!</v>
      </c>
      <c r="BA27" s="22">
        <f t="shared" si="15"/>
        <v>4.5467020167838612</v>
      </c>
      <c r="BB27" s="22">
        <f t="shared" si="15"/>
        <v>22.621548765883869</v>
      </c>
    </row>
    <row r="28" spans="1:257" x14ac:dyDescent="0.3">
      <c r="A28" s="13">
        <v>25</v>
      </c>
      <c r="B28" s="1"/>
      <c r="F28">
        <v>14</v>
      </c>
      <c r="G28" s="21"/>
      <c r="H28" s="21"/>
      <c r="I28" s="21"/>
      <c r="J28" s="21"/>
      <c r="K28" s="21"/>
      <c r="L28" s="22"/>
      <c r="M28" s="21"/>
      <c r="N28" s="23"/>
      <c r="O28" s="23"/>
      <c r="P28" s="24"/>
      <c r="Q28" s="24"/>
      <c r="R28" s="24"/>
      <c r="S28" s="25"/>
      <c r="T28" s="25"/>
      <c r="U28" s="26"/>
      <c r="V28" s="26"/>
      <c r="W28" s="27"/>
      <c r="X28" s="27"/>
      <c r="Z28" s="22"/>
      <c r="AA28" s="22"/>
      <c r="AC28">
        <v>14</v>
      </c>
      <c r="AE28" s="42">
        <f t="shared" si="4"/>
        <v>10.014251886730682</v>
      </c>
      <c r="AG28">
        <f>AE28</f>
        <v>10.014251886730682</v>
      </c>
      <c r="AH28" s="21">
        <f t="shared" si="6"/>
        <v>3.2457917653604555</v>
      </c>
      <c r="AI28" s="21">
        <f t="shared" si="2"/>
        <v>13.423729595696969</v>
      </c>
      <c r="AJ28" s="21">
        <f t="shared" si="2"/>
        <v>5.086974565080399</v>
      </c>
      <c r="AK28" s="21">
        <f t="shared" si="2"/>
        <v>14.105382311458333</v>
      </c>
      <c r="AL28" s="21">
        <f t="shared" si="2"/>
        <v>1.9115221739963892</v>
      </c>
      <c r="AM28" s="22"/>
      <c r="AN28" s="21">
        <f t="shared" si="7"/>
        <v>3.1172690410209478</v>
      </c>
      <c r="AO28" s="23">
        <f t="shared" si="7"/>
        <v>2.4195456582813963</v>
      </c>
      <c r="AP28" s="23">
        <f>IF(Settings!$J$6&gt;69, 0.2*(AO28), 0)</f>
        <v>0.4839091316562793</v>
      </c>
      <c r="AQ28" s="24">
        <f t="shared" si="8"/>
        <v>12.840091364883603</v>
      </c>
      <c r="AR28" s="24">
        <f t="shared" si="3"/>
        <v>6.8803123772784156</v>
      </c>
      <c r="AS28" s="24">
        <f t="shared" si="3"/>
        <v>8.8009459089176296</v>
      </c>
      <c r="AT28" s="25" t="e">
        <f t="shared" si="9"/>
        <v>#VALUE!</v>
      </c>
      <c r="AU28" s="25" t="e">
        <f t="shared" si="10"/>
        <v>#VALUE!</v>
      </c>
      <c r="AV28" s="26" t="e">
        <f t="shared" si="11"/>
        <v>#VALUE!</v>
      </c>
      <c r="AW28" s="26" t="e">
        <f t="shared" si="12"/>
        <v>#VALUE!</v>
      </c>
      <c r="AX28" s="27" t="e">
        <f t="shared" si="13"/>
        <v>#VALUE!</v>
      </c>
      <c r="AY28" s="27" t="e">
        <f t="shared" si="14"/>
        <v>#VALUE!</v>
      </c>
      <c r="BA28" s="22">
        <f t="shared" si="15"/>
        <v>5.0235277785139232</v>
      </c>
      <c r="BB28" s="22">
        <f t="shared" si="15"/>
        <v>23.524666287139617</v>
      </c>
    </row>
    <row r="29" spans="1:257" x14ac:dyDescent="0.3">
      <c r="A29" s="13">
        <v>26</v>
      </c>
      <c r="F29">
        <v>15</v>
      </c>
      <c r="G29" s="21"/>
      <c r="H29" s="21"/>
      <c r="I29" s="21"/>
      <c r="J29" s="21"/>
      <c r="K29" s="21"/>
      <c r="L29" s="22"/>
      <c r="M29" s="21"/>
      <c r="N29" s="23"/>
      <c r="O29" s="23"/>
      <c r="P29" s="24"/>
      <c r="Q29" s="24"/>
      <c r="R29" s="24"/>
      <c r="S29" s="25"/>
      <c r="T29" s="25"/>
      <c r="U29" s="26"/>
      <c r="V29" s="26"/>
      <c r="W29" s="27"/>
      <c r="X29" s="27"/>
      <c r="Z29" s="22"/>
      <c r="AA29" s="22"/>
      <c r="AC29">
        <v>15</v>
      </c>
      <c r="AE29" s="42">
        <f t="shared" si="4"/>
        <v>10.531800161572754</v>
      </c>
      <c r="AG29">
        <f t="shared" si="5"/>
        <v>10.531800161572754</v>
      </c>
      <c r="AH29" s="21">
        <f t="shared" si="6"/>
        <v>3.8071299473901652</v>
      </c>
      <c r="AI29" s="21">
        <f t="shared" si="2"/>
        <v>14.327641408252715</v>
      </c>
      <c r="AJ29" s="21">
        <f t="shared" si="2"/>
        <v>5.7316063355025131</v>
      </c>
      <c r="AK29" s="21">
        <f t="shared" si="2"/>
        <v>15.049398388997449</v>
      </c>
      <c r="AL29" s="21">
        <f t="shared" si="2"/>
        <v>2.194272871617605</v>
      </c>
      <c r="AM29" s="22"/>
      <c r="AN29" s="21">
        <f t="shared" si="7"/>
        <v>3.3966004568154156</v>
      </c>
      <c r="AO29" s="23">
        <f t="shared" si="7"/>
        <v>2.5986167443803829</v>
      </c>
      <c r="AP29" s="23">
        <f>IF(Settings!$J$6&gt;69, 0.2*(AO29), 0)</f>
        <v>0.51972334887607663</v>
      </c>
      <c r="AQ29" s="24">
        <f t="shared" si="8"/>
        <v>13.579963416813413</v>
      </c>
      <c r="AR29" s="24">
        <f t="shared" si="3"/>
        <v>7.3632312706847003</v>
      </c>
      <c r="AS29" s="24">
        <f t="shared" si="3"/>
        <v>9.748247420368525</v>
      </c>
      <c r="AT29" s="25" t="e">
        <f t="shared" si="9"/>
        <v>#VALUE!</v>
      </c>
      <c r="AU29" s="25" t="e">
        <f t="shared" si="10"/>
        <v>#VALUE!</v>
      </c>
      <c r="AV29" s="26" t="e">
        <f t="shared" si="11"/>
        <v>#VALUE!</v>
      </c>
      <c r="AW29" s="26" t="e">
        <f t="shared" si="12"/>
        <v>#VALUE!</v>
      </c>
      <c r="AX29" s="27" t="e">
        <f t="shared" si="13"/>
        <v>#VALUE!</v>
      </c>
      <c r="AY29" s="27" t="e">
        <f t="shared" si="14"/>
        <v>#VALUE!</v>
      </c>
      <c r="BA29" s="22">
        <f t="shared" si="15"/>
        <v>5.5378658015148181</v>
      </c>
      <c r="BB29" s="22">
        <f t="shared" si="15"/>
        <v>24.450926494064326</v>
      </c>
      <c r="BF29" s="1"/>
      <c r="BG29" s="1"/>
      <c r="BH29" s="1"/>
      <c r="BI29" s="1"/>
      <c r="BJ29" s="1"/>
      <c r="BK29" s="1"/>
      <c r="BL29" s="1"/>
      <c r="BM29" s="1"/>
      <c r="BN29" s="36"/>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36"/>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row>
    <row r="30" spans="1:257" x14ac:dyDescent="0.3">
      <c r="A30" s="13">
        <v>27</v>
      </c>
      <c r="F30">
        <v>16</v>
      </c>
      <c r="G30" s="21"/>
      <c r="H30" s="21"/>
      <c r="I30" s="21"/>
      <c r="J30" s="21"/>
      <c r="K30" s="21"/>
      <c r="L30" s="22"/>
      <c r="M30" s="21"/>
      <c r="N30" s="23"/>
      <c r="O30" s="23"/>
      <c r="P30" s="24"/>
      <c r="Q30" s="24"/>
      <c r="R30" s="24"/>
      <c r="S30" s="25"/>
      <c r="T30" s="25"/>
      <c r="U30" s="26"/>
      <c r="V30" s="26"/>
      <c r="W30" s="27"/>
      <c r="X30" s="27"/>
      <c r="Z30" s="22"/>
      <c r="AA30" s="22"/>
      <c r="AC30">
        <v>16</v>
      </c>
      <c r="AE30" s="42">
        <f t="shared" si="4"/>
        <v>11.076095937857938</v>
      </c>
      <c r="AG30">
        <f t="shared" si="5"/>
        <v>11.076095937857938</v>
      </c>
      <c r="AH30" s="21">
        <f t="shared" si="6"/>
        <v>4.4520420734013451</v>
      </c>
      <c r="AI30" s="21">
        <f t="shared" si="6"/>
        <v>15.284625194547688</v>
      </c>
      <c r="AJ30" s="21">
        <f t="shared" si="6"/>
        <v>6.4482116981469986</v>
      </c>
      <c r="AK30" s="21">
        <f t="shared" si="6"/>
        <v>16.048126486111943</v>
      </c>
      <c r="AL30" s="21">
        <f t="shared" si="6"/>
        <v>2.5117250165506015</v>
      </c>
      <c r="AM30" s="22"/>
      <c r="AN30" s="21">
        <f t="shared" si="7"/>
        <v>3.6982662437859464</v>
      </c>
      <c r="AO30" s="23">
        <f t="shared" si="7"/>
        <v>2.7896683842755761</v>
      </c>
      <c r="AP30" s="23">
        <f>IF(Settings!$J$6&gt;69, 0.2*(AO30), 0)</f>
        <v>0.55793367685511519</v>
      </c>
      <c r="AQ30" s="24">
        <f t="shared" si="8"/>
        <v>14.355824939136205</v>
      </c>
      <c r="AR30" s="24">
        <f t="shared" si="8"/>
        <v>7.8734001402336187</v>
      </c>
      <c r="AS30" s="24">
        <f t="shared" si="8"/>
        <v>10.77011950430855</v>
      </c>
      <c r="AT30" s="25" t="e">
        <f t="shared" si="9"/>
        <v>#VALUE!</v>
      </c>
      <c r="AU30" s="25" t="e">
        <f t="shared" si="10"/>
        <v>#VALUE!</v>
      </c>
      <c r="AV30" s="26" t="e">
        <f t="shared" si="11"/>
        <v>#VALUE!</v>
      </c>
      <c r="AW30" s="26" t="e">
        <f t="shared" si="12"/>
        <v>#VALUE!</v>
      </c>
      <c r="AX30" s="27" t="e">
        <f t="shared" si="13"/>
        <v>#VALUE!</v>
      </c>
      <c r="AY30" s="27" t="e">
        <f t="shared" si="14"/>
        <v>#VALUE!</v>
      </c>
      <c r="BA30" s="22">
        <f t="shared" si="15"/>
        <v>6.0906657642958688</v>
      </c>
      <c r="BB30" s="22">
        <f t="shared" si="15"/>
        <v>25.399691641803809</v>
      </c>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EB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pans="1:257" x14ac:dyDescent="0.3">
      <c r="A31" s="13">
        <v>28</v>
      </c>
      <c r="F31">
        <v>17</v>
      </c>
      <c r="G31" s="21"/>
      <c r="H31" s="21"/>
      <c r="I31" s="21"/>
      <c r="J31" s="21"/>
      <c r="K31" s="21"/>
      <c r="L31" s="22"/>
      <c r="M31" s="21"/>
      <c r="N31" s="23"/>
      <c r="O31" s="23"/>
      <c r="P31" s="24"/>
      <c r="Q31" s="24"/>
      <c r="R31" s="24"/>
      <c r="S31" s="25"/>
      <c r="T31" s="25"/>
      <c r="U31" s="26"/>
      <c r="V31" s="26"/>
      <c r="W31" s="27"/>
      <c r="X31" s="27"/>
      <c r="Z31" s="22"/>
      <c r="AA31" s="22"/>
      <c r="AC31">
        <v>17</v>
      </c>
      <c r="AE31" s="42">
        <f t="shared" si="4"/>
        <v>11.648521557810575</v>
      </c>
      <c r="AG31">
        <f t="shared" si="5"/>
        <v>11.648521557810575</v>
      </c>
      <c r="AH31" s="21">
        <f t="shared" si="6"/>
        <v>5.1898805048040995</v>
      </c>
      <c r="AI31" s="21">
        <f t="shared" si="6"/>
        <v>16.296837416938963</v>
      </c>
      <c r="AJ31" s="21">
        <f t="shared" si="6"/>
        <v>7.2430416503972497</v>
      </c>
      <c r="AK31" s="21">
        <f t="shared" si="6"/>
        <v>17.103698622253003</v>
      </c>
      <c r="AL31" s="21">
        <f t="shared" si="6"/>
        <v>2.8666885870332797</v>
      </c>
      <c r="AM31" s="22"/>
      <c r="AN31" s="21">
        <f t="shared" si="7"/>
        <v>4.0236583841110853</v>
      </c>
      <c r="AO31" s="23">
        <f t="shared" si="7"/>
        <v>2.9933367581135397</v>
      </c>
      <c r="AP31" s="23">
        <f>IF(Settings!$J$6&gt;69, 0.2*(AO31), 0)</f>
        <v>0.59866735162270801</v>
      </c>
      <c r="AQ31" s="24">
        <f t="shared" si="8"/>
        <v>15.168675105823306</v>
      </c>
      <c r="AR31" s="24">
        <f t="shared" si="8"/>
        <v>8.4115184813318304</v>
      </c>
      <c r="AS31" s="24">
        <f t="shared" si="8"/>
        <v>11.867979550523438</v>
      </c>
      <c r="AT31" s="25" t="e">
        <f t="shared" si="9"/>
        <v>#VALUE!</v>
      </c>
      <c r="AU31" s="25" t="e">
        <f t="shared" si="10"/>
        <v>#VALUE!</v>
      </c>
      <c r="AV31" s="26" t="e">
        <f t="shared" si="11"/>
        <v>#VALUE!</v>
      </c>
      <c r="AW31" s="26" t="e">
        <f t="shared" si="12"/>
        <v>#VALUE!</v>
      </c>
      <c r="AX31" s="27" t="e">
        <f t="shared" si="13"/>
        <v>#VALUE!</v>
      </c>
      <c r="AY31" s="27" t="e">
        <f t="shared" si="14"/>
        <v>#VALUE!</v>
      </c>
      <c r="BA31" s="22">
        <f t="shared" ref="BA31:BB84" si="16">BA$4*(1-EXP(-BA$5*$AG31))^BA$6</f>
        <v>6.6825671311520676</v>
      </c>
      <c r="BB31" s="22">
        <f t="shared" si="16"/>
        <v>26.370184458472362</v>
      </c>
    </row>
    <row r="32" spans="1:257" x14ac:dyDescent="0.3">
      <c r="A32" s="13">
        <v>29</v>
      </c>
      <c r="F32">
        <v>18</v>
      </c>
      <c r="G32" s="21"/>
      <c r="H32" s="21"/>
      <c r="I32" s="21"/>
      <c r="J32" s="21"/>
      <c r="K32" s="21"/>
      <c r="L32" s="22"/>
      <c r="M32" s="21"/>
      <c r="N32" s="23"/>
      <c r="O32" s="23"/>
      <c r="P32" s="24"/>
      <c r="Q32" s="24"/>
      <c r="R32" s="24"/>
      <c r="S32" s="25"/>
      <c r="T32" s="25"/>
      <c r="U32" s="26"/>
      <c r="V32" s="26"/>
      <c r="W32" s="27"/>
      <c r="X32" s="27"/>
      <c r="Z32" s="22"/>
      <c r="AA32" s="22"/>
      <c r="AC32">
        <v>18</v>
      </c>
      <c r="AE32" s="42">
        <f t="shared" si="4"/>
        <v>12.250530804721352</v>
      </c>
      <c r="AG32">
        <f t="shared" si="5"/>
        <v>12.250530804721352</v>
      </c>
      <c r="AH32" s="21">
        <f t="shared" si="6"/>
        <v>6.0303643331063679</v>
      </c>
      <c r="AI32" s="21">
        <f t="shared" si="6"/>
        <v>17.366400116942593</v>
      </c>
      <c r="AJ32" s="21">
        <f t="shared" si="6"/>
        <v>8.1225670430534773</v>
      </c>
      <c r="AK32" s="21">
        <f t="shared" si="6"/>
        <v>18.218197818532644</v>
      </c>
      <c r="AL32" s="21">
        <f t="shared" si="6"/>
        <v>3.2619140318838697</v>
      </c>
      <c r="AM32" s="22"/>
      <c r="AN32" s="21">
        <f t="shared" si="7"/>
        <v>4.3741976852712856</v>
      </c>
      <c r="AO32" s="23">
        <f t="shared" si="7"/>
        <v>3.2102699999743636</v>
      </c>
      <c r="AP32" s="23">
        <f>IF(Settings!$J$6&gt;69, 0.2*(AO32), 0)</f>
        <v>0.64205399999487278</v>
      </c>
      <c r="AQ32" s="24">
        <f t="shared" si="8"/>
        <v>16.019450745120441</v>
      </c>
      <c r="AR32" s="24">
        <f t="shared" si="8"/>
        <v>8.9781912263485157</v>
      </c>
      <c r="AS32" s="24">
        <f t="shared" si="8"/>
        <v>13.042511927593802</v>
      </c>
      <c r="AT32" s="25" t="e">
        <f t="shared" si="9"/>
        <v>#VALUE!</v>
      </c>
      <c r="AU32" s="25" t="e">
        <f t="shared" si="10"/>
        <v>#VALUE!</v>
      </c>
      <c r="AV32" s="26" t="e">
        <f t="shared" si="11"/>
        <v>#VALUE!</v>
      </c>
      <c r="AW32" s="26" t="e">
        <f t="shared" si="12"/>
        <v>#VALUE!</v>
      </c>
      <c r="AX32" s="27" t="e">
        <f t="shared" si="13"/>
        <v>#VALUE!</v>
      </c>
      <c r="AY32" s="27" t="e">
        <f t="shared" si="14"/>
        <v>#VALUE!</v>
      </c>
      <c r="BA32" s="22">
        <f t="shared" si="16"/>
        <v>7.313846866406954</v>
      </c>
      <c r="BB32" s="22">
        <f t="shared" si="16"/>
        <v>27.361480153504534</v>
      </c>
    </row>
    <row r="33" spans="1:95" x14ac:dyDescent="0.3">
      <c r="A33" s="13">
        <v>30</v>
      </c>
      <c r="F33">
        <v>19</v>
      </c>
      <c r="G33" s="21"/>
      <c r="H33" s="21"/>
      <c r="I33" s="21"/>
      <c r="J33" s="21"/>
      <c r="K33" s="21"/>
      <c r="L33" s="22"/>
      <c r="M33" s="21"/>
      <c r="N33" s="23"/>
      <c r="O33" s="23"/>
      <c r="P33" s="24"/>
      <c r="Q33" s="24"/>
      <c r="R33" s="24"/>
      <c r="S33" s="25"/>
      <c r="T33" s="25"/>
      <c r="U33" s="26"/>
      <c r="V33" s="26"/>
      <c r="W33" s="27"/>
      <c r="X33" s="27"/>
      <c r="Z33" s="22"/>
      <c r="AA33" s="22"/>
      <c r="AC33">
        <v>19</v>
      </c>
      <c r="AE33" s="42">
        <f t="shared" si="4"/>
        <v>12.883652595105344</v>
      </c>
      <c r="AG33">
        <f t="shared" si="5"/>
        <v>12.883652595105344</v>
      </c>
      <c r="AH33" s="21">
        <f t="shared" si="6"/>
        <v>6.9834348559974737</v>
      </c>
      <c r="AI33" s="21">
        <f t="shared" si="6"/>
        <v>18.49538145665251</v>
      </c>
      <c r="AJ33" s="21">
        <f t="shared" si="6"/>
        <v>9.0934229735821024</v>
      </c>
      <c r="AK33" s="21">
        <f t="shared" si="6"/>
        <v>19.393636966501969</v>
      </c>
      <c r="AL33" s="21">
        <f t="shared" si="6"/>
        <v>3.7000248316529296</v>
      </c>
      <c r="AM33" s="22"/>
      <c r="AN33" s="21">
        <f t="shared" si="7"/>
        <v>4.7513247751183139</v>
      </c>
      <c r="AO33" s="23">
        <f t="shared" si="7"/>
        <v>3.4411251566201058</v>
      </c>
      <c r="AP33" s="23">
        <f>IF(Settings!$J$6&gt;69, 0.2*(AO33), 0)</f>
        <v>0.68822503132402124</v>
      </c>
      <c r="AQ33" s="24">
        <f t="shared" si="8"/>
        <v>16.909013108873644</v>
      </c>
      <c r="AR33" s="24">
        <f t="shared" si="8"/>
        <v>9.5739117828887448</v>
      </c>
      <c r="AS33" s="24">
        <f t="shared" si="8"/>
        <v>14.293559173506845</v>
      </c>
      <c r="AT33" s="25" t="e">
        <f t="shared" si="9"/>
        <v>#VALUE!</v>
      </c>
      <c r="AU33" s="25" t="e">
        <f t="shared" si="10"/>
        <v>#VALUE!</v>
      </c>
      <c r="AV33" s="26" t="e">
        <f t="shared" si="11"/>
        <v>#VALUE!</v>
      </c>
      <c r="AW33" s="26" t="e">
        <f t="shared" si="12"/>
        <v>#VALUE!</v>
      </c>
      <c r="AX33" s="27" t="e">
        <f t="shared" si="13"/>
        <v>#VALUE!</v>
      </c>
      <c r="AY33" s="27" t="e">
        <f t="shared" si="14"/>
        <v>#VALUE!</v>
      </c>
      <c r="BA33" s="22">
        <f t="shared" si="16"/>
        <v>7.9843679040595772</v>
      </c>
      <c r="BB33" s="22">
        <f t="shared" si="16"/>
        <v>28.372498958231958</v>
      </c>
    </row>
    <row r="34" spans="1:95" x14ac:dyDescent="0.3">
      <c r="A34" s="13">
        <v>31</v>
      </c>
      <c r="F34">
        <v>20</v>
      </c>
      <c r="G34" s="21"/>
      <c r="H34" s="21"/>
      <c r="I34" s="21"/>
      <c r="J34" s="21"/>
      <c r="K34" s="21"/>
      <c r="L34" s="22"/>
      <c r="M34" s="21"/>
      <c r="N34" s="23"/>
      <c r="O34" s="23"/>
      <c r="P34" s="24"/>
      <c r="Q34" s="24"/>
      <c r="R34" s="24"/>
      <c r="S34" s="25"/>
      <c r="T34" s="25"/>
      <c r="U34" s="26"/>
      <c r="V34" s="26"/>
      <c r="W34" s="27"/>
      <c r="X34" s="27"/>
      <c r="Z34" s="22"/>
      <c r="AA34" s="22"/>
      <c r="AC34">
        <v>20</v>
      </c>
      <c r="AE34" s="42">
        <f t="shared" si="4"/>
        <v>13.549494861675118</v>
      </c>
      <c r="AG34">
        <f t="shared" si="5"/>
        <v>13.549494861675118</v>
      </c>
      <c r="AH34" s="21">
        <f t="shared" si="6"/>
        <v>8.0590730009542213</v>
      </c>
      <c r="AI34" s="21">
        <f t="shared" si="6"/>
        <v>19.685774048576864</v>
      </c>
      <c r="AJ34" s="21">
        <f t="shared" si="6"/>
        <v>10.162339387461911</v>
      </c>
      <c r="AK34" s="21">
        <f t="shared" si="6"/>
        <v>20.631935434241747</v>
      </c>
      <c r="AL34" s="21">
        <f t="shared" si="6"/>
        <v>4.1834408634682552</v>
      </c>
      <c r="AM34" s="22"/>
      <c r="AN34" s="21">
        <f t="shared" si="7"/>
        <v>5.1564893908615712</v>
      </c>
      <c r="AO34" s="23">
        <f t="shared" si="7"/>
        <v>3.6865646076426364</v>
      </c>
      <c r="AP34" s="23">
        <f>IF(Settings!$J$6&gt;69, 0.2*(AO34), 0)</f>
        <v>0.73731292152852734</v>
      </c>
      <c r="AQ34" s="24">
        <f t="shared" si="8"/>
        <v>17.838133590301393</v>
      </c>
      <c r="AR34" s="24">
        <f t="shared" si="8"/>
        <v>10.199044153488369</v>
      </c>
      <c r="AS34" s="24">
        <f t="shared" si="8"/>
        <v>15.620018686207503</v>
      </c>
      <c r="AT34" s="25" t="e">
        <f t="shared" si="9"/>
        <v>#VALUE!</v>
      </c>
      <c r="AU34" s="25" t="e">
        <f t="shared" si="10"/>
        <v>#VALUE!</v>
      </c>
      <c r="AV34" s="26" t="e">
        <f t="shared" si="11"/>
        <v>#VALUE!</v>
      </c>
      <c r="AW34" s="26" t="e">
        <f t="shared" si="12"/>
        <v>#VALUE!</v>
      </c>
      <c r="AX34" s="27" t="e">
        <f t="shared" si="13"/>
        <v>#VALUE!</v>
      </c>
      <c r="AY34" s="27" t="e">
        <f t="shared" si="14"/>
        <v>#VALUE!</v>
      </c>
      <c r="BA34" s="22">
        <f t="shared" si="16"/>
        <v>8.6935301225660275</v>
      </c>
      <c r="BB34" s="22">
        <f t="shared" si="16"/>
        <v>29.401999380339696</v>
      </c>
    </row>
    <row r="35" spans="1:95" x14ac:dyDescent="0.3">
      <c r="A35" s="13">
        <v>32</v>
      </c>
      <c r="F35">
        <v>21</v>
      </c>
      <c r="G35" s="21"/>
      <c r="H35" s="21"/>
      <c r="I35" s="21"/>
      <c r="J35" s="21"/>
      <c r="K35" s="21"/>
      <c r="L35" s="22"/>
      <c r="M35" s="21"/>
      <c r="N35" s="23"/>
      <c r="O35" s="23"/>
      <c r="P35" s="24"/>
      <c r="Q35" s="24"/>
      <c r="R35" s="24"/>
      <c r="S35" s="25"/>
      <c r="T35" s="25"/>
      <c r="U35" s="26"/>
      <c r="V35" s="26"/>
      <c r="W35" s="27"/>
      <c r="X35" s="27"/>
      <c r="Z35" s="22"/>
      <c r="AA35" s="22"/>
      <c r="AC35">
        <v>21</v>
      </c>
      <c r="AE35" s="42">
        <f t="shared" si="4"/>
        <v>14.249748636990411</v>
      </c>
      <c r="AG35">
        <f t="shared" si="5"/>
        <v>14.249748636990411</v>
      </c>
      <c r="AH35" s="21">
        <f t="shared" si="6"/>
        <v>9.2670771876469864</v>
      </c>
      <c r="AI35" s="21">
        <f t="shared" si="6"/>
        <v>20.939471009710527</v>
      </c>
      <c r="AJ35" s="21">
        <f t="shared" si="6"/>
        <v>11.336056822602377</v>
      </c>
      <c r="AK35" s="21">
        <f t="shared" si="6"/>
        <v>21.93489336669202</v>
      </c>
      <c r="AL35" s="21">
        <f t="shared" si="6"/>
        <v>4.7142935350128941</v>
      </c>
      <c r="AM35" s="22"/>
      <c r="AN35" s="21">
        <f t="shared" si="7"/>
        <v>5.5911378343719234</v>
      </c>
      <c r="AO35" s="23">
        <f t="shared" si="7"/>
        <v>3.9472519034741946</v>
      </c>
      <c r="AP35" s="23">
        <f>IF(Settings!$J$6&gt;69, 0.2*(AO35), 0)</f>
        <v>0.78945038069483897</v>
      </c>
      <c r="AQ35" s="24">
        <f t="shared" si="8"/>
        <v>18.807478410337882</v>
      </c>
      <c r="AR35" s="24">
        <f t="shared" si="8"/>
        <v>10.853804304162768</v>
      </c>
      <c r="AS35" s="24">
        <f t="shared" si="8"/>
        <v>17.019749318956261</v>
      </c>
      <c r="AT35" s="25" t="e">
        <f t="shared" si="9"/>
        <v>#VALUE!</v>
      </c>
      <c r="AU35" s="25" t="e">
        <f t="shared" si="10"/>
        <v>#VALUE!</v>
      </c>
      <c r="AV35" s="26" t="e">
        <f t="shared" si="11"/>
        <v>#VALUE!</v>
      </c>
      <c r="AW35" s="26" t="e">
        <f t="shared" si="12"/>
        <v>#VALUE!</v>
      </c>
      <c r="AX35" s="27" t="e">
        <f t="shared" si="13"/>
        <v>#VALUE!</v>
      </c>
      <c r="AY35" s="27" t="e">
        <f t="shared" si="14"/>
        <v>#VALUE!</v>
      </c>
      <c r="BA35" s="22">
        <f t="shared" si="16"/>
        <v>9.440225807061644</v>
      </c>
      <c r="BB35" s="22">
        <f t="shared" si="16"/>
        <v>30.44857237216824</v>
      </c>
    </row>
    <row r="36" spans="1:95" x14ac:dyDescent="0.3">
      <c r="A36" s="13">
        <v>33</v>
      </c>
      <c r="F36">
        <v>22</v>
      </c>
      <c r="G36" s="21"/>
      <c r="H36" s="21"/>
      <c r="I36" s="21"/>
      <c r="J36" s="21"/>
      <c r="K36" s="21"/>
      <c r="L36" s="22"/>
      <c r="M36" s="21"/>
      <c r="N36" s="23"/>
      <c r="O36" s="23"/>
      <c r="P36" s="24"/>
      <c r="Q36" s="24"/>
      <c r="R36" s="24"/>
      <c r="S36" s="25"/>
      <c r="T36" s="25"/>
      <c r="U36" s="26"/>
      <c r="V36" s="26"/>
      <c r="W36" s="27"/>
      <c r="X36" s="27"/>
      <c r="Z36" s="22"/>
      <c r="AA36" s="22"/>
      <c r="AC36">
        <v>22</v>
      </c>
      <c r="AE36" s="42">
        <f t="shared" si="4"/>
        <v>14.986192348155662</v>
      </c>
      <c r="AG36">
        <f t="shared" si="5"/>
        <v>14.986192348155662</v>
      </c>
      <c r="AH36" s="21">
        <f t="shared" si="6"/>
        <v>10.616801730857667</v>
      </c>
      <c r="AI36" s="21">
        <f t="shared" si="6"/>
        <v>22.258239704251267</v>
      </c>
      <c r="AJ36" s="21">
        <f t="shared" si="6"/>
        <v>12.621226477823885</v>
      </c>
      <c r="AK36" s="21">
        <f t="shared" si="6"/>
        <v>23.304163670889004</v>
      </c>
      <c r="AL36" s="21">
        <f t="shared" si="6"/>
        <v>5.294334257931931</v>
      </c>
      <c r="AM36" s="22"/>
      <c r="AN36" s="21">
        <f t="shared" si="7"/>
        <v>6.0566984801912165</v>
      </c>
      <c r="AO36" s="23">
        <f t="shared" si="7"/>
        <v>4.2238469793467024</v>
      </c>
      <c r="AP36" s="23">
        <f>IF(Settings!$J$6&gt;69, 0.2*(AO36), 0)</f>
        <v>0.84476939586934052</v>
      </c>
      <c r="AQ36" s="24">
        <f t="shared" si="8"/>
        <v>19.817592313756411</v>
      </c>
      <c r="AR36" s="24">
        <f t="shared" si="8"/>
        <v>11.538240997932421</v>
      </c>
      <c r="AS36" s="24">
        <f t="shared" si="8"/>
        <v>18.489492679060572</v>
      </c>
      <c r="AT36" s="25" t="e">
        <f t="shared" si="9"/>
        <v>#VALUE!</v>
      </c>
      <c r="AU36" s="25" t="e">
        <f t="shared" si="10"/>
        <v>#VALUE!</v>
      </c>
      <c r="AV36" s="26" t="e">
        <f t="shared" si="11"/>
        <v>#VALUE!</v>
      </c>
      <c r="AW36" s="26" t="e">
        <f t="shared" si="12"/>
        <v>#VALUE!</v>
      </c>
      <c r="AX36" s="27" t="e">
        <f t="shared" si="13"/>
        <v>#VALUE!</v>
      </c>
      <c r="AY36" s="27" t="e">
        <f t="shared" si="14"/>
        <v>#VALUE!</v>
      </c>
      <c r="BA36" s="22">
        <f t="shared" si="16"/>
        <v>10.222801766362268</v>
      </c>
      <c r="BB36" s="22">
        <f t="shared" si="16"/>
        <v>31.510636630172002</v>
      </c>
      <c r="CQ36" s="36"/>
    </row>
    <row r="37" spans="1:95" x14ac:dyDescent="0.3">
      <c r="A37" s="13">
        <v>34</v>
      </c>
      <c r="F37">
        <v>23</v>
      </c>
      <c r="G37" s="21"/>
      <c r="H37" s="21"/>
      <c r="I37" s="21"/>
      <c r="J37" s="21"/>
      <c r="K37" s="21"/>
      <c r="L37" s="22"/>
      <c r="M37" s="21"/>
      <c r="N37" s="23"/>
      <c r="O37" s="23"/>
      <c r="P37" s="24"/>
      <c r="Q37" s="24"/>
      <c r="R37" s="24"/>
      <c r="S37" s="25"/>
      <c r="T37" s="25"/>
      <c r="U37" s="26"/>
      <c r="V37" s="26"/>
      <c r="W37" s="27"/>
      <c r="X37" s="27"/>
      <c r="Z37" s="22"/>
      <c r="AA37" s="22"/>
      <c r="AC37">
        <v>23</v>
      </c>
      <c r="AE37" s="42">
        <f t="shared" si="4"/>
        <v>15.760696333472486</v>
      </c>
      <c r="AG37">
        <f t="shared" si="5"/>
        <v>15.760696333472486</v>
      </c>
      <c r="AH37" s="21">
        <f t="shared" si="6"/>
        <v>12.116857921301513</v>
      </c>
      <c r="AI37" s="21">
        <f t="shared" si="6"/>
        <v>23.643693174821887</v>
      </c>
      <c r="AJ37" s="21">
        <f t="shared" si="6"/>
        <v>14.024294127557008</v>
      </c>
      <c r="AK37" s="21">
        <f t="shared" si="6"/>
        <v>24.741221717892287</v>
      </c>
      <c r="AL37" s="21">
        <f t="shared" si="6"/>
        <v>5.9248384933912863</v>
      </c>
      <c r="AM37" s="22"/>
      <c r="AN37" s="21">
        <f t="shared" si="7"/>
        <v>6.5545652429038075</v>
      </c>
      <c r="AO37" s="23">
        <f t="shared" si="7"/>
        <v>4.5170007061576838</v>
      </c>
      <c r="AP37" s="23">
        <f>IF(Settings!$J$6&gt;69, 0.2*(AO37), 0)</f>
        <v>0.90340014123153678</v>
      </c>
      <c r="AQ37" s="24">
        <f t="shared" si="8"/>
        <v>20.868881340843107</v>
      </c>
      <c r="AR37" s="24">
        <f t="shared" si="8"/>
        <v>12.252216362326681</v>
      </c>
      <c r="AS37" s="24">
        <f t="shared" si="8"/>
        <v>20.024814153328233</v>
      </c>
      <c r="AT37" s="25" t="e">
        <f t="shared" si="9"/>
        <v>#VALUE!</v>
      </c>
      <c r="AU37" s="25" t="e">
        <f t="shared" si="10"/>
        <v>#VALUE!</v>
      </c>
      <c r="AV37" s="26" t="e">
        <f t="shared" si="11"/>
        <v>#VALUE!</v>
      </c>
      <c r="AW37" s="26" t="e">
        <f t="shared" si="12"/>
        <v>#VALUE!</v>
      </c>
      <c r="AX37" s="27" t="e">
        <f t="shared" si="13"/>
        <v>#VALUE!</v>
      </c>
      <c r="AY37" s="27" t="e">
        <f t="shared" si="14"/>
        <v>#VALUE!</v>
      </c>
      <c r="BA37" s="22">
        <f t="shared" si="16"/>
        <v>11.039030387979059</v>
      </c>
      <c r="BB37" s="22">
        <f t="shared" si="16"/>
        <v>32.586435258510058</v>
      </c>
    </row>
    <row r="38" spans="1:95" x14ac:dyDescent="0.3">
      <c r="A38" s="13">
        <v>35</v>
      </c>
      <c r="F38">
        <v>24</v>
      </c>
      <c r="G38" s="21"/>
      <c r="H38" s="21"/>
      <c r="I38" s="21"/>
      <c r="J38" s="21"/>
      <c r="K38" s="21"/>
      <c r="L38" s="22"/>
      <c r="M38" s="21"/>
      <c r="N38" s="23"/>
      <c r="O38" s="23"/>
      <c r="P38" s="24"/>
      <c r="Q38" s="24"/>
      <c r="R38" s="24"/>
      <c r="S38" s="25"/>
      <c r="T38" s="25"/>
      <c r="U38" s="26"/>
      <c r="V38" s="26"/>
      <c r="W38" s="27"/>
      <c r="X38" s="27"/>
      <c r="Z38" s="22"/>
      <c r="AA38" s="22"/>
      <c r="AC38">
        <v>24</v>
      </c>
      <c r="AE38" s="42">
        <f t="shared" si="4"/>
        <v>16.575227592518086</v>
      </c>
      <c r="AG38">
        <f t="shared" si="5"/>
        <v>16.575227592518086</v>
      </c>
      <c r="AH38" s="21">
        <f t="shared" si="6"/>
        <v>13.774782356584909</v>
      </c>
      <c r="AI38" s="21">
        <f t="shared" si="6"/>
        <v>25.097259305045405</v>
      </c>
      <c r="AJ38" s="21">
        <f t="shared" si="6"/>
        <v>15.551367850735369</v>
      </c>
      <c r="AK38" s="21">
        <f t="shared" si="6"/>
        <v>26.247332842283061</v>
      </c>
      <c r="AL38" s="21">
        <f t="shared" si="6"/>
        <v>6.6065082924366312</v>
      </c>
      <c r="AM38" s="22"/>
      <c r="AN38" s="21">
        <f t="shared" si="7"/>
        <v>7.0860789379937659</v>
      </c>
      <c r="AO38" s="23">
        <f t="shared" si="7"/>
        <v>4.8273487435469606</v>
      </c>
      <c r="AP38" s="23">
        <f>IF(Settings!$J$6&gt;69, 0.2*(AO38), 0)</f>
        <v>0.96546974870939217</v>
      </c>
      <c r="AQ38" s="24">
        <f t="shared" si="8"/>
        <v>21.961594768596946</v>
      </c>
      <c r="AR38" s="24">
        <f t="shared" si="8"/>
        <v>12.995386516094328</v>
      </c>
      <c r="AS38" s="24">
        <f t="shared" si="8"/>
        <v>21.620068688203435</v>
      </c>
      <c r="AT38" s="25" t="e">
        <f t="shared" si="9"/>
        <v>#VALUE!</v>
      </c>
      <c r="AU38" s="25" t="e">
        <f t="shared" si="10"/>
        <v>#VALUE!</v>
      </c>
      <c r="AV38" s="26" t="e">
        <f t="shared" si="11"/>
        <v>#VALUE!</v>
      </c>
      <c r="AW38" s="26" t="e">
        <f t="shared" si="12"/>
        <v>#VALUE!</v>
      </c>
      <c r="AX38" s="27" t="e">
        <f t="shared" si="13"/>
        <v>#VALUE!</v>
      </c>
      <c r="AY38" s="27" t="e">
        <f t="shared" si="14"/>
        <v>#VALUE!</v>
      </c>
      <c r="BA38" s="22">
        <f t="shared" si="16"/>
        <v>11.886091938948388</v>
      </c>
      <c r="BB38" s="22">
        <f t="shared" si="16"/>
        <v>33.674034042899002</v>
      </c>
    </row>
    <row r="39" spans="1:95" x14ac:dyDescent="0.3">
      <c r="A39" s="13">
        <v>36</v>
      </c>
      <c r="F39">
        <v>25</v>
      </c>
      <c r="G39" s="21"/>
      <c r="H39" s="21"/>
      <c r="I39" s="21"/>
      <c r="J39" s="21"/>
      <c r="K39" s="21"/>
      <c r="L39" s="22"/>
      <c r="M39" s="21"/>
      <c r="N39" s="23"/>
      <c r="O39" s="23"/>
      <c r="P39" s="24"/>
      <c r="Q39" s="24"/>
      <c r="R39" s="24"/>
      <c r="S39" s="25"/>
      <c r="T39" s="25"/>
      <c r="U39" s="26"/>
      <c r="V39" s="26"/>
      <c r="W39" s="27"/>
      <c r="X39" s="27"/>
      <c r="Z39" s="22"/>
      <c r="AA39" s="22"/>
      <c r="AC39">
        <v>25</v>
      </c>
      <c r="AE39" s="42">
        <f t="shared" si="4"/>
        <v>17.431854781713245</v>
      </c>
      <c r="AG39">
        <f t="shared" si="5"/>
        <v>17.431854781713245</v>
      </c>
      <c r="AH39" s="21">
        <f t="shared" si="6"/>
        <v>15.596679860642116</v>
      </c>
      <c r="AI39" s="21">
        <f t="shared" si="6"/>
        <v>26.620147807416149</v>
      </c>
      <c r="AJ39" s="21">
        <f t="shared" si="6"/>
        <v>17.208070098635488</v>
      </c>
      <c r="AK39" s="21">
        <f t="shared" si="6"/>
        <v>27.823517777690551</v>
      </c>
      <c r="AL39" s="21">
        <f t="shared" si="6"/>
        <v>7.3393769305351046</v>
      </c>
      <c r="AM39" s="22"/>
      <c r="AN39" s="21">
        <f t="shared" si="7"/>
        <v>7.6525065058687947</v>
      </c>
      <c r="AO39" s="23">
        <f t="shared" si="7"/>
        <v>5.1555046665466184</v>
      </c>
      <c r="AP39" s="23">
        <f>IF(Settings!$J$6&gt;69, 0.2*(AO39), 0)</f>
        <v>1.0311009333093237</v>
      </c>
      <c r="AQ39" s="24">
        <f t="shared" si="8"/>
        <v>23.095806347374854</v>
      </c>
      <c r="AR39" s="24">
        <f t="shared" si="8"/>
        <v>13.767182638729281</v>
      </c>
      <c r="AS39" s="24">
        <f t="shared" si="8"/>
        <v>23.268396089591441</v>
      </c>
      <c r="AT39" s="25" t="e">
        <f t="shared" si="9"/>
        <v>#VALUE!</v>
      </c>
      <c r="AU39" s="25" t="e">
        <f t="shared" si="10"/>
        <v>#VALUE!</v>
      </c>
      <c r="AV39" s="26" t="e">
        <f t="shared" si="11"/>
        <v>#VALUE!</v>
      </c>
      <c r="AW39" s="26" t="e">
        <f t="shared" si="12"/>
        <v>#VALUE!</v>
      </c>
      <c r="AX39" s="27" t="e">
        <f t="shared" si="13"/>
        <v>#VALUE!</v>
      </c>
      <c r="AY39" s="27" t="e">
        <f t="shared" si="14"/>
        <v>#VALUE!</v>
      </c>
      <c r="BA39" s="22">
        <f t="shared" si="16"/>
        <v>12.760570332339801</v>
      </c>
      <c r="BB39" s="22">
        <f t="shared" si="16"/>
        <v>34.771321590544424</v>
      </c>
    </row>
    <row r="40" spans="1:95" x14ac:dyDescent="0.3">
      <c r="A40" s="13">
        <v>37</v>
      </c>
      <c r="F40">
        <v>26</v>
      </c>
      <c r="G40" s="21"/>
      <c r="H40" s="21"/>
      <c r="I40" s="21"/>
      <c r="J40" s="21"/>
      <c r="K40" s="21"/>
      <c r="L40" s="22"/>
      <c r="M40" s="21"/>
      <c r="N40" s="23"/>
      <c r="O40" s="23"/>
      <c r="P40" s="24"/>
      <c r="Q40" s="24"/>
      <c r="R40" s="24"/>
      <c r="S40" s="25"/>
      <c r="T40" s="25"/>
      <c r="U40" s="26"/>
      <c r="V40" s="26"/>
      <c r="W40" s="27"/>
      <c r="X40" s="27"/>
      <c r="Z40" s="22"/>
      <c r="AA40" s="22"/>
      <c r="AC40">
        <v>26</v>
      </c>
      <c r="AE40" s="42">
        <f t="shared" si="4"/>
        <v>18.332753468067196</v>
      </c>
      <c r="AG40">
        <f t="shared" si="5"/>
        <v>18.332753468067196</v>
      </c>
      <c r="AH40" s="21">
        <f t="shared" si="6"/>
        <v>17.586851310887834</v>
      </c>
      <c r="AI40" s="21">
        <f t="shared" si="6"/>
        <v>28.213315190087169</v>
      </c>
      <c r="AJ40" s="21">
        <f t="shared" si="6"/>
        <v>18.999375295845081</v>
      </c>
      <c r="AK40" s="21">
        <f t="shared" si="6"/>
        <v>29.470516233208617</v>
      </c>
      <c r="AL40" s="21">
        <f t="shared" si="6"/>
        <v>8.1227198485287246</v>
      </c>
      <c r="AM40" s="22"/>
      <c r="AN40" s="21">
        <f t="shared" si="7"/>
        <v>8.2550181131924614</v>
      </c>
      <c r="AO40" s="23">
        <f t="shared" si="7"/>
        <v>5.5020523451840804</v>
      </c>
      <c r="AP40" s="23">
        <f>IF(Settings!$J$6&gt;69, 0.2*(AO40), 0)</f>
        <v>1.1004104690368162</v>
      </c>
      <c r="AQ40" s="24">
        <f t="shared" si="8"/>
        <v>24.271394994580195</v>
      </c>
      <c r="AR40" s="24">
        <f t="shared" si="8"/>
        <v>14.566792925354141</v>
      </c>
      <c r="AS40" s="24">
        <f t="shared" si="8"/>
        <v>24.961750038338966</v>
      </c>
      <c r="AT40" s="25" t="e">
        <f t="shared" si="9"/>
        <v>#VALUE!</v>
      </c>
      <c r="AU40" s="25" t="e">
        <f t="shared" si="10"/>
        <v>#VALUE!</v>
      </c>
      <c r="AV40" s="26" t="e">
        <f t="shared" si="11"/>
        <v>#VALUE!</v>
      </c>
      <c r="AW40" s="26" t="e">
        <f t="shared" si="12"/>
        <v>#VALUE!</v>
      </c>
      <c r="AX40" s="27" t="e">
        <f t="shared" si="13"/>
        <v>#VALUE!</v>
      </c>
      <c r="AY40" s="27" t="e">
        <f t="shared" si="14"/>
        <v>#VALUE!</v>
      </c>
      <c r="BA40" s="22">
        <f t="shared" si="16"/>
        <v>13.658464360683064</v>
      </c>
      <c r="BB40" s="22">
        <f t="shared" si="16"/>
        <v>35.876011597117582</v>
      </c>
    </row>
    <row r="41" spans="1:95" x14ac:dyDescent="0.3">
      <c r="A41" s="13">
        <v>38</v>
      </c>
      <c r="F41">
        <v>27</v>
      </c>
      <c r="G41" s="21"/>
      <c r="H41" s="21"/>
      <c r="I41" s="21"/>
      <c r="J41" s="21"/>
      <c r="K41" s="21"/>
      <c r="L41" s="22"/>
      <c r="M41" s="21"/>
      <c r="N41" s="23"/>
      <c r="O41" s="23"/>
      <c r="P41" s="24"/>
      <c r="Q41" s="24"/>
      <c r="R41" s="24"/>
      <c r="S41" s="25"/>
      <c r="T41" s="25"/>
      <c r="U41" s="26"/>
      <c r="V41" s="26"/>
      <c r="W41" s="27"/>
      <c r="X41" s="27"/>
      <c r="Z41" s="22"/>
      <c r="AA41" s="22"/>
      <c r="AC41">
        <v>27</v>
      </c>
      <c r="AE41" s="42">
        <f t="shared" si="4"/>
        <v>19.280211654442091</v>
      </c>
      <c r="AG41">
        <f t="shared" si="5"/>
        <v>19.280211654442091</v>
      </c>
      <c r="AH41" s="21">
        <f t="shared" si="6"/>
        <v>19.747419719245507</v>
      </c>
      <c r="AI41" s="21">
        <f t="shared" si="6"/>
        <v>29.877427924749178</v>
      </c>
      <c r="AJ41" s="21">
        <f t="shared" si="6"/>
        <v>20.929434946110788</v>
      </c>
      <c r="AK41" s="21">
        <f t="shared" si="6"/>
        <v>31.188748890919047</v>
      </c>
      <c r="AL41" s="21">
        <f t="shared" si="6"/>
        <v>8.9549766023393182</v>
      </c>
      <c r="AM41" s="22"/>
      <c r="AN41" s="21">
        <f t="shared" si="7"/>
        <v>8.8946621997049302</v>
      </c>
      <c r="AO41" s="23">
        <f t="shared" si="7"/>
        <v>5.8675375666421017</v>
      </c>
      <c r="AP41" s="23">
        <f>IF(Settings!$J$6&gt;69, 0.2*(AO41), 0)</f>
        <v>1.1735075133284203</v>
      </c>
      <c r="AQ41" s="24">
        <f t="shared" si="8"/>
        <v>25.488025146284244</v>
      </c>
      <c r="AR41" s="24">
        <f t="shared" si="8"/>
        <v>15.393145926958315</v>
      </c>
      <c r="AS41" s="24">
        <f t="shared" si="8"/>
        <v>26.690964118120068</v>
      </c>
      <c r="AT41" s="25" t="e">
        <f t="shared" si="9"/>
        <v>#VALUE!</v>
      </c>
      <c r="AU41" s="25" t="e">
        <f t="shared" si="10"/>
        <v>#VALUE!</v>
      </c>
      <c r="AV41" s="26" t="e">
        <f t="shared" si="11"/>
        <v>#VALUE!</v>
      </c>
      <c r="AW41" s="26" t="e">
        <f t="shared" si="12"/>
        <v>#VALUE!</v>
      </c>
      <c r="AX41" s="27" t="e">
        <f t="shared" si="13"/>
        <v>#VALUE!</v>
      </c>
      <c r="AY41" s="27" t="e">
        <f t="shared" si="14"/>
        <v>#VALUE!</v>
      </c>
      <c r="BA41" s="22">
        <f t="shared" si="16"/>
        <v>14.57521603533085</v>
      </c>
      <c r="BB41" s="22">
        <f t="shared" si="16"/>
        <v>36.98564750118171</v>
      </c>
    </row>
    <row r="42" spans="1:95" x14ac:dyDescent="0.3">
      <c r="A42" s="13">
        <v>39</v>
      </c>
      <c r="F42">
        <v>28</v>
      </c>
      <c r="G42" s="21"/>
      <c r="H42" s="21"/>
      <c r="I42" s="21"/>
      <c r="J42" s="21"/>
      <c r="K42" s="21"/>
      <c r="L42" s="22"/>
      <c r="M42" s="21"/>
      <c r="N42" s="23"/>
      <c r="O42" s="23"/>
      <c r="P42" s="24"/>
      <c r="Q42" s="24"/>
      <c r="R42" s="24"/>
      <c r="S42" s="25"/>
      <c r="T42" s="25"/>
      <c r="U42" s="26"/>
      <c r="V42" s="26"/>
      <c r="W42" s="27"/>
      <c r="X42" s="27"/>
      <c r="Z42" s="22"/>
      <c r="AA42" s="22"/>
      <c r="AC42">
        <v>28</v>
      </c>
      <c r="AE42" s="42">
        <f t="shared" si="4"/>
        <v>20.276635590369683</v>
      </c>
      <c r="AG42">
        <f t="shared" si="5"/>
        <v>20.276635590369683</v>
      </c>
      <c r="AH42" s="21">
        <f t="shared" si="6"/>
        <v>22.077970766235222</v>
      </c>
      <c r="AI42" s="21">
        <f t="shared" si="6"/>
        <v>31.612824115276279</v>
      </c>
      <c r="AJ42" s="21">
        <f t="shared" si="6"/>
        <v>23.001393088197045</v>
      </c>
      <c r="AK42" s="21">
        <f t="shared" si="6"/>
        <v>32.978278188894372</v>
      </c>
      <c r="AL42" s="21">
        <f t="shared" si="6"/>
        <v>9.833688827454786</v>
      </c>
      <c r="AM42" s="22"/>
      <c r="AN42" s="21">
        <f t="shared" si="7"/>
        <v>9.5723386027914632</v>
      </c>
      <c r="AO42" s="23">
        <f t="shared" si="7"/>
        <v>6.2524589022506074</v>
      </c>
      <c r="AP42" s="23">
        <f>IF(Settings!$J$6&gt;69, 0.2*(AO42), 0)</f>
        <v>1.2504917804501217</v>
      </c>
      <c r="AQ42" s="24">
        <f t="shared" si="8"/>
        <v>26.745127010298692</v>
      </c>
      <c r="AR42" s="24">
        <f t="shared" si="8"/>
        <v>16.244895829470551</v>
      </c>
      <c r="AS42" s="24">
        <f t="shared" si="8"/>
        <v>28.445856918996856</v>
      </c>
      <c r="AT42" s="25" t="e">
        <f t="shared" si="9"/>
        <v>#VALUE!</v>
      </c>
      <c r="AU42" s="25" t="e">
        <f t="shared" si="10"/>
        <v>#VALUE!</v>
      </c>
      <c r="AV42" s="26" t="e">
        <f t="shared" si="11"/>
        <v>#VALUE!</v>
      </c>
      <c r="AW42" s="26" t="e">
        <f t="shared" si="12"/>
        <v>#VALUE!</v>
      </c>
      <c r="AX42" s="27" t="e">
        <f t="shared" si="13"/>
        <v>#VALUE!</v>
      </c>
      <c r="AY42" s="27" t="e">
        <f t="shared" si="14"/>
        <v>#VALUE!</v>
      </c>
      <c r="BA42" s="22">
        <f t="shared" si="16"/>
        <v>15.505757159655271</v>
      </c>
      <c r="BB42" s="22">
        <f t="shared" si="16"/>
        <v>38.097609778945959</v>
      </c>
    </row>
    <row r="43" spans="1:95" x14ac:dyDescent="0.3">
      <c r="A43" s="13">
        <v>40</v>
      </c>
      <c r="F43">
        <v>29</v>
      </c>
      <c r="G43" s="21"/>
      <c r="H43" s="21"/>
      <c r="I43" s="21"/>
      <c r="J43" s="21"/>
      <c r="K43" s="21"/>
      <c r="L43" s="22"/>
      <c r="M43" s="21"/>
      <c r="N43" s="23"/>
      <c r="O43" s="23"/>
      <c r="P43" s="24"/>
      <c r="Q43" s="24"/>
      <c r="R43" s="24"/>
      <c r="S43" s="25"/>
      <c r="T43" s="25"/>
      <c r="U43" s="26"/>
      <c r="V43" s="26"/>
      <c r="W43" s="27"/>
      <c r="X43" s="27"/>
      <c r="Z43" s="22"/>
      <c r="AA43" s="22"/>
      <c r="AC43">
        <v>29</v>
      </c>
      <c r="AE43" s="42">
        <f t="shared" si="4"/>
        <v>21.324555883177815</v>
      </c>
      <c r="AG43">
        <f t="shared" si="5"/>
        <v>21.324555883177815</v>
      </c>
      <c r="AH43" s="21">
        <f t="shared" si="6"/>
        <v>24.575226402644049</v>
      </c>
      <c r="AI43" s="21">
        <f t="shared" si="6"/>
        <v>33.419474053024281</v>
      </c>
      <c r="AJ43" s="21">
        <f t="shared" si="6"/>
        <v>25.217195894389786</v>
      </c>
      <c r="AK43" s="21">
        <f t="shared" si="6"/>
        <v>34.838768346494618</v>
      </c>
      <c r="AL43" s="21">
        <f t="shared" si="6"/>
        <v>10.755459277803103</v>
      </c>
      <c r="AM43" s="22"/>
      <c r="AN43" s="21">
        <f t="shared" si="7"/>
        <v>10.288769966340558</v>
      </c>
      <c r="AO43" s="23">
        <f t="shared" si="7"/>
        <v>6.6572578369244226</v>
      </c>
      <c r="AP43" s="23">
        <f>IF(Settings!$J$6&gt;69, 0.2*(AO43), 0)</f>
        <v>1.3314515673848846</v>
      </c>
      <c r="AQ43" s="24">
        <f t="shared" si="8"/>
        <v>28.04187700972188</v>
      </c>
      <c r="AR43" s="24">
        <f t="shared" si="8"/>
        <v>17.120410271709204</v>
      </c>
      <c r="AS43" s="24">
        <f t="shared" si="8"/>
        <v>30.21537673311402</v>
      </c>
      <c r="AT43" s="25" t="e">
        <f t="shared" si="9"/>
        <v>#VALUE!</v>
      </c>
      <c r="AU43" s="25" t="e">
        <f t="shared" si="10"/>
        <v>#VALUE!</v>
      </c>
      <c r="AV43" s="26" t="e">
        <f t="shared" si="11"/>
        <v>#VALUE!</v>
      </c>
      <c r="AW43" s="26" t="e">
        <f t="shared" si="12"/>
        <v>#VALUE!</v>
      </c>
      <c r="AX43" s="27" t="e">
        <f t="shared" si="13"/>
        <v>#VALUE!</v>
      </c>
      <c r="AY43" s="27" t="e">
        <f t="shared" si="14"/>
        <v>#VALUE!</v>
      </c>
      <c r="BA43" s="22">
        <f t="shared" si="16"/>
        <v>16.444574608560416</v>
      </c>
      <c r="BB43" s="22">
        <f t="shared" si="16"/>
        <v>39.20912611643233</v>
      </c>
    </row>
    <row r="44" spans="1:95" x14ac:dyDescent="0.3">
      <c r="F44">
        <v>30</v>
      </c>
      <c r="G44" s="21"/>
      <c r="H44" s="21"/>
      <c r="I44" s="21"/>
      <c r="J44" s="21"/>
      <c r="K44" s="21"/>
      <c r="L44" s="22"/>
      <c r="M44" s="21"/>
      <c r="N44" s="23"/>
      <c r="O44" s="23"/>
      <c r="P44" s="24"/>
      <c r="Q44" s="24"/>
      <c r="R44" s="24"/>
      <c r="S44" s="25"/>
      <c r="T44" s="25"/>
      <c r="U44" s="26"/>
      <c r="V44" s="26"/>
      <c r="W44" s="27"/>
      <c r="X44" s="27"/>
      <c r="Z44" s="22"/>
      <c r="AA44" s="22"/>
      <c r="AC44">
        <v>30</v>
      </c>
      <c r="AE44" s="42">
        <f t="shared" si="4"/>
        <v>22.426633924947051</v>
      </c>
      <c r="AG44">
        <f t="shared" si="5"/>
        <v>22.426633924947051</v>
      </c>
      <c r="AH44" s="21">
        <f t="shared" si="6"/>
        <v>27.232771818085943</v>
      </c>
      <c r="AI44" s="21">
        <f t="shared" si="6"/>
        <v>35.296940138980389</v>
      </c>
      <c r="AJ44" s="21">
        <f t="shared" si="6"/>
        <v>27.577400193559672</v>
      </c>
      <c r="AK44" s="21">
        <f t="shared" si="6"/>
        <v>36.769445188552801</v>
      </c>
      <c r="AL44" s="21">
        <f t="shared" si="6"/>
        <v>11.715936744619292</v>
      </c>
      <c r="AM44" s="22"/>
      <c r="AN44" s="21">
        <f t="shared" si="7"/>
        <v>11.044471724688391</v>
      </c>
      <c r="AO44" s="23">
        <f t="shared" si="7"/>
        <v>7.0823081968553563</v>
      </c>
      <c r="AP44" s="23">
        <f>IF(Settings!$J$6&gt;69, 0.2*(AO44), 0)</f>
        <v>1.4164616393710714</v>
      </c>
      <c r="AQ44" s="24">
        <f t="shared" si="8"/>
        <v>29.377178753685669</v>
      </c>
      <c r="AR44" s="24">
        <f t="shared" si="8"/>
        <v>18.017761338521851</v>
      </c>
      <c r="AS44" s="24">
        <f t="shared" si="8"/>
        <v>31.987784548494197</v>
      </c>
      <c r="AT44" s="25" t="e">
        <f t="shared" si="9"/>
        <v>#VALUE!</v>
      </c>
      <c r="AU44" s="25" t="e">
        <f t="shared" si="10"/>
        <v>#VALUE!</v>
      </c>
      <c r="AV44" s="26" t="e">
        <f t="shared" si="11"/>
        <v>#VALUE!</v>
      </c>
      <c r="AW44" s="26" t="e">
        <f t="shared" si="12"/>
        <v>#VALUE!</v>
      </c>
      <c r="AX44" s="27" t="e">
        <f t="shared" si="13"/>
        <v>#VALUE!</v>
      </c>
      <c r="AY44" s="27" t="e">
        <f t="shared" si="14"/>
        <v>#VALUE!</v>
      </c>
      <c r="BA44" s="22">
        <f t="shared" si="16"/>
        <v>17.385794003426327</v>
      </c>
      <c r="BB44" s="22">
        <f t="shared" si="16"/>
        <v>40.317284670781248</v>
      </c>
    </row>
    <row r="45" spans="1:95" x14ac:dyDescent="0.3">
      <c r="F45">
        <v>31</v>
      </c>
      <c r="G45" s="21"/>
      <c r="H45" s="21"/>
      <c r="I45" s="21"/>
      <c r="J45" s="21"/>
      <c r="K45" s="21"/>
      <c r="L45" s="22"/>
      <c r="M45" s="21"/>
      <c r="N45" s="23"/>
      <c r="O45" s="23"/>
      <c r="P45" s="24"/>
      <c r="Q45" s="24"/>
      <c r="R45" s="24"/>
      <c r="S45" s="25"/>
      <c r="T45" s="25"/>
      <c r="U45" s="26"/>
      <c r="V45" s="26"/>
      <c r="W45" s="27"/>
      <c r="X45" s="27"/>
      <c r="Z45" s="22"/>
      <c r="AA45" s="22"/>
      <c r="AC45">
        <v>31</v>
      </c>
      <c r="AE45" s="42">
        <f t="shared" si="4"/>
        <v>23.585668651620018</v>
      </c>
      <c r="AG45">
        <f t="shared" si="5"/>
        <v>23.585668651620018</v>
      </c>
      <c r="AH45" s="21">
        <f t="shared" si="6"/>
        <v>30.04085673068996</v>
      </c>
      <c r="AI45" s="21">
        <f t="shared" si="6"/>
        <v>37.244336754311128</v>
      </c>
      <c r="AJ45" s="21">
        <f t="shared" si="6"/>
        <v>30.080986687934438</v>
      </c>
      <c r="AK45" s="21">
        <f t="shared" si="6"/>
        <v>38.769056430692864</v>
      </c>
      <c r="AL45" s="21">
        <f t="shared" si="6"/>
        <v>12.709831055371939</v>
      </c>
      <c r="AM45" s="22"/>
      <c r="AN45" s="21">
        <f t="shared" si="7"/>
        <v>11.839721045940738</v>
      </c>
      <c r="AO45" s="23">
        <f t="shared" si="7"/>
        <v>7.5279049324529455</v>
      </c>
      <c r="AP45" s="23">
        <f>IF(Settings!$J$6&gt;69, 0.2*(AO45), 0)</f>
        <v>1.5055809864905891</v>
      </c>
      <c r="AQ45" s="24">
        <f t="shared" si="8"/>
        <v>30.749644921005004</v>
      </c>
      <c r="AR45" s="24">
        <f t="shared" si="8"/>
        <v>18.934720387657812</v>
      </c>
      <c r="AS45" s="24">
        <f t="shared" si="8"/>
        <v>33.750872052684883</v>
      </c>
      <c r="AT45" s="25" t="e">
        <f t="shared" si="9"/>
        <v>#VALUE!</v>
      </c>
      <c r="AU45" s="25" t="e">
        <f t="shared" si="10"/>
        <v>#VALUE!</v>
      </c>
      <c r="AV45" s="26" t="e">
        <f t="shared" si="11"/>
        <v>#VALUE!</v>
      </c>
      <c r="AW45" s="26" t="e">
        <f t="shared" si="12"/>
        <v>#VALUE!</v>
      </c>
      <c r="AX45" s="27" t="e">
        <f t="shared" si="13"/>
        <v>#VALUE!</v>
      </c>
      <c r="AY45" s="27" t="e">
        <f t="shared" si="14"/>
        <v>#VALUE!</v>
      </c>
      <c r="BA45" s="22">
        <f t="shared" si="16"/>
        <v>18.323280589537937</v>
      </c>
      <c r="BB45" s="22">
        <f t="shared" si="16"/>
        <v>41.419050596254841</v>
      </c>
    </row>
    <row r="46" spans="1:95" x14ac:dyDescent="0.3">
      <c r="F46">
        <v>32</v>
      </c>
      <c r="G46" s="21"/>
      <c r="H46" s="21"/>
      <c r="I46" s="21"/>
      <c r="J46" s="21"/>
      <c r="K46" s="21"/>
      <c r="L46" s="22"/>
      <c r="M46" s="21"/>
      <c r="N46" s="23"/>
      <c r="O46" s="23"/>
      <c r="P46" s="24"/>
      <c r="Q46" s="24"/>
      <c r="R46" s="24"/>
      <c r="S46" s="25"/>
      <c r="T46" s="25"/>
      <c r="U46" s="26"/>
      <c r="V46" s="26"/>
      <c r="W46" s="27"/>
      <c r="X46" s="27"/>
      <c r="Z46" s="22"/>
      <c r="AA46" s="22"/>
      <c r="AC46">
        <v>32</v>
      </c>
      <c r="AE46" s="42">
        <f t="shared" si="4"/>
        <v>24.804603651429346</v>
      </c>
      <c r="AG46">
        <f t="shared" si="5"/>
        <v>24.804603651429346</v>
      </c>
      <c r="AH46" s="21">
        <f t="shared" si="6"/>
        <v>32.98629130156386</v>
      </c>
      <c r="AI46" s="21">
        <f t="shared" si="6"/>
        <v>39.260290767631062</v>
      </c>
      <c r="AJ46" s="21">
        <f t="shared" si="6"/>
        <v>32.725184562473494</v>
      </c>
      <c r="AK46" s="21">
        <f t="shared" si="6"/>
        <v>40.835833197465838</v>
      </c>
      <c r="AL46" s="21">
        <f t="shared" si="6"/>
        <v>13.730961372990933</v>
      </c>
      <c r="AM46" s="22"/>
      <c r="AN46" s="21">
        <f t="shared" si="7"/>
        <v>12.674525220354132</v>
      </c>
      <c r="AO46" s="23">
        <f t="shared" si="7"/>
        <v>7.9942523377697237</v>
      </c>
      <c r="AP46" s="23">
        <f>IF(Settings!$J$6&gt;69, 0.2*(AO46), 0)</f>
        <v>1.5988504675539448</v>
      </c>
      <c r="AQ46" s="24">
        <f t="shared" si="8"/>
        <v>32.157580491466454</v>
      </c>
      <c r="AR46" s="24">
        <f t="shared" si="8"/>
        <v>19.86875737310989</v>
      </c>
      <c r="AS46" s="24">
        <f t="shared" si="8"/>
        <v>35.492209289109397</v>
      </c>
      <c r="AT46" s="25" t="e">
        <f t="shared" si="9"/>
        <v>#VALUE!</v>
      </c>
      <c r="AU46" s="25" t="e">
        <f t="shared" si="10"/>
        <v>#VALUE!</v>
      </c>
      <c r="AV46" s="26" t="e">
        <f t="shared" si="11"/>
        <v>#VALUE!</v>
      </c>
      <c r="AW46" s="26" t="e">
        <f t="shared" si="12"/>
        <v>#VALUE!</v>
      </c>
      <c r="AX46" s="27" t="e">
        <f t="shared" si="13"/>
        <v>#VALUE!</v>
      </c>
      <c r="AY46" s="27" t="e">
        <f t="shared" si="14"/>
        <v>#VALUE!</v>
      </c>
      <c r="BA46" s="22">
        <f t="shared" si="16"/>
        <v>19.250755184580534</v>
      </c>
      <c r="BB46" s="22">
        <f t="shared" si="16"/>
        <v>42.511285962417119</v>
      </c>
    </row>
    <row r="47" spans="1:95" x14ac:dyDescent="0.3">
      <c r="F47">
        <v>33</v>
      </c>
      <c r="G47" s="21"/>
      <c r="H47" s="21"/>
      <c r="I47" s="21"/>
      <c r="J47" s="21"/>
      <c r="K47" s="21"/>
      <c r="L47" s="22"/>
      <c r="M47" s="21"/>
      <c r="N47" s="23"/>
      <c r="O47" s="23"/>
      <c r="P47" s="24"/>
      <c r="Q47" s="24"/>
      <c r="R47" s="24"/>
      <c r="S47" s="25"/>
      <c r="T47" s="25"/>
      <c r="U47" s="26"/>
      <c r="V47" s="26"/>
      <c r="W47" s="27"/>
      <c r="X47" s="27"/>
      <c r="Z47" s="22"/>
      <c r="AA47" s="22"/>
      <c r="AC47">
        <v>33</v>
      </c>
      <c r="AE47" s="42">
        <f t="shared" si="4"/>
        <v>26.08653464069765</v>
      </c>
      <c r="AG47">
        <f t="shared" si="5"/>
        <v>26.08653464069765</v>
      </c>
      <c r="AH47" s="21">
        <f t="shared" ref="AH47:AL84" si="17">AH$4*(1-EXP(-AH$5*$AG47))^AH$6</f>
        <v>36.052454805144059</v>
      </c>
      <c r="AI47" s="21">
        <f t="shared" si="17"/>
        <v>41.342903477285823</v>
      </c>
      <c r="AJ47" s="21">
        <f t="shared" si="17"/>
        <v>35.505314991753629</v>
      </c>
      <c r="AK47" s="21">
        <f t="shared" si="17"/>
        <v>42.967453655470671</v>
      </c>
      <c r="AL47" s="21">
        <f t="shared" si="17"/>
        <v>14.772339667244164</v>
      </c>
      <c r="AM47" s="22"/>
      <c r="AN47" s="21">
        <f t="shared" ref="AN47:AO84" si="18">AN$4*(1-EXP(-AN$5*$AG47))^AN$6</f>
        <v>13.548590086684092</v>
      </c>
      <c r="AO47" s="23">
        <f t="shared" si="18"/>
        <v>8.4814518149140614</v>
      </c>
      <c r="AP47" s="23">
        <f>IF(Settings!$J$6&gt;69, 0.2*(AO47), 0)</f>
        <v>1.6962903629828123</v>
      </c>
      <c r="AQ47" s="24">
        <f t="shared" ref="AQ47:AS84" si="19">AQ$4*(1-EXP(-AQ$5*$AG47))^AQ$6</f>
        <v>33.598967807065634</v>
      </c>
      <c r="AR47" s="24">
        <f t="shared" si="19"/>
        <v>20.817045309708174</v>
      </c>
      <c r="AS47" s="24">
        <f t="shared" si="19"/>
        <v>37.199414598937942</v>
      </c>
      <c r="AT47" s="25" t="e">
        <f t="shared" si="9"/>
        <v>#VALUE!</v>
      </c>
      <c r="AU47" s="25" t="e">
        <f t="shared" si="10"/>
        <v>#VALUE!</v>
      </c>
      <c r="AV47" s="26" t="e">
        <f t="shared" si="11"/>
        <v>#VALUE!</v>
      </c>
      <c r="AW47" s="26" t="e">
        <f t="shared" si="12"/>
        <v>#VALUE!</v>
      </c>
      <c r="AX47" s="27" t="e">
        <f t="shared" si="13"/>
        <v>#VALUE!</v>
      </c>
      <c r="AY47" s="27" t="e">
        <f t="shared" si="14"/>
        <v>#VALUE!</v>
      </c>
      <c r="BA47" s="22">
        <f t="shared" si="16"/>
        <v>20.161922126046239</v>
      </c>
      <c r="BB47" s="22">
        <f t="shared" si="16"/>
        <v>43.590773131102416</v>
      </c>
    </row>
    <row r="48" spans="1:95" x14ac:dyDescent="0.3">
      <c r="F48">
        <v>34</v>
      </c>
      <c r="G48" s="21"/>
      <c r="H48" s="21"/>
      <c r="I48" s="21"/>
      <c r="J48" s="21"/>
      <c r="K48" s="21"/>
      <c r="L48" s="22"/>
      <c r="M48" s="21"/>
      <c r="N48" s="23"/>
      <c r="O48" s="23"/>
      <c r="P48" s="24"/>
      <c r="Q48" s="24"/>
      <c r="R48" s="24"/>
      <c r="S48" s="25"/>
      <c r="T48" s="25"/>
      <c r="U48" s="26"/>
      <c r="V48" s="26"/>
      <c r="W48" s="27"/>
      <c r="X48" s="27"/>
      <c r="Z48" s="22"/>
      <c r="AA48" s="22"/>
      <c r="AC48">
        <v>34</v>
      </c>
      <c r="AE48" s="42">
        <f t="shared" si="4"/>
        <v>27.434717325995447</v>
      </c>
      <c r="AG48">
        <f t="shared" si="5"/>
        <v>27.434717325995447</v>
      </c>
      <c r="AH48" s="21">
        <f t="shared" si="17"/>
        <v>39.219431372798979</v>
      </c>
      <c r="AI48" s="21">
        <f t="shared" si="17"/>
        <v>43.489714897178992</v>
      </c>
      <c r="AJ48" s="21">
        <f t="shared" si="17"/>
        <v>38.414661656525318</v>
      </c>
      <c r="AK48" s="21">
        <f t="shared" si="17"/>
        <v>45.1610097516377</v>
      </c>
      <c r="AL48" s="21">
        <f t="shared" si="17"/>
        <v>15.826289553060844</v>
      </c>
      <c r="AM48" s="22"/>
      <c r="AN48" s="21">
        <f t="shared" si="18"/>
        <v>14.461289199591</v>
      </c>
      <c r="AO48" s="23">
        <f t="shared" si="18"/>
        <v>8.9894893220936911</v>
      </c>
      <c r="AP48" s="23">
        <f>IF(Settings!$J$6&gt;69, 0.2*(AO48), 0)</f>
        <v>1.7978978644187382</v>
      </c>
      <c r="AQ48" s="24">
        <f t="shared" si="19"/>
        <v>35.071453989760712</v>
      </c>
      <c r="AR48" s="24">
        <f t="shared" si="19"/>
        <v>21.776470479635925</v>
      </c>
      <c r="AS48" s="24">
        <f t="shared" si="19"/>
        <v>38.860437679987349</v>
      </c>
      <c r="AT48" s="25" t="e">
        <f t="shared" si="9"/>
        <v>#VALUE!</v>
      </c>
      <c r="AU48" s="25" t="e">
        <f t="shared" si="10"/>
        <v>#VALUE!</v>
      </c>
      <c r="AV48" s="26" t="e">
        <f t="shared" si="11"/>
        <v>#VALUE!</v>
      </c>
      <c r="AW48" s="26" t="e">
        <f t="shared" si="12"/>
        <v>#VALUE!</v>
      </c>
      <c r="AX48" s="27" t="e">
        <f t="shared" si="13"/>
        <v>#VALUE!</v>
      </c>
      <c r="AY48" s="27" t="e">
        <f t="shared" si="14"/>
        <v>#VALUE!</v>
      </c>
      <c r="BA48" s="22">
        <f t="shared" si="16"/>
        <v>21.050605265734728</v>
      </c>
      <c r="BB48" s="22">
        <f t="shared" si="16"/>
        <v>44.654241584580433</v>
      </c>
    </row>
    <row r="49" spans="1:97" x14ac:dyDescent="0.3">
      <c r="F49">
        <v>35</v>
      </c>
      <c r="G49" s="21"/>
      <c r="H49" s="21"/>
      <c r="I49" s="21"/>
      <c r="J49" s="21"/>
      <c r="K49" s="21"/>
      <c r="L49" s="22"/>
      <c r="M49" s="21"/>
      <c r="N49" s="23"/>
      <c r="O49" s="23"/>
      <c r="P49" s="24"/>
      <c r="Q49" s="24"/>
      <c r="R49" s="24"/>
      <c r="S49" s="25"/>
      <c r="T49" s="25"/>
      <c r="U49" s="26"/>
      <c r="V49" s="26"/>
      <c r="W49" s="27"/>
      <c r="X49" s="27"/>
      <c r="Z49" s="22"/>
      <c r="AA49" s="22"/>
      <c r="AC49">
        <v>35</v>
      </c>
      <c r="AE49" s="42">
        <f t="shared" si="4"/>
        <v>28.852575672624699</v>
      </c>
      <c r="AG49">
        <f t="shared" si="5"/>
        <v>28.852575672624699</v>
      </c>
      <c r="AH49" s="21">
        <f t="shared" si="17"/>
        <v>42.464281685598081</v>
      </c>
      <c r="AI49" s="21">
        <f t="shared" si="17"/>
        <v>45.697671401480541</v>
      </c>
      <c r="AJ49" s="21">
        <f t="shared" si="17"/>
        <v>41.444376710175995</v>
      </c>
      <c r="AK49" s="21">
        <f t="shared" si="17"/>
        <v>47.412978148101232</v>
      </c>
      <c r="AL49" s="21">
        <f t="shared" si="17"/>
        <v>16.884598762056953</v>
      </c>
      <c r="AM49" s="22"/>
      <c r="AN49" s="21">
        <f t="shared" si="18"/>
        <v>15.411634550561224</v>
      </c>
      <c r="AO49" s="23">
        <f t="shared" si="18"/>
        <v>9.5182226766461238</v>
      </c>
      <c r="AP49" s="23">
        <f>IF(Settings!$J$6&gt;69, 0.2*(AO49), 0)</f>
        <v>1.9036445353292248</v>
      </c>
      <c r="AQ49" s="24">
        <f t="shared" si="19"/>
        <v>36.572341281060993</v>
      </c>
      <c r="AR49" s="24">
        <f t="shared" si="19"/>
        <v>22.743648907615388</v>
      </c>
      <c r="AS49" s="24">
        <f t="shared" si="19"/>
        <v>40.463845156240261</v>
      </c>
      <c r="AT49" s="25" t="e">
        <f t="shared" si="9"/>
        <v>#VALUE!</v>
      </c>
      <c r="AU49" s="25" t="e">
        <f t="shared" si="10"/>
        <v>#VALUE!</v>
      </c>
      <c r="AV49" s="26" t="e">
        <f t="shared" si="11"/>
        <v>#VALUE!</v>
      </c>
      <c r="AW49" s="26" t="e">
        <f t="shared" si="12"/>
        <v>#VALUE!</v>
      </c>
      <c r="AX49" s="27" t="e">
        <f t="shared" si="13"/>
        <v>#VALUE!</v>
      </c>
      <c r="AY49" s="27" t="e">
        <f t="shared" si="14"/>
        <v>#VALUE!</v>
      </c>
      <c r="BA49" s="22">
        <f t="shared" si="16"/>
        <v>21.91088730933167</v>
      </c>
      <c r="BB49" s="22">
        <f t="shared" si="16"/>
        <v>45.698398109701458</v>
      </c>
    </row>
    <row r="50" spans="1:97" x14ac:dyDescent="0.3">
      <c r="F50">
        <v>36</v>
      </c>
      <c r="G50" s="21"/>
      <c r="H50" s="21"/>
      <c r="I50" s="21"/>
      <c r="J50" s="21"/>
      <c r="K50" s="21"/>
      <c r="L50" s="22"/>
      <c r="M50" s="21"/>
      <c r="N50" s="23"/>
      <c r="O50" s="23"/>
      <c r="P50" s="24"/>
      <c r="Q50" s="24"/>
      <c r="R50" s="24"/>
      <c r="S50" s="25"/>
      <c r="T50" s="25"/>
      <c r="U50" s="26"/>
      <c r="V50" s="26"/>
      <c r="W50" s="27"/>
      <c r="X50" s="27"/>
      <c r="Z50" s="22"/>
      <c r="AA50" s="22"/>
      <c r="AC50">
        <v>36</v>
      </c>
      <c r="AE50" s="42">
        <f t="shared" si="4"/>
        <v>30.343710600427304</v>
      </c>
      <c r="AG50">
        <f t="shared" si="5"/>
        <v>30.343710600427304</v>
      </c>
      <c r="AH50" s="21">
        <f t="shared" si="17"/>
        <v>45.761452596842652</v>
      </c>
      <c r="AI50" s="21">
        <f t="shared" si="17"/>
        <v>47.96309784244184</v>
      </c>
      <c r="AJ50" s="21">
        <f t="shared" si="17"/>
        <v>44.583430603326036</v>
      </c>
      <c r="AK50" s="21">
        <f t="shared" si="17"/>
        <v>49.719196534460075</v>
      </c>
      <c r="AL50" s="21">
        <f t="shared" si="17"/>
        <v>17.938701447182645</v>
      </c>
      <c r="AM50" s="22"/>
      <c r="AN50" s="21">
        <f t="shared" si="18"/>
        <v>16.398249758637462</v>
      </c>
      <c r="AO50" s="23">
        <f t="shared" si="18"/>
        <v>10.06736891921727</v>
      </c>
      <c r="AP50" s="23">
        <f>IF(Settings!$J$6&gt;69, 0.2*(AO50), 0)</f>
        <v>2.013473783843454</v>
      </c>
      <c r="AQ50" s="24">
        <f t="shared" si="19"/>
        <v>38.098580899482805</v>
      </c>
      <c r="AR50" s="24">
        <f t="shared" si="19"/>
        <v>23.714949524791656</v>
      </c>
      <c r="AS50" s="24">
        <f t="shared" si="19"/>
        <v>41.999097122325125</v>
      </c>
      <c r="AT50" s="25" t="e">
        <f t="shared" si="9"/>
        <v>#VALUE!</v>
      </c>
      <c r="AU50" s="25" t="e">
        <f t="shared" si="10"/>
        <v>#VALUE!</v>
      </c>
      <c r="AV50" s="26" t="e">
        <f t="shared" si="11"/>
        <v>#VALUE!</v>
      </c>
      <c r="AW50" s="26" t="e">
        <f t="shared" si="12"/>
        <v>#VALUE!</v>
      </c>
      <c r="AX50" s="27" t="e">
        <f t="shared" si="13"/>
        <v>#VALUE!</v>
      </c>
      <c r="AY50" s="27" t="e">
        <f t="shared" si="14"/>
        <v>#VALUE!</v>
      </c>
      <c r="BA50" s="22">
        <f t="shared" si="16"/>
        <v>22.737247246229863</v>
      </c>
      <c r="BB50" s="22">
        <f t="shared" si="16"/>
        <v>46.719960142243579</v>
      </c>
      <c r="CQ50" s="36"/>
    </row>
    <row r="51" spans="1:97" x14ac:dyDescent="0.3">
      <c r="F51">
        <v>37</v>
      </c>
      <c r="G51" s="21"/>
      <c r="H51" s="21"/>
      <c r="I51" s="21"/>
      <c r="J51" s="21"/>
      <c r="K51" s="21"/>
      <c r="L51" s="22"/>
      <c r="M51" s="21"/>
      <c r="N51" s="23"/>
      <c r="O51" s="23"/>
      <c r="P51" s="24"/>
      <c r="Q51" s="24"/>
      <c r="R51" s="24"/>
      <c r="S51" s="25"/>
      <c r="T51" s="25"/>
      <c r="U51" s="26"/>
      <c r="V51" s="26"/>
      <c r="W51" s="27"/>
      <c r="X51" s="27"/>
      <c r="Z51" s="22"/>
      <c r="AA51" s="22"/>
      <c r="AC51">
        <v>37</v>
      </c>
      <c r="AE51" s="42">
        <f t="shared" si="4"/>
        <v>31.911909129003085</v>
      </c>
      <c r="AG51">
        <f t="shared" si="5"/>
        <v>31.911909129003085</v>
      </c>
      <c r="AH51" s="21">
        <f t="shared" si="17"/>
        <v>49.083318663641904</v>
      </c>
      <c r="AI51" s="21">
        <f t="shared" si="17"/>
        <v>50.281675341206835</v>
      </c>
      <c r="AJ51" s="21">
        <f t="shared" si="17"/>
        <v>47.818613707666557</v>
      </c>
      <c r="AK51" s="21">
        <f t="shared" si="17"/>
        <v>52.074846569828637</v>
      </c>
      <c r="AL51" s="21">
        <f t="shared" si="17"/>
        <v>18.979884461267662</v>
      </c>
      <c r="AM51" s="22"/>
      <c r="AN51" s="21">
        <f t="shared" si="18"/>
        <v>17.419346739904181</v>
      </c>
      <c r="AO51" s="23">
        <f t="shared" si="18"/>
        <v>10.636491981459834</v>
      </c>
      <c r="AP51" s="23">
        <f>IF(Settings!$J$6&gt;69, 0.2*(AO51), 0)</f>
        <v>2.1272983962919669</v>
      </c>
      <c r="AQ51" s="24">
        <f t="shared" si="19"/>
        <v>39.646771031740641</v>
      </c>
      <c r="AR51" s="24">
        <f t="shared" si="19"/>
        <v>24.686524299863809</v>
      </c>
      <c r="AS51" s="24">
        <f t="shared" si="19"/>
        <v>43.456802827107111</v>
      </c>
      <c r="AT51" s="25" t="e">
        <f t="shared" si="9"/>
        <v>#VALUE!</v>
      </c>
      <c r="AU51" s="25" t="e">
        <f t="shared" si="10"/>
        <v>#VALUE!</v>
      </c>
      <c r="AV51" s="26" t="e">
        <f t="shared" si="11"/>
        <v>#VALUE!</v>
      </c>
      <c r="AW51" s="26" t="e">
        <f t="shared" si="12"/>
        <v>#VALUE!</v>
      </c>
      <c r="AX51" s="27" t="e">
        <f t="shared" si="13"/>
        <v>#VALUE!</v>
      </c>
      <c r="AY51" s="27" t="e">
        <f t="shared" si="14"/>
        <v>#VALUE!</v>
      </c>
      <c r="BA51" s="22">
        <f t="shared" si="16"/>
        <v>23.524690320350476</v>
      </c>
      <c r="BB51" s="22">
        <f t="shared" si="16"/>
        <v>47.715691963388295</v>
      </c>
      <c r="CQ51" s="36"/>
    </row>
    <row r="52" spans="1:97" x14ac:dyDescent="0.3">
      <c r="F52">
        <v>38</v>
      </c>
      <c r="G52" s="21"/>
      <c r="H52" s="21"/>
      <c r="I52" s="21"/>
      <c r="J52" s="21"/>
      <c r="K52" s="21"/>
      <c r="L52" s="22"/>
      <c r="M52" s="21"/>
      <c r="N52" s="23"/>
      <c r="O52" s="23"/>
      <c r="P52" s="24"/>
      <c r="Q52" s="24"/>
      <c r="R52" s="24"/>
      <c r="S52" s="25"/>
      <c r="T52" s="25"/>
      <c r="U52" s="26"/>
      <c r="V52" s="26"/>
      <c r="W52" s="27"/>
      <c r="X52" s="27"/>
      <c r="Z52" s="22"/>
      <c r="AA52" s="22"/>
      <c r="AC52">
        <v>38</v>
      </c>
      <c r="AE52" s="42">
        <f t="shared" si="4"/>
        <v>33.561153995563402</v>
      </c>
      <c r="AG52">
        <f t="shared" si="5"/>
        <v>33.561153995563402</v>
      </c>
      <c r="AH52" s="21">
        <f t="shared" si="17"/>
        <v>52.400840975709691</v>
      </c>
      <c r="AI52" s="21">
        <f t="shared" si="17"/>
        <v>52.648426017876133</v>
      </c>
      <c r="AJ52" s="21">
        <f t="shared" si="17"/>
        <v>51.1345967164294</v>
      </c>
      <c r="AK52" s="21">
        <f t="shared" si="17"/>
        <v>54.474444754311648</v>
      </c>
      <c r="AL52" s="21">
        <f t="shared" si="17"/>
        <v>19.999509864457593</v>
      </c>
      <c r="AM52" s="22"/>
      <c r="AN52" s="21">
        <f t="shared" si="18"/>
        <v>18.472706939610191</v>
      </c>
      <c r="AO52" s="23">
        <f t="shared" si="18"/>
        <v>11.224990936315711</v>
      </c>
      <c r="AP52" s="23">
        <f>IF(Settings!$J$6&gt;69, 0.2*(AO52), 0)</f>
        <v>2.2449981872631422</v>
      </c>
      <c r="AQ52" s="24">
        <f t="shared" si="19"/>
        <v>41.213159579395381</v>
      </c>
      <c r="AR52" s="24">
        <f t="shared" si="19"/>
        <v>25.654345439210111</v>
      </c>
      <c r="AS52" s="24">
        <f t="shared" si="19"/>
        <v>44.828944069761832</v>
      </c>
      <c r="AT52" s="25" t="e">
        <f t="shared" si="9"/>
        <v>#VALUE!</v>
      </c>
      <c r="AU52" s="25" t="e">
        <f t="shared" si="10"/>
        <v>#VALUE!</v>
      </c>
      <c r="AV52" s="26" t="e">
        <f t="shared" si="11"/>
        <v>#VALUE!</v>
      </c>
      <c r="AW52" s="26" t="e">
        <f t="shared" si="12"/>
        <v>#VALUE!</v>
      </c>
      <c r="AX52" s="27" t="e">
        <f t="shared" si="13"/>
        <v>#VALUE!</v>
      </c>
      <c r="AY52" s="27" t="e">
        <f t="shared" si="14"/>
        <v>#VALUE!</v>
      </c>
      <c r="BA52" s="22">
        <f t="shared" si="16"/>
        <v>24.268865004077206</v>
      </c>
      <c r="BB52" s="22">
        <f t="shared" si="16"/>
        <v>48.682443318257313</v>
      </c>
    </row>
    <row r="53" spans="1:97" ht="15" customHeight="1" x14ac:dyDescent="0.3">
      <c r="A53" s="46"/>
      <c r="F53">
        <v>39</v>
      </c>
      <c r="G53" s="21"/>
      <c r="H53" s="21"/>
      <c r="I53" s="21"/>
      <c r="J53" s="21"/>
      <c r="K53" s="21"/>
      <c r="L53" s="22"/>
      <c r="M53" s="21"/>
      <c r="N53" s="23"/>
      <c r="O53" s="23"/>
      <c r="P53" s="24"/>
      <c r="Q53" s="24"/>
      <c r="R53" s="24"/>
      <c r="S53" s="25"/>
      <c r="T53" s="25"/>
      <c r="U53" s="26"/>
      <c r="V53" s="26"/>
      <c r="W53" s="27"/>
      <c r="X53" s="27"/>
      <c r="Z53" s="22"/>
      <c r="AA53" s="22"/>
      <c r="AC53">
        <v>39</v>
      </c>
      <c r="AE53" s="42">
        <f t="shared" si="4"/>
        <v>35.295633769846724</v>
      </c>
      <c r="AG53">
        <f t="shared" si="5"/>
        <v>35.295633769846724</v>
      </c>
      <c r="AH53" s="21">
        <f t="shared" si="17"/>
        <v>55.68432014463238</v>
      </c>
      <c r="AI53" s="21">
        <f t="shared" si="17"/>
        <v>55.05770596739287</v>
      </c>
      <c r="AJ53" s="21">
        <f t="shared" si="17"/>
        <v>54.514055299068282</v>
      </c>
      <c r="AK53" s="21">
        <f t="shared" si="17"/>
        <v>56.911842545218562</v>
      </c>
      <c r="AL53" s="21">
        <f t="shared" si="17"/>
        <v>20.989244375919419</v>
      </c>
      <c r="AM53" s="22"/>
      <c r="AN53" s="21">
        <f t="shared" si="18"/>
        <v>19.555668260763149</v>
      </c>
      <c r="AO53" s="23">
        <f t="shared" si="18"/>
        <v>11.83208914594176</v>
      </c>
      <c r="AP53" s="23">
        <f>IF(Settings!$J$6&gt;69, 0.2*(AO53), 0)</f>
        <v>2.366417829188352</v>
      </c>
      <c r="AQ53" s="24">
        <f t="shared" si="19"/>
        <v>42.793652271263902</v>
      </c>
      <c r="AR53" s="24">
        <f t="shared" si="19"/>
        <v>26.614249546854506</v>
      </c>
      <c r="AS53" s="24">
        <f t="shared" si="19"/>
        <v>46.109056027908807</v>
      </c>
      <c r="AT53" s="25" t="e">
        <f t="shared" si="9"/>
        <v>#VALUE!</v>
      </c>
      <c r="AU53" s="25" t="e">
        <f t="shared" si="10"/>
        <v>#VALUE!</v>
      </c>
      <c r="AV53" s="26" t="e">
        <f t="shared" si="11"/>
        <v>#VALUE!</v>
      </c>
      <c r="AW53" s="26" t="e">
        <f t="shared" si="12"/>
        <v>#VALUE!</v>
      </c>
      <c r="AX53" s="27" t="e">
        <f t="shared" si="13"/>
        <v>#VALUE!</v>
      </c>
      <c r="AY53" s="27" t="e">
        <f t="shared" si="14"/>
        <v>#VALUE!</v>
      </c>
      <c r="BA53" s="22">
        <f t="shared" si="16"/>
        <v>24.966161781886672</v>
      </c>
      <c r="BB53" s="22">
        <f t="shared" si="16"/>
        <v>49.617189897732821</v>
      </c>
      <c r="BN53" s="209"/>
      <c r="BO53" s="210"/>
      <c r="BP53" s="209"/>
      <c r="BQ53" s="215"/>
      <c r="CE53" s="209"/>
      <c r="CF53" s="210"/>
      <c r="CR53" s="209"/>
      <c r="CS53" s="210"/>
    </row>
    <row r="54" spans="1:97" x14ac:dyDescent="0.3">
      <c r="F54">
        <v>40</v>
      </c>
      <c r="G54" s="21"/>
      <c r="H54" s="21"/>
      <c r="I54" s="21"/>
      <c r="J54" s="21"/>
      <c r="K54" s="21"/>
      <c r="L54" s="22"/>
      <c r="M54" s="21"/>
      <c r="N54" s="23"/>
      <c r="O54" s="23"/>
      <c r="P54" s="24"/>
      <c r="Q54" s="24"/>
      <c r="R54" s="24"/>
      <c r="S54" s="25"/>
      <c r="T54" s="25"/>
      <c r="U54" s="26"/>
      <c r="V54" s="26"/>
      <c r="W54" s="27"/>
      <c r="X54" s="27"/>
      <c r="Z54" s="22"/>
      <c r="AA54" s="22"/>
      <c r="AC54">
        <v>40</v>
      </c>
      <c r="AE54" s="42">
        <f t="shared" si="4"/>
        <v>37.119753491784877</v>
      </c>
      <c r="AG54">
        <f t="shared" si="5"/>
        <v>37.119753491784877</v>
      </c>
      <c r="AH54" s="21">
        <f t="shared" si="17"/>
        <v>58.904212601678374</v>
      </c>
      <c r="AI54" s="21">
        <f t="shared" si="17"/>
        <v>57.503207794796147</v>
      </c>
      <c r="AJ54" s="21">
        <f t="shared" si="17"/>
        <v>57.937862443014545</v>
      </c>
      <c r="AK54" s="21">
        <f t="shared" si="17"/>
        <v>59.380237009944835</v>
      </c>
      <c r="AL54" s="21">
        <f t="shared" si="17"/>
        <v>21.941285453374327</v>
      </c>
      <c r="AM54" s="22"/>
      <c r="AN54" s="21">
        <f t="shared" si="18"/>
        <v>20.665118840233934</v>
      </c>
      <c r="AO54" s="23">
        <f t="shared" si="18"/>
        <v>12.456824656183485</v>
      </c>
      <c r="AP54" s="23">
        <f>IF(Settings!$J$6&gt;69, 0.2*(AO54), 0)</f>
        <v>2.4913649312366974</v>
      </c>
      <c r="AQ54" s="24">
        <f t="shared" si="19"/>
        <v>44.383826719842503</v>
      </c>
      <c r="AR54" s="24">
        <f t="shared" si="19"/>
        <v>27.561988393499391</v>
      </c>
      <c r="AS54" s="24">
        <f t="shared" si="19"/>
        <v>47.292357087001044</v>
      </c>
      <c r="AT54" s="25" t="e">
        <f t="shared" si="9"/>
        <v>#VALUE!</v>
      </c>
      <c r="AU54" s="25" t="e">
        <f t="shared" si="10"/>
        <v>#VALUE!</v>
      </c>
      <c r="AV54" s="26" t="e">
        <f t="shared" si="11"/>
        <v>#VALUE!</v>
      </c>
      <c r="AW54" s="26" t="e">
        <f t="shared" si="12"/>
        <v>#VALUE!</v>
      </c>
      <c r="AX54" s="27" t="e">
        <f t="shared" si="13"/>
        <v>#VALUE!</v>
      </c>
      <c r="AY54" s="27" t="e">
        <f t="shared" si="14"/>
        <v>#VALUE!</v>
      </c>
      <c r="BA54" s="22">
        <f t="shared" si="16"/>
        <v>25.613789230177986</v>
      </c>
      <c r="BB54" s="22">
        <f t="shared" si="16"/>
        <v>50.517074993365092</v>
      </c>
    </row>
    <row r="55" spans="1:97" x14ac:dyDescent="0.3">
      <c r="F55">
        <v>41</v>
      </c>
      <c r="G55" s="21"/>
      <c r="H55" s="21"/>
      <c r="I55" s="21"/>
      <c r="J55" s="21"/>
      <c r="K55" s="21"/>
      <c r="L55" s="22"/>
      <c r="M55" s="21"/>
      <c r="N55" s="23"/>
      <c r="O55" s="23"/>
      <c r="P55" s="24"/>
      <c r="Q55" s="24"/>
      <c r="R55" s="24"/>
      <c r="S55" s="25"/>
      <c r="T55" s="25"/>
      <c r="U55" s="26"/>
      <c r="V55" s="26"/>
      <c r="W55" s="27"/>
      <c r="X55" s="27"/>
      <c r="Z55" s="22"/>
      <c r="AA55" s="22"/>
      <c r="AC55">
        <v>41</v>
      </c>
      <c r="AE55" s="43">
        <f>0.208*12*(1-EXP(-0.0818*(AC55-28)))*91.9*(EXP(-0.1386*$AD$14)*(1+($AD$14^5.31/(4.93*10^7))))</f>
        <v>38.85778775562828</v>
      </c>
      <c r="AG55">
        <f t="shared" si="5"/>
        <v>38.85778775562828</v>
      </c>
      <c r="AH55" s="21">
        <f t="shared" si="17"/>
        <v>61.749107487249148</v>
      </c>
      <c r="AI55" s="21">
        <f t="shared" si="17"/>
        <v>59.749523028817435</v>
      </c>
      <c r="AJ55" s="21">
        <f t="shared" si="17"/>
        <v>61.06811675924434</v>
      </c>
      <c r="AK55" s="21">
        <f t="shared" si="17"/>
        <v>61.642412665643526</v>
      </c>
      <c r="AL55" s="21">
        <f t="shared" si="17"/>
        <v>22.767232631787412</v>
      </c>
      <c r="AM55" s="22"/>
      <c r="AN55" s="21">
        <f t="shared" si="18"/>
        <v>21.692581275826289</v>
      </c>
      <c r="AO55" s="23">
        <f t="shared" si="18"/>
        <v>13.038462186210472</v>
      </c>
      <c r="AP55" s="23">
        <f>IF(Settings!$J$6&gt;69, 0.2*(AO55), 0)</f>
        <v>2.6076924372420947</v>
      </c>
      <c r="AQ55" s="24">
        <f t="shared" si="19"/>
        <v>45.832288072319116</v>
      </c>
      <c r="AR55" s="24">
        <f t="shared" si="19"/>
        <v>28.40850023793103</v>
      </c>
      <c r="AS55" s="24">
        <f t="shared" si="19"/>
        <v>48.280465062515802</v>
      </c>
      <c r="AT55" s="25" t="e">
        <f t="shared" si="9"/>
        <v>#VALUE!</v>
      </c>
      <c r="AU55" s="25" t="e">
        <f t="shared" si="10"/>
        <v>#VALUE!</v>
      </c>
      <c r="AV55" s="26" t="e">
        <f t="shared" si="11"/>
        <v>#VALUE!</v>
      </c>
      <c r="AW55" s="26" t="e">
        <f t="shared" si="12"/>
        <v>#VALUE!</v>
      </c>
      <c r="AX55" s="27" t="e">
        <f t="shared" si="13"/>
        <v>#VALUE!</v>
      </c>
      <c r="AY55" s="27" t="e">
        <f t="shared" si="14"/>
        <v>#VALUE!</v>
      </c>
      <c r="BA55" s="22">
        <f t="shared" si="16"/>
        <v>26.157236008874662</v>
      </c>
      <c r="BB55" s="22">
        <f t="shared" si="16"/>
        <v>51.301831286807186</v>
      </c>
    </row>
    <row r="56" spans="1:97" x14ac:dyDescent="0.3">
      <c r="F56">
        <v>42</v>
      </c>
      <c r="G56" s="21"/>
      <c r="H56" s="21"/>
      <c r="I56" s="21"/>
      <c r="J56" s="21"/>
      <c r="K56" s="21"/>
      <c r="L56" s="22"/>
      <c r="M56" s="21"/>
      <c r="N56" s="23"/>
      <c r="O56" s="23"/>
      <c r="P56" s="24"/>
      <c r="Q56" s="24"/>
      <c r="R56" s="24"/>
      <c r="S56" s="25"/>
      <c r="T56" s="25"/>
      <c r="U56" s="26"/>
      <c r="V56" s="26"/>
      <c r="W56" s="27"/>
      <c r="X56" s="27"/>
      <c r="Z56" s="22"/>
      <c r="AA56" s="22"/>
      <c r="AC56">
        <v>42</v>
      </c>
      <c r="AE56" s="43">
        <f t="shared" ref="AE56:AE84" si="20">0.208*12*(1-EXP(-0.0818*(AC56-28)))*91.9*(EXP(-0.1386*$AD$14)*(1+($AD$14^5.31/(4.93*10^7))))</f>
        <v>40.467341024247702</v>
      </c>
      <c r="AG56">
        <f t="shared" si="5"/>
        <v>40.467341024247702</v>
      </c>
      <c r="AH56" s="21">
        <f t="shared" si="17"/>
        <v>64.192603414511197</v>
      </c>
      <c r="AI56" s="21">
        <f t="shared" si="17"/>
        <v>61.757575188518423</v>
      </c>
      <c r="AJ56" s="21">
        <f t="shared" si="17"/>
        <v>63.847730261162638</v>
      </c>
      <c r="AK56" s="21">
        <f t="shared" si="17"/>
        <v>63.660324199499136</v>
      </c>
      <c r="AL56" s="21">
        <f t="shared" si="17"/>
        <v>23.46518085031175</v>
      </c>
      <c r="AM56" s="22"/>
      <c r="AN56" s="21">
        <f t="shared" si="18"/>
        <v>22.61733754281699</v>
      </c>
      <c r="AO56" s="23">
        <f t="shared" si="18"/>
        <v>13.564920994169192</v>
      </c>
      <c r="AP56" s="23">
        <f>IF(Settings!$J$6&gt;69, 0.2*(AO56), 0)</f>
        <v>2.7129841988338388</v>
      </c>
      <c r="AQ56" s="24">
        <f t="shared" si="19"/>
        <v>47.117428577113486</v>
      </c>
      <c r="AR56" s="24">
        <f t="shared" si="19"/>
        <v>29.145415646725684</v>
      </c>
      <c r="AS56" s="24">
        <f t="shared" si="19"/>
        <v>49.087132599611849</v>
      </c>
      <c r="AT56" s="25" t="e">
        <f t="shared" si="9"/>
        <v>#VALUE!</v>
      </c>
      <c r="AU56" s="25" t="e">
        <f t="shared" si="10"/>
        <v>#VALUE!</v>
      </c>
      <c r="AV56" s="26" t="e">
        <f t="shared" si="11"/>
        <v>#VALUE!</v>
      </c>
      <c r="AW56" s="26" t="e">
        <f t="shared" si="12"/>
        <v>#VALUE!</v>
      </c>
      <c r="AX56" s="27" t="e">
        <f t="shared" si="13"/>
        <v>#VALUE!</v>
      </c>
      <c r="AY56" s="27" t="e">
        <f t="shared" si="14"/>
        <v>#VALUE!</v>
      </c>
      <c r="BA56" s="22">
        <f t="shared" si="16"/>
        <v>26.602978123758284</v>
      </c>
      <c r="BB56" s="22">
        <f t="shared" si="16"/>
        <v>51.970536503649342</v>
      </c>
    </row>
    <row r="57" spans="1:97" x14ac:dyDescent="0.3">
      <c r="F57">
        <v>43</v>
      </c>
      <c r="G57" s="21"/>
      <c r="H57" s="21"/>
      <c r="I57" s="21"/>
      <c r="J57" s="21"/>
      <c r="K57" s="21"/>
      <c r="L57" s="22"/>
      <c r="M57" s="21"/>
      <c r="N57" s="23"/>
      <c r="O57" s="23"/>
      <c r="P57" s="24"/>
      <c r="Q57" s="24"/>
      <c r="R57" s="24"/>
      <c r="S57" s="25"/>
      <c r="T57" s="25"/>
      <c r="U57" s="26"/>
      <c r="V57" s="26"/>
      <c r="W57" s="27"/>
      <c r="X57" s="27"/>
      <c r="Z57" s="22"/>
      <c r="AA57" s="22"/>
      <c r="AC57">
        <v>43</v>
      </c>
      <c r="AE57" s="43">
        <f t="shared" si="20"/>
        <v>41.95047391357199</v>
      </c>
      <c r="AG57">
        <f t="shared" si="5"/>
        <v>41.95047391357199</v>
      </c>
      <c r="AH57" s="21">
        <f t="shared" si="17"/>
        <v>66.285933521166555</v>
      </c>
      <c r="AI57" s="21">
        <f t="shared" si="17"/>
        <v>63.547205821354865</v>
      </c>
      <c r="AJ57" s="21">
        <f t="shared" si="17"/>
        <v>66.305437596369032</v>
      </c>
      <c r="AK57" s="21">
        <f t="shared" si="17"/>
        <v>65.45520347431308</v>
      </c>
      <c r="AL57" s="21">
        <f t="shared" si="17"/>
        <v>24.054577993140594</v>
      </c>
      <c r="AM57" s="22"/>
      <c r="AN57" s="21">
        <f t="shared" si="18"/>
        <v>23.446131349542132</v>
      </c>
      <c r="AO57" s="23">
        <f t="shared" si="18"/>
        <v>14.039462216434378</v>
      </c>
      <c r="AP57" s="23">
        <f>IF(Settings!$J$6&gt;69, 0.2*(AO57), 0)</f>
        <v>2.8078924432868759</v>
      </c>
      <c r="AQ57" s="24">
        <f t="shared" si="19"/>
        <v>48.255196037120228</v>
      </c>
      <c r="AR57" s="24">
        <f t="shared" si="19"/>
        <v>29.786176827462381</v>
      </c>
      <c r="AS57" s="24">
        <f t="shared" si="19"/>
        <v>49.747697337293026</v>
      </c>
      <c r="AT57" s="25" t="e">
        <f t="shared" si="9"/>
        <v>#VALUE!</v>
      </c>
      <c r="AU57" s="25" t="e">
        <f t="shared" si="10"/>
        <v>#VALUE!</v>
      </c>
      <c r="AV57" s="26" t="e">
        <f t="shared" si="11"/>
        <v>#VALUE!</v>
      </c>
      <c r="AW57" s="26" t="e">
        <f t="shared" si="12"/>
        <v>#VALUE!</v>
      </c>
      <c r="AX57" s="27" t="e">
        <f t="shared" si="13"/>
        <v>#VALUE!</v>
      </c>
      <c r="AY57" s="27" t="e">
        <f t="shared" si="14"/>
        <v>#VALUE!</v>
      </c>
      <c r="BA57" s="22">
        <f t="shared" si="16"/>
        <v>26.969595969792874</v>
      </c>
      <c r="BB57" s="22">
        <f t="shared" si="16"/>
        <v>52.541114481758882</v>
      </c>
    </row>
    <row r="58" spans="1:97" x14ac:dyDescent="0.3">
      <c r="F58">
        <v>44</v>
      </c>
      <c r="G58" s="21"/>
      <c r="H58" s="21"/>
      <c r="I58" s="21"/>
      <c r="J58" s="21"/>
      <c r="K58" s="21"/>
      <c r="L58" s="22"/>
      <c r="M58" s="21"/>
      <c r="N58" s="23"/>
      <c r="O58" s="23"/>
      <c r="P58" s="24"/>
      <c r="Q58" s="24"/>
      <c r="R58" s="24"/>
      <c r="S58" s="25"/>
      <c r="T58" s="25"/>
      <c r="U58" s="26"/>
      <c r="V58" s="26"/>
      <c r="W58" s="27"/>
      <c r="X58" s="27"/>
      <c r="Z58" s="22"/>
      <c r="AA58" s="22"/>
      <c r="AC58">
        <v>44</v>
      </c>
      <c r="AE58" s="43">
        <f t="shared" si="20"/>
        <v>43.317115956604354</v>
      </c>
      <c r="AG58">
        <f t="shared" si="5"/>
        <v>43.317115956604354</v>
      </c>
      <c r="AH58" s="21">
        <f t="shared" si="17"/>
        <v>68.0850652335685</v>
      </c>
      <c r="AI58" s="21">
        <f t="shared" si="17"/>
        <v>65.14546146865348</v>
      </c>
      <c r="AJ58" s="21">
        <f t="shared" si="17"/>
        <v>68.4814112382887</v>
      </c>
      <c r="AK58" s="21">
        <f t="shared" si="17"/>
        <v>67.055248099118202</v>
      </c>
      <c r="AL58" s="21">
        <f t="shared" si="17"/>
        <v>24.554739518153323</v>
      </c>
      <c r="AM58" s="22"/>
      <c r="AN58" s="21">
        <f t="shared" si="18"/>
        <v>24.189723153242308</v>
      </c>
      <c r="AO58" s="23">
        <f t="shared" si="18"/>
        <v>14.467647828400979</v>
      </c>
      <c r="AP58" s="23">
        <f>IF(Settings!$J$6&gt;69, 0.2*(AO58), 0)</f>
        <v>2.893529565680196</v>
      </c>
      <c r="AQ58" s="24">
        <f t="shared" si="19"/>
        <v>49.265324780008562</v>
      </c>
      <c r="AR58" s="24">
        <f t="shared" si="19"/>
        <v>30.34549820231106</v>
      </c>
      <c r="AS58" s="24">
        <f t="shared" si="19"/>
        <v>50.293041679828463</v>
      </c>
      <c r="AT58" s="25" t="e">
        <f t="shared" si="9"/>
        <v>#VALUE!</v>
      </c>
      <c r="AU58" s="25" t="e">
        <f t="shared" si="10"/>
        <v>#VALUE!</v>
      </c>
      <c r="AV58" s="26" t="e">
        <f t="shared" si="11"/>
        <v>#VALUE!</v>
      </c>
      <c r="AW58" s="26" t="e">
        <f t="shared" si="12"/>
        <v>#VALUE!</v>
      </c>
      <c r="AX58" s="27" t="e">
        <f t="shared" si="13"/>
        <v>#VALUE!</v>
      </c>
      <c r="AY58" s="27" t="e">
        <f t="shared" si="14"/>
        <v>#VALUE!</v>
      </c>
      <c r="BA58" s="22">
        <f t="shared" si="16"/>
        <v>27.273507234358597</v>
      </c>
      <c r="BB58" s="22">
        <f t="shared" si="16"/>
        <v>53.030915279286056</v>
      </c>
    </row>
    <row r="59" spans="1:97" x14ac:dyDescent="0.3">
      <c r="F59">
        <v>45</v>
      </c>
      <c r="G59" s="21"/>
      <c r="H59" s="21"/>
      <c r="I59" s="21"/>
      <c r="J59" s="21"/>
      <c r="K59" s="21"/>
      <c r="L59" s="22"/>
      <c r="M59" s="21"/>
      <c r="N59" s="23"/>
      <c r="O59" s="23"/>
      <c r="P59" s="24"/>
      <c r="Q59" s="24"/>
      <c r="R59" s="24"/>
      <c r="S59" s="25"/>
      <c r="T59" s="25"/>
      <c r="U59" s="26"/>
      <c r="V59" s="26"/>
      <c r="W59" s="27"/>
      <c r="X59" s="27"/>
      <c r="Z59" s="22"/>
      <c r="AA59" s="22"/>
      <c r="AC59">
        <v>45</v>
      </c>
      <c r="AE59" s="43">
        <f t="shared" si="20"/>
        <v>44.576416783406593</v>
      </c>
      <c r="AG59">
        <f t="shared" si="5"/>
        <v>44.576416783406593</v>
      </c>
      <c r="AH59" s="21">
        <f t="shared" si="17"/>
        <v>69.636861501919313</v>
      </c>
      <c r="AI59" s="21">
        <f t="shared" si="17"/>
        <v>66.575689256862603</v>
      </c>
      <c r="AJ59" s="21">
        <f t="shared" si="17"/>
        <v>70.411128680931384</v>
      </c>
      <c r="AK59" s="21">
        <f t="shared" si="17"/>
        <v>68.484696866461974</v>
      </c>
      <c r="AL59" s="21">
        <f t="shared" si="17"/>
        <v>24.981289973405634</v>
      </c>
      <c r="AM59" s="22"/>
      <c r="AN59" s="21">
        <f t="shared" si="18"/>
        <v>24.857693547283507</v>
      </c>
      <c r="AO59" s="23">
        <f t="shared" si="18"/>
        <v>14.854430965983687</v>
      </c>
      <c r="AP59" s="23">
        <f>IF(Settings!$J$6&gt;69, 0.2*(AO59), 0)</f>
        <v>2.9708861931967374</v>
      </c>
      <c r="AQ59" s="24">
        <f t="shared" si="19"/>
        <v>50.164522704155125</v>
      </c>
      <c r="AR59" s="24">
        <f t="shared" si="19"/>
        <v>30.835554150123347</v>
      </c>
      <c r="AS59" s="24">
        <f t="shared" si="19"/>
        <v>50.746782014855299</v>
      </c>
      <c r="AT59" s="25" t="e">
        <f t="shared" si="9"/>
        <v>#VALUE!</v>
      </c>
      <c r="AU59" s="25" t="e">
        <f t="shared" si="10"/>
        <v>#VALUE!</v>
      </c>
      <c r="AV59" s="26" t="e">
        <f t="shared" si="11"/>
        <v>#VALUE!</v>
      </c>
      <c r="AW59" s="26" t="e">
        <f t="shared" si="12"/>
        <v>#VALUE!</v>
      </c>
      <c r="AX59" s="27" t="e">
        <f t="shared" si="13"/>
        <v>#VALUE!</v>
      </c>
      <c r="AY59" s="27" t="e">
        <f t="shared" si="14"/>
        <v>#VALUE!</v>
      </c>
      <c r="BA59" s="22">
        <f t="shared" si="16"/>
        <v>27.527332096457815</v>
      </c>
      <c r="BB59" s="22">
        <f t="shared" si="16"/>
        <v>53.453721972332758</v>
      </c>
    </row>
    <row r="60" spans="1:97" x14ac:dyDescent="0.3">
      <c r="F60">
        <v>46</v>
      </c>
      <c r="G60" s="21"/>
      <c r="H60" s="21"/>
      <c r="I60" s="21"/>
      <c r="J60" s="21"/>
      <c r="K60" s="21"/>
      <c r="L60" s="22"/>
      <c r="M60" s="21"/>
      <c r="N60" s="23"/>
      <c r="O60" s="23"/>
      <c r="P60" s="24"/>
      <c r="Q60" s="24"/>
      <c r="R60" s="24"/>
      <c r="S60" s="25"/>
      <c r="T60" s="25"/>
      <c r="U60" s="26"/>
      <c r="V60" s="26"/>
      <c r="W60" s="27"/>
      <c r="X60" s="27"/>
      <c r="Z60" s="22"/>
      <c r="AA60" s="22"/>
      <c r="AC60">
        <v>46</v>
      </c>
      <c r="AE60" s="43">
        <f t="shared" si="20"/>
        <v>45.736807377615186</v>
      </c>
      <c r="AG60">
        <f t="shared" si="5"/>
        <v>45.736807377615186</v>
      </c>
      <c r="AH60" s="21">
        <f t="shared" si="17"/>
        <v>70.980312468755159</v>
      </c>
      <c r="AI60" s="21">
        <f t="shared" si="17"/>
        <v>67.858052797308915</v>
      </c>
      <c r="AJ60" s="21">
        <f t="shared" si="17"/>
        <v>72.125612248998834</v>
      </c>
      <c r="AK60" s="21">
        <f t="shared" si="17"/>
        <v>69.764403241418833</v>
      </c>
      <c r="AL60" s="21">
        <f t="shared" si="17"/>
        <v>25.346860374055844</v>
      </c>
      <c r="AM60" s="22"/>
      <c r="AN60" s="21">
        <f t="shared" si="18"/>
        <v>25.458522077071478</v>
      </c>
      <c r="AO60" s="23">
        <f t="shared" si="18"/>
        <v>15.204208453287581</v>
      </c>
      <c r="AP60" s="23">
        <f>IF(Settings!$J$6&gt;69, 0.2*(AO60), 0)</f>
        <v>3.0408416906575164</v>
      </c>
      <c r="AQ60" s="24">
        <f t="shared" si="19"/>
        <v>50.966980167164628</v>
      </c>
      <c r="AR60" s="24">
        <f t="shared" si="19"/>
        <v>31.2664484408878</v>
      </c>
      <c r="AS60" s="24">
        <f t="shared" si="19"/>
        <v>51.127102172350433</v>
      </c>
      <c r="AT60" s="25" t="e">
        <f t="shared" si="9"/>
        <v>#VALUE!</v>
      </c>
      <c r="AU60" s="25" t="e">
        <f t="shared" si="10"/>
        <v>#VALUE!</v>
      </c>
      <c r="AV60" s="26" t="e">
        <f t="shared" si="11"/>
        <v>#VALUE!</v>
      </c>
      <c r="AW60" s="26" t="e">
        <f t="shared" si="12"/>
        <v>#VALUE!</v>
      </c>
      <c r="AX60" s="27" t="e">
        <f t="shared" si="13"/>
        <v>#VALUE!</v>
      </c>
      <c r="AY60" s="27" t="e">
        <f t="shared" si="14"/>
        <v>#VALUE!</v>
      </c>
      <c r="BA60" s="22">
        <f t="shared" si="16"/>
        <v>27.740836044533108</v>
      </c>
      <c r="BB60" s="22">
        <f t="shared" si="16"/>
        <v>53.820574935209308</v>
      </c>
    </row>
    <row r="61" spans="1:97" x14ac:dyDescent="0.3">
      <c r="F61">
        <v>47</v>
      </c>
      <c r="G61" s="21"/>
      <c r="H61" s="21"/>
      <c r="I61" s="21"/>
      <c r="J61" s="21"/>
      <c r="K61" s="21"/>
      <c r="L61" s="22"/>
      <c r="M61" s="21"/>
      <c r="N61" s="23"/>
      <c r="O61" s="23"/>
      <c r="P61" s="24"/>
      <c r="Q61" s="24"/>
      <c r="R61" s="24"/>
      <c r="S61" s="25"/>
      <c r="T61" s="25"/>
      <c r="U61" s="26"/>
      <c r="V61" s="26"/>
      <c r="W61" s="27"/>
      <c r="X61" s="27"/>
      <c r="Z61" s="22"/>
      <c r="AA61" s="22"/>
      <c r="AC61">
        <v>47</v>
      </c>
      <c r="AE61" s="43">
        <f t="shared" si="20"/>
        <v>46.806056521639796</v>
      </c>
      <c r="AG61">
        <f t="shared" si="5"/>
        <v>46.806056521639796</v>
      </c>
      <c r="AH61" s="21">
        <f t="shared" si="17"/>
        <v>72.147766801001779</v>
      </c>
      <c r="AI61" s="21">
        <f t="shared" si="17"/>
        <v>69.009988406371818</v>
      </c>
      <c r="AJ61" s="21">
        <f t="shared" si="17"/>
        <v>73.651827883173652</v>
      </c>
      <c r="AK61" s="21">
        <f t="shared" si="17"/>
        <v>70.912336410139076</v>
      </c>
      <c r="AL61" s="21">
        <f t="shared" si="17"/>
        <v>25.661676688907466</v>
      </c>
      <c r="AM61" s="22"/>
      <c r="AN61" s="21">
        <f t="shared" si="18"/>
        <v>25.999687501557606</v>
      </c>
      <c r="AO61" s="23">
        <f t="shared" si="18"/>
        <v>15.520876743176744</v>
      </c>
      <c r="AP61" s="23">
        <f>IF(Settings!$J$6&gt;69, 0.2*(AO61), 0)</f>
        <v>3.1041753486353492</v>
      </c>
      <c r="AQ61" s="24">
        <f t="shared" si="19"/>
        <v>51.684790329572728</v>
      </c>
      <c r="AR61" s="24">
        <f t="shared" si="19"/>
        <v>31.646596702775817</v>
      </c>
      <c r="AS61" s="24">
        <f t="shared" si="19"/>
        <v>51.448106360010669</v>
      </c>
      <c r="AT61" s="25" t="e">
        <f t="shared" si="9"/>
        <v>#VALUE!</v>
      </c>
      <c r="AU61" s="25" t="e">
        <f t="shared" si="10"/>
        <v>#VALUE!</v>
      </c>
      <c r="AV61" s="26" t="e">
        <f t="shared" si="11"/>
        <v>#VALUE!</v>
      </c>
      <c r="AW61" s="26" t="e">
        <f t="shared" si="12"/>
        <v>#VALUE!</v>
      </c>
      <c r="AX61" s="27" t="e">
        <f t="shared" si="13"/>
        <v>#VALUE!</v>
      </c>
      <c r="AY61" s="27" t="e">
        <f t="shared" si="14"/>
        <v>#VALUE!</v>
      </c>
      <c r="BA61" s="22">
        <f t="shared" si="16"/>
        <v>27.921629572350444</v>
      </c>
      <c r="BB61" s="22">
        <f t="shared" si="16"/>
        <v>54.140387043102656</v>
      </c>
    </row>
    <row r="62" spans="1:97" x14ac:dyDescent="0.3">
      <c r="F62">
        <v>48</v>
      </c>
      <c r="G62" s="21"/>
      <c r="H62" s="21"/>
      <c r="I62" s="21"/>
      <c r="J62" s="21"/>
      <c r="K62" s="21"/>
      <c r="L62" s="22"/>
      <c r="M62" s="21"/>
      <c r="N62" s="23"/>
      <c r="O62" s="23"/>
      <c r="P62" s="24"/>
      <c r="Q62" s="24"/>
      <c r="R62" s="24"/>
      <c r="S62" s="25"/>
      <c r="T62" s="25"/>
      <c r="U62" s="26"/>
      <c r="V62" s="26"/>
      <c r="W62" s="27"/>
      <c r="X62" s="27"/>
      <c r="Z62" s="22"/>
      <c r="AA62" s="22"/>
      <c r="AC62">
        <v>48</v>
      </c>
      <c r="AE62" s="43">
        <f t="shared" si="20"/>
        <v>47.791322808443105</v>
      </c>
      <c r="AG62">
        <f t="shared" si="5"/>
        <v>47.791322808443105</v>
      </c>
      <c r="AH62" s="21">
        <f t="shared" si="17"/>
        <v>73.1660500558622</v>
      </c>
      <c r="AI62" s="21">
        <f t="shared" si="17"/>
        <v>70.046601040863806</v>
      </c>
      <c r="AJ62" s="21">
        <f t="shared" si="17"/>
        <v>75.013138173419648</v>
      </c>
      <c r="AK62" s="21">
        <f t="shared" si="17"/>
        <v>71.94401204064927</v>
      </c>
      <c r="AL62" s="21">
        <f t="shared" si="17"/>
        <v>25.934041134712682</v>
      </c>
      <c r="AM62" s="22"/>
      <c r="AN62" s="21">
        <f t="shared" si="18"/>
        <v>26.487773746804294</v>
      </c>
      <c r="AO62" s="23">
        <f t="shared" si="18"/>
        <v>15.80788670986561</v>
      </c>
      <c r="AP62" s="23">
        <f>IF(Settings!$J$6&gt;69, 0.2*(AO62), 0)</f>
        <v>3.1615773419731221</v>
      </c>
      <c r="AQ62" s="24">
        <f t="shared" si="19"/>
        <v>52.32829544232122</v>
      </c>
      <c r="AR62" s="24">
        <f t="shared" si="19"/>
        <v>31.983036098924657</v>
      </c>
      <c r="AS62" s="24">
        <f t="shared" si="19"/>
        <v>51.720817595613859</v>
      </c>
      <c r="AT62" s="25" t="e">
        <f t="shared" si="9"/>
        <v>#VALUE!</v>
      </c>
      <c r="AU62" s="25" t="e">
        <f t="shared" si="10"/>
        <v>#VALUE!</v>
      </c>
      <c r="AV62" s="26" t="e">
        <f t="shared" si="11"/>
        <v>#VALUE!</v>
      </c>
      <c r="AW62" s="26" t="e">
        <f t="shared" si="12"/>
        <v>#VALUE!</v>
      </c>
      <c r="AX62" s="27" t="e">
        <f t="shared" si="13"/>
        <v>#VALUE!</v>
      </c>
      <c r="AY62" s="27" t="e">
        <f t="shared" si="14"/>
        <v>#VALUE!</v>
      </c>
      <c r="BA62" s="22">
        <f t="shared" si="16"/>
        <v>28.075687403940577</v>
      </c>
      <c r="BB62" s="22">
        <f t="shared" si="16"/>
        <v>54.420407089398793</v>
      </c>
    </row>
    <row r="63" spans="1:97" x14ac:dyDescent="0.3">
      <c r="F63">
        <v>49</v>
      </c>
      <c r="G63" s="21"/>
      <c r="H63" s="21"/>
      <c r="I63" s="21"/>
      <c r="J63" s="21"/>
      <c r="K63" s="21"/>
      <c r="L63" s="22"/>
      <c r="M63" s="21"/>
      <c r="N63" s="23"/>
      <c r="O63" s="23"/>
      <c r="P63" s="24"/>
      <c r="Q63" s="24"/>
      <c r="R63" s="24"/>
      <c r="S63" s="25"/>
      <c r="T63" s="25"/>
      <c r="U63" s="26"/>
      <c r="V63" s="26"/>
      <c r="W63" s="27"/>
      <c r="X63" s="27"/>
      <c r="Z63" s="22"/>
      <c r="AA63" s="22"/>
      <c r="AC63">
        <v>49</v>
      </c>
      <c r="AE63" s="43">
        <f t="shared" si="20"/>
        <v>48.699202568119411</v>
      </c>
      <c r="AG63">
        <f t="shared" si="5"/>
        <v>48.699202568119411</v>
      </c>
      <c r="AH63" s="21">
        <f t="shared" si="17"/>
        <v>74.057431716192852</v>
      </c>
      <c r="AI63" s="21">
        <f t="shared" si="17"/>
        <v>70.9810040254049</v>
      </c>
      <c r="AJ63" s="21">
        <f t="shared" si="17"/>
        <v>76.229753405405688</v>
      </c>
      <c r="AK63" s="21">
        <f t="shared" si="17"/>
        <v>72.87285905125907</v>
      </c>
      <c r="AL63" s="21">
        <f t="shared" si="17"/>
        <v>26.170719013365424</v>
      </c>
      <c r="AM63" s="22"/>
      <c r="AN63" s="21">
        <f t="shared" si="18"/>
        <v>26.928572980161213</v>
      </c>
      <c r="AO63" s="23">
        <f t="shared" si="18"/>
        <v>16.068294950117455</v>
      </c>
      <c r="AP63" s="23">
        <f>IF(Settings!$J$6&gt;69, 0.2*(AO63), 0)</f>
        <v>3.2136589900234913</v>
      </c>
      <c r="AQ63" s="24">
        <f t="shared" si="19"/>
        <v>52.906371952027762</v>
      </c>
      <c r="AR63" s="24">
        <f t="shared" si="19"/>
        <v>32.281675381738552</v>
      </c>
      <c r="AS63" s="24">
        <f t="shared" si="19"/>
        <v>51.953916631551579</v>
      </c>
      <c r="AT63" s="25" t="e">
        <f t="shared" si="9"/>
        <v>#VALUE!</v>
      </c>
      <c r="AU63" s="25" t="e">
        <f t="shared" si="10"/>
        <v>#VALUE!</v>
      </c>
      <c r="AV63" s="26" t="e">
        <f t="shared" si="11"/>
        <v>#VALUE!</v>
      </c>
      <c r="AW63" s="26" t="e">
        <f t="shared" si="12"/>
        <v>#VALUE!</v>
      </c>
      <c r="AX63" s="27" t="e">
        <f t="shared" si="13"/>
        <v>#VALUE!</v>
      </c>
      <c r="AY63" s="27" t="e">
        <f t="shared" si="14"/>
        <v>#VALUE!</v>
      </c>
      <c r="BA63" s="22">
        <f t="shared" si="16"/>
        <v>28.207734816508154</v>
      </c>
      <c r="BB63" s="22">
        <f t="shared" si="16"/>
        <v>54.666571940412688</v>
      </c>
    </row>
    <row r="64" spans="1:97" x14ac:dyDescent="0.3">
      <c r="F64">
        <v>50</v>
      </c>
      <c r="G64" s="21"/>
      <c r="H64" s="21"/>
      <c r="I64" s="21"/>
      <c r="J64" s="21"/>
      <c r="K64" s="21"/>
      <c r="L64" s="22"/>
      <c r="M64" s="21"/>
      <c r="N64" s="23"/>
      <c r="O64" s="23"/>
      <c r="P64" s="24"/>
      <c r="Q64" s="24"/>
      <c r="R64" s="24"/>
      <c r="S64" s="25"/>
      <c r="T64" s="25"/>
      <c r="U64" s="26"/>
      <c r="V64" s="26"/>
      <c r="W64" s="27"/>
      <c r="X64" s="27"/>
      <c r="Z64" s="22"/>
      <c r="AA64" s="22"/>
      <c r="AC64">
        <v>50</v>
      </c>
      <c r="AE64" s="43">
        <f t="shared" si="20"/>
        <v>49.535774030139265</v>
      </c>
      <c r="AG64">
        <f t="shared" si="5"/>
        <v>49.535774030139265</v>
      </c>
      <c r="AH64" s="21">
        <f t="shared" si="17"/>
        <v>74.840438465344121</v>
      </c>
      <c r="AI64" s="21">
        <f t="shared" si="17"/>
        <v>71.824608559048343</v>
      </c>
      <c r="AJ64" s="21">
        <f t="shared" si="17"/>
        <v>77.319152489861651</v>
      </c>
      <c r="AK64" s="21">
        <f t="shared" si="17"/>
        <v>73.710530123601345</v>
      </c>
      <c r="AL64" s="21">
        <f t="shared" si="17"/>
        <v>26.377246692327923</v>
      </c>
      <c r="AM64" s="22"/>
      <c r="AN64" s="21">
        <f t="shared" si="18"/>
        <v>27.327181468240592</v>
      </c>
      <c r="AO64" s="23">
        <f t="shared" si="18"/>
        <v>16.304810540298863</v>
      </c>
      <c r="AP64" s="23">
        <f>IF(Settings!$J$6&gt;69, 0.2*(AO64), 0)</f>
        <v>3.2609621080597728</v>
      </c>
      <c r="AQ64" s="24">
        <f t="shared" si="19"/>
        <v>53.426665405519252</v>
      </c>
      <c r="AR64" s="24">
        <f t="shared" si="19"/>
        <v>32.547496703789534</v>
      </c>
      <c r="AS64" s="24">
        <f t="shared" si="19"/>
        <v>52.154291320807175</v>
      </c>
      <c r="AT64" s="25" t="e">
        <f t="shared" si="9"/>
        <v>#VALUE!</v>
      </c>
      <c r="AU64" s="25" t="e">
        <f t="shared" si="10"/>
        <v>#VALUE!</v>
      </c>
      <c r="AV64" s="26" t="e">
        <f t="shared" si="11"/>
        <v>#VALUE!</v>
      </c>
      <c r="AW64" s="26" t="e">
        <f t="shared" si="12"/>
        <v>#VALUE!</v>
      </c>
      <c r="AX64" s="27" t="e">
        <f t="shared" si="13"/>
        <v>#VALUE!</v>
      </c>
      <c r="AY64" s="27" t="e">
        <f t="shared" si="14"/>
        <v>#VALUE!</v>
      </c>
      <c r="BA64" s="22">
        <f t="shared" si="16"/>
        <v>28.321536326269705</v>
      </c>
      <c r="BB64" s="22">
        <f t="shared" si="16"/>
        <v>54.883776378806886</v>
      </c>
    </row>
    <row r="65" spans="6:54" x14ac:dyDescent="0.3">
      <c r="F65">
        <v>51</v>
      </c>
      <c r="G65" s="21"/>
      <c r="H65" s="21"/>
      <c r="I65" s="21"/>
      <c r="J65" s="21"/>
      <c r="K65" s="21"/>
      <c r="L65" s="22"/>
      <c r="M65" s="21"/>
      <c r="N65" s="23"/>
      <c r="O65" s="23"/>
      <c r="P65" s="24"/>
      <c r="Q65" s="24"/>
      <c r="R65" s="24"/>
      <c r="S65" s="25"/>
      <c r="T65" s="25"/>
      <c r="U65" s="26"/>
      <c r="V65" s="26"/>
      <c r="W65" s="27"/>
      <c r="X65" s="27"/>
      <c r="Z65" s="22"/>
      <c r="AA65" s="22"/>
      <c r="AC65">
        <v>51</v>
      </c>
      <c r="AE65" s="43">
        <f t="shared" si="20"/>
        <v>50.306638016924872</v>
      </c>
      <c r="AG65">
        <f t="shared" si="5"/>
        <v>50.306638016924872</v>
      </c>
      <c r="AH65" s="21">
        <f t="shared" si="17"/>
        <v>75.530527078795942</v>
      </c>
      <c r="AI65" s="21">
        <f t="shared" si="17"/>
        <v>72.587369454898905</v>
      </c>
      <c r="AJ65" s="21">
        <f t="shared" si="17"/>
        <v>78.296461631894772</v>
      </c>
      <c r="AK65" s="21">
        <f t="shared" si="17"/>
        <v>74.467163778257287</v>
      </c>
      <c r="AL65" s="21">
        <f t="shared" si="17"/>
        <v>26.558175661033815</v>
      </c>
      <c r="AM65" s="22"/>
      <c r="AN65" s="21">
        <f t="shared" si="18"/>
        <v>27.688086346120105</v>
      </c>
      <c r="AO65" s="23">
        <f t="shared" si="18"/>
        <v>16.51983693476679</v>
      </c>
      <c r="AP65" s="23">
        <f>IF(Settings!$J$6&gt;69, 0.2*(AO65), 0)</f>
        <v>3.3039673869533583</v>
      </c>
      <c r="AQ65" s="24">
        <f t="shared" si="19"/>
        <v>53.895784308076152</v>
      </c>
      <c r="AR65" s="24">
        <f t="shared" si="19"/>
        <v>32.784718653174828</v>
      </c>
      <c r="AS65" s="24">
        <f t="shared" si="19"/>
        <v>52.327447347457039</v>
      </c>
      <c r="AT65" s="25" t="e">
        <f t="shared" si="9"/>
        <v>#VALUE!</v>
      </c>
      <c r="AU65" s="25" t="e">
        <f t="shared" si="10"/>
        <v>#VALUE!</v>
      </c>
      <c r="AV65" s="26" t="e">
        <f t="shared" si="11"/>
        <v>#VALUE!</v>
      </c>
      <c r="AW65" s="26" t="e">
        <f t="shared" si="12"/>
        <v>#VALUE!</v>
      </c>
      <c r="AX65" s="27" t="e">
        <f t="shared" si="13"/>
        <v>#VALUE!</v>
      </c>
      <c r="AY65" s="27" t="e">
        <f t="shared" si="14"/>
        <v>#VALUE!</v>
      </c>
      <c r="BA65" s="22">
        <f t="shared" si="16"/>
        <v>28.420112574263115</v>
      </c>
      <c r="BB65" s="22">
        <f t="shared" si="16"/>
        <v>55.076081518810433</v>
      </c>
    </row>
    <row r="66" spans="6:54" x14ac:dyDescent="0.3">
      <c r="F66">
        <v>52</v>
      </c>
      <c r="G66" s="21"/>
      <c r="H66" s="21"/>
      <c r="I66" s="21"/>
      <c r="J66" s="21"/>
      <c r="K66" s="21"/>
      <c r="L66" s="22"/>
      <c r="M66" s="21"/>
      <c r="N66" s="23"/>
      <c r="O66" s="23"/>
      <c r="P66" s="24"/>
      <c r="Q66" s="24"/>
      <c r="R66" s="24"/>
      <c r="S66" s="25"/>
      <c r="T66" s="25"/>
      <c r="U66" s="26"/>
      <c r="V66" s="26"/>
      <c r="W66" s="27"/>
      <c r="X66" s="27"/>
      <c r="Z66" s="22"/>
      <c r="AA66" s="22"/>
      <c r="AC66">
        <v>52</v>
      </c>
      <c r="AE66" s="43">
        <f t="shared" si="20"/>
        <v>51.016955441198782</v>
      </c>
      <c r="AG66">
        <f t="shared" si="5"/>
        <v>51.016955441198782</v>
      </c>
      <c r="AH66" s="21">
        <f t="shared" si="17"/>
        <v>76.140635870464365</v>
      </c>
      <c r="AI66" s="21">
        <f t="shared" si="17"/>
        <v>73.277993315618062</v>
      </c>
      <c r="AJ66" s="21">
        <f t="shared" si="17"/>
        <v>79.174787434722901</v>
      </c>
      <c r="AK66" s="21">
        <f t="shared" si="17"/>
        <v>75.15160527246411</v>
      </c>
      <c r="AL66" s="21">
        <f t="shared" si="17"/>
        <v>26.717265624302527</v>
      </c>
      <c r="AM66" s="22"/>
      <c r="AN66" s="21">
        <f t="shared" si="18"/>
        <v>28.015242826012283</v>
      </c>
      <c r="AO66" s="23">
        <f t="shared" si="18"/>
        <v>16.715509099458234</v>
      </c>
      <c r="AP66" s="23">
        <f>IF(Settings!$J$6&gt;69, 0.2*(AO66), 0)</f>
        <v>3.3431018198916469</v>
      </c>
      <c r="AQ66" s="24">
        <f t="shared" si="19"/>
        <v>54.319460465267696</v>
      </c>
      <c r="AR66" s="24">
        <f t="shared" si="19"/>
        <v>32.996928223880275</v>
      </c>
      <c r="AS66" s="24">
        <f t="shared" si="19"/>
        <v>52.477817224235316</v>
      </c>
      <c r="AT66" s="25" t="e">
        <f t="shared" si="9"/>
        <v>#VALUE!</v>
      </c>
      <c r="AU66" s="25" t="e">
        <f t="shared" si="10"/>
        <v>#VALUE!</v>
      </c>
      <c r="AV66" s="26" t="e">
        <f t="shared" si="11"/>
        <v>#VALUE!</v>
      </c>
      <c r="AW66" s="26" t="e">
        <f t="shared" si="12"/>
        <v>#VALUE!</v>
      </c>
      <c r="AX66" s="27" t="e">
        <f t="shared" si="13"/>
        <v>#VALUE!</v>
      </c>
      <c r="AY66" s="27" t="e">
        <f t="shared" si="14"/>
        <v>#VALUE!</v>
      </c>
      <c r="BA66" s="22">
        <f t="shared" si="16"/>
        <v>28.505904248504848</v>
      </c>
      <c r="BB66" s="22">
        <f t="shared" si="16"/>
        <v>55.246876994748298</v>
      </c>
    </row>
    <row r="67" spans="6:54" x14ac:dyDescent="0.3">
      <c r="F67">
        <v>53</v>
      </c>
      <c r="G67" s="21"/>
      <c r="H67" s="21"/>
      <c r="I67" s="21"/>
      <c r="J67" s="21"/>
      <c r="K67" s="21"/>
      <c r="L67" s="22"/>
      <c r="M67" s="21"/>
      <c r="N67" s="23"/>
      <c r="O67" s="23"/>
      <c r="P67" s="24"/>
      <c r="Q67" s="24"/>
      <c r="R67" s="24"/>
      <c r="S67" s="25"/>
      <c r="T67" s="25"/>
      <c r="U67" s="26"/>
      <c r="V67" s="26"/>
      <c r="W67" s="27"/>
      <c r="X67" s="27"/>
      <c r="Z67" s="22"/>
      <c r="AA67" s="22"/>
      <c r="AC67">
        <v>53</v>
      </c>
      <c r="AE67" s="43">
        <f t="shared" si="20"/>
        <v>51.671481858149477</v>
      </c>
      <c r="AG67">
        <f t="shared" si="5"/>
        <v>51.671481858149477</v>
      </c>
      <c r="AH67" s="21">
        <f t="shared" si="17"/>
        <v>76.68163422346116</v>
      </c>
      <c r="AI67" s="21">
        <f t="shared" si="17"/>
        <v>73.904114774604679</v>
      </c>
      <c r="AJ67" s="21">
        <f t="shared" si="17"/>
        <v>79.965505790395284</v>
      </c>
      <c r="AK67" s="21">
        <f t="shared" si="17"/>
        <v>75.771592765189141</v>
      </c>
      <c r="AL67" s="21">
        <f t="shared" si="17"/>
        <v>26.857637341788518</v>
      </c>
      <c r="AM67" s="22"/>
      <c r="AN67" s="21">
        <f t="shared" si="18"/>
        <v>28.312142137835707</v>
      </c>
      <c r="AO67" s="23">
        <f t="shared" si="18"/>
        <v>16.893726186670857</v>
      </c>
      <c r="AP67" s="23">
        <f>IF(Settings!$J$6&gt;69, 0.2*(AO67), 0)</f>
        <v>3.3787452373341718</v>
      </c>
      <c r="AQ67" s="24">
        <f t="shared" si="19"/>
        <v>54.702681954023546</v>
      </c>
      <c r="AR67" s="24">
        <f t="shared" si="19"/>
        <v>33.187187923051837</v>
      </c>
      <c r="AS67" s="24">
        <f t="shared" si="19"/>
        <v>52.608994286564652</v>
      </c>
      <c r="AT67" s="25" t="e">
        <f t="shared" si="9"/>
        <v>#VALUE!</v>
      </c>
      <c r="AU67" s="25" t="e">
        <f t="shared" si="10"/>
        <v>#VALUE!</v>
      </c>
      <c r="AV67" s="26" t="e">
        <f t="shared" si="11"/>
        <v>#VALUE!</v>
      </c>
      <c r="AW67" s="26" t="e">
        <f t="shared" si="12"/>
        <v>#VALUE!</v>
      </c>
      <c r="AX67" s="27" t="e">
        <f t="shared" si="13"/>
        <v>#VALUE!</v>
      </c>
      <c r="AY67" s="27" t="e">
        <f t="shared" si="14"/>
        <v>#VALUE!</v>
      </c>
      <c r="BA67" s="22">
        <f t="shared" si="16"/>
        <v>28.580896763945709</v>
      </c>
      <c r="BB67" s="22">
        <f t="shared" si="16"/>
        <v>55.399008085335993</v>
      </c>
    </row>
    <row r="68" spans="6:54" x14ac:dyDescent="0.3">
      <c r="F68">
        <v>54</v>
      </c>
      <c r="G68" s="21"/>
      <c r="H68" s="21"/>
      <c r="I68" s="21"/>
      <c r="J68" s="21"/>
      <c r="K68" s="21"/>
      <c r="L68" s="22"/>
      <c r="M68" s="21"/>
      <c r="N68" s="23"/>
      <c r="O68" s="23"/>
      <c r="P68" s="24"/>
      <c r="Q68" s="24"/>
      <c r="R68" s="24"/>
      <c r="S68" s="25"/>
      <c r="T68" s="25"/>
      <c r="U68" s="26"/>
      <c r="V68" s="26"/>
      <c r="W68" s="27"/>
      <c r="X68" s="27"/>
      <c r="Z68" s="22"/>
      <c r="AA68" s="22"/>
      <c r="AC68">
        <v>54</v>
      </c>
      <c r="AE68" s="43">
        <f t="shared" si="20"/>
        <v>52.274599303739727</v>
      </c>
      <c r="AG68">
        <f t="shared" si="5"/>
        <v>52.274599303739727</v>
      </c>
      <c r="AH68" s="21">
        <f t="shared" si="17"/>
        <v>77.162688123866204</v>
      </c>
      <c r="AI68" s="21">
        <f t="shared" si="17"/>
        <v>74.472445748252909</v>
      </c>
      <c r="AJ68" s="21">
        <f t="shared" si="17"/>
        <v>80.678510158131004</v>
      </c>
      <c r="AK68" s="21">
        <f t="shared" si="17"/>
        <v>76.333914323457023</v>
      </c>
      <c r="AL68" s="21">
        <f t="shared" si="17"/>
        <v>26.981893822879556</v>
      </c>
      <c r="AM68" s="22"/>
      <c r="AN68" s="21">
        <f t="shared" si="18"/>
        <v>28.581870880261711</v>
      </c>
      <c r="AO68" s="23">
        <f t="shared" si="18"/>
        <v>17.056180153489738</v>
      </c>
      <c r="AP68" s="23">
        <f>IF(Settings!$J$6&gt;69, 0.2*(AO68), 0)</f>
        <v>3.4112360306979479</v>
      </c>
      <c r="AQ68" s="24">
        <f t="shared" si="19"/>
        <v>55.049803717454893</v>
      </c>
      <c r="AR68" s="24">
        <f t="shared" si="19"/>
        <v>33.35812296864907</v>
      </c>
      <c r="AS68" s="24">
        <f t="shared" si="19"/>
        <v>52.72391108412836</v>
      </c>
      <c r="AT68" s="25" t="e">
        <f t="shared" si="9"/>
        <v>#VALUE!</v>
      </c>
      <c r="AU68" s="25" t="e">
        <f t="shared" si="10"/>
        <v>#VALUE!</v>
      </c>
      <c r="AV68" s="26" t="e">
        <f t="shared" si="11"/>
        <v>#VALUE!</v>
      </c>
      <c r="AW68" s="26" t="e">
        <f t="shared" si="12"/>
        <v>#VALUE!</v>
      </c>
      <c r="AX68" s="27" t="e">
        <f t="shared" si="13"/>
        <v>#VALUE!</v>
      </c>
      <c r="AY68" s="27" t="e">
        <f t="shared" si="14"/>
        <v>#VALUE!</v>
      </c>
      <c r="BA68" s="22">
        <f t="shared" si="16"/>
        <v>28.646715713431767</v>
      </c>
      <c r="BB68" s="22">
        <f t="shared" si="16"/>
        <v>55.534876038726715</v>
      </c>
    </row>
    <row r="69" spans="6:54" x14ac:dyDescent="0.3">
      <c r="F69">
        <v>55</v>
      </c>
      <c r="G69" s="21"/>
      <c r="H69" s="21"/>
      <c r="I69" s="21"/>
      <c r="J69" s="21"/>
      <c r="K69" s="21"/>
      <c r="L69" s="22"/>
      <c r="M69" s="21"/>
      <c r="N69" s="23"/>
      <c r="O69" s="23"/>
      <c r="P69" s="24"/>
      <c r="Q69" s="24"/>
      <c r="R69" s="24"/>
      <c r="S69" s="25"/>
      <c r="T69" s="25"/>
      <c r="U69" s="26"/>
      <c r="V69" s="26"/>
      <c r="W69" s="27"/>
      <c r="X69" s="27"/>
      <c r="Z69" s="22"/>
      <c r="AA69" s="22"/>
      <c r="AC69">
        <v>55</v>
      </c>
      <c r="AE69" s="43">
        <f t="shared" si="20"/>
        <v>52.830345632314121</v>
      </c>
      <c r="AG69">
        <f t="shared" si="5"/>
        <v>52.830345632314121</v>
      </c>
      <c r="AH69" s="21">
        <f t="shared" si="17"/>
        <v>77.591557210422181</v>
      </c>
      <c r="AI69" s="21">
        <f t="shared" si="17"/>
        <v>74.988901957673647</v>
      </c>
      <c r="AJ69" s="21">
        <f t="shared" si="17"/>
        <v>81.322423717835122</v>
      </c>
      <c r="AK69" s="21">
        <f t="shared" si="17"/>
        <v>76.844540512630473</v>
      </c>
      <c r="AL69" s="21">
        <f t="shared" si="17"/>
        <v>27.092216690234608</v>
      </c>
      <c r="AM69" s="22"/>
      <c r="AN69" s="21">
        <f t="shared" si="18"/>
        <v>28.82716262572189</v>
      </c>
      <c r="AO69" s="23">
        <f t="shared" si="18"/>
        <v>17.204380755933869</v>
      </c>
      <c r="AP69" s="23">
        <f>IF(Settings!$J$6&gt;69, 0.2*(AO69), 0)</f>
        <v>3.440876151186774</v>
      </c>
      <c r="AQ69" s="24">
        <f t="shared" si="19"/>
        <v>55.364639834373456</v>
      </c>
      <c r="AR69" s="24">
        <f t="shared" si="19"/>
        <v>33.511992519512916</v>
      </c>
      <c r="AS69" s="24">
        <f t="shared" si="19"/>
        <v>52.824976304288526</v>
      </c>
      <c r="AT69" s="25" t="e">
        <f t="shared" si="9"/>
        <v>#VALUE!</v>
      </c>
      <c r="AU69" s="25" t="e">
        <f t="shared" si="10"/>
        <v>#VALUE!</v>
      </c>
      <c r="AV69" s="26" t="e">
        <f t="shared" si="11"/>
        <v>#VALUE!</v>
      </c>
      <c r="AW69" s="26" t="e">
        <f t="shared" si="12"/>
        <v>#VALUE!</v>
      </c>
      <c r="AX69" s="27" t="e">
        <f t="shared" si="13"/>
        <v>#VALUE!</v>
      </c>
      <c r="AY69" s="27" t="e">
        <f t="shared" si="14"/>
        <v>#VALUE!</v>
      </c>
      <c r="BA69" s="22">
        <f t="shared" si="16"/>
        <v>28.70470042186945</v>
      </c>
      <c r="BB69" s="22">
        <f t="shared" si="16"/>
        <v>55.656517766710529</v>
      </c>
    </row>
    <row r="70" spans="6:54" x14ac:dyDescent="0.3">
      <c r="F70">
        <v>56</v>
      </c>
      <c r="G70" s="21"/>
      <c r="H70" s="21"/>
      <c r="I70" s="21"/>
      <c r="J70" s="21"/>
      <c r="K70" s="21"/>
      <c r="L70" s="22"/>
      <c r="M70" s="21"/>
      <c r="N70" s="23"/>
      <c r="O70" s="23"/>
      <c r="P70" s="24"/>
      <c r="Q70" s="24"/>
      <c r="R70" s="24"/>
      <c r="S70" s="25"/>
      <c r="T70" s="25"/>
      <c r="U70" s="26"/>
      <c r="V70" s="26"/>
      <c r="W70" s="27"/>
      <c r="X70" s="27"/>
      <c r="Z70" s="22"/>
      <c r="AA70" s="22"/>
      <c r="AC70">
        <v>56</v>
      </c>
      <c r="AE70" s="43">
        <f t="shared" si="20"/>
        <v>53.342441549920437</v>
      </c>
      <c r="AG70">
        <f t="shared" si="5"/>
        <v>53.342441549920437</v>
      </c>
      <c r="AH70" s="21">
        <f t="shared" si="17"/>
        <v>77.974836338207254</v>
      </c>
      <c r="AI70" s="21">
        <f t="shared" si="17"/>
        <v>75.458710340726057</v>
      </c>
      <c r="AJ70" s="21">
        <f t="shared" si="17"/>
        <v>81.904780029977758</v>
      </c>
      <c r="AK70" s="21">
        <f t="shared" si="17"/>
        <v>77.308736565022173</v>
      </c>
      <c r="AL70" s="21">
        <f t="shared" si="17"/>
        <v>27.190443055546247</v>
      </c>
      <c r="AM70" s="22"/>
      <c r="AN70" s="21">
        <f t="shared" si="18"/>
        <v>29.050442661546796</v>
      </c>
      <c r="AO70" s="23">
        <f t="shared" si="18"/>
        <v>17.339677343187752</v>
      </c>
      <c r="AP70" s="23">
        <f>IF(Settings!$J$6&gt;69, 0.2*(AO70), 0)</f>
        <v>3.4679354686375508</v>
      </c>
      <c r="AQ70" s="24">
        <f t="shared" si="19"/>
        <v>55.650540747678228</v>
      </c>
      <c r="AR70" s="24">
        <f t="shared" si="19"/>
        <v>33.650748070629007</v>
      </c>
      <c r="AS70" s="24">
        <f t="shared" si="19"/>
        <v>52.914180573727783</v>
      </c>
      <c r="AT70" s="25" t="e">
        <f t="shared" si="9"/>
        <v>#VALUE!</v>
      </c>
      <c r="AU70" s="25" t="e">
        <f t="shared" si="10"/>
        <v>#VALUE!</v>
      </c>
      <c r="AV70" s="26" t="e">
        <f t="shared" si="11"/>
        <v>#VALUE!</v>
      </c>
      <c r="AW70" s="26" t="e">
        <f t="shared" si="12"/>
        <v>#VALUE!</v>
      </c>
      <c r="AX70" s="27" t="e">
        <f t="shared" si="13"/>
        <v>#VALUE!</v>
      </c>
      <c r="AY70" s="27" t="e">
        <f t="shared" si="14"/>
        <v>#VALUE!</v>
      </c>
      <c r="BA70" s="22">
        <f t="shared" si="16"/>
        <v>28.755960996774387</v>
      </c>
      <c r="BB70" s="22">
        <f t="shared" si="16"/>
        <v>55.765669546783677</v>
      </c>
    </row>
    <row r="71" spans="6:54" x14ac:dyDescent="0.3">
      <c r="F71">
        <v>57</v>
      </c>
      <c r="G71" s="21"/>
      <c r="H71" s="21"/>
      <c r="I71" s="21"/>
      <c r="J71" s="21"/>
      <c r="K71" s="21"/>
      <c r="L71" s="22"/>
      <c r="M71" s="21"/>
      <c r="N71" s="23"/>
      <c r="O71" s="23"/>
      <c r="P71" s="24"/>
      <c r="Q71" s="24"/>
      <c r="R71" s="24"/>
      <c r="S71" s="25"/>
      <c r="T71" s="25"/>
      <c r="U71" s="26"/>
      <c r="V71" s="26"/>
      <c r="W71" s="27"/>
      <c r="X71" s="27"/>
      <c r="Z71" s="22"/>
      <c r="AA71" s="22"/>
      <c r="AC71">
        <v>57</v>
      </c>
      <c r="AE71" s="43">
        <f t="shared" si="20"/>
        <v>53.814315524332059</v>
      </c>
      <c r="AG71">
        <f t="shared" si="5"/>
        <v>53.814315524332059</v>
      </c>
      <c r="AH71" s="21">
        <f t="shared" si="17"/>
        <v>78.318152336343587</v>
      </c>
      <c r="AI71" s="21">
        <f t="shared" si="17"/>
        <v>75.886500408422535</v>
      </c>
      <c r="AJ71" s="21">
        <f t="shared" si="17"/>
        <v>82.432176593637109</v>
      </c>
      <c r="AK71" s="21">
        <f t="shared" si="17"/>
        <v>77.731157469415933</v>
      </c>
      <c r="AL71" s="21">
        <f t="shared" si="17"/>
        <v>27.278127078772954</v>
      </c>
      <c r="AM71" s="22"/>
      <c r="AN71" s="21">
        <f t="shared" si="18"/>
        <v>29.253866719142692</v>
      </c>
      <c r="AO71" s="23">
        <f t="shared" si="18"/>
        <v>17.463277849009806</v>
      </c>
      <c r="AP71" s="23">
        <f>IF(Settings!$J$6&gt;69, 0.2*(AO71), 0)</f>
        <v>3.4926555698019612</v>
      </c>
      <c r="AQ71" s="24">
        <f t="shared" si="19"/>
        <v>55.910458115752064</v>
      </c>
      <c r="AR71" s="24">
        <f t="shared" si="19"/>
        <v>33.776081503583868</v>
      </c>
      <c r="AS71" s="24">
        <f t="shared" si="19"/>
        <v>52.993178753034449</v>
      </c>
      <c r="AT71" s="25" t="e">
        <f t="shared" si="9"/>
        <v>#VALUE!</v>
      </c>
      <c r="AU71" s="25" t="e">
        <f t="shared" si="10"/>
        <v>#VALUE!</v>
      </c>
      <c r="AV71" s="26" t="e">
        <f t="shared" si="11"/>
        <v>#VALUE!</v>
      </c>
      <c r="AW71" s="26" t="e">
        <f t="shared" si="12"/>
        <v>#VALUE!</v>
      </c>
      <c r="AX71" s="27" t="e">
        <f t="shared" si="13"/>
        <v>#VALUE!</v>
      </c>
      <c r="AY71" s="27" t="e">
        <f t="shared" si="14"/>
        <v>#VALUE!</v>
      </c>
      <c r="BA71" s="22">
        <f t="shared" si="16"/>
        <v>28.801422862689694</v>
      </c>
      <c r="BB71" s="22">
        <f t="shared" si="16"/>
        <v>55.863818245869787</v>
      </c>
    </row>
    <row r="72" spans="6:54" x14ac:dyDescent="0.3">
      <c r="F72">
        <v>58</v>
      </c>
      <c r="G72" s="21"/>
      <c r="H72" s="21"/>
      <c r="I72" s="21"/>
      <c r="J72" s="21"/>
      <c r="K72" s="21"/>
      <c r="L72" s="22"/>
      <c r="M72" s="21"/>
      <c r="N72" s="23"/>
      <c r="O72" s="23"/>
      <c r="P72" s="24"/>
      <c r="Q72" s="24"/>
      <c r="R72" s="24"/>
      <c r="S72" s="25"/>
      <c r="T72" s="25"/>
      <c r="U72" s="26"/>
      <c r="V72" s="26"/>
      <c r="W72" s="27"/>
      <c r="X72" s="27"/>
      <c r="Z72" s="22"/>
      <c r="AA72" s="22"/>
      <c r="AC72">
        <v>58</v>
      </c>
      <c r="AE72" s="43">
        <f t="shared" si="20"/>
        <v>54.249126738543261</v>
      </c>
      <c r="AG72">
        <f t="shared" si="5"/>
        <v>54.249126738543261</v>
      </c>
      <c r="AH72" s="21">
        <f t="shared" si="17"/>
        <v>78.62632463124126</v>
      </c>
      <c r="AI72" s="21">
        <f t="shared" si="17"/>
        <v>76.276382108698911</v>
      </c>
      <c r="AJ72" s="21">
        <f t="shared" si="17"/>
        <v>82.910405279012167</v>
      </c>
      <c r="AK72" s="21">
        <f t="shared" si="17"/>
        <v>78.115928767768636</v>
      </c>
      <c r="AL72" s="21">
        <f t="shared" si="17"/>
        <v>27.356589460634666</v>
      </c>
      <c r="AM72" s="22"/>
      <c r="AN72" s="21">
        <f t="shared" si="18"/>
        <v>29.439354478112243</v>
      </c>
      <c r="AO72" s="23">
        <f t="shared" si="18"/>
        <v>17.576265341137923</v>
      </c>
      <c r="AP72" s="23">
        <f>IF(Settings!$J$6&gt;69, 0.2*(AO72), 0)</f>
        <v>3.5152530682275849</v>
      </c>
      <c r="AQ72" s="24">
        <f t="shared" si="19"/>
        <v>56.146999450939809</v>
      </c>
      <c r="AR72" s="24">
        <f t="shared" si="19"/>
        <v>33.889464773655298</v>
      </c>
      <c r="AS72" s="24">
        <f t="shared" si="19"/>
        <v>53.063354361197369</v>
      </c>
      <c r="AT72" s="25" t="e">
        <f t="shared" si="9"/>
        <v>#VALUE!</v>
      </c>
      <c r="AU72" s="25" t="e">
        <f t="shared" si="10"/>
        <v>#VALUE!</v>
      </c>
      <c r="AV72" s="26" t="e">
        <f t="shared" si="11"/>
        <v>#VALUE!</v>
      </c>
      <c r="AW72" s="26" t="e">
        <f t="shared" si="12"/>
        <v>#VALUE!</v>
      </c>
      <c r="AX72" s="27" t="e">
        <f t="shared" si="13"/>
        <v>#VALUE!</v>
      </c>
      <c r="AY72" s="27" t="e">
        <f t="shared" si="14"/>
        <v>#VALUE!</v>
      </c>
      <c r="BA72" s="22">
        <f t="shared" si="16"/>
        <v>28.841861744158138</v>
      </c>
      <c r="BB72" s="22">
        <f t="shared" si="16"/>
        <v>55.9522427458921</v>
      </c>
    </row>
    <row r="73" spans="6:54" x14ac:dyDescent="0.3">
      <c r="F73">
        <v>59</v>
      </c>
      <c r="G73" s="21"/>
      <c r="H73" s="21"/>
      <c r="I73" s="21"/>
      <c r="J73" s="21"/>
      <c r="K73" s="21"/>
      <c r="L73" s="22"/>
      <c r="M73" s="21"/>
      <c r="N73" s="23"/>
      <c r="O73" s="23"/>
      <c r="P73" s="24"/>
      <c r="Q73" s="24"/>
      <c r="R73" s="24"/>
      <c r="S73" s="25"/>
      <c r="T73" s="25"/>
      <c r="U73" s="26"/>
      <c r="V73" s="26"/>
      <c r="W73" s="27"/>
      <c r="X73" s="27"/>
      <c r="Z73" s="22"/>
      <c r="AA73" s="22"/>
      <c r="AC73">
        <v>59</v>
      </c>
      <c r="AE73" s="43">
        <f t="shared" si="20"/>
        <v>54.649786241410681</v>
      </c>
      <c r="AG73">
        <f t="shared" si="5"/>
        <v>54.649786241410681</v>
      </c>
      <c r="AH73" s="21">
        <f t="shared" si="17"/>
        <v>78.903496725877289</v>
      </c>
      <c r="AI73" s="21">
        <f t="shared" si="17"/>
        <v>76.632012341933574</v>
      </c>
      <c r="AJ73" s="21">
        <f t="shared" si="17"/>
        <v>83.344563135025894</v>
      </c>
      <c r="AK73" s="21">
        <f t="shared" si="17"/>
        <v>78.466715376651422</v>
      </c>
      <c r="AL73" s="21">
        <f t="shared" si="17"/>
        <v>27.426957400090462</v>
      </c>
      <c r="AM73" s="22"/>
      <c r="AN73" s="21">
        <f t="shared" si="18"/>
        <v>29.608618552592699</v>
      </c>
      <c r="AO73" s="23">
        <f t="shared" si="18"/>
        <v>17.679612450402011</v>
      </c>
      <c r="AP73" s="23">
        <f>IF(Settings!$J$6&gt;69, 0.2*(AO73), 0)</f>
        <v>3.5359224900804023</v>
      </c>
      <c r="AQ73" s="24">
        <f t="shared" si="19"/>
        <v>56.362474306237623</v>
      </c>
      <c r="AR73" s="24">
        <f t="shared" si="19"/>
        <v>33.992182813305099</v>
      </c>
      <c r="AS73" s="24">
        <f t="shared" si="19"/>
        <v>53.125870328186252</v>
      </c>
      <c r="AT73" s="25" t="e">
        <f t="shared" si="9"/>
        <v>#VALUE!</v>
      </c>
      <c r="AU73" s="25" t="e">
        <f t="shared" si="10"/>
        <v>#VALUE!</v>
      </c>
      <c r="AV73" s="26" t="e">
        <f t="shared" si="11"/>
        <v>#VALUE!</v>
      </c>
      <c r="AW73" s="26" t="e">
        <f t="shared" si="12"/>
        <v>#VALUE!</v>
      </c>
      <c r="AX73" s="27" t="e">
        <f t="shared" si="13"/>
        <v>#VALUE!</v>
      </c>
      <c r="AY73" s="27" t="e">
        <f t="shared" si="14"/>
        <v>#VALUE!</v>
      </c>
      <c r="BA73" s="22">
        <f t="shared" si="16"/>
        <v>28.877931314358229</v>
      </c>
      <c r="BB73" s="22">
        <f t="shared" si="16"/>
        <v>56.032047629199937</v>
      </c>
    </row>
    <row r="74" spans="6:54" x14ac:dyDescent="0.3">
      <c r="F74">
        <v>60</v>
      </c>
      <c r="G74" s="21"/>
      <c r="H74" s="21"/>
      <c r="I74" s="21"/>
      <c r="J74" s="21"/>
      <c r="K74" s="21"/>
      <c r="L74" s="22"/>
      <c r="M74" s="21"/>
      <c r="N74" s="23"/>
      <c r="O74" s="23"/>
      <c r="P74" s="24"/>
      <c r="Q74" s="24"/>
      <c r="R74" s="24"/>
      <c r="S74" s="25"/>
      <c r="T74" s="25"/>
      <c r="U74" s="26"/>
      <c r="V74" s="26"/>
      <c r="W74" s="27"/>
      <c r="X74" s="27"/>
      <c r="Z74" s="22"/>
      <c r="AA74" s="22"/>
      <c r="AC74">
        <v>60</v>
      </c>
      <c r="AE74" s="43">
        <f t="shared" si="20"/>
        <v>55.01897643704347</v>
      </c>
      <c r="AG74">
        <f t="shared" si="5"/>
        <v>55.01897643704347</v>
      </c>
      <c r="AH74" s="21">
        <f t="shared" si="17"/>
        <v>79.153244147820317</v>
      </c>
      <c r="AI74" s="21">
        <f t="shared" si="17"/>
        <v>76.956651919492998</v>
      </c>
      <c r="AJ74" s="21">
        <f t="shared" si="17"/>
        <v>83.739146599127807</v>
      </c>
      <c r="AK74" s="21">
        <f t="shared" si="17"/>
        <v>78.78678035934692</v>
      </c>
      <c r="AL74" s="21">
        <f t="shared" si="17"/>
        <v>27.490196991506675</v>
      </c>
      <c r="AM74" s="22"/>
      <c r="AN74" s="21">
        <f t="shared" si="18"/>
        <v>29.763189584322301</v>
      </c>
      <c r="AO74" s="23">
        <f t="shared" si="18"/>
        <v>17.774193962770443</v>
      </c>
      <c r="AP74" s="23">
        <f>IF(Settings!$J$6&gt;69, 0.2*(AO74), 0)</f>
        <v>3.5548387925540887</v>
      </c>
      <c r="AQ74" s="24">
        <f t="shared" si="19"/>
        <v>56.558933446589087</v>
      </c>
      <c r="AR74" s="24">
        <f t="shared" si="19"/>
        <v>34.085360914646017</v>
      </c>
      <c r="AS74" s="24">
        <f t="shared" si="19"/>
        <v>53.181709221511177</v>
      </c>
      <c r="AT74" s="25" t="e">
        <f t="shared" si="9"/>
        <v>#VALUE!</v>
      </c>
      <c r="AU74" s="25" t="e">
        <f t="shared" si="10"/>
        <v>#VALUE!</v>
      </c>
      <c r="AV74" s="26" t="e">
        <f t="shared" si="11"/>
        <v>#VALUE!</v>
      </c>
      <c r="AW74" s="26" t="e">
        <f t="shared" si="12"/>
        <v>#VALUE!</v>
      </c>
      <c r="AX74" s="27" t="e">
        <f t="shared" si="13"/>
        <v>#VALUE!</v>
      </c>
      <c r="AY74" s="27" t="e">
        <f t="shared" si="14"/>
        <v>#VALUE!</v>
      </c>
      <c r="BA74" s="22">
        <f t="shared" si="16"/>
        <v>28.910185177327623</v>
      </c>
      <c r="BB74" s="22">
        <f t="shared" si="16"/>
        <v>56.104190714191148</v>
      </c>
    </row>
    <row r="75" spans="6:54" x14ac:dyDescent="0.3">
      <c r="F75">
        <v>61</v>
      </c>
      <c r="G75" s="21"/>
      <c r="H75" s="21"/>
      <c r="I75" s="21"/>
      <c r="J75" s="21"/>
      <c r="K75" s="21"/>
      <c r="L75" s="22"/>
      <c r="M75" s="21"/>
      <c r="N75" s="23"/>
      <c r="O75" s="23"/>
      <c r="P75" s="24"/>
      <c r="Q75" s="24"/>
      <c r="R75" s="24"/>
      <c r="S75" s="25"/>
      <c r="T75" s="25"/>
      <c r="U75" s="26"/>
      <c r="V75" s="26"/>
      <c r="W75" s="27"/>
      <c r="X75" s="27"/>
      <c r="Z75" s="22"/>
      <c r="AA75" s="22"/>
      <c r="AC75">
        <v>61</v>
      </c>
      <c r="AE75" s="43">
        <f t="shared" si="20"/>
        <v>55.359169043423464</v>
      </c>
      <c r="AG75">
        <f t="shared" si="5"/>
        <v>55.359169043423464</v>
      </c>
      <c r="AH75" s="21">
        <f t="shared" si="17"/>
        <v>79.378663363906398</v>
      </c>
      <c r="AI75" s="21">
        <f t="shared" si="17"/>
        <v>77.253214460761612</v>
      </c>
      <c r="AJ75" s="21">
        <f t="shared" si="17"/>
        <v>84.098131696268354</v>
      </c>
      <c r="AK75" s="21">
        <f t="shared" si="17"/>
        <v>79.079035248999361</v>
      </c>
      <c r="AL75" s="21">
        <f t="shared" si="17"/>
        <v>27.547139605014319</v>
      </c>
      <c r="AM75" s="22"/>
      <c r="AN75" s="21">
        <f t="shared" si="18"/>
        <v>29.904437987337598</v>
      </c>
      <c r="AO75" s="23">
        <f t="shared" si="18"/>
        <v>17.860797821533446</v>
      </c>
      <c r="AP75" s="23">
        <f>IF(Settings!$J$6&gt;69, 0.2*(AO75), 0)</f>
        <v>3.5721595643066895</v>
      </c>
      <c r="AQ75" s="24">
        <f t="shared" si="19"/>
        <v>56.738202179223279</v>
      </c>
      <c r="AR75" s="24">
        <f t="shared" si="19"/>
        <v>34.169987602749124</v>
      </c>
      <c r="AS75" s="24">
        <f t="shared" si="19"/>
        <v>53.231705318696974</v>
      </c>
      <c r="AT75" s="25" t="e">
        <f t="shared" si="9"/>
        <v>#VALUE!</v>
      </c>
      <c r="AU75" s="25" t="e">
        <f t="shared" si="10"/>
        <v>#VALUE!</v>
      </c>
      <c r="AV75" s="26" t="e">
        <f t="shared" si="11"/>
        <v>#VALUE!</v>
      </c>
      <c r="AW75" s="26" t="e">
        <f t="shared" si="12"/>
        <v>#VALUE!</v>
      </c>
      <c r="AX75" s="27" t="e">
        <f t="shared" si="13"/>
        <v>#VALUE!</v>
      </c>
      <c r="AY75" s="27" t="e">
        <f t="shared" si="14"/>
        <v>#VALUE!</v>
      </c>
      <c r="BA75" s="22">
        <f t="shared" si="16"/>
        <v>28.939094446060569</v>
      </c>
      <c r="BB75" s="22">
        <f t="shared" si="16"/>
        <v>56.169505677604199</v>
      </c>
    </row>
    <row r="76" spans="6:54" x14ac:dyDescent="0.3">
      <c r="F76">
        <v>62</v>
      </c>
      <c r="G76" s="21"/>
      <c r="H76" s="21"/>
      <c r="I76" s="21"/>
      <c r="J76" s="21"/>
      <c r="K76" s="21"/>
      <c r="L76" s="22"/>
      <c r="M76" s="21"/>
      <c r="N76" s="23"/>
      <c r="O76" s="23"/>
      <c r="P76" s="24"/>
      <c r="Q76" s="24"/>
      <c r="R76" s="24"/>
      <c r="S76" s="25"/>
      <c r="T76" s="25"/>
      <c r="U76" s="26"/>
      <c r="V76" s="26"/>
      <c r="W76" s="27"/>
      <c r="X76" s="27"/>
      <c r="Z76" s="22"/>
      <c r="AA76" s="22"/>
      <c r="AC76">
        <v>62</v>
      </c>
      <c r="AE76" s="43">
        <f t="shared" si="20"/>
        <v>55.672641640487548</v>
      </c>
      <c r="AG76">
        <f t="shared" si="5"/>
        <v>55.672641640487548</v>
      </c>
      <c r="AH76" s="21">
        <f t="shared" si="17"/>
        <v>79.582445264560675</v>
      </c>
      <c r="AI76" s="21">
        <f t="shared" si="17"/>
        <v>77.524308477357494</v>
      </c>
      <c r="AJ76" s="21">
        <f t="shared" si="17"/>
        <v>84.425042420643138</v>
      </c>
      <c r="AK76" s="21">
        <f t="shared" si="17"/>
        <v>79.346083253519794</v>
      </c>
      <c r="AL76" s="21">
        <f t="shared" si="17"/>
        <v>27.598503459805521</v>
      </c>
      <c r="AM76" s="22"/>
      <c r="AN76" s="21">
        <f t="shared" si="18"/>
        <v>30.033592815902207</v>
      </c>
      <c r="AO76" s="23">
        <f t="shared" si="18"/>
        <v>17.940134754113046</v>
      </c>
      <c r="AP76" s="23">
        <f>IF(Settings!$J$6&gt;69, 0.2*(AO76), 0)</f>
        <v>3.5880269508226093</v>
      </c>
      <c r="AQ76" s="24">
        <f t="shared" si="19"/>
        <v>56.901908805821989</v>
      </c>
      <c r="AR76" s="24">
        <f t="shared" si="19"/>
        <v>34.246933813180519</v>
      </c>
      <c r="AS76" s="24">
        <f t="shared" si="19"/>
        <v>53.276570325034555</v>
      </c>
      <c r="AT76" s="25" t="e">
        <f t="shared" si="9"/>
        <v>#VALUE!</v>
      </c>
      <c r="AU76" s="25" t="e">
        <f t="shared" si="10"/>
        <v>#VALUE!</v>
      </c>
      <c r="AV76" s="26" t="e">
        <f t="shared" si="11"/>
        <v>#VALUE!</v>
      </c>
      <c r="AW76" s="26" t="e">
        <f t="shared" si="12"/>
        <v>#VALUE!</v>
      </c>
      <c r="AX76" s="27" t="e">
        <f t="shared" si="13"/>
        <v>#VALUE!</v>
      </c>
      <c r="AY76" s="27" t="e">
        <f t="shared" si="14"/>
        <v>#VALUE!</v>
      </c>
      <c r="BA76" s="22">
        <f t="shared" si="16"/>
        <v>28.965061877470557</v>
      </c>
      <c r="BB76" s="22">
        <f t="shared" si="16"/>
        <v>56.228720730465682</v>
      </c>
    </row>
    <row r="77" spans="6:54" x14ac:dyDescent="0.3">
      <c r="F77">
        <v>63</v>
      </c>
      <c r="G77" s="21"/>
      <c r="H77" s="21"/>
      <c r="I77" s="21"/>
      <c r="J77" s="21"/>
      <c r="K77" s="21"/>
      <c r="L77" s="22"/>
      <c r="M77" s="21"/>
      <c r="N77" s="23"/>
      <c r="O77" s="23"/>
      <c r="P77" s="24"/>
      <c r="Q77" s="24"/>
      <c r="R77" s="24"/>
      <c r="S77" s="25"/>
      <c r="T77" s="25"/>
      <c r="U77" s="26"/>
      <c r="V77" s="26"/>
      <c r="W77" s="27"/>
      <c r="X77" s="27"/>
      <c r="Z77" s="22"/>
      <c r="AA77" s="22"/>
      <c r="AC77">
        <v>63</v>
      </c>
      <c r="AE77" s="43">
        <f t="shared" si="20"/>
        <v>55.961492918461353</v>
      </c>
      <c r="AG77">
        <f t="shared" si="5"/>
        <v>55.961492918461353</v>
      </c>
      <c r="AH77" s="21">
        <f t="shared" si="17"/>
        <v>79.766936105717875</v>
      </c>
      <c r="AI77" s="21">
        <f t="shared" si="17"/>
        <v>77.772273687949138</v>
      </c>
      <c r="AJ77" s="21">
        <f t="shared" si="17"/>
        <v>84.72300915071304</v>
      </c>
      <c r="AK77" s="21">
        <f t="shared" si="17"/>
        <v>79.590256449900124</v>
      </c>
      <c r="AL77" s="21">
        <f t="shared" si="17"/>
        <v>27.644911341539007</v>
      </c>
      <c r="AM77" s="22"/>
      <c r="AN77" s="21">
        <f t="shared" si="18"/>
        <v>30.151758161578638</v>
      </c>
      <c r="AO77" s="23">
        <f t="shared" si="18"/>
        <v>18.012846708862661</v>
      </c>
      <c r="AP77" s="23">
        <f>IF(Settings!$J$6&gt;69, 0.2*(AO77), 0)</f>
        <v>3.6025693417725324</v>
      </c>
      <c r="AQ77" s="24">
        <f t="shared" si="19"/>
        <v>57.051508987976575</v>
      </c>
      <c r="AR77" s="24">
        <f t="shared" si="19"/>
        <v>34.316969029688039</v>
      </c>
      <c r="AS77" s="24">
        <f t="shared" si="19"/>
        <v>53.316914109872798</v>
      </c>
      <c r="AT77" s="25" t="e">
        <f t="shared" si="9"/>
        <v>#VALUE!</v>
      </c>
      <c r="AU77" s="25" t="e">
        <f t="shared" si="10"/>
        <v>#VALUE!</v>
      </c>
      <c r="AV77" s="26" t="e">
        <f t="shared" si="11"/>
        <v>#VALUE!</v>
      </c>
      <c r="AW77" s="26" t="e">
        <f t="shared" si="12"/>
        <v>#VALUE!</v>
      </c>
      <c r="AX77" s="27" t="e">
        <f t="shared" si="13"/>
        <v>#VALUE!</v>
      </c>
      <c r="AY77" s="27" t="e">
        <f t="shared" si="14"/>
        <v>#VALUE!</v>
      </c>
      <c r="BA77" s="22">
        <f t="shared" si="16"/>
        <v>28.988433300133707</v>
      </c>
      <c r="BB77" s="22">
        <f t="shared" si="16"/>
        <v>56.282474108182569</v>
      </c>
    </row>
    <row r="78" spans="6:54" x14ac:dyDescent="0.3">
      <c r="F78">
        <v>64</v>
      </c>
      <c r="G78" s="21"/>
      <c r="H78" s="21"/>
      <c r="I78" s="21"/>
      <c r="J78" s="21"/>
      <c r="K78" s="21"/>
      <c r="L78" s="22"/>
      <c r="M78" s="21"/>
      <c r="N78" s="23"/>
      <c r="O78" s="23"/>
      <c r="P78" s="24"/>
      <c r="Q78" s="24"/>
      <c r="R78" s="24"/>
      <c r="S78" s="25"/>
      <c r="T78" s="25"/>
      <c r="U78" s="26"/>
      <c r="V78" s="26"/>
      <c r="W78" s="27"/>
      <c r="X78" s="27"/>
      <c r="Z78" s="22"/>
      <c r="AA78" s="22"/>
      <c r="AC78">
        <v>64</v>
      </c>
      <c r="AE78" s="43">
        <f t="shared" si="20"/>
        <v>56.227656728531329</v>
      </c>
      <c r="AG78">
        <f t="shared" si="5"/>
        <v>56.227656728531329</v>
      </c>
      <c r="AH78" s="21">
        <f t="shared" si="17"/>
        <v>79.934188226352759</v>
      </c>
      <c r="AI78" s="21">
        <f t="shared" si="17"/>
        <v>77.999212436536212</v>
      </c>
      <c r="AJ78" s="21">
        <f t="shared" si="17"/>
        <v>84.994818653496878</v>
      </c>
      <c r="AK78" s="21">
        <f t="shared" si="17"/>
        <v>79.813647891249289</v>
      </c>
      <c r="AL78" s="21">
        <f t="shared" si="17"/>
        <v>27.686905214303785</v>
      </c>
      <c r="AM78" s="22"/>
      <c r="AN78" s="21">
        <f t="shared" si="18"/>
        <v>30.259927427527181</v>
      </c>
      <c r="AO78" s="23">
        <f t="shared" si="18"/>
        <v>18.079514261629722</v>
      </c>
      <c r="AP78" s="23">
        <f>IF(Settings!$J$6&gt;69, 0.2*(AO78), 0)</f>
        <v>3.6159028523259447</v>
      </c>
      <c r="AQ78" s="24">
        <f t="shared" si="19"/>
        <v>57.188306678396692</v>
      </c>
      <c r="AR78" s="24">
        <f t="shared" si="19"/>
        <v>34.380774912708262</v>
      </c>
      <c r="AS78" s="24">
        <f t="shared" si="19"/>
        <v>53.353261515738183</v>
      </c>
      <c r="AT78" s="25" t="e">
        <f t="shared" si="9"/>
        <v>#VALUE!</v>
      </c>
      <c r="AU78" s="25" t="e">
        <f t="shared" si="10"/>
        <v>#VALUE!</v>
      </c>
      <c r="AV78" s="26" t="e">
        <f t="shared" si="11"/>
        <v>#VALUE!</v>
      </c>
      <c r="AW78" s="26" t="e">
        <f t="shared" si="12"/>
        <v>#VALUE!</v>
      </c>
      <c r="AX78" s="27" t="e">
        <f t="shared" si="13"/>
        <v>#VALUE!</v>
      </c>
      <c r="AY78" s="27" t="e">
        <f t="shared" si="14"/>
        <v>#VALUE!</v>
      </c>
      <c r="BA78" s="22">
        <f t="shared" si="16"/>
        <v>29.009506901624203</v>
      </c>
      <c r="BB78" s="22">
        <f t="shared" si="16"/>
        <v>56.331326976098467</v>
      </c>
    </row>
    <row r="79" spans="6:54" x14ac:dyDescent="0.3">
      <c r="F79">
        <v>65</v>
      </c>
      <c r="G79" s="21"/>
      <c r="H79" s="21"/>
      <c r="I79" s="21"/>
      <c r="J79" s="21"/>
      <c r="K79" s="21"/>
      <c r="L79" s="22"/>
      <c r="M79" s="21"/>
      <c r="N79" s="23"/>
      <c r="O79" s="23"/>
      <c r="P79" s="24"/>
      <c r="Q79" s="24"/>
      <c r="R79" s="24"/>
      <c r="S79" s="25"/>
      <c r="T79" s="25"/>
      <c r="U79" s="26"/>
      <c r="V79" s="26"/>
      <c r="W79" s="27"/>
      <c r="X79" s="27"/>
      <c r="Z79" s="22"/>
      <c r="AA79" s="22"/>
      <c r="AC79">
        <v>65</v>
      </c>
      <c r="AE79" s="43">
        <f t="shared" si="20"/>
        <v>56.472915029924017</v>
      </c>
      <c r="AG79">
        <f t="shared" ref="AG79:AG84" si="21">AE79</f>
        <v>56.472915029924017</v>
      </c>
      <c r="AH79" s="21">
        <f t="shared" si="17"/>
        <v>80.086002405750079</v>
      </c>
      <c r="AI79" s="21">
        <f t="shared" si="17"/>
        <v>78.207016945434475</v>
      </c>
      <c r="AJ79" s="21">
        <f t="shared" si="17"/>
        <v>85.242956984005943</v>
      </c>
      <c r="AK79" s="21">
        <f t="shared" si="17"/>
        <v>80.018139397510424</v>
      </c>
      <c r="AL79" s="21">
        <f t="shared" si="17"/>
        <v>27.7249583213904</v>
      </c>
      <c r="AM79" s="22"/>
      <c r="AN79" s="21">
        <f t="shared" si="18"/>
        <v>30.358995777820148</v>
      </c>
      <c r="AO79" s="23">
        <f t="shared" si="18"/>
        <v>18.140663129578229</v>
      </c>
      <c r="AP79" s="23">
        <f>IF(Settings!$J$6&gt;69, 0.2*(AO79), 0)</f>
        <v>3.6281326259156459</v>
      </c>
      <c r="AQ79" s="24">
        <f t="shared" si="19"/>
        <v>57.313472157291677</v>
      </c>
      <c r="AR79" s="24">
        <f t="shared" si="19"/>
        <v>34.438956849461015</v>
      </c>
      <c r="AS79" s="24">
        <f t="shared" si="19"/>
        <v>53.386066054377245</v>
      </c>
      <c r="AT79" s="25" t="e">
        <f t="shared" ref="AT79:AT84" si="22">AT$8*(AT$4*(1-EXP(-AT$5*AG79))^AT$6)</f>
        <v>#VALUE!</v>
      </c>
      <c r="AU79" s="25" t="e">
        <f t="shared" ref="AU79:AU84" si="23">AU$8*(AU$4*(1-EXP(-AU$5*AG79))^AU$6)</f>
        <v>#VALUE!</v>
      </c>
      <c r="AV79" s="26" t="e">
        <f t="shared" ref="AV79:AV84" si="24">(AV$7/100*$AI79)+((100-AV$7)/100*$AO79)</f>
        <v>#VALUE!</v>
      </c>
      <c r="AW79" s="26" t="e">
        <f t="shared" ref="AW79:AW84" si="25">(AW$7/100*$AI79)+((100-AW$7)/100*$AP79)</f>
        <v>#VALUE!</v>
      </c>
      <c r="AX79" s="27" t="e">
        <f t="shared" ref="AX79:AX84" si="26">$AX$7/100*(($AX$4*(1-EXP(-$AX$5*AG79))^$AX$6)) + ((100-$AX$7)/100*AO79)</f>
        <v>#VALUE!</v>
      </c>
      <c r="AY79" s="27" t="e">
        <f t="shared" ref="AY79:AY84" si="27">$AY$7/100*(($AY$4*(1-EXP(-$AY$5*AG79))^$AY$6)) + ((100-$AY$7)/100*AP79)</f>
        <v>#VALUE!</v>
      </c>
      <c r="BA79" s="22">
        <f t="shared" si="16"/>
        <v>29.02854081447358</v>
      </c>
      <c r="BB79" s="22">
        <f t="shared" si="16"/>
        <v>56.375774228443404</v>
      </c>
    </row>
    <row r="80" spans="6:54" x14ac:dyDescent="0.3">
      <c r="F80">
        <v>66</v>
      </c>
      <c r="G80" s="21"/>
      <c r="H80" s="21"/>
      <c r="I80" s="21"/>
      <c r="J80" s="21"/>
      <c r="K80" s="21"/>
      <c r="L80" s="22"/>
      <c r="M80" s="21"/>
      <c r="N80" s="23"/>
      <c r="O80" s="23"/>
      <c r="P80" s="24"/>
      <c r="Q80" s="24"/>
      <c r="R80" s="24"/>
      <c r="S80" s="25"/>
      <c r="T80" s="25"/>
      <c r="U80" s="26"/>
      <c r="V80" s="26"/>
      <c r="W80" s="27"/>
      <c r="X80" s="27"/>
      <c r="Z80" s="22"/>
      <c r="AA80" s="22"/>
      <c r="AC80">
        <v>66</v>
      </c>
      <c r="AE80" s="43">
        <f t="shared" si="20"/>
        <v>56.698909820073034</v>
      </c>
      <c r="AG80">
        <f t="shared" si="21"/>
        <v>56.698909820073034</v>
      </c>
      <c r="AH80" s="21">
        <f t="shared" si="17"/>
        <v>80.223963363108652</v>
      </c>
      <c r="AI80" s="21">
        <f t="shared" si="17"/>
        <v>78.397393016585625</v>
      </c>
      <c r="AJ80" s="21">
        <f t="shared" si="17"/>
        <v>85.469646374773845</v>
      </c>
      <c r="AK80" s="21">
        <f t="shared" si="17"/>
        <v>80.205425674820574</v>
      </c>
      <c r="AL80" s="21">
        <f t="shared" si="17"/>
        <v>27.759485247207905</v>
      </c>
      <c r="AM80" s="22"/>
      <c r="AN80" s="21">
        <f t="shared" si="18"/>
        <v>30.449771016178829</v>
      </c>
      <c r="AO80" s="23">
        <f t="shared" si="18"/>
        <v>18.196769910500976</v>
      </c>
      <c r="AP80" s="23">
        <f>IF(Settings!$J$6&gt;69, 0.2*(AO80), 0)</f>
        <v>3.6393539821001952</v>
      </c>
      <c r="AQ80" s="24">
        <f t="shared" si="19"/>
        <v>57.428057621178155</v>
      </c>
      <c r="AR80" s="24">
        <f t="shared" si="19"/>
        <v>34.492053776475466</v>
      </c>
      <c r="AS80" s="24">
        <f t="shared" si="19"/>
        <v>53.415721121898457</v>
      </c>
      <c r="AT80" s="25" t="e">
        <f t="shared" si="22"/>
        <v>#VALUE!</v>
      </c>
      <c r="AU80" s="25" t="e">
        <f t="shared" si="23"/>
        <v>#VALUE!</v>
      </c>
      <c r="AV80" s="26" t="e">
        <f t="shared" si="24"/>
        <v>#VALUE!</v>
      </c>
      <c r="AW80" s="26" t="e">
        <f t="shared" si="25"/>
        <v>#VALUE!</v>
      </c>
      <c r="AX80" s="27" t="e">
        <f t="shared" si="26"/>
        <v>#VALUE!</v>
      </c>
      <c r="AY80" s="27" t="e">
        <f t="shared" si="27"/>
        <v>#VALUE!</v>
      </c>
      <c r="BA80" s="22">
        <f t="shared" si="16"/>
        <v>29.04575934268636</v>
      </c>
      <c r="BB80" s="22">
        <f t="shared" si="16"/>
        <v>56.416253562428402</v>
      </c>
    </row>
    <row r="81" spans="3:54" x14ac:dyDescent="0.3">
      <c r="F81">
        <v>67</v>
      </c>
      <c r="G81" s="21"/>
      <c r="H81" s="21"/>
      <c r="I81" s="21"/>
      <c r="J81" s="21"/>
      <c r="K81" s="21"/>
      <c r="L81" s="22"/>
      <c r="M81" s="21"/>
      <c r="N81" s="23"/>
      <c r="O81" s="23"/>
      <c r="P81" s="24"/>
      <c r="Q81" s="24"/>
      <c r="R81" s="24"/>
      <c r="S81" s="25"/>
      <c r="T81" s="25"/>
      <c r="U81" s="26"/>
      <c r="V81" s="26"/>
      <c r="W81" s="27"/>
      <c r="X81" s="27"/>
      <c r="Z81" s="22"/>
      <c r="AA81" s="22"/>
      <c r="AC81">
        <v>67</v>
      </c>
      <c r="AE81" s="43">
        <f t="shared" si="20"/>
        <v>56.907154127745713</v>
      </c>
      <c r="AG81">
        <f t="shared" si="21"/>
        <v>56.907154127745713</v>
      </c>
      <c r="AH81" s="21">
        <f t="shared" si="17"/>
        <v>80.349469613795648</v>
      </c>
      <c r="AI81" s="21">
        <f t="shared" si="17"/>
        <v>78.571880697062184</v>
      </c>
      <c r="AJ81" s="21">
        <f t="shared" si="17"/>
        <v>85.676877033428639</v>
      </c>
      <c r="AK81" s="21">
        <f t="shared" si="17"/>
        <v>80.377035304170079</v>
      </c>
      <c r="AL81" s="21">
        <f t="shared" si="17"/>
        <v>27.790850317224386</v>
      </c>
      <c r="AM81" s="22"/>
      <c r="AN81" s="21">
        <f t="shared" si="18"/>
        <v>30.532983111339057</v>
      </c>
      <c r="AO81" s="23">
        <f t="shared" si="18"/>
        <v>18.248267149259426</v>
      </c>
      <c r="AP81" s="23">
        <f>IF(Settings!$J$6&gt;69, 0.2*(AO81), 0)</f>
        <v>3.6496534298518855</v>
      </c>
      <c r="AQ81" s="24">
        <f t="shared" si="19"/>
        <v>57.533010696019971</v>
      </c>
      <c r="AR81" s="24">
        <f t="shared" si="19"/>
        <v>34.540546561254516</v>
      </c>
      <c r="AS81" s="24">
        <f t="shared" si="19"/>
        <v>53.442569226619511</v>
      </c>
      <c r="AT81" s="25" t="e">
        <f t="shared" si="22"/>
        <v>#VALUE!</v>
      </c>
      <c r="AU81" s="25" t="e">
        <f t="shared" si="23"/>
        <v>#VALUE!</v>
      </c>
      <c r="AV81" s="26" t="e">
        <f t="shared" si="24"/>
        <v>#VALUE!</v>
      </c>
      <c r="AW81" s="26" t="e">
        <f t="shared" si="25"/>
        <v>#VALUE!</v>
      </c>
      <c r="AX81" s="27" t="e">
        <f t="shared" si="26"/>
        <v>#VALUE!</v>
      </c>
      <c r="AY81" s="27" t="e">
        <f t="shared" si="27"/>
        <v>#VALUE!</v>
      </c>
      <c r="BA81" s="22">
        <f t="shared" si="16"/>
        <v>29.061358096548251</v>
      </c>
      <c r="BB81" s="22">
        <f t="shared" si="16"/>
        <v>56.453153133873272</v>
      </c>
    </row>
    <row r="82" spans="3:54" x14ac:dyDescent="0.3">
      <c r="F82">
        <v>68</v>
      </c>
      <c r="G82" s="21"/>
      <c r="H82" s="21"/>
      <c r="I82" s="21"/>
      <c r="J82" s="21"/>
      <c r="K82" s="21"/>
      <c r="L82" s="22"/>
      <c r="M82" s="21"/>
      <c r="N82" s="23"/>
      <c r="O82" s="23"/>
      <c r="P82" s="24"/>
      <c r="Q82" s="24"/>
      <c r="R82" s="24"/>
      <c r="S82" s="25"/>
      <c r="T82" s="25"/>
      <c r="U82" s="26"/>
      <c r="V82" s="26"/>
      <c r="W82" s="27"/>
      <c r="X82" s="27"/>
      <c r="Z82" s="22"/>
      <c r="AA82" s="22"/>
      <c r="AC82">
        <v>68</v>
      </c>
      <c r="AE82" s="43">
        <f t="shared" si="20"/>
        <v>57.099042142728173</v>
      </c>
      <c r="AG82">
        <f t="shared" si="21"/>
        <v>57.099042142728173</v>
      </c>
      <c r="AH82" s="21">
        <f t="shared" si="17"/>
        <v>80.463758666337682</v>
      </c>
      <c r="AI82" s="21">
        <f t="shared" si="17"/>
        <v>78.731872343318301</v>
      </c>
      <c r="AJ82" s="21">
        <f t="shared" si="17"/>
        <v>85.866434618164888</v>
      </c>
      <c r="AK82" s="21">
        <f t="shared" si="17"/>
        <v>80.534349053553697</v>
      </c>
      <c r="AL82" s="21">
        <f t="shared" si="17"/>
        <v>27.819374637803122</v>
      </c>
      <c r="AM82" s="22"/>
      <c r="AN82" s="21">
        <f t="shared" si="18"/>
        <v>30.609292554476447</v>
      </c>
      <c r="AO82" s="23">
        <f t="shared" si="18"/>
        <v>18.295547818746567</v>
      </c>
      <c r="AP82" s="23">
        <f>IF(Settings!$J$6&gt;69, 0.2*(AO82), 0)</f>
        <v>3.6591095637493134</v>
      </c>
      <c r="AQ82" s="24">
        <f t="shared" si="19"/>
        <v>57.629186184844798</v>
      </c>
      <c r="AR82" s="24">
        <f t="shared" si="19"/>
        <v>34.584865178151929</v>
      </c>
      <c r="AS82" s="24">
        <f t="shared" si="19"/>
        <v>53.466909617083253</v>
      </c>
      <c r="AT82" s="25" t="e">
        <f t="shared" si="22"/>
        <v>#VALUE!</v>
      </c>
      <c r="AU82" s="25" t="e">
        <f t="shared" si="23"/>
        <v>#VALUE!</v>
      </c>
      <c r="AV82" s="26" t="e">
        <f t="shared" si="24"/>
        <v>#VALUE!</v>
      </c>
      <c r="AW82" s="26" t="e">
        <f t="shared" si="25"/>
        <v>#VALUE!</v>
      </c>
      <c r="AX82" s="27" t="e">
        <f t="shared" si="26"/>
        <v>#VALUE!</v>
      </c>
      <c r="AY82" s="27" t="e">
        <f t="shared" si="27"/>
        <v>#VALUE!</v>
      </c>
      <c r="BA82" s="22">
        <f t="shared" si="16"/>
        <v>29.075508246458213</v>
      </c>
      <c r="BB82" s="22">
        <f t="shared" si="16"/>
        <v>56.486818041403161</v>
      </c>
    </row>
    <row r="83" spans="3:54" x14ac:dyDescent="0.3">
      <c r="F83">
        <v>69</v>
      </c>
      <c r="G83" s="21"/>
      <c r="H83" s="21"/>
      <c r="I83" s="21"/>
      <c r="J83" s="21"/>
      <c r="K83" s="21"/>
      <c r="L83" s="22"/>
      <c r="M83" s="21"/>
      <c r="N83" s="23"/>
      <c r="O83" s="23"/>
      <c r="P83" s="24"/>
      <c r="Q83" s="24"/>
      <c r="R83" s="24"/>
      <c r="S83" s="25"/>
      <c r="T83" s="25"/>
      <c r="U83" s="26"/>
      <c r="V83" s="26"/>
      <c r="W83" s="27"/>
      <c r="X83" s="27"/>
      <c r="Z83" s="22"/>
      <c r="AA83" s="22"/>
      <c r="AC83">
        <v>69</v>
      </c>
      <c r="AE83" s="43">
        <f t="shared" si="20"/>
        <v>57.275858549886756</v>
      </c>
      <c r="AG83">
        <f t="shared" si="21"/>
        <v>57.275858549886756</v>
      </c>
      <c r="AH83" s="21">
        <f t="shared" si="17"/>
        <v>80.567928359985359</v>
      </c>
      <c r="AI83" s="21">
        <f t="shared" si="17"/>
        <v>78.878628450997525</v>
      </c>
      <c r="AJ83" s="21">
        <f t="shared" si="17"/>
        <v>86.039924037299912</v>
      </c>
      <c r="AK83" s="21">
        <f t="shared" si="17"/>
        <v>80.678615896020617</v>
      </c>
      <c r="AL83" s="21">
        <f t="shared" si="17"/>
        <v>27.845342018660297</v>
      </c>
      <c r="AM83" s="22"/>
      <c r="AN83" s="21">
        <f t="shared" si="18"/>
        <v>30.679297707053468</v>
      </c>
      <c r="AO83" s="23">
        <f t="shared" si="18"/>
        <v>18.338969290564762</v>
      </c>
      <c r="AP83" s="23">
        <f>IF(Settings!$J$6&gt;69, 0.2*(AO83), 0)</f>
        <v>3.6677938581129528</v>
      </c>
      <c r="AQ83" s="24">
        <f t="shared" si="19"/>
        <v>57.717356309216342</v>
      </c>
      <c r="AR83" s="24">
        <f t="shared" si="19"/>
        <v>34.625394871837983</v>
      </c>
      <c r="AS83" s="24">
        <f t="shared" si="19"/>
        <v>53.489004615960049</v>
      </c>
      <c r="AT83" s="25" t="e">
        <f t="shared" si="22"/>
        <v>#VALUE!</v>
      </c>
      <c r="AU83" s="25" t="e">
        <f t="shared" si="23"/>
        <v>#VALUE!</v>
      </c>
      <c r="AV83" s="26" t="e">
        <f t="shared" si="24"/>
        <v>#VALUE!</v>
      </c>
      <c r="AW83" s="26" t="e">
        <f t="shared" si="25"/>
        <v>#VALUE!</v>
      </c>
      <c r="AX83" s="27" t="e">
        <f t="shared" si="26"/>
        <v>#VALUE!</v>
      </c>
      <c r="AY83" s="27" t="e">
        <f t="shared" si="27"/>
        <v>#VALUE!</v>
      </c>
      <c r="BA83" s="22">
        <f t="shared" si="16"/>
        <v>29.088360062485503</v>
      </c>
      <c r="BB83" s="22">
        <f t="shared" si="16"/>
        <v>56.51755583927752</v>
      </c>
    </row>
    <row r="84" spans="3:54" x14ac:dyDescent="0.3">
      <c r="F84">
        <v>70</v>
      </c>
      <c r="G84" s="21"/>
      <c r="H84" s="21"/>
      <c r="I84" s="21"/>
      <c r="J84" s="21"/>
      <c r="K84" s="21"/>
      <c r="L84" s="22"/>
      <c r="M84" s="21"/>
      <c r="N84" s="23"/>
      <c r="O84" s="23"/>
      <c r="P84" s="24"/>
      <c r="Q84" s="24"/>
      <c r="R84" s="24"/>
      <c r="S84" s="25"/>
      <c r="T84" s="25"/>
      <c r="U84" s="26"/>
      <c r="V84" s="26"/>
      <c r="W84" s="27"/>
      <c r="X84" s="27"/>
      <c r="Z84" s="22"/>
      <c r="AA84" s="22"/>
      <c r="AC84">
        <v>70</v>
      </c>
      <c r="AE84" s="43">
        <f t="shared" si="20"/>
        <v>57.43878713009709</v>
      </c>
      <c r="AG84">
        <f t="shared" si="21"/>
        <v>57.43878713009709</v>
      </c>
      <c r="AH84" s="21">
        <f t="shared" si="17"/>
        <v>80.662954994892957</v>
      </c>
      <c r="AI84" s="21">
        <f t="shared" si="17"/>
        <v>79.013291560595647</v>
      </c>
      <c r="AJ84" s="21">
        <f t="shared" si="17"/>
        <v>86.198790115918172</v>
      </c>
      <c r="AK84" s="21">
        <f t="shared" si="17"/>
        <v>80.810967056322838</v>
      </c>
      <c r="AL84" s="21">
        <f t="shared" si="17"/>
        <v>27.869003973858995</v>
      </c>
      <c r="AM84" s="22"/>
      <c r="AN84" s="21">
        <f t="shared" si="18"/>
        <v>30.74354127442999</v>
      </c>
      <c r="AO84" s="23">
        <f t="shared" si="18"/>
        <v>18.378856860168497</v>
      </c>
      <c r="AP84" s="23">
        <f>IF(Settings!$J$6&gt;69, 0.2*(AO84), 0)</f>
        <v>3.6757713720336995</v>
      </c>
      <c r="AQ84" s="24">
        <f t="shared" si="19"/>
        <v>57.798219662101332</v>
      </c>
      <c r="AR84" s="24">
        <f t="shared" si="19"/>
        <v>34.662481467945156</v>
      </c>
      <c r="AS84" s="24">
        <f t="shared" si="19"/>
        <v>53.509084902260177</v>
      </c>
      <c r="AT84" s="25" t="e">
        <f t="shared" si="22"/>
        <v>#VALUE!</v>
      </c>
      <c r="AU84" s="25" t="e">
        <f t="shared" si="23"/>
        <v>#VALUE!</v>
      </c>
      <c r="AV84" s="26" t="e">
        <f t="shared" si="24"/>
        <v>#VALUE!</v>
      </c>
      <c r="AW84" s="26" t="e">
        <f t="shared" si="25"/>
        <v>#VALUE!</v>
      </c>
      <c r="AX84" s="27" t="e">
        <f t="shared" si="26"/>
        <v>#VALUE!</v>
      </c>
      <c r="AY84" s="27" t="e">
        <f t="shared" si="27"/>
        <v>#VALUE!</v>
      </c>
      <c r="BA84" s="22">
        <f t="shared" si="16"/>
        <v>29.100045872167954</v>
      </c>
      <c r="BB84" s="22">
        <f t="shared" si="16"/>
        <v>56.545641241566422</v>
      </c>
    </row>
    <row r="85" spans="3:54" x14ac:dyDescent="0.3">
      <c r="BA85" t="s">
        <v>49</v>
      </c>
      <c r="BB85" t="s">
        <v>48</v>
      </c>
    </row>
    <row r="86" spans="3:54" x14ac:dyDescent="0.3">
      <c r="C86" t="s">
        <v>31</v>
      </c>
      <c r="D86">
        <v>1</v>
      </c>
      <c r="E86" s="1" t="s">
        <v>38</v>
      </c>
      <c r="F86">
        <v>0</v>
      </c>
      <c r="G86" s="21"/>
      <c r="H86" s="21"/>
      <c r="I86" s="21"/>
      <c r="J86" s="21"/>
      <c r="K86" s="21"/>
      <c r="L86" s="22"/>
      <c r="M86" s="21"/>
      <c r="N86" s="23"/>
      <c r="O86" s="23"/>
      <c r="P86" s="24"/>
      <c r="Q86" s="24"/>
      <c r="R86" s="24"/>
      <c r="S86" s="25"/>
      <c r="T86" s="25"/>
      <c r="U86" s="26"/>
      <c r="V86" s="26"/>
      <c r="W86" s="27"/>
      <c r="X86" s="27"/>
      <c r="Z86" s="22"/>
      <c r="AA86" s="22"/>
      <c r="AD86" t="s">
        <v>31</v>
      </c>
      <c r="AE86">
        <v>1</v>
      </c>
      <c r="AF86" s="1" t="s">
        <v>38</v>
      </c>
      <c r="AG86">
        <f>AE14</f>
        <v>4.9458521066739074</v>
      </c>
      <c r="AH86" s="21">
        <f>AH14*AH$12</f>
        <v>0.27196393675717095</v>
      </c>
      <c r="AI86" s="21">
        <f t="shared" ref="AI86:AS101" si="28">AI14*AI$12</f>
        <v>5.5999893413948154</v>
      </c>
      <c r="AJ86" s="21">
        <f t="shared" si="28"/>
        <v>0.90609661149867793</v>
      </c>
      <c r="AK86" s="21">
        <f t="shared" si="28"/>
        <v>5.7016710135159139</v>
      </c>
      <c r="AL86" s="21">
        <f t="shared" si="28"/>
        <v>0.23381522986862538</v>
      </c>
      <c r="AM86" s="22" t="e">
        <f>BA86+AM170*(BB86-BA86)</f>
        <v>#VALUE!</v>
      </c>
      <c r="AN86" s="21">
        <f t="shared" si="28"/>
        <v>0.87033492938654988</v>
      </c>
      <c r="AO86" s="23">
        <f t="shared" si="28"/>
        <v>0.95340663696976069</v>
      </c>
      <c r="AP86" s="23">
        <f t="shared" si="28"/>
        <v>0.19068132739395216</v>
      </c>
      <c r="AQ86" s="24">
        <f t="shared" si="28"/>
        <v>7.0174928253347515</v>
      </c>
      <c r="AR86" s="24">
        <f t="shared" si="28"/>
        <v>2.6545924408896799</v>
      </c>
      <c r="AS86" s="24">
        <f t="shared" si="28"/>
        <v>2.2815419896135718</v>
      </c>
      <c r="AT86" s="25" t="e">
        <f>AT14</f>
        <v>#VALUE!</v>
      </c>
      <c r="AU86" s="25" t="e">
        <f>AU14</f>
        <v>#VALUE!</v>
      </c>
      <c r="AV86" s="26" t="e">
        <f>AV14*AV$12</f>
        <v>#VALUE!</v>
      </c>
      <c r="AW86" s="26" t="e">
        <f>AW14*AW$12</f>
        <v>#VALUE!</v>
      </c>
      <c r="AX86" s="27" t="e">
        <f>AX14*AX$12</f>
        <v>#VALUE!</v>
      </c>
      <c r="AY86" s="27" t="e">
        <f>AY14*AY$12</f>
        <v>#VALUE!</v>
      </c>
      <c r="AZ86" t="e">
        <f>NA()</f>
        <v>#N/A</v>
      </c>
      <c r="BA86" s="22">
        <f>BA14*BA$12</f>
        <v>1.1070363945183395</v>
      </c>
      <c r="BB86" s="22">
        <f>BB14*($AM$166/0.778237)</f>
        <v>12.405021302129962</v>
      </c>
    </row>
    <row r="87" spans="3:54" x14ac:dyDescent="0.3">
      <c r="D87">
        <v>2</v>
      </c>
      <c r="F87">
        <v>1</v>
      </c>
      <c r="G87" s="21"/>
      <c r="H87" s="21"/>
      <c r="I87" s="21"/>
      <c r="J87" s="21"/>
      <c r="K87" s="21"/>
      <c r="L87" s="22"/>
      <c r="M87" s="21"/>
      <c r="N87" s="23"/>
      <c r="O87" s="23"/>
      <c r="P87" s="24"/>
      <c r="Q87" s="24"/>
      <c r="R87" s="24"/>
      <c r="S87" s="25"/>
      <c r="T87" s="25"/>
      <c r="U87" s="26"/>
      <c r="V87" s="26"/>
      <c r="W87" s="27"/>
      <c r="X87" s="27"/>
      <c r="Z87" s="22"/>
      <c r="AA87" s="22"/>
      <c r="AE87">
        <v>2</v>
      </c>
      <c r="AG87">
        <f t="shared" ref="AG87:AG150" si="29">AE15</f>
        <v>5.2014595403979236</v>
      </c>
      <c r="AH87" s="21">
        <f t="shared" ref="AH87:AL102" si="30">AH15*AH$12</f>
        <v>0.32935760438067158</v>
      </c>
      <c r="AI87" s="21">
        <f t="shared" si="30"/>
        <v>6.0078831666962511</v>
      </c>
      <c r="AJ87" s="21">
        <f t="shared" si="30"/>
        <v>1.0368381146519314</v>
      </c>
      <c r="AK87" s="21">
        <f t="shared" si="30"/>
        <v>6.1157440358879676</v>
      </c>
      <c r="AL87" s="21">
        <f t="shared" si="30"/>
        <v>0.27659524786164585</v>
      </c>
      <c r="AM87" s="22" t="e">
        <f t="shared" ref="AM87:AM150" si="31">BA87+AM171*(BB87-BA87)</f>
        <v>#VALUE!</v>
      </c>
      <c r="AN87" s="21">
        <f t="shared" si="28"/>
        <v>0.95533596542124899</v>
      </c>
      <c r="AO87" s="23">
        <f t="shared" si="28"/>
        <v>1.0286622786723654</v>
      </c>
      <c r="AP87" s="23">
        <f t="shared" si="28"/>
        <v>0.20573245573447307</v>
      </c>
      <c r="AQ87" s="24">
        <f t="shared" si="28"/>
        <v>7.4566211783370537</v>
      </c>
      <c r="AR87" s="24">
        <f t="shared" si="28"/>
        <v>2.8656352186385114</v>
      </c>
      <c r="AS87" s="24">
        <f t="shared" si="28"/>
        <v>2.5975416058582179</v>
      </c>
      <c r="AT87" s="25" t="e">
        <f t="shared" ref="AT87:AU102" si="32">AT15</f>
        <v>#VALUE!</v>
      </c>
      <c r="AU87" s="25" t="e">
        <f t="shared" si="32"/>
        <v>#VALUE!</v>
      </c>
      <c r="AV87" s="26" t="e">
        <f t="shared" ref="AV87:AY102" si="33">AV15*AV$12</f>
        <v>#VALUE!</v>
      </c>
      <c r="AW87" s="26" t="e">
        <f t="shared" si="33"/>
        <v>#VALUE!</v>
      </c>
      <c r="AX87" s="27" t="e">
        <f t="shared" si="33"/>
        <v>#VALUE!</v>
      </c>
      <c r="AY87" s="27" t="e">
        <f t="shared" si="33"/>
        <v>#VALUE!</v>
      </c>
      <c r="AZ87" t="e">
        <f>NA()</f>
        <v>#N/A</v>
      </c>
      <c r="BA87" s="22">
        <f t="shared" ref="BA87:BA150" si="34">BA15*BA$12</f>
        <v>1.2513875074319512</v>
      </c>
      <c r="BB87" s="22">
        <f t="shared" ref="BB87:BB150" si="35">BB15*($AM$166/0.778237)</f>
        <v>12.966980368187652</v>
      </c>
    </row>
    <row r="88" spans="3:54" x14ac:dyDescent="0.3">
      <c r="D88">
        <v>3</v>
      </c>
      <c r="F88">
        <v>2</v>
      </c>
      <c r="G88" s="21"/>
      <c r="H88" s="21"/>
      <c r="I88" s="21"/>
      <c r="J88" s="21"/>
      <c r="K88" s="21"/>
      <c r="L88" s="22"/>
      <c r="M88" s="21"/>
      <c r="N88" s="23"/>
      <c r="O88" s="23"/>
      <c r="P88" s="24"/>
      <c r="Q88" s="24"/>
      <c r="R88" s="24"/>
      <c r="S88" s="25"/>
      <c r="T88" s="25"/>
      <c r="U88" s="26"/>
      <c r="V88" s="26"/>
      <c r="W88" s="27"/>
      <c r="X88" s="27"/>
      <c r="Z88" s="22"/>
      <c r="AA88" s="22"/>
      <c r="AE88">
        <v>3</v>
      </c>
      <c r="AG88">
        <f t="shared" si="29"/>
        <v>5.4702770658848543</v>
      </c>
      <c r="AH88" s="21">
        <f t="shared" si="30"/>
        <v>0.3981807735457098</v>
      </c>
      <c r="AI88" s="21">
        <f t="shared" si="30"/>
        <v>6.4437747360841797</v>
      </c>
      <c r="AJ88" s="21">
        <f t="shared" si="30"/>
        <v>1.1854812580348104</v>
      </c>
      <c r="AK88" s="21">
        <f t="shared" si="30"/>
        <v>6.5580810176876412</v>
      </c>
      <c r="AL88" s="21">
        <f t="shared" si="30"/>
        <v>0.32667294728223073</v>
      </c>
      <c r="AM88" s="22" t="e">
        <f t="shared" si="31"/>
        <v>#VALUE!</v>
      </c>
      <c r="AN88" s="21">
        <f t="shared" si="28"/>
        <v>1.0482385154341367</v>
      </c>
      <c r="AO88" s="23">
        <f t="shared" si="28"/>
        <v>1.1095969689731224</v>
      </c>
      <c r="AP88" s="23">
        <f t="shared" si="28"/>
        <v>0.2219193937946245</v>
      </c>
      <c r="AQ88" s="24">
        <f t="shared" si="28"/>
        <v>7.921312210620199</v>
      </c>
      <c r="AR88" s="24">
        <f t="shared" si="28"/>
        <v>3.0920504418377099</v>
      </c>
      <c r="AS88" s="24">
        <f t="shared" si="28"/>
        <v>2.9528702501253772</v>
      </c>
      <c r="AT88" s="25" t="e">
        <f t="shared" si="32"/>
        <v>#VALUE!</v>
      </c>
      <c r="AU88" s="25" t="e">
        <f t="shared" si="32"/>
        <v>#VALUE!</v>
      </c>
      <c r="AV88" s="26" t="e">
        <f t="shared" si="33"/>
        <v>#VALUE!</v>
      </c>
      <c r="AW88" s="26" t="e">
        <f t="shared" si="33"/>
        <v>#VALUE!</v>
      </c>
      <c r="AX88" s="27" t="e">
        <f t="shared" si="33"/>
        <v>#VALUE!</v>
      </c>
      <c r="AY88" s="27" t="e">
        <f t="shared" si="33"/>
        <v>#VALUE!</v>
      </c>
      <c r="AZ88" t="e">
        <f>NA()</f>
        <v>#N/A</v>
      </c>
      <c r="BA88" s="22">
        <f t="shared" si="34"/>
        <v>1.4126295468032461</v>
      </c>
      <c r="BB88" s="22">
        <f t="shared" si="35"/>
        <v>13.550330610008681</v>
      </c>
    </row>
    <row r="89" spans="3:54" x14ac:dyDescent="0.3">
      <c r="D89">
        <v>4</v>
      </c>
      <c r="F89">
        <v>3</v>
      </c>
      <c r="G89" s="21"/>
      <c r="H89" s="21"/>
      <c r="I89" s="21"/>
      <c r="J89" s="21"/>
      <c r="K89" s="21"/>
      <c r="L89" s="22"/>
      <c r="M89" s="21"/>
      <c r="N89" s="23"/>
      <c r="O89" s="23"/>
      <c r="P89" s="24"/>
      <c r="Q89" s="24"/>
      <c r="R89" s="24"/>
      <c r="S89" s="25"/>
      <c r="T89" s="25"/>
      <c r="U89" s="26"/>
      <c r="V89" s="26"/>
      <c r="W89" s="27"/>
      <c r="X89" s="27"/>
      <c r="Z89" s="22"/>
      <c r="AA89" s="22"/>
      <c r="AE89">
        <v>4</v>
      </c>
      <c r="AG89">
        <f t="shared" si="29"/>
        <v>5.7529873961600746</v>
      </c>
      <c r="AH89" s="21">
        <f t="shared" si="30"/>
        <v>0.48052470159482347</v>
      </c>
      <c r="AI89" s="21">
        <f t="shared" si="30"/>
        <v>6.9093655747033891</v>
      </c>
      <c r="AJ89" s="21">
        <f t="shared" si="30"/>
        <v>1.3542819326859892</v>
      </c>
      <c r="AK89" s="21">
        <f t="shared" si="30"/>
        <v>7.0303791804833535</v>
      </c>
      <c r="AL89" s="21">
        <f t="shared" si="30"/>
        <v>0.38516515792578104</v>
      </c>
      <c r="AM89" s="22" t="e">
        <f t="shared" si="31"/>
        <v>#VALUE!</v>
      </c>
      <c r="AN89" s="21">
        <f t="shared" si="28"/>
        <v>1.1497152859712492</v>
      </c>
      <c r="AO89" s="23">
        <f t="shared" si="28"/>
        <v>1.1966040370864699</v>
      </c>
      <c r="AP89" s="23">
        <f t="shared" si="28"/>
        <v>0.23932080741729397</v>
      </c>
      <c r="AQ89" s="24">
        <f t="shared" si="28"/>
        <v>8.4128280056816536</v>
      </c>
      <c r="AR89" s="24">
        <f t="shared" si="28"/>
        <v>3.3347672043077234</v>
      </c>
      <c r="AS89" s="24">
        <f t="shared" si="28"/>
        <v>3.3515534394980371</v>
      </c>
      <c r="AT89" s="25" t="e">
        <f t="shared" si="32"/>
        <v>#VALUE!</v>
      </c>
      <c r="AU89" s="25" t="e">
        <f t="shared" si="32"/>
        <v>#VALUE!</v>
      </c>
      <c r="AV89" s="26" t="e">
        <f t="shared" si="33"/>
        <v>#VALUE!</v>
      </c>
      <c r="AW89" s="26" t="e">
        <f t="shared" si="33"/>
        <v>#VALUE!</v>
      </c>
      <c r="AX89" s="27" t="e">
        <f t="shared" si="33"/>
        <v>#VALUE!</v>
      </c>
      <c r="AY89" s="27" t="e">
        <f t="shared" si="33"/>
        <v>#VALUE!</v>
      </c>
      <c r="AZ89" t="e">
        <f>NA()</f>
        <v>#N/A</v>
      </c>
      <c r="BA89" s="22">
        <f t="shared" si="34"/>
        <v>1.592376429445151</v>
      </c>
      <c r="BB89" s="22">
        <f t="shared" si="35"/>
        <v>14.155478627546216</v>
      </c>
    </row>
    <row r="90" spans="3:54" x14ac:dyDescent="0.3">
      <c r="D90">
        <v>5</v>
      </c>
      <c r="F90">
        <v>4</v>
      </c>
      <c r="G90" s="21"/>
      <c r="H90" s="21"/>
      <c r="I90" s="21"/>
      <c r="J90" s="21"/>
      <c r="K90" s="21"/>
      <c r="L90" s="22"/>
      <c r="M90" s="21"/>
      <c r="N90" s="23"/>
      <c r="O90" s="23"/>
      <c r="P90" s="24"/>
      <c r="Q90" s="24"/>
      <c r="R90" s="24"/>
      <c r="S90" s="25"/>
      <c r="T90" s="25"/>
      <c r="U90" s="26"/>
      <c r="V90" s="26"/>
      <c r="W90" s="27"/>
      <c r="X90" s="27"/>
      <c r="Z90" s="22"/>
      <c r="AA90" s="22"/>
      <c r="AE90">
        <v>5</v>
      </c>
      <c r="AG90">
        <f t="shared" si="29"/>
        <v>6.0503085276582826</v>
      </c>
      <c r="AH90" s="21">
        <f t="shared" si="30"/>
        <v>0.57881452577181158</v>
      </c>
      <c r="AI90" s="21">
        <f t="shared" si="30"/>
        <v>7.4064320817453346</v>
      </c>
      <c r="AJ90" s="21">
        <f t="shared" si="30"/>
        <v>1.5457412638029473</v>
      </c>
      <c r="AK90" s="21">
        <f t="shared" si="30"/>
        <v>7.534407632722691</v>
      </c>
      <c r="AL90" s="21">
        <f t="shared" si="30"/>
        <v>0.45332945919877432</v>
      </c>
      <c r="AM90" s="22" t="e">
        <f t="shared" si="31"/>
        <v>#VALUE!</v>
      </c>
      <c r="AN90" s="21">
        <f t="shared" si="28"/>
        <v>1.260486732671765</v>
      </c>
      <c r="AO90" s="23">
        <f t="shared" si="28"/>
        <v>1.2900992865660896</v>
      </c>
      <c r="AP90" s="23">
        <f t="shared" si="28"/>
        <v>0.25801985731321797</v>
      </c>
      <c r="AQ90" s="24">
        <f t="shared" si="28"/>
        <v>8.9324658824037133</v>
      </c>
      <c r="AR90" s="24">
        <f t="shared" si="28"/>
        <v>3.5947446637537537</v>
      </c>
      <c r="AS90" s="24">
        <f t="shared" si="28"/>
        <v>3.7978617946312156</v>
      </c>
      <c r="AT90" s="25" t="e">
        <f t="shared" si="32"/>
        <v>#VALUE!</v>
      </c>
      <c r="AU90" s="25" t="e">
        <f t="shared" si="32"/>
        <v>#VALUE!</v>
      </c>
      <c r="AV90" s="26" t="e">
        <f t="shared" si="33"/>
        <v>#VALUE!</v>
      </c>
      <c r="AW90" s="26" t="e">
        <f t="shared" si="33"/>
        <v>#VALUE!</v>
      </c>
      <c r="AX90" s="27" t="e">
        <f t="shared" si="33"/>
        <v>#VALUE!</v>
      </c>
      <c r="AY90" s="27" t="e">
        <f t="shared" si="33"/>
        <v>#VALUE!</v>
      </c>
      <c r="AZ90" t="e">
        <f>NA()</f>
        <v>#N/A</v>
      </c>
      <c r="BA90" s="22">
        <f t="shared" si="34"/>
        <v>1.7923293524484518</v>
      </c>
      <c r="BB90" s="22">
        <f t="shared" si="35"/>
        <v>14.782794486195156</v>
      </c>
    </row>
    <row r="91" spans="3:54" x14ac:dyDescent="0.3">
      <c r="D91">
        <v>6</v>
      </c>
      <c r="F91">
        <v>5</v>
      </c>
      <c r="G91" s="21"/>
      <c r="H91" s="21"/>
      <c r="I91" s="21"/>
      <c r="J91" s="21"/>
      <c r="K91" s="21"/>
      <c r="L91" s="22"/>
      <c r="M91" s="21"/>
      <c r="N91" s="23"/>
      <c r="O91" s="23"/>
      <c r="P91" s="24"/>
      <c r="Q91" s="24"/>
      <c r="R91" s="24"/>
      <c r="S91" s="25"/>
      <c r="T91" s="25"/>
      <c r="U91" s="26"/>
      <c r="V91" s="26"/>
      <c r="W91" s="27"/>
      <c r="X91" s="27"/>
      <c r="Z91" s="22"/>
      <c r="AA91" s="22"/>
      <c r="AE91">
        <v>6</v>
      </c>
      <c r="AG91">
        <f t="shared" si="29"/>
        <v>6.3629955637114666</v>
      </c>
      <c r="AH91" s="21">
        <f t="shared" si="30"/>
        <v>0.69584999233516864</v>
      </c>
      <c r="AI91" s="21">
        <f t="shared" si="30"/>
        <v>7.9368249333094667</v>
      </c>
      <c r="AJ91" s="21">
        <f t="shared" si="30"/>
        <v>1.7626244903318573</v>
      </c>
      <c r="AK91" s="21">
        <f t="shared" si="30"/>
        <v>8.072006306732586</v>
      </c>
      <c r="AL91" s="21">
        <f t="shared" si="30"/>
        <v>0.5325749126249878</v>
      </c>
      <c r="AM91" s="22" t="e">
        <f t="shared" si="31"/>
        <v>#VALUE!</v>
      </c>
      <c r="AN91" s="21">
        <f t="shared" si="28"/>
        <v>1.3813229555348356</v>
      </c>
      <c r="AO91" s="23">
        <f t="shared" si="28"/>
        <v>1.3905216159776517</v>
      </c>
      <c r="AP91" s="23">
        <f t="shared" si="28"/>
        <v>0.27810432319553036</v>
      </c>
      <c r="AQ91" s="24">
        <f t="shared" si="28"/>
        <v>9.4815558288461474</v>
      </c>
      <c r="AR91" s="24">
        <f t="shared" si="28"/>
        <v>3.8729691234778896</v>
      </c>
      <c r="AS91" s="24">
        <f t="shared" si="28"/>
        <v>4.2962927154619086</v>
      </c>
      <c r="AT91" s="25" t="e">
        <f t="shared" si="32"/>
        <v>#VALUE!</v>
      </c>
      <c r="AU91" s="25" t="e">
        <f t="shared" si="32"/>
        <v>#VALUE!</v>
      </c>
      <c r="AV91" s="26" t="e">
        <f t="shared" si="33"/>
        <v>#VALUE!</v>
      </c>
      <c r="AW91" s="26" t="e">
        <f t="shared" si="33"/>
        <v>#VALUE!</v>
      </c>
      <c r="AX91" s="27" t="e">
        <f t="shared" si="33"/>
        <v>#VALUE!</v>
      </c>
      <c r="AY91" s="27" t="e">
        <f t="shared" si="33"/>
        <v>#VALUE!</v>
      </c>
      <c r="AZ91" t="e">
        <f>NA()</f>
        <v>#N/A</v>
      </c>
      <c r="BA91" s="22">
        <f t="shared" si="34"/>
        <v>2.0142685645997358</v>
      </c>
      <c r="BB91" s="22">
        <f t="shared" si="35"/>
        <v>15.432606061895561</v>
      </c>
    </row>
    <row r="92" spans="3:54" x14ac:dyDescent="0.3">
      <c r="D92">
        <v>7</v>
      </c>
      <c r="F92">
        <v>6</v>
      </c>
      <c r="G92" s="21"/>
      <c r="H92" s="21"/>
      <c r="I92" s="21"/>
      <c r="J92" s="21"/>
      <c r="K92" s="21"/>
      <c r="L92" s="22"/>
      <c r="M92" s="21"/>
      <c r="N92" s="23"/>
      <c r="O92" s="23"/>
      <c r="P92" s="24"/>
      <c r="Q92" s="24"/>
      <c r="R92" s="24"/>
      <c r="S92" s="25"/>
      <c r="T92" s="25"/>
      <c r="U92" s="26"/>
      <c r="V92" s="26"/>
      <c r="W92" s="27"/>
      <c r="X92" s="27"/>
      <c r="Z92" s="22"/>
      <c r="AA92" s="22"/>
      <c r="AE92">
        <v>7</v>
      </c>
      <c r="AG92">
        <f t="shared" si="29"/>
        <v>6.6918426322768392</v>
      </c>
      <c r="AH92" s="21">
        <f t="shared" si="30"/>
        <v>0.83484789960091776</v>
      </c>
      <c r="AI92" s="21">
        <f t="shared" si="30"/>
        <v>8.5024678099175244</v>
      </c>
      <c r="AJ92" s="21">
        <f t="shared" si="30"/>
        <v>2.0079796846016382</v>
      </c>
      <c r="AK92" s="21">
        <f t="shared" si="30"/>
        <v>8.6450841726967393</v>
      </c>
      <c r="AL92" s="21">
        <f t="shared" si="30"/>
        <v>0.62447190906816807</v>
      </c>
      <c r="AM92" s="22" t="e">
        <f t="shared" si="31"/>
        <v>#VALUE!</v>
      </c>
      <c r="AN92" s="21">
        <f t="shared" si="28"/>
        <v>1.5130454113327059</v>
      </c>
      <c r="AO92" s="23">
        <f t="shared" si="28"/>
        <v>1.4983335524238552</v>
      </c>
      <c r="AP92" s="23">
        <f t="shared" si="28"/>
        <v>0.29966671048477106</v>
      </c>
      <c r="AQ92" s="24">
        <f t="shared" si="28"/>
        <v>10.061457348379594</v>
      </c>
      <c r="AR92" s="24">
        <f t="shared" si="28"/>
        <v>4.170450393263736</v>
      </c>
      <c r="AS92" s="24">
        <f t="shared" si="28"/>
        <v>4.851543726736498</v>
      </c>
      <c r="AT92" s="25" t="e">
        <f t="shared" si="32"/>
        <v>#VALUE!</v>
      </c>
      <c r="AU92" s="25" t="e">
        <f t="shared" si="32"/>
        <v>#VALUE!</v>
      </c>
      <c r="AV92" s="26" t="e">
        <f t="shared" si="33"/>
        <v>#VALUE!</v>
      </c>
      <c r="AW92" s="26" t="e">
        <f t="shared" si="33"/>
        <v>#VALUE!</v>
      </c>
      <c r="AX92" s="27" t="e">
        <f t="shared" si="33"/>
        <v>#VALUE!</v>
      </c>
      <c r="AY92" s="27" t="e">
        <f t="shared" si="33"/>
        <v>#VALUE!</v>
      </c>
      <c r="AZ92" t="e">
        <f>NA()</f>
        <v>#N/A</v>
      </c>
      <c r="BA92" s="22">
        <f t="shared" si="34"/>
        <v>2.2600420165351838</v>
      </c>
      <c r="BB92" s="22">
        <f t="shared" si="35"/>
        <v>16.10519300182181</v>
      </c>
    </row>
    <row r="93" spans="3:54" x14ac:dyDescent="0.3">
      <c r="D93">
        <v>8</v>
      </c>
      <c r="F93">
        <v>7</v>
      </c>
      <c r="G93" s="21"/>
      <c r="H93" s="21"/>
      <c r="I93" s="21"/>
      <c r="J93" s="21"/>
      <c r="K93" s="21"/>
      <c r="L93" s="22"/>
      <c r="M93" s="21"/>
      <c r="N93" s="23"/>
      <c r="O93" s="23"/>
      <c r="P93" s="24"/>
      <c r="Q93" s="24"/>
      <c r="R93" s="24"/>
      <c r="S93" s="25"/>
      <c r="T93" s="25"/>
      <c r="U93" s="26"/>
      <c r="V93" s="26"/>
      <c r="W93" s="27"/>
      <c r="X93" s="27"/>
      <c r="Z93" s="22"/>
      <c r="AA93" s="22"/>
      <c r="AE93">
        <v>8</v>
      </c>
      <c r="AG93">
        <f t="shared" si="29"/>
        <v>7.0376849027752071</v>
      </c>
      <c r="AH93" s="21">
        <f t="shared" si="30"/>
        <v>0.99948537324391962</v>
      </c>
      <c r="AI93" s="21">
        <f t="shared" si="30"/>
        <v>9.1053553506319336</v>
      </c>
      <c r="AJ93" s="21">
        <f t="shared" si="30"/>
        <v>2.285155888460388</v>
      </c>
      <c r="AK93" s="21">
        <f t="shared" si="30"/>
        <v>9.2556166292679123</v>
      </c>
      <c r="AL93" s="21">
        <f t="shared" si="30"/>
        <v>0.73076059834169638</v>
      </c>
      <c r="AM93" s="22" t="e">
        <f t="shared" si="31"/>
        <v>#VALUE!</v>
      </c>
      <c r="AN93" s="21">
        <f t="shared" si="28"/>
        <v>1.6565283860148301</v>
      </c>
      <c r="AO93" s="23">
        <f t="shared" si="28"/>
        <v>1.6140216777281104</v>
      </c>
      <c r="AP93" s="23">
        <f t="shared" si="28"/>
        <v>0.3228043355456221</v>
      </c>
      <c r="AQ93" s="24">
        <f t="shared" si="28"/>
        <v>10.673555656991883</v>
      </c>
      <c r="AR93" s="24">
        <f t="shared" si="28"/>
        <v>4.4882173532843579</v>
      </c>
      <c r="AS93" s="24">
        <f t="shared" si="28"/>
        <v>5.4684763636010993</v>
      </c>
      <c r="AT93" s="25" t="e">
        <f t="shared" si="32"/>
        <v>#VALUE!</v>
      </c>
      <c r="AU93" s="25" t="e">
        <f t="shared" si="32"/>
        <v>#VALUE!</v>
      </c>
      <c r="AV93" s="26" t="e">
        <f t="shared" si="33"/>
        <v>#VALUE!</v>
      </c>
      <c r="AW93" s="26" t="e">
        <f t="shared" si="33"/>
        <v>#VALUE!</v>
      </c>
      <c r="AX93" s="27" t="e">
        <f t="shared" si="33"/>
        <v>#VALUE!</v>
      </c>
      <c r="AY93" s="27" t="e">
        <f t="shared" si="33"/>
        <v>#VALUE!</v>
      </c>
      <c r="AZ93" t="e">
        <f>NA()</f>
        <v>#N/A</v>
      </c>
      <c r="BA93" s="22">
        <f t="shared" si="34"/>
        <v>2.5315505048349469</v>
      </c>
      <c r="BB93" s="22">
        <f t="shared" si="35"/>
        <v>16.800780306816559</v>
      </c>
    </row>
    <row r="94" spans="3:54" x14ac:dyDescent="0.3">
      <c r="D94">
        <v>9</v>
      </c>
      <c r="F94">
        <v>8</v>
      </c>
      <c r="G94" s="21"/>
      <c r="H94" s="21"/>
      <c r="I94" s="21"/>
      <c r="J94" s="21"/>
      <c r="K94" s="21"/>
      <c r="L94" s="22"/>
      <c r="M94" s="21"/>
      <c r="N94" s="23"/>
      <c r="O94" s="23"/>
      <c r="P94" s="24"/>
      <c r="Q94" s="24"/>
      <c r="R94" s="24"/>
      <c r="S94" s="25"/>
      <c r="T94" s="25"/>
      <c r="U94" s="26"/>
      <c r="V94" s="26"/>
      <c r="W94" s="27"/>
      <c r="X94" s="27"/>
      <c r="Z94" s="22"/>
      <c r="AA94" s="22"/>
      <c r="AE94">
        <v>9</v>
      </c>
      <c r="AG94">
        <f t="shared" si="29"/>
        <v>7.4014007071619208</v>
      </c>
      <c r="AH94" s="21">
        <f t="shared" si="30"/>
        <v>1.1939427821968873</v>
      </c>
      <c r="AI94" s="21">
        <f t="shared" si="30"/>
        <v>9.7475502279572925</v>
      </c>
      <c r="AJ94" s="21">
        <f t="shared" si="30"/>
        <v>2.5978201499493228</v>
      </c>
      <c r="AK94" s="21">
        <f t="shared" si="30"/>
        <v>9.9056419630841397</v>
      </c>
      <c r="AL94" s="21">
        <f t="shared" si="30"/>
        <v>0.85335727031409003</v>
      </c>
      <c r="AM94" s="22" t="e">
        <f t="shared" si="31"/>
        <v>#VALUE!</v>
      </c>
      <c r="AN94" s="21">
        <f t="shared" si="28"/>
        <v>1.8127001620551855</v>
      </c>
      <c r="AO94" s="23">
        <f t="shared" si="28"/>
        <v>1.7380969246777072</v>
      </c>
      <c r="AP94" s="23">
        <f t="shared" si="28"/>
        <v>0.34761938493554151</v>
      </c>
      <c r="AQ94" s="24">
        <f t="shared" si="28"/>
        <v>11.319257167932895</v>
      </c>
      <c r="AR94" s="24">
        <f t="shared" si="28"/>
        <v>4.8273126437564446</v>
      </c>
      <c r="AS94" s="24">
        <f t="shared" si="28"/>
        <v>6.152069512561825</v>
      </c>
      <c r="AT94" s="25" t="e">
        <f t="shared" si="32"/>
        <v>#VALUE!</v>
      </c>
      <c r="AU94" s="25" t="e">
        <f t="shared" si="32"/>
        <v>#VALUE!</v>
      </c>
      <c r="AV94" s="26" t="e">
        <f t="shared" si="33"/>
        <v>#VALUE!</v>
      </c>
      <c r="AW94" s="26" t="e">
        <f t="shared" si="33"/>
        <v>#VALUE!</v>
      </c>
      <c r="AX94" s="27" t="e">
        <f t="shared" si="33"/>
        <v>#VALUE!</v>
      </c>
      <c r="AY94" s="27" t="e">
        <f t="shared" si="33"/>
        <v>#VALUE!</v>
      </c>
      <c r="AZ94" t="e">
        <f>NA()</f>
        <v>#N/A</v>
      </c>
      <c r="BA94" s="22">
        <f t="shared" si="34"/>
        <v>2.830728945738672</v>
      </c>
      <c r="BB94" s="22">
        <f t="shared" si="35"/>
        <v>17.519531548001279</v>
      </c>
    </row>
    <row r="95" spans="3:54" x14ac:dyDescent="0.3">
      <c r="D95">
        <v>10</v>
      </c>
      <c r="F95">
        <v>9</v>
      </c>
      <c r="G95" s="21"/>
      <c r="H95" s="21"/>
      <c r="I95" s="21"/>
      <c r="J95" s="21"/>
      <c r="K95" s="21"/>
      <c r="L95" s="22"/>
      <c r="M95" s="21"/>
      <c r="N95" s="23"/>
      <c r="O95" s="23"/>
      <c r="P95" s="24"/>
      <c r="Q95" s="24"/>
      <c r="R95" s="24"/>
      <c r="S95" s="25"/>
      <c r="T95" s="25"/>
      <c r="U95" s="26"/>
      <c r="V95" s="26"/>
      <c r="W95" s="27"/>
      <c r="X95" s="27"/>
      <c r="Z95" s="22"/>
      <c r="AA95" s="22"/>
      <c r="AE95">
        <v>10</v>
      </c>
      <c r="AG95">
        <f t="shared" si="29"/>
        <v>7.7839137706172403</v>
      </c>
      <c r="AH95" s="21">
        <f t="shared" si="30"/>
        <v>1.4229447486381714</v>
      </c>
      <c r="AI95" s="21">
        <f t="shared" si="30"/>
        <v>10.431179230108219</v>
      </c>
      <c r="AJ95" s="21">
        <f t="shared" si="30"/>
        <v>2.9499728429839185</v>
      </c>
      <c r="AK95" s="21">
        <f t="shared" si="30"/>
        <v>10.597256762381816</v>
      </c>
      <c r="AL95" s="21">
        <f t="shared" si="30"/>
        <v>0.99435795678173966</v>
      </c>
      <c r="AM95" s="22" t="e">
        <f t="shared" si="31"/>
        <v>#VALUE!</v>
      </c>
      <c r="AN95" s="21">
        <f t="shared" si="28"/>
        <v>1.9825438073377839</v>
      </c>
      <c r="AO95" s="23">
        <f t="shared" si="28"/>
        <v>1.8710947181860029</v>
      </c>
      <c r="AP95" s="23">
        <f t="shared" si="28"/>
        <v>0.37421894363720065</v>
      </c>
      <c r="AQ95" s="24">
        <f t="shared" si="28"/>
        <v>11.999984197683858</v>
      </c>
      <c r="AR95" s="24">
        <f t="shared" si="28"/>
        <v>5.1887864033575637</v>
      </c>
      <c r="AS95" s="24">
        <f t="shared" si="28"/>
        <v>6.9073612247583869</v>
      </c>
      <c r="AT95" s="25" t="e">
        <f t="shared" si="32"/>
        <v>#VALUE!</v>
      </c>
      <c r="AU95" s="25" t="e">
        <f t="shared" si="32"/>
        <v>#VALUE!</v>
      </c>
      <c r="AV95" s="26" t="e">
        <f t="shared" si="33"/>
        <v>#VALUE!</v>
      </c>
      <c r="AW95" s="26" t="e">
        <f t="shared" si="33"/>
        <v>#VALUE!</v>
      </c>
      <c r="AX95" s="27" t="e">
        <f t="shared" si="33"/>
        <v>#VALUE!</v>
      </c>
      <c r="AY95" s="27" t="e">
        <f t="shared" si="33"/>
        <v>#VALUE!</v>
      </c>
      <c r="AZ95" t="e">
        <f>NA()</f>
        <v>#N/A</v>
      </c>
      <c r="BA95" s="22">
        <f t="shared" si="34"/>
        <v>3.1595234540901544</v>
      </c>
      <c r="BB95" s="22">
        <f t="shared" si="35"/>
        <v>18.261541737293015</v>
      </c>
    </row>
    <row r="96" spans="3:54" x14ac:dyDescent="0.3">
      <c r="D96">
        <v>11</v>
      </c>
      <c r="F96">
        <v>10</v>
      </c>
      <c r="G96" s="21"/>
      <c r="H96" s="21"/>
      <c r="I96" s="21"/>
      <c r="J96" s="21"/>
      <c r="K96" s="21"/>
      <c r="L96" s="22"/>
      <c r="M96" s="21"/>
      <c r="N96" s="23"/>
      <c r="O96" s="23"/>
      <c r="P96" s="24"/>
      <c r="Q96" s="24"/>
      <c r="R96" s="24"/>
      <c r="S96" s="25"/>
      <c r="T96" s="25"/>
      <c r="U96" s="26"/>
      <c r="V96" s="26"/>
      <c r="W96" s="27"/>
      <c r="X96" s="27"/>
      <c r="Z96" s="22"/>
      <c r="AA96" s="22"/>
      <c r="AE96">
        <v>11</v>
      </c>
      <c r="AG96">
        <f t="shared" si="29"/>
        <v>8.1861955575214029</v>
      </c>
      <c r="AH96" s="21">
        <f t="shared" si="30"/>
        <v>1.6917973106724558</v>
      </c>
      <c r="AI96" s="21">
        <f t="shared" si="30"/>
        <v>11.158428230006605</v>
      </c>
      <c r="AJ96" s="21">
        <f t="shared" si="30"/>
        <v>3.3459605429297077</v>
      </c>
      <c r="AK96" s="21">
        <f t="shared" si="30"/>
        <v>11.332610163357888</v>
      </c>
      <c r="AL96" s="21">
        <f t="shared" si="30"/>
        <v>1.156038427305826</v>
      </c>
      <c r="AM96" s="22" t="e">
        <f t="shared" si="31"/>
        <v>#VALUE!</v>
      </c>
      <c r="AN96" s="21">
        <f t="shared" si="28"/>
        <v>2.1670975034468527</v>
      </c>
      <c r="AO96" s="23">
        <f t="shared" si="28"/>
        <v>2.0135749335753355</v>
      </c>
      <c r="AP96" s="23">
        <f t="shared" si="28"/>
        <v>0.40271498671506711</v>
      </c>
      <c r="AQ96" s="24">
        <f t="shared" si="28"/>
        <v>12.717168825697899</v>
      </c>
      <c r="AR96" s="24">
        <f t="shared" si="28"/>
        <v>5.5736889814778774</v>
      </c>
      <c r="AS96" s="24">
        <f t="shared" si="28"/>
        <v>7.7393781878571692</v>
      </c>
      <c r="AT96" s="25" t="e">
        <f t="shared" si="32"/>
        <v>#VALUE!</v>
      </c>
      <c r="AU96" s="25" t="e">
        <f t="shared" si="32"/>
        <v>#VALUE!</v>
      </c>
      <c r="AV96" s="26" t="e">
        <f t="shared" si="33"/>
        <v>#VALUE!</v>
      </c>
      <c r="AW96" s="26" t="e">
        <f t="shared" si="33"/>
        <v>#VALUE!</v>
      </c>
      <c r="AX96" s="27" t="e">
        <f t="shared" si="33"/>
        <v>#VALUE!</v>
      </c>
      <c r="AY96" s="27" t="e">
        <f t="shared" si="33"/>
        <v>#VALUE!</v>
      </c>
      <c r="AZ96" t="e">
        <f>NA()</f>
        <v>#N/A</v>
      </c>
      <c r="BA96" s="22">
        <f t="shared" si="34"/>
        <v>3.5198639660875943</v>
      </c>
      <c r="BB96" s="22">
        <f t="shared" si="35"/>
        <v>19.026829879951023</v>
      </c>
    </row>
    <row r="97" spans="4:54" x14ac:dyDescent="0.3">
      <c r="D97">
        <v>12</v>
      </c>
      <c r="F97">
        <v>11</v>
      </c>
      <c r="G97" s="21"/>
      <c r="H97" s="21"/>
      <c r="I97" s="21"/>
      <c r="J97" s="21"/>
      <c r="K97" s="21"/>
      <c r="L97" s="22"/>
      <c r="M97" s="21"/>
      <c r="N97" s="23"/>
      <c r="O97" s="23"/>
      <c r="P97" s="24"/>
      <c r="Q97" s="24"/>
      <c r="R97" s="24"/>
      <c r="S97" s="25"/>
      <c r="T97" s="25"/>
      <c r="U97" s="26"/>
      <c r="V97" s="26"/>
      <c r="W97" s="27"/>
      <c r="X97" s="27"/>
      <c r="Z97" s="22"/>
      <c r="AA97" s="22"/>
      <c r="AE97">
        <v>12</v>
      </c>
      <c r="AG97">
        <f t="shared" si="29"/>
        <v>8.6092677386724414</v>
      </c>
      <c r="AH97" s="21">
        <f t="shared" si="30"/>
        <v>2.0064188707603425</v>
      </c>
      <c r="AI97" s="21">
        <f t="shared" si="30"/>
        <v>11.931535913766654</v>
      </c>
      <c r="AJ97" s="21">
        <f t="shared" si="30"/>
        <v>3.7904856152055864</v>
      </c>
      <c r="AK97" s="21">
        <f t="shared" si="30"/>
        <v>12.113896802191853</v>
      </c>
      <c r="AL97" s="21">
        <f t="shared" si="30"/>
        <v>1.3408496664615894</v>
      </c>
      <c r="AM97" s="22" t="e">
        <f t="shared" si="31"/>
        <v>#VALUE!</v>
      </c>
      <c r="AN97" s="21">
        <f t="shared" si="28"/>
        <v>2.3674543222584972</v>
      </c>
      <c r="AO97" s="23">
        <f t="shared" si="28"/>
        <v>2.1661216414350166</v>
      </c>
      <c r="AP97" s="23">
        <f t="shared" si="28"/>
        <v>0.43322432828700336</v>
      </c>
      <c r="AQ97" s="24">
        <f t="shared" si="28"/>
        <v>13.472245839635139</v>
      </c>
      <c r="AR97" s="24">
        <f t="shared" si="28"/>
        <v>5.9830625535660298</v>
      </c>
      <c r="AS97" s="24">
        <f t="shared" si="28"/>
        <v>8.6530522906097573</v>
      </c>
      <c r="AT97" s="25" t="e">
        <f t="shared" si="32"/>
        <v>#VALUE!</v>
      </c>
      <c r="AU97" s="25" t="e">
        <f t="shared" si="32"/>
        <v>#VALUE!</v>
      </c>
      <c r="AV97" s="26" t="e">
        <f t="shared" si="33"/>
        <v>#VALUE!</v>
      </c>
      <c r="AW97" s="26" t="e">
        <f t="shared" si="33"/>
        <v>#VALUE!</v>
      </c>
      <c r="AX97" s="27" t="e">
        <f t="shared" si="33"/>
        <v>#VALUE!</v>
      </c>
      <c r="AY97" s="27" t="e">
        <f t="shared" si="33"/>
        <v>#VALUE!</v>
      </c>
      <c r="AZ97" t="e">
        <f>NA()</f>
        <v>#N/A</v>
      </c>
      <c r="BA97" s="22">
        <f t="shared" si="34"/>
        <v>3.9136322338345422</v>
      </c>
      <c r="BB97" s="22">
        <f t="shared" si="35"/>
        <v>19.815331246827085</v>
      </c>
    </row>
    <row r="98" spans="4:54" x14ac:dyDescent="0.3">
      <c r="D98">
        <v>13</v>
      </c>
      <c r="F98">
        <v>12</v>
      </c>
      <c r="G98" s="21"/>
      <c r="H98" s="21"/>
      <c r="I98" s="21"/>
      <c r="J98" s="21"/>
      <c r="K98" s="21"/>
      <c r="L98" s="22"/>
      <c r="M98" s="21"/>
      <c r="N98" s="23"/>
      <c r="O98" s="23"/>
      <c r="P98" s="24"/>
      <c r="Q98" s="24"/>
      <c r="R98" s="24"/>
      <c r="S98" s="25"/>
      <c r="T98" s="25"/>
      <c r="U98" s="26"/>
      <c r="V98" s="26"/>
      <c r="W98" s="27"/>
      <c r="X98" s="27"/>
      <c r="Z98" s="22"/>
      <c r="AA98" s="22"/>
      <c r="AE98">
        <v>13</v>
      </c>
      <c r="AG98">
        <f t="shared" si="29"/>
        <v>9.0542047860126846</v>
      </c>
      <c r="AH98" s="21">
        <f t="shared" si="30"/>
        <v>2.3733621217616743</v>
      </c>
      <c r="AI98" s="21">
        <f t="shared" si="30"/>
        <v>12.752786135724072</v>
      </c>
      <c r="AJ98" s="21">
        <f t="shared" si="30"/>
        <v>4.2886115548373649</v>
      </c>
      <c r="AK98" s="21">
        <f t="shared" si="30"/>
        <v>12.943348341010529</v>
      </c>
      <c r="AL98" s="21">
        <f t="shared" si="30"/>
        <v>1.5514078526936175</v>
      </c>
      <c r="AM98" s="22" t="e">
        <f t="shared" si="31"/>
        <v>#VALUE!</v>
      </c>
      <c r="AN98" s="21">
        <f t="shared" si="28"/>
        <v>2.5847613506937099</v>
      </c>
      <c r="AO98" s="23">
        <f t="shared" si="28"/>
        <v>2.3293426057079767</v>
      </c>
      <c r="AP98" s="23">
        <f t="shared" si="28"/>
        <v>0.46586852114159544</v>
      </c>
      <c r="AQ98" s="24">
        <f t="shared" si="28"/>
        <v>14.266644698107616</v>
      </c>
      <c r="AR98" s="24">
        <f t="shared" si="28"/>
        <v>6.4179315755567661</v>
      </c>
      <c r="AS98" s="24">
        <f t="shared" si="28"/>
        <v>9.6531240495030097</v>
      </c>
      <c r="AT98" s="25" t="e">
        <f t="shared" si="32"/>
        <v>#VALUE!</v>
      </c>
      <c r="AU98" s="25" t="e">
        <f t="shared" si="32"/>
        <v>#VALUE!</v>
      </c>
      <c r="AV98" s="26" t="e">
        <f t="shared" si="33"/>
        <v>#VALUE!</v>
      </c>
      <c r="AW98" s="26" t="e">
        <f t="shared" si="33"/>
        <v>#VALUE!</v>
      </c>
      <c r="AX98" s="27" t="e">
        <f t="shared" si="33"/>
        <v>#VALUE!</v>
      </c>
      <c r="AY98" s="27" t="e">
        <f t="shared" si="33"/>
        <v>#VALUE!</v>
      </c>
      <c r="AZ98" t="e">
        <f>NA()</f>
        <v>#N/A</v>
      </c>
      <c r="BA98" s="22">
        <f t="shared" si="34"/>
        <v>4.3426251385065333</v>
      </c>
      <c r="BB98" s="22">
        <f t="shared" si="35"/>
        <v>20.626889414744454</v>
      </c>
    </row>
    <row r="99" spans="4:54" x14ac:dyDescent="0.3">
      <c r="D99">
        <v>14</v>
      </c>
      <c r="F99">
        <v>13</v>
      </c>
      <c r="G99" s="21"/>
      <c r="H99" s="21"/>
      <c r="I99" s="21"/>
      <c r="J99" s="21"/>
      <c r="K99" s="21"/>
      <c r="L99" s="22"/>
      <c r="M99" s="21"/>
      <c r="N99" s="23"/>
      <c r="O99" s="23"/>
      <c r="P99" s="24"/>
      <c r="Q99" s="24"/>
      <c r="R99" s="24"/>
      <c r="S99" s="25"/>
      <c r="T99" s="25"/>
      <c r="U99" s="26"/>
      <c r="V99" s="26"/>
      <c r="W99" s="27"/>
      <c r="X99" s="27"/>
      <c r="Z99" s="22"/>
      <c r="AA99" s="22"/>
      <c r="AE99">
        <v>14</v>
      </c>
      <c r="AG99">
        <f t="shared" si="29"/>
        <v>9.5221367014538032</v>
      </c>
      <c r="AH99" s="21">
        <f t="shared" si="30"/>
        <v>2.7998237073091685</v>
      </c>
      <c r="AI99" s="21">
        <f t="shared" si="30"/>
        <v>13.624498762602569</v>
      </c>
      <c r="AJ99" s="21">
        <f t="shared" si="30"/>
        <v>4.8457629959641473</v>
      </c>
      <c r="AK99" s="21">
        <f t="shared" si="30"/>
        <v>13.82322343292779</v>
      </c>
      <c r="AL99" s="21">
        <f t="shared" si="30"/>
        <v>1.7904778199615414</v>
      </c>
      <c r="AM99" s="22" t="e">
        <f t="shared" si="31"/>
        <v>#VALUE!</v>
      </c>
      <c r="AN99" s="21">
        <f t="shared" si="28"/>
        <v>2.8202180546128401</v>
      </c>
      <c r="AO99" s="23">
        <f t="shared" si="28"/>
        <v>2.5038684988522526</v>
      </c>
      <c r="AP99" s="23">
        <f t="shared" si="28"/>
        <v>0.50077369977045061</v>
      </c>
      <c r="AQ99" s="24">
        <f t="shared" si="28"/>
        <v>15.101780444482557</v>
      </c>
      <c r="AR99" s="24">
        <f t="shared" si="28"/>
        <v>6.8792920230657488</v>
      </c>
      <c r="AS99" s="24">
        <f t="shared" si="28"/>
        <v>10.74403309673205</v>
      </c>
      <c r="AT99" s="25" t="e">
        <f t="shared" si="32"/>
        <v>#VALUE!</v>
      </c>
      <c r="AU99" s="25" t="e">
        <f t="shared" si="32"/>
        <v>#VALUE!</v>
      </c>
      <c r="AV99" s="26" t="e">
        <f t="shared" si="33"/>
        <v>#VALUE!</v>
      </c>
      <c r="AW99" s="26" t="e">
        <f t="shared" si="33"/>
        <v>#VALUE!</v>
      </c>
      <c r="AX99" s="27" t="e">
        <f t="shared" si="33"/>
        <v>#VALUE!</v>
      </c>
      <c r="AY99" s="27" t="e">
        <f t="shared" si="33"/>
        <v>#VALUE!</v>
      </c>
      <c r="AZ99" t="e">
        <f>NA()</f>
        <v>#N/A</v>
      </c>
      <c r="BA99" s="22">
        <f t="shared" si="34"/>
        <v>4.8085134193224865</v>
      </c>
      <c r="BB99" s="22">
        <f t="shared" si="35"/>
        <v>21.461248135405022</v>
      </c>
    </row>
    <row r="100" spans="4:54" x14ac:dyDescent="0.3">
      <c r="D100">
        <v>15</v>
      </c>
      <c r="F100">
        <v>14</v>
      </c>
      <c r="G100" s="21"/>
      <c r="H100" s="21"/>
      <c r="I100" s="21"/>
      <c r="J100" s="21"/>
      <c r="K100" s="21"/>
      <c r="L100" s="22"/>
      <c r="M100" s="21"/>
      <c r="N100" s="23"/>
      <c r="O100" s="23"/>
      <c r="P100" s="24"/>
      <c r="Q100" s="24"/>
      <c r="R100" s="24"/>
      <c r="S100" s="25"/>
      <c r="T100" s="25"/>
      <c r="U100" s="26"/>
      <c r="V100" s="26"/>
      <c r="W100" s="27"/>
      <c r="X100" s="27"/>
      <c r="Z100" s="22"/>
      <c r="AA100" s="22"/>
      <c r="AE100">
        <v>15</v>
      </c>
      <c r="AG100">
        <f t="shared" si="29"/>
        <v>10.014251886730682</v>
      </c>
      <c r="AH100" s="21">
        <f t="shared" si="30"/>
        <v>3.2936379733239312</v>
      </c>
      <c r="AI100" s="21">
        <f t="shared" si="30"/>
        <v>14.549018866577301</v>
      </c>
      <c r="AJ100" s="21">
        <f t="shared" si="30"/>
        <v>5.4677191965940048</v>
      </c>
      <c r="AK100" s="21">
        <f t="shared" si="30"/>
        <v>14.755795990036919</v>
      </c>
      <c r="AL100" s="21">
        <f t="shared" si="30"/>
        <v>2.0609489837609134</v>
      </c>
      <c r="AM100" s="22" t="e">
        <f t="shared" si="31"/>
        <v>#VALUE!</v>
      </c>
      <c r="AN100" s="21">
        <f t="shared" si="28"/>
        <v>3.0750737643901025</v>
      </c>
      <c r="AO100" s="23">
        <f t="shared" si="28"/>
        <v>2.6903517951685907</v>
      </c>
      <c r="AP100" s="23">
        <f t="shared" si="28"/>
        <v>0.53807035903371814</v>
      </c>
      <c r="AQ100" s="24">
        <f t="shared" si="28"/>
        <v>15.97904350831603</v>
      </c>
      <c r="AR100" s="24">
        <f t="shared" si="28"/>
        <v>7.3680993741523828</v>
      </c>
      <c r="AS100" s="24">
        <f t="shared" si="28"/>
        <v>11.929796455981192</v>
      </c>
      <c r="AT100" s="25" t="e">
        <f t="shared" si="32"/>
        <v>#VALUE!</v>
      </c>
      <c r="AU100" s="25" t="e">
        <f t="shared" si="32"/>
        <v>#VALUE!</v>
      </c>
      <c r="AV100" s="26" t="e">
        <f t="shared" si="33"/>
        <v>#VALUE!</v>
      </c>
      <c r="AW100" s="26" t="e">
        <f t="shared" si="33"/>
        <v>#VALUE!</v>
      </c>
      <c r="AX100" s="27" t="e">
        <f t="shared" si="33"/>
        <v>#VALUE!</v>
      </c>
      <c r="AY100" s="27" t="e">
        <f t="shared" si="33"/>
        <v>#VALUE!</v>
      </c>
      <c r="AZ100" t="e">
        <f>NA()</f>
        <v>#N/A</v>
      </c>
      <c r="BA100" s="22">
        <f t="shared" si="34"/>
        <v>5.312796098392691</v>
      </c>
      <c r="BB100" s="22">
        <f t="shared" si="35"/>
        <v>22.318043106416557</v>
      </c>
    </row>
    <row r="101" spans="4:54" x14ac:dyDescent="0.3">
      <c r="D101">
        <v>16</v>
      </c>
      <c r="F101">
        <v>15</v>
      </c>
      <c r="G101" s="21"/>
      <c r="H101" s="21"/>
      <c r="I101" s="21"/>
      <c r="J101" s="21"/>
      <c r="K101" s="21"/>
      <c r="L101" s="22"/>
      <c r="M101" s="21"/>
      <c r="N101" s="23"/>
      <c r="O101" s="23"/>
      <c r="P101" s="24"/>
      <c r="Q101" s="24"/>
      <c r="R101" s="24"/>
      <c r="S101" s="25"/>
      <c r="T101" s="25"/>
      <c r="U101" s="26"/>
      <c r="V101" s="26"/>
      <c r="W101" s="27"/>
      <c r="X101" s="27"/>
      <c r="Z101" s="22"/>
      <c r="AA101" s="22"/>
      <c r="AE101">
        <v>16</v>
      </c>
      <c r="AG101">
        <f t="shared" si="29"/>
        <v>10.531800161572754</v>
      </c>
      <c r="AH101" s="21">
        <f t="shared" si="30"/>
        <v>3.8632508400336203</v>
      </c>
      <c r="AI101" s="21">
        <f t="shared" si="30"/>
        <v>15.528704126239509</v>
      </c>
      <c r="AJ101" s="21">
        <f t="shared" si="30"/>
        <v>6.160599701652254</v>
      </c>
      <c r="AK101" s="21">
        <f t="shared" si="30"/>
        <v>15.743341619350804</v>
      </c>
      <c r="AL101" s="21">
        <f t="shared" si="30"/>
        <v>2.3658027651333886</v>
      </c>
      <c r="AM101" s="22" t="e">
        <f t="shared" si="31"/>
        <v>#VALUE!</v>
      </c>
      <c r="AN101" s="21">
        <f t="shared" si="28"/>
        <v>3.3506241570498867</v>
      </c>
      <c r="AO101" s="23">
        <f t="shared" si="28"/>
        <v>2.8894653007559969</v>
      </c>
      <c r="AP101" s="23">
        <f t="shared" si="28"/>
        <v>0.57789306015119946</v>
      </c>
      <c r="AQ101" s="24">
        <f t="shared" si="28"/>
        <v>16.899788335779387</v>
      </c>
      <c r="AR101" s="24">
        <f t="shared" si="28"/>
        <v>7.8852553114356683</v>
      </c>
      <c r="AS101" s="24">
        <f t="shared" si="28"/>
        <v>13.21387595504976</v>
      </c>
      <c r="AT101" s="25" t="e">
        <f t="shared" si="32"/>
        <v>#VALUE!</v>
      </c>
      <c r="AU101" s="25" t="e">
        <f t="shared" si="32"/>
        <v>#VALUE!</v>
      </c>
      <c r="AV101" s="26" t="e">
        <f t="shared" si="33"/>
        <v>#VALUE!</v>
      </c>
      <c r="AW101" s="26" t="e">
        <f t="shared" si="33"/>
        <v>#VALUE!</v>
      </c>
      <c r="AX101" s="27" t="e">
        <f t="shared" si="33"/>
        <v>#VALUE!</v>
      </c>
      <c r="AY101" s="27" t="e">
        <f t="shared" si="33"/>
        <v>#VALUE!</v>
      </c>
      <c r="AZ101" t="e">
        <f>NA()</f>
        <v>#N/A</v>
      </c>
      <c r="BA101" s="22">
        <f t="shared" si="34"/>
        <v>5.8567510962214326</v>
      </c>
      <c r="BB101" s="22">
        <f t="shared" si="35"/>
        <v>23.196793732401211</v>
      </c>
    </row>
    <row r="102" spans="4:54" x14ac:dyDescent="0.3">
      <c r="D102">
        <v>17</v>
      </c>
      <c r="F102">
        <v>16</v>
      </c>
      <c r="G102" s="21"/>
      <c r="H102" s="21"/>
      <c r="I102" s="21"/>
      <c r="J102" s="21"/>
      <c r="K102" s="21"/>
      <c r="L102" s="22"/>
      <c r="M102" s="21"/>
      <c r="N102" s="23"/>
      <c r="O102" s="23"/>
      <c r="P102" s="24"/>
      <c r="Q102" s="24"/>
      <c r="R102" s="24"/>
      <c r="S102" s="25"/>
      <c r="T102" s="25"/>
      <c r="U102" s="26"/>
      <c r="V102" s="26"/>
      <c r="W102" s="27"/>
      <c r="X102" s="27"/>
      <c r="Z102" s="22"/>
      <c r="AA102" s="22"/>
      <c r="AE102">
        <v>17</v>
      </c>
      <c r="AG102">
        <f t="shared" si="29"/>
        <v>11.076095937857938</v>
      </c>
      <c r="AH102" s="21">
        <f t="shared" si="30"/>
        <v>4.5176696140154444</v>
      </c>
      <c r="AI102" s="21">
        <f t="shared" si="30"/>
        <v>16.565910296295055</v>
      </c>
      <c r="AJ102" s="21">
        <f t="shared" si="30"/>
        <v>6.9308408042144665</v>
      </c>
      <c r="AK102" s="21">
        <f t="shared" si="30"/>
        <v>16.788122095706118</v>
      </c>
      <c r="AL102" s="21">
        <f t="shared" si="30"/>
        <v>2.7080706626197912</v>
      </c>
      <c r="AM102" s="22" t="e">
        <f t="shared" si="31"/>
        <v>#VALUE!</v>
      </c>
      <c r="AN102" s="21">
        <f t="shared" ref="AN102:AS117" si="36">AN30*AN$12</f>
        <v>3.6482066033899554</v>
      </c>
      <c r="AO102" s="23">
        <f t="shared" si="36"/>
        <v>3.1019002761418419</v>
      </c>
      <c r="AP102" s="23">
        <f t="shared" si="36"/>
        <v>0.62038005522836837</v>
      </c>
      <c r="AQ102" s="24">
        <f t="shared" si="36"/>
        <v>17.865320797295215</v>
      </c>
      <c r="AR102" s="24">
        <f t="shared" si="36"/>
        <v>8.4315931406378812</v>
      </c>
      <c r="AS102" s="24">
        <f t="shared" si="36"/>
        <v>14.599036833393697</v>
      </c>
      <c r="AT102" s="25" t="e">
        <f t="shared" si="32"/>
        <v>#VALUE!</v>
      </c>
      <c r="AU102" s="25" t="e">
        <f t="shared" si="32"/>
        <v>#VALUE!</v>
      </c>
      <c r="AV102" s="26" t="e">
        <f t="shared" si="33"/>
        <v>#VALUE!</v>
      </c>
      <c r="AW102" s="26" t="e">
        <f t="shared" si="33"/>
        <v>#VALUE!</v>
      </c>
      <c r="AX102" s="27" t="e">
        <f t="shared" si="33"/>
        <v>#VALUE!</v>
      </c>
      <c r="AY102" s="27" t="e">
        <f t="shared" si="33"/>
        <v>#VALUE!</v>
      </c>
      <c r="AZ102" t="e">
        <f>NA()</f>
        <v>#N/A</v>
      </c>
      <c r="BA102" s="22">
        <f t="shared" si="34"/>
        <v>6.4413827763758125</v>
      </c>
      <c r="BB102" s="22">
        <f t="shared" si="35"/>
        <v>24.096894979605345</v>
      </c>
    </row>
    <row r="103" spans="4:54" x14ac:dyDescent="0.3">
      <c r="D103">
        <v>18</v>
      </c>
      <c r="F103">
        <v>17</v>
      </c>
      <c r="G103" s="21"/>
      <c r="H103" s="21"/>
      <c r="I103" s="21"/>
      <c r="J103" s="21"/>
      <c r="K103" s="21"/>
      <c r="L103" s="22"/>
      <c r="M103" s="21"/>
      <c r="N103" s="23"/>
      <c r="O103" s="23"/>
      <c r="P103" s="24"/>
      <c r="Q103" s="24"/>
      <c r="R103" s="24"/>
      <c r="S103" s="25"/>
      <c r="T103" s="25"/>
      <c r="U103" s="26"/>
      <c r="V103" s="26"/>
      <c r="W103" s="27"/>
      <c r="X103" s="27"/>
      <c r="Z103" s="22"/>
      <c r="AA103" s="22"/>
      <c r="AE103">
        <v>18</v>
      </c>
      <c r="AG103">
        <f t="shared" si="29"/>
        <v>11.648521557810575</v>
      </c>
      <c r="AH103" s="21">
        <f t="shared" ref="AH103:AL118" si="37">AH31*AH$12</f>
        <v>5.2663845198147072</v>
      </c>
      <c r="AI103" s="21">
        <f t="shared" si="37"/>
        <v>17.66297461180924</v>
      </c>
      <c r="AJ103" s="21">
        <f t="shared" si="37"/>
        <v>7.785161369876251</v>
      </c>
      <c r="AK103" s="21">
        <f t="shared" si="37"/>
        <v>17.892367748162638</v>
      </c>
      <c r="AL103" s="21">
        <f t="shared" si="37"/>
        <v>3.0907823150454372</v>
      </c>
      <c r="AM103" s="22" t="e">
        <f t="shared" si="31"/>
        <v>#VALUE!</v>
      </c>
      <c r="AN103" s="21">
        <f t="shared" si="36"/>
        <v>3.9691942437525163</v>
      </c>
      <c r="AO103" s="23">
        <f t="shared" si="36"/>
        <v>3.3283641055383222</v>
      </c>
      <c r="AP103" s="23">
        <f t="shared" si="36"/>
        <v>0.66567282110766457</v>
      </c>
      <c r="AQ103" s="24">
        <f t="shared" si="36"/>
        <v>18.876884329838106</v>
      </c>
      <c r="AR103" s="24">
        <f t="shared" si="36"/>
        <v>9.00786194862971</v>
      </c>
      <c r="AS103" s="24">
        <f t="shared" si="36"/>
        <v>16.087200381271753</v>
      </c>
      <c r="AT103" s="25" t="e">
        <f t="shared" ref="AT103:AU118" si="38">AT31</f>
        <v>#VALUE!</v>
      </c>
      <c r="AU103" s="25" t="e">
        <f t="shared" si="38"/>
        <v>#VALUE!</v>
      </c>
      <c r="AV103" s="26" t="e">
        <f t="shared" ref="AV103:AY118" si="39">AV31*AV$12</f>
        <v>#VALUE!</v>
      </c>
      <c r="AW103" s="26" t="e">
        <f t="shared" si="39"/>
        <v>#VALUE!</v>
      </c>
      <c r="AX103" s="27" t="e">
        <f t="shared" si="39"/>
        <v>#VALUE!</v>
      </c>
      <c r="AY103" s="27" t="e">
        <f t="shared" si="39"/>
        <v>#VALUE!</v>
      </c>
      <c r="AZ103" t="e">
        <f>NA()</f>
        <v>#N/A</v>
      </c>
      <c r="BA103" s="22">
        <f t="shared" si="34"/>
        <v>7.0673674252349006</v>
      </c>
      <c r="BB103" s="22">
        <f t="shared" si="35"/>
        <v>25.01760944384058</v>
      </c>
    </row>
    <row r="104" spans="4:54" x14ac:dyDescent="0.3">
      <c r="D104">
        <v>19</v>
      </c>
      <c r="F104">
        <v>18</v>
      </c>
      <c r="G104" s="21"/>
      <c r="H104" s="21"/>
      <c r="I104" s="21"/>
      <c r="J104" s="21"/>
      <c r="K104" s="21"/>
      <c r="L104" s="22"/>
      <c r="M104" s="21"/>
      <c r="N104" s="23"/>
      <c r="O104" s="23"/>
      <c r="P104" s="24"/>
      <c r="Q104" s="24"/>
      <c r="R104" s="24"/>
      <c r="S104" s="25"/>
      <c r="T104" s="25"/>
      <c r="U104" s="26"/>
      <c r="V104" s="26"/>
      <c r="W104" s="27"/>
      <c r="X104" s="27"/>
      <c r="Z104" s="22"/>
      <c r="AA104" s="22"/>
      <c r="AE104">
        <v>19</v>
      </c>
      <c r="AG104">
        <f t="shared" si="29"/>
        <v>12.250530804721352</v>
      </c>
      <c r="AH104" s="21">
        <f t="shared" si="37"/>
        <v>6.1192579180419653</v>
      </c>
      <c r="AI104" s="21">
        <f t="shared" si="37"/>
        <v>18.822197001563598</v>
      </c>
      <c r="AJ104" s="21">
        <f t="shared" si="37"/>
        <v>8.7305165730120713</v>
      </c>
      <c r="AK104" s="21">
        <f t="shared" si="37"/>
        <v>19.058257648077177</v>
      </c>
      <c r="AL104" s="21">
        <f t="shared" si="37"/>
        <v>3.5169031783040272</v>
      </c>
      <c r="AM104" s="22" t="e">
        <f t="shared" si="31"/>
        <v>#VALUE!</v>
      </c>
      <c r="AN104" s="21">
        <f t="shared" si="36"/>
        <v>4.3149886536031126</v>
      </c>
      <c r="AO104" s="23">
        <f t="shared" si="36"/>
        <v>3.5695774650277068</v>
      </c>
      <c r="AP104" s="23">
        <f t="shared" si="36"/>
        <v>0.71391549300554136</v>
      </c>
      <c r="AQ104" s="24">
        <f t="shared" si="36"/>
        <v>19.935644783313084</v>
      </c>
      <c r="AR104" s="24">
        <f t="shared" si="36"/>
        <v>9.6147095550981589</v>
      </c>
      <c r="AS104" s="24">
        <f t="shared" si="36"/>
        <v>17.679294269181174</v>
      </c>
      <c r="AT104" s="25" t="e">
        <f t="shared" si="38"/>
        <v>#VALUE!</v>
      </c>
      <c r="AU104" s="25" t="e">
        <f t="shared" si="38"/>
        <v>#VALUE!</v>
      </c>
      <c r="AV104" s="26" t="e">
        <f t="shared" si="39"/>
        <v>#VALUE!</v>
      </c>
      <c r="AW104" s="26" t="e">
        <f t="shared" si="39"/>
        <v>#VALUE!</v>
      </c>
      <c r="AX104" s="27" t="e">
        <f t="shared" si="39"/>
        <v>#VALUE!</v>
      </c>
      <c r="AY104" s="27" t="e">
        <f t="shared" si="39"/>
        <v>#VALUE!</v>
      </c>
      <c r="AZ104" t="e">
        <f>NA()</f>
        <v>#N/A</v>
      </c>
      <c r="BA104" s="22">
        <f t="shared" si="34"/>
        <v>7.7349979554772714</v>
      </c>
      <c r="BB104" s="22">
        <f t="shared" si="35"/>
        <v>25.958059768741798</v>
      </c>
    </row>
    <row r="105" spans="4:54" x14ac:dyDescent="0.3">
      <c r="D105">
        <v>20</v>
      </c>
      <c r="F105">
        <v>19</v>
      </c>
      <c r="G105" s="21"/>
      <c r="H105" s="21"/>
      <c r="I105" s="21"/>
      <c r="J105" s="21"/>
      <c r="K105" s="21"/>
      <c r="L105" s="22"/>
      <c r="M105" s="21"/>
      <c r="N105" s="23"/>
      <c r="O105" s="23"/>
      <c r="P105" s="24"/>
      <c r="Q105" s="24"/>
      <c r="R105" s="24"/>
      <c r="S105" s="25"/>
      <c r="T105" s="25"/>
      <c r="U105" s="26"/>
      <c r="V105" s="26"/>
      <c r="W105" s="27"/>
      <c r="X105" s="27"/>
      <c r="Z105" s="22"/>
      <c r="AA105" s="22"/>
      <c r="AE105">
        <v>20</v>
      </c>
      <c r="AG105">
        <f t="shared" si="29"/>
        <v>12.883652595105344</v>
      </c>
      <c r="AH105" s="21">
        <f t="shared" si="37"/>
        <v>7.0863776510298999</v>
      </c>
      <c r="AI105" s="21">
        <f t="shared" si="37"/>
        <v>20.045818998293822</v>
      </c>
      <c r="AJ105" s="21">
        <f t="shared" si="37"/>
        <v>9.7740381280278683</v>
      </c>
      <c r="AK105" s="21">
        <f t="shared" si="37"/>
        <v>20.287897503499497</v>
      </c>
      <c r="AL105" s="21">
        <f t="shared" si="37"/>
        <v>3.9892618147047738</v>
      </c>
      <c r="AM105" s="22" t="e">
        <f t="shared" si="31"/>
        <v>#VALUE!</v>
      </c>
      <c r="AN105" s="21">
        <f t="shared" si="36"/>
        <v>4.6870109604905448</v>
      </c>
      <c r="AO105" s="23">
        <f t="shared" si="36"/>
        <v>3.8262709409205953</v>
      </c>
      <c r="AP105" s="23">
        <f t="shared" si="36"/>
        <v>0.76525418818411917</v>
      </c>
      <c r="AQ105" s="24">
        <f t="shared" si="36"/>
        <v>21.042673955445593</v>
      </c>
      <c r="AR105" s="24">
        <f t="shared" si="36"/>
        <v>10.252664348300444</v>
      </c>
      <c r="AS105" s="24">
        <f t="shared" si="36"/>
        <v>19.375105055319043</v>
      </c>
      <c r="AT105" s="25" t="e">
        <f t="shared" si="38"/>
        <v>#VALUE!</v>
      </c>
      <c r="AU105" s="25" t="e">
        <f t="shared" si="38"/>
        <v>#VALUE!</v>
      </c>
      <c r="AV105" s="26" t="e">
        <f t="shared" si="39"/>
        <v>#VALUE!</v>
      </c>
      <c r="AW105" s="26" t="e">
        <f t="shared" si="39"/>
        <v>#VALUE!</v>
      </c>
      <c r="AX105" s="27" t="e">
        <f t="shared" si="39"/>
        <v>#VALUE!</v>
      </c>
      <c r="AY105" s="27" t="e">
        <f t="shared" si="39"/>
        <v>#VALUE!</v>
      </c>
      <c r="AZ105" t="e">
        <f>NA()</f>
        <v>#N/A</v>
      </c>
      <c r="BA105" s="22">
        <f t="shared" si="34"/>
        <v>8.4441294084708289</v>
      </c>
      <c r="BB105" s="22">
        <f t="shared" si="35"/>
        <v>26.917221568951458</v>
      </c>
    </row>
    <row r="106" spans="4:54" x14ac:dyDescent="0.3">
      <c r="D106">
        <v>21</v>
      </c>
      <c r="F106">
        <v>20</v>
      </c>
      <c r="G106" s="21"/>
      <c r="H106" s="21"/>
      <c r="I106" s="21"/>
      <c r="J106" s="21"/>
      <c r="K106" s="21"/>
      <c r="L106" s="22"/>
      <c r="M106" s="21"/>
      <c r="N106" s="23"/>
      <c r="O106" s="23"/>
      <c r="P106" s="24"/>
      <c r="Q106" s="24"/>
      <c r="R106" s="24"/>
      <c r="S106" s="25"/>
      <c r="T106" s="25"/>
      <c r="U106" s="26"/>
      <c r="V106" s="26"/>
      <c r="W106" s="27"/>
      <c r="X106" s="27"/>
      <c r="Z106" s="22"/>
      <c r="AA106" s="22"/>
      <c r="AE106">
        <v>21</v>
      </c>
      <c r="AG106">
        <f t="shared" si="29"/>
        <v>13.549494861675118</v>
      </c>
      <c r="AH106" s="21">
        <f t="shared" si="37"/>
        <v>8.1778717750812682</v>
      </c>
      <c r="AI106" s="21">
        <f t="shared" si="37"/>
        <v>21.336000251951745</v>
      </c>
      <c r="AJ106" s="21">
        <f t="shared" si="37"/>
        <v>10.922959696428254</v>
      </c>
      <c r="AK106" s="21">
        <f t="shared" si="37"/>
        <v>21.583295186545662</v>
      </c>
      <c r="AL106" s="21">
        <f t="shared" si="37"/>
        <v>4.5104672671220944</v>
      </c>
      <c r="AM106" s="22" t="e">
        <f t="shared" si="31"/>
        <v>#VALUE!</v>
      </c>
      <c r="AN106" s="21">
        <f t="shared" si="36"/>
        <v>5.0866912780172076</v>
      </c>
      <c r="AO106" s="23">
        <f t="shared" si="36"/>
        <v>4.0991810492310465</v>
      </c>
      <c r="AP106" s="23">
        <f t="shared" si="36"/>
        <v>0.81983620984620942</v>
      </c>
      <c r="AQ106" s="24">
        <f t="shared" si="36"/>
        <v>22.198931818049683</v>
      </c>
      <c r="AR106" s="24">
        <f t="shared" si="36"/>
        <v>10.922116137115802</v>
      </c>
      <c r="AS106" s="24">
        <f t="shared" si="36"/>
        <v>21.173138148282909</v>
      </c>
      <c r="AT106" s="25" t="e">
        <f t="shared" si="38"/>
        <v>#VALUE!</v>
      </c>
      <c r="AU106" s="25" t="e">
        <f t="shared" si="38"/>
        <v>#VALUE!</v>
      </c>
      <c r="AV106" s="26" t="e">
        <f t="shared" si="39"/>
        <v>#VALUE!</v>
      </c>
      <c r="AW106" s="26" t="e">
        <f t="shared" si="39"/>
        <v>#VALUE!</v>
      </c>
      <c r="AX106" s="27" t="e">
        <f t="shared" si="39"/>
        <v>#VALUE!</v>
      </c>
      <c r="AY106" s="27" t="e">
        <f t="shared" si="39"/>
        <v>#VALUE!</v>
      </c>
      <c r="AZ106" t="e">
        <f>NA()</f>
        <v>#N/A</v>
      </c>
      <c r="BA106" s="22">
        <f t="shared" si="34"/>
        <v>9.1941271060496259</v>
      </c>
      <c r="BB106" s="22">
        <f t="shared" si="35"/>
        <v>27.89391703056722</v>
      </c>
    </row>
    <row r="107" spans="4:54" x14ac:dyDescent="0.3">
      <c r="D107">
        <v>22</v>
      </c>
      <c r="F107">
        <v>21</v>
      </c>
      <c r="G107" s="21"/>
      <c r="H107" s="21"/>
      <c r="I107" s="21"/>
      <c r="J107" s="21"/>
      <c r="K107" s="21"/>
      <c r="L107" s="22"/>
      <c r="M107" s="21"/>
      <c r="N107" s="23"/>
      <c r="O107" s="23"/>
      <c r="P107" s="24"/>
      <c r="Q107" s="24"/>
      <c r="R107" s="24"/>
      <c r="S107" s="25"/>
      <c r="T107" s="25"/>
      <c r="U107" s="26"/>
      <c r="V107" s="26"/>
      <c r="W107" s="27"/>
      <c r="X107" s="27"/>
      <c r="Z107" s="22"/>
      <c r="AA107" s="22"/>
      <c r="AE107">
        <v>22</v>
      </c>
      <c r="AG107">
        <f t="shared" si="29"/>
        <v>14.249748636990411</v>
      </c>
      <c r="AH107" s="21">
        <f t="shared" si="37"/>
        <v>9.4036831483452996</v>
      </c>
      <c r="AI107" s="21">
        <f t="shared" si="37"/>
        <v>22.694792576429975</v>
      </c>
      <c r="AJ107" s="21">
        <f t="shared" si="37"/>
        <v>12.184526324959879</v>
      </c>
      <c r="AK107" s="21">
        <f t="shared" si="37"/>
        <v>22.946333848689431</v>
      </c>
      <c r="AL107" s="21">
        <f t="shared" si="37"/>
        <v>5.0828175588581068</v>
      </c>
      <c r="AM107" s="22" t="e">
        <f t="shared" si="31"/>
        <v>#VALUE!</v>
      </c>
      <c r="AN107" s="21">
        <f t="shared" si="36"/>
        <v>5.5154563309476181</v>
      </c>
      <c r="AO107" s="23">
        <f t="shared" si="36"/>
        <v>4.3890456078590665</v>
      </c>
      <c r="AP107" s="23">
        <f t="shared" si="36"/>
        <v>0.87780912157181334</v>
      </c>
      <c r="AQ107" s="24">
        <f t="shared" si="36"/>
        <v>23.405247459719128</v>
      </c>
      <c r="AR107" s="24">
        <f t="shared" si="36"/>
        <v>11.623296198697872</v>
      </c>
      <c r="AS107" s="24">
        <f t="shared" si="36"/>
        <v>23.070491195865504</v>
      </c>
      <c r="AT107" s="25" t="e">
        <f t="shared" si="38"/>
        <v>#VALUE!</v>
      </c>
      <c r="AU107" s="25" t="e">
        <f t="shared" si="38"/>
        <v>#VALUE!</v>
      </c>
      <c r="AV107" s="26" t="e">
        <f t="shared" si="39"/>
        <v>#VALUE!</v>
      </c>
      <c r="AW107" s="26" t="e">
        <f t="shared" si="39"/>
        <v>#VALUE!</v>
      </c>
      <c r="AX107" s="27" t="e">
        <f t="shared" si="39"/>
        <v>#VALUE!</v>
      </c>
      <c r="AY107" s="27" t="e">
        <f t="shared" si="39"/>
        <v>#VALUE!</v>
      </c>
      <c r="AZ107" t="e">
        <f>NA()</f>
        <v>#N/A</v>
      </c>
      <c r="BA107" s="22">
        <f t="shared" si="34"/>
        <v>9.9838195481303416</v>
      </c>
      <c r="BB107" s="22">
        <f t="shared" si="35"/>
        <v>28.886809378562386</v>
      </c>
    </row>
    <row r="108" spans="4:54" x14ac:dyDescent="0.3">
      <c r="D108">
        <v>23</v>
      </c>
      <c r="F108">
        <v>22</v>
      </c>
      <c r="G108" s="21"/>
      <c r="H108" s="21"/>
      <c r="I108" s="21"/>
      <c r="J108" s="21"/>
      <c r="K108" s="21"/>
      <c r="L108" s="22"/>
      <c r="M108" s="21"/>
      <c r="N108" s="23"/>
      <c r="O108" s="23"/>
      <c r="P108" s="24"/>
      <c r="Q108" s="24"/>
      <c r="R108" s="24"/>
      <c r="S108" s="25"/>
      <c r="T108" s="25"/>
      <c r="U108" s="26"/>
      <c r="V108" s="26"/>
      <c r="W108" s="27"/>
      <c r="X108" s="27"/>
      <c r="Z108" s="22"/>
      <c r="AA108" s="22"/>
      <c r="AE108">
        <v>23</v>
      </c>
      <c r="AG108">
        <f t="shared" si="29"/>
        <v>14.986192348155662</v>
      </c>
      <c r="AH108" s="21">
        <f t="shared" si="37"/>
        <v>10.773303977533738</v>
      </c>
      <c r="AI108" s="21">
        <f t="shared" si="37"/>
        <v>24.12411149117295</v>
      </c>
      <c r="AJ108" s="21">
        <f t="shared" si="37"/>
        <v>13.565887034520195</v>
      </c>
      <c r="AK108" s="21">
        <f t="shared" si="37"/>
        <v>24.378742614209628</v>
      </c>
      <c r="AL108" s="21">
        <f t="shared" si="37"/>
        <v>5.7082010122661613</v>
      </c>
      <c r="AM108" s="22" t="e">
        <f t="shared" si="31"/>
        <v>#VALUE!</v>
      </c>
      <c r="AN108" s="21">
        <f t="shared" si="36"/>
        <v>5.9747151593811569</v>
      </c>
      <c r="AO108" s="23">
        <f t="shared" si="36"/>
        <v>4.6965984148753037</v>
      </c>
      <c r="AP108" s="23">
        <f t="shared" si="36"/>
        <v>0.93931968297506085</v>
      </c>
      <c r="AQ108" s="24">
        <f t="shared" si="36"/>
        <v>24.662298796224622</v>
      </c>
      <c r="AR108" s="24">
        <f t="shared" si="36"/>
        <v>12.356256753172859</v>
      </c>
      <c r="AS108" s="24">
        <f t="shared" si="36"/>
        <v>25.062747404463273</v>
      </c>
      <c r="AT108" s="25" t="e">
        <f t="shared" si="38"/>
        <v>#VALUE!</v>
      </c>
      <c r="AU108" s="25" t="e">
        <f t="shared" si="38"/>
        <v>#VALUE!</v>
      </c>
      <c r="AV108" s="26" t="e">
        <f t="shared" si="39"/>
        <v>#VALUE!</v>
      </c>
      <c r="AW108" s="26" t="e">
        <f t="shared" si="39"/>
        <v>#VALUE!</v>
      </c>
      <c r="AX108" s="27" t="e">
        <f t="shared" si="39"/>
        <v>#VALUE!</v>
      </c>
      <c r="AY108" s="27" t="e">
        <f t="shared" si="39"/>
        <v>#VALUE!</v>
      </c>
      <c r="AZ108" t="e">
        <f>NA()</f>
        <v>#N/A</v>
      </c>
      <c r="BA108" s="22">
        <f t="shared" si="34"/>
        <v>10.811458348307974</v>
      </c>
      <c r="BB108" s="22">
        <f t="shared" si="35"/>
        <v>29.894398417343787</v>
      </c>
    </row>
    <row r="109" spans="4:54" x14ac:dyDescent="0.3">
      <c r="D109">
        <v>24</v>
      </c>
      <c r="F109">
        <v>23</v>
      </c>
      <c r="G109" s="21"/>
      <c r="H109" s="21"/>
      <c r="I109" s="21"/>
      <c r="J109" s="21"/>
      <c r="K109" s="21"/>
      <c r="L109" s="22"/>
      <c r="M109" s="21"/>
      <c r="N109" s="23"/>
      <c r="O109" s="23"/>
      <c r="P109" s="24"/>
      <c r="Q109" s="24"/>
      <c r="R109" s="24"/>
      <c r="S109" s="25"/>
      <c r="T109" s="25"/>
      <c r="U109" s="26"/>
      <c r="V109" s="26"/>
      <c r="W109" s="27"/>
      <c r="X109" s="27"/>
      <c r="Z109" s="22"/>
      <c r="AA109" s="22"/>
      <c r="AE109">
        <v>24</v>
      </c>
      <c r="AG109">
        <f t="shared" si="29"/>
        <v>15.760696333472486</v>
      </c>
      <c r="AH109" s="21">
        <f t="shared" si="37"/>
        <v>12.29547249237585</v>
      </c>
      <c r="AI109" s="21">
        <f t="shared" si="37"/>
        <v>25.625705257525212</v>
      </c>
      <c r="AJ109" s="21">
        <f t="shared" si="37"/>
        <v>15.073970046223749</v>
      </c>
      <c r="AK109" s="21">
        <f t="shared" si="37"/>
        <v>25.882064885042073</v>
      </c>
      <c r="AL109" s="21">
        <f t="shared" si="37"/>
        <v>6.3879927933942859</v>
      </c>
      <c r="AM109" s="22" t="e">
        <f t="shared" si="31"/>
        <v>#VALUE!</v>
      </c>
      <c r="AN109" s="21">
        <f t="shared" si="36"/>
        <v>6.4658428099088461</v>
      </c>
      <c r="AO109" s="23">
        <f t="shared" si="36"/>
        <v>5.0225631894960445</v>
      </c>
      <c r="AP109" s="23">
        <f t="shared" si="36"/>
        <v>1.0045126378992089</v>
      </c>
      <c r="AQ109" s="24">
        <f t="shared" si="36"/>
        <v>25.970591130465799</v>
      </c>
      <c r="AR109" s="24">
        <f t="shared" si="36"/>
        <v>13.120850153456013</v>
      </c>
      <c r="AS109" s="24">
        <f t="shared" si="36"/>
        <v>27.143895598312671</v>
      </c>
      <c r="AT109" s="25" t="e">
        <f t="shared" si="38"/>
        <v>#VALUE!</v>
      </c>
      <c r="AU109" s="25" t="e">
        <f t="shared" si="38"/>
        <v>#VALUE!</v>
      </c>
      <c r="AV109" s="26" t="e">
        <f t="shared" si="39"/>
        <v>#VALUE!</v>
      </c>
      <c r="AW109" s="26" t="e">
        <f t="shared" si="39"/>
        <v>#VALUE!</v>
      </c>
      <c r="AX109" s="27" t="e">
        <f t="shared" si="39"/>
        <v>#VALUE!</v>
      </c>
      <c r="AY109" s="27" t="e">
        <f t="shared" si="39"/>
        <v>#VALUE!</v>
      </c>
      <c r="AZ109" t="e">
        <f>NA()</f>
        <v>#N/A</v>
      </c>
      <c r="BA109" s="22">
        <f t="shared" si="34"/>
        <v>11.674687622140109</v>
      </c>
      <c r="BB109" s="22">
        <f t="shared" si="35"/>
        <v>30.915017365473059</v>
      </c>
    </row>
    <row r="110" spans="4:54" x14ac:dyDescent="0.3">
      <c r="D110">
        <v>25</v>
      </c>
      <c r="F110">
        <v>24</v>
      </c>
      <c r="G110" s="21"/>
      <c r="H110" s="21"/>
      <c r="I110" s="21"/>
      <c r="J110" s="21"/>
      <c r="K110" s="21"/>
      <c r="L110" s="22"/>
      <c r="M110" s="21"/>
      <c r="N110" s="23"/>
      <c r="O110" s="23"/>
      <c r="P110" s="24"/>
      <c r="Q110" s="24"/>
      <c r="R110" s="24"/>
      <c r="S110" s="25"/>
      <c r="T110" s="25"/>
      <c r="U110" s="26"/>
      <c r="V110" s="26"/>
      <c r="W110" s="27"/>
      <c r="X110" s="27"/>
      <c r="Z110" s="22"/>
      <c r="AA110" s="22"/>
      <c r="AE110">
        <v>25</v>
      </c>
      <c r="AG110">
        <f t="shared" si="29"/>
        <v>16.575227592518086</v>
      </c>
      <c r="AH110" s="21">
        <f t="shared" si="37"/>
        <v>13.97783638744372</v>
      </c>
      <c r="AI110" s="21">
        <f t="shared" si="37"/>
        <v>27.201121456255766</v>
      </c>
      <c r="AJ110" s="21">
        <f t="shared" si="37"/>
        <v>16.715340610203491</v>
      </c>
      <c r="AK110" s="21">
        <f t="shared" si="37"/>
        <v>27.457624341646245</v>
      </c>
      <c r="AL110" s="21">
        <f t="shared" si="37"/>
        <v>7.1229498337648067</v>
      </c>
      <c r="AM110" s="22" t="e">
        <f t="shared" si="31"/>
        <v>#VALUE!</v>
      </c>
      <c r="AN110" s="21">
        <f t="shared" si="36"/>
        <v>6.9901619487695292</v>
      </c>
      <c r="AO110" s="23">
        <f t="shared" si="36"/>
        <v>5.367646737169351</v>
      </c>
      <c r="AP110" s="23">
        <f t="shared" si="36"/>
        <v>1.0735293474338703</v>
      </c>
      <c r="AQ110" s="24">
        <f t="shared" si="36"/>
        <v>27.330434678927809</v>
      </c>
      <c r="AR110" s="24">
        <f t="shared" si="36"/>
        <v>13.916708138472403</v>
      </c>
      <c r="AS110" s="24">
        <f t="shared" si="36"/>
        <v>29.306283834020238</v>
      </c>
      <c r="AT110" s="25" t="e">
        <f t="shared" si="38"/>
        <v>#VALUE!</v>
      </c>
      <c r="AU110" s="25" t="e">
        <f t="shared" si="38"/>
        <v>#VALUE!</v>
      </c>
      <c r="AV110" s="26" t="e">
        <f t="shared" si="39"/>
        <v>#VALUE!</v>
      </c>
      <c r="AW110" s="26" t="e">
        <f t="shared" si="39"/>
        <v>#VALUE!</v>
      </c>
      <c r="AX110" s="27" t="e">
        <f t="shared" si="39"/>
        <v>#VALUE!</v>
      </c>
      <c r="AY110" s="27" t="e">
        <f t="shared" si="39"/>
        <v>#VALUE!</v>
      </c>
      <c r="AZ110" t="e">
        <f>NA()</f>
        <v>#N/A</v>
      </c>
      <c r="BA110" s="22">
        <f t="shared" si="34"/>
        <v>12.570525268810712</v>
      </c>
      <c r="BB110" s="22">
        <f t="shared" si="35"/>
        <v>31.94683121805673</v>
      </c>
    </row>
    <row r="111" spans="4:54" x14ac:dyDescent="0.3">
      <c r="D111">
        <v>26</v>
      </c>
      <c r="F111">
        <v>25</v>
      </c>
      <c r="G111" s="21"/>
      <c r="H111" s="21"/>
      <c r="I111" s="21"/>
      <c r="J111" s="21"/>
      <c r="K111" s="21"/>
      <c r="L111" s="22"/>
      <c r="M111" s="21"/>
      <c r="N111" s="23"/>
      <c r="O111" s="23"/>
      <c r="P111" s="24"/>
      <c r="Q111" s="24"/>
      <c r="R111" s="24"/>
      <c r="S111" s="25"/>
      <c r="T111" s="25"/>
      <c r="U111" s="26"/>
      <c r="V111" s="26"/>
      <c r="W111" s="27"/>
      <c r="X111" s="27"/>
      <c r="Z111" s="22"/>
      <c r="AA111" s="22"/>
      <c r="AE111">
        <v>26</v>
      </c>
      <c r="AG111">
        <f t="shared" si="29"/>
        <v>17.431854781713245</v>
      </c>
      <c r="AH111" s="21">
        <f t="shared" si="37"/>
        <v>15.826590477865325</v>
      </c>
      <c r="AI111" s="21">
        <f t="shared" si="37"/>
        <v>28.85167120807645</v>
      </c>
      <c r="AJ111" s="21">
        <f t="shared" si="37"/>
        <v>18.496042001176683</v>
      </c>
      <c r="AK111" s="21">
        <f t="shared" si="37"/>
        <v>29.106488784728317</v>
      </c>
      <c r="AL111" s="21">
        <f t="shared" si="37"/>
        <v>7.9131080100424658</v>
      </c>
      <c r="AM111" s="22" t="e">
        <f t="shared" si="31"/>
        <v>#VALUE!</v>
      </c>
      <c r="AN111" s="21">
        <f t="shared" si="36"/>
        <v>7.5489223670968899</v>
      </c>
      <c r="AO111" s="23">
        <f t="shared" si="36"/>
        <v>5.7325313069296202</v>
      </c>
      <c r="AP111" s="23">
        <f t="shared" si="36"/>
        <v>1.146506261385924</v>
      </c>
      <c r="AQ111" s="24">
        <f t="shared" si="36"/>
        <v>28.741921221344036</v>
      </c>
      <c r="AR111" s="24">
        <f t="shared" si="36"/>
        <v>14.743221560586713</v>
      </c>
      <c r="AS111" s="24">
        <f t="shared" si="36"/>
        <v>31.54061302941393</v>
      </c>
      <c r="AT111" s="25" t="e">
        <f t="shared" si="38"/>
        <v>#VALUE!</v>
      </c>
      <c r="AU111" s="25" t="e">
        <f t="shared" si="38"/>
        <v>#VALUE!</v>
      </c>
      <c r="AV111" s="26" t="e">
        <f t="shared" si="39"/>
        <v>#VALUE!</v>
      </c>
      <c r="AW111" s="26" t="e">
        <f t="shared" si="39"/>
        <v>#VALUE!</v>
      </c>
      <c r="AX111" s="27" t="e">
        <f t="shared" si="39"/>
        <v>#VALUE!</v>
      </c>
      <c r="AY111" s="27" t="e">
        <f t="shared" si="39"/>
        <v>#VALUE!</v>
      </c>
      <c r="AZ111" t="e">
        <f>NA()</f>
        <v>#N/A</v>
      </c>
      <c r="BA111" s="22">
        <f t="shared" si="34"/>
        <v>13.495358493862168</v>
      </c>
      <c r="BB111" s="22">
        <f t="shared" si="35"/>
        <v>32.987836879500364</v>
      </c>
    </row>
    <row r="112" spans="4:54" x14ac:dyDescent="0.3">
      <c r="D112">
        <v>27</v>
      </c>
      <c r="F112">
        <v>26</v>
      </c>
      <c r="G112" s="21"/>
      <c r="H112" s="21"/>
      <c r="I112" s="21"/>
      <c r="J112" s="21"/>
      <c r="K112" s="21"/>
      <c r="L112" s="22"/>
      <c r="M112" s="21"/>
      <c r="N112" s="23"/>
      <c r="O112" s="23"/>
      <c r="P112" s="24"/>
      <c r="Q112" s="24"/>
      <c r="R112" s="24"/>
      <c r="S112" s="25"/>
      <c r="T112" s="25"/>
      <c r="U112" s="26"/>
      <c r="V112" s="26"/>
      <c r="W112" s="27"/>
      <c r="X112" s="27"/>
      <c r="Z112" s="22"/>
      <c r="AA112" s="22"/>
      <c r="AE112">
        <v>27</v>
      </c>
      <c r="AG112">
        <f t="shared" si="29"/>
        <v>18.332753468067196</v>
      </c>
      <c r="AH112" s="21">
        <f t="shared" si="37"/>
        <v>17.846099040278144</v>
      </c>
      <c r="AI112" s="21">
        <f t="shared" si="37"/>
        <v>30.578391203652519</v>
      </c>
      <c r="AJ112" s="21">
        <f t="shared" si="37"/>
        <v>20.421420964337806</v>
      </c>
      <c r="AK112" s="21">
        <f t="shared" si="37"/>
        <v>30.829432032128878</v>
      </c>
      <c r="AL112" s="21">
        <f t="shared" si="37"/>
        <v>8.7576861230967324</v>
      </c>
      <c r="AM112" s="22" t="e">
        <f t="shared" si="31"/>
        <v>#VALUE!</v>
      </c>
      <c r="AN112" s="21">
        <f t="shared" si="36"/>
        <v>8.143278392207483</v>
      </c>
      <c r="AO112" s="23">
        <f t="shared" si="36"/>
        <v>6.1178661180924898</v>
      </c>
      <c r="AP112" s="23">
        <f t="shared" si="36"/>
        <v>1.2235732236184982</v>
      </c>
      <c r="AQ112" s="24">
        <f t="shared" si="36"/>
        <v>30.204900074668323</v>
      </c>
      <c r="AR112" s="24">
        <f t="shared" si="36"/>
        <v>15.599521061159233</v>
      </c>
      <c r="AS112" s="24">
        <f t="shared" si="36"/>
        <v>33.835976294403523</v>
      </c>
      <c r="AT112" s="25" t="e">
        <f t="shared" si="38"/>
        <v>#VALUE!</v>
      </c>
      <c r="AU112" s="25" t="e">
        <f t="shared" si="38"/>
        <v>#VALUE!</v>
      </c>
      <c r="AV112" s="26" t="e">
        <f t="shared" si="39"/>
        <v>#VALUE!</v>
      </c>
      <c r="AW112" s="26" t="e">
        <f t="shared" si="39"/>
        <v>#VALUE!</v>
      </c>
      <c r="AX112" s="27" t="e">
        <f t="shared" si="39"/>
        <v>#VALUE!</v>
      </c>
      <c r="AY112" s="27" t="e">
        <f t="shared" si="39"/>
        <v>#VALUE!</v>
      </c>
      <c r="AZ112" t="e">
        <f>NA()</f>
        <v>#N/A</v>
      </c>
      <c r="BA112" s="22">
        <f t="shared" si="34"/>
        <v>14.444955689473447</v>
      </c>
      <c r="BB112" s="22">
        <f t="shared" si="35"/>
        <v>34.035865314207868</v>
      </c>
    </row>
    <row r="113" spans="4:54" x14ac:dyDescent="0.3">
      <c r="D113">
        <v>28</v>
      </c>
      <c r="F113">
        <v>27</v>
      </c>
      <c r="G113" s="21"/>
      <c r="H113" s="21"/>
      <c r="I113" s="21"/>
      <c r="J113" s="21"/>
      <c r="K113" s="21"/>
      <c r="L113" s="22"/>
      <c r="M113" s="21"/>
      <c r="N113" s="23"/>
      <c r="O113" s="23"/>
      <c r="P113" s="24"/>
      <c r="Q113" s="24"/>
      <c r="R113" s="24"/>
      <c r="S113" s="25"/>
      <c r="T113" s="25"/>
      <c r="U113" s="26"/>
      <c r="V113" s="26"/>
      <c r="W113" s="27"/>
      <c r="X113" s="27"/>
      <c r="Z113" s="22"/>
      <c r="AA113" s="22"/>
      <c r="AE113">
        <v>28</v>
      </c>
      <c r="AG113">
        <f t="shared" si="29"/>
        <v>19.280211654442091</v>
      </c>
      <c r="AH113" s="21">
        <f t="shared" si="37"/>
        <v>20.038516381918853</v>
      </c>
      <c r="AI113" s="21">
        <f t="shared" si="37"/>
        <v>32.382003783905191</v>
      </c>
      <c r="AJ113" s="21">
        <f t="shared" si="37"/>
        <v>22.49593973090894</v>
      </c>
      <c r="AK113" s="21">
        <f t="shared" si="37"/>
        <v>32.626894164012967</v>
      </c>
      <c r="AL113" s="21">
        <f t="shared" si="37"/>
        <v>9.6550017463877129</v>
      </c>
      <c r="AM113" s="22" t="e">
        <f t="shared" si="31"/>
        <v>#VALUE!</v>
      </c>
      <c r="AN113" s="21">
        <f t="shared" si="36"/>
        <v>8.7742642721870823</v>
      </c>
      <c r="AO113" s="23">
        <f t="shared" si="36"/>
        <v>6.5242580447303213</v>
      </c>
      <c r="AP113" s="23">
        <f t="shared" si="36"/>
        <v>1.3048516089460642</v>
      </c>
      <c r="AQ113" s="24">
        <f t="shared" si="36"/>
        <v>31.718953641356816</v>
      </c>
      <c r="AR113" s="24">
        <f t="shared" si="36"/>
        <v>16.484459229672609</v>
      </c>
      <c r="AS113" s="24">
        <f t="shared" si="36"/>
        <v>36.179948432637289</v>
      </c>
      <c r="AT113" s="25" t="e">
        <f t="shared" si="38"/>
        <v>#VALUE!</v>
      </c>
      <c r="AU113" s="25" t="e">
        <f t="shared" si="38"/>
        <v>#VALUE!</v>
      </c>
      <c r="AV113" s="26" t="e">
        <f t="shared" si="39"/>
        <v>#VALUE!</v>
      </c>
      <c r="AW113" s="26" t="e">
        <f t="shared" si="39"/>
        <v>#VALUE!</v>
      </c>
      <c r="AX113" s="27" t="e">
        <f t="shared" si="39"/>
        <v>#VALUE!</v>
      </c>
      <c r="AY113" s="27" t="e">
        <f t="shared" si="39"/>
        <v>#VALUE!</v>
      </c>
      <c r="AZ113" t="e">
        <f>NA()</f>
        <v>#N/A</v>
      </c>
      <c r="BA113" s="22">
        <f t="shared" si="34"/>
        <v>15.414496405679966</v>
      </c>
      <c r="BB113" s="22">
        <f t="shared" si="35"/>
        <v>35.088585962273733</v>
      </c>
    </row>
    <row r="114" spans="4:54" x14ac:dyDescent="0.3">
      <c r="D114">
        <v>29</v>
      </c>
      <c r="F114">
        <v>28</v>
      </c>
      <c r="G114" s="21"/>
      <c r="H114" s="21"/>
      <c r="I114" s="21"/>
      <c r="J114" s="21"/>
      <c r="K114" s="21"/>
      <c r="L114" s="22"/>
      <c r="M114" s="21"/>
      <c r="N114" s="23"/>
      <c r="O114" s="23"/>
      <c r="P114" s="24"/>
      <c r="Q114" s="24"/>
      <c r="R114" s="24"/>
      <c r="S114" s="25"/>
      <c r="T114" s="25"/>
      <c r="U114" s="26"/>
      <c r="V114" s="26"/>
      <c r="W114" s="27"/>
      <c r="X114" s="27"/>
      <c r="Z114" s="22"/>
      <c r="AA114" s="22"/>
      <c r="AE114">
        <v>29</v>
      </c>
      <c r="AG114">
        <f t="shared" si="29"/>
        <v>20.276635590369683</v>
      </c>
      <c r="AH114" s="21">
        <f t="shared" si="37"/>
        <v>22.403422075825166</v>
      </c>
      <c r="AI114" s="21">
        <f t="shared" si="37"/>
        <v>34.262875395402681</v>
      </c>
      <c r="AJ114" s="21">
        <f t="shared" si="37"/>
        <v>24.722977661428889</v>
      </c>
      <c r="AK114" s="21">
        <f t="shared" si="37"/>
        <v>34.498940497536829</v>
      </c>
      <c r="AL114" s="21">
        <f t="shared" si="37"/>
        <v>10.602404341035006</v>
      </c>
      <c r="AM114" s="22" t="e">
        <f t="shared" si="31"/>
        <v>#VALUE!</v>
      </c>
      <c r="AN114" s="21">
        <f t="shared" si="36"/>
        <v>9.4427676642443625</v>
      </c>
      <c r="AO114" s="23">
        <f t="shared" si="36"/>
        <v>6.9522614604578035</v>
      </c>
      <c r="AP114" s="23">
        <f t="shared" si="36"/>
        <v>1.3904522920915607</v>
      </c>
      <c r="AQ114" s="24">
        <f t="shared" si="36"/>
        <v>33.28337283500904</v>
      </c>
      <c r="AR114" s="24">
        <f t="shared" si="36"/>
        <v>17.396594839148701</v>
      </c>
      <c r="AS114" s="24">
        <f t="shared" si="36"/>
        <v>38.55872841074325</v>
      </c>
      <c r="AT114" s="25" t="e">
        <f t="shared" si="38"/>
        <v>#VALUE!</v>
      </c>
      <c r="AU114" s="25" t="e">
        <f t="shared" si="38"/>
        <v>#VALUE!</v>
      </c>
      <c r="AV114" s="26" t="e">
        <f t="shared" si="39"/>
        <v>#VALUE!</v>
      </c>
      <c r="AW114" s="26" t="e">
        <f t="shared" si="39"/>
        <v>#VALUE!</v>
      </c>
      <c r="AX114" s="27" t="e">
        <f t="shared" si="39"/>
        <v>#VALUE!</v>
      </c>
      <c r="AY114" s="27" t="e">
        <f t="shared" si="39"/>
        <v>#VALUE!</v>
      </c>
      <c r="AZ114" t="e">
        <f>NA()</f>
        <v>#N/A</v>
      </c>
      <c r="BA114" s="22">
        <f t="shared" si="34"/>
        <v>16.39862060538076</v>
      </c>
      <c r="BB114" s="22">
        <f t="shared" si="35"/>
        <v>36.143513660075698</v>
      </c>
    </row>
    <row r="115" spans="4:54" x14ac:dyDescent="0.3">
      <c r="D115">
        <v>30</v>
      </c>
      <c r="F115">
        <v>29</v>
      </c>
      <c r="G115" s="21"/>
      <c r="H115" s="21"/>
      <c r="I115" s="21"/>
      <c r="J115" s="21"/>
      <c r="K115" s="21"/>
      <c r="L115" s="22"/>
      <c r="M115" s="21"/>
      <c r="N115" s="23"/>
      <c r="O115" s="23"/>
      <c r="P115" s="24"/>
      <c r="Q115" s="24"/>
      <c r="R115" s="24"/>
      <c r="S115" s="25"/>
      <c r="T115" s="25"/>
      <c r="U115" s="26"/>
      <c r="V115" s="26"/>
      <c r="W115" s="27"/>
      <c r="X115" s="27"/>
      <c r="Z115" s="22"/>
      <c r="AA115" s="22"/>
      <c r="AE115">
        <v>30</v>
      </c>
      <c r="AG115">
        <f t="shared" si="29"/>
        <v>21.324555883177815</v>
      </c>
      <c r="AH115" s="21">
        <f t="shared" si="37"/>
        <v>24.937489751069243</v>
      </c>
      <c r="AI115" s="21">
        <f t="shared" si="37"/>
        <v>36.220973839073821</v>
      </c>
      <c r="AJ115" s="21">
        <f t="shared" si="37"/>
        <v>27.10462659328185</v>
      </c>
      <c r="AK115" s="21">
        <f t="shared" si="37"/>
        <v>36.445219768869997</v>
      </c>
      <c r="AL115" s="21">
        <f t="shared" si="37"/>
        <v>11.5962310926936</v>
      </c>
      <c r="AM115" s="22" t="e">
        <f t="shared" si="31"/>
        <v>#VALUE!</v>
      </c>
      <c r="AN115" s="21">
        <f t="shared" si="36"/>
        <v>10.149501430578022</v>
      </c>
      <c r="AO115" s="23">
        <f t="shared" si="36"/>
        <v>7.4023672631131596</v>
      </c>
      <c r="AP115" s="23">
        <f t="shared" si="36"/>
        <v>1.480473452622632</v>
      </c>
      <c r="AQ115" s="24">
        <f t="shared" si="36"/>
        <v>34.897132743046868</v>
      </c>
      <c r="AR115" s="24">
        <f t="shared" si="36"/>
        <v>18.334179800439617</v>
      </c>
      <c r="AS115" s="24">
        <f t="shared" si="36"/>
        <v>40.957335495221919</v>
      </c>
      <c r="AT115" s="25" t="e">
        <f t="shared" si="38"/>
        <v>#VALUE!</v>
      </c>
      <c r="AU115" s="25" t="e">
        <f t="shared" si="38"/>
        <v>#VALUE!</v>
      </c>
      <c r="AV115" s="26" t="e">
        <f t="shared" si="39"/>
        <v>#VALUE!</v>
      </c>
      <c r="AW115" s="26" t="e">
        <f t="shared" si="39"/>
        <v>#VALUE!</v>
      </c>
      <c r="AX115" s="27" t="e">
        <f t="shared" si="39"/>
        <v>#VALUE!</v>
      </c>
      <c r="AY115" s="27" t="e">
        <f t="shared" si="39"/>
        <v>#VALUE!</v>
      </c>
      <c r="AZ115" t="e">
        <f>NA()</f>
        <v>#N/A</v>
      </c>
      <c r="BA115" s="22">
        <f t="shared" si="34"/>
        <v>17.391497702821979</v>
      </c>
      <c r="BB115" s="22">
        <f t="shared" si="35"/>
        <v>37.198018290692637</v>
      </c>
    </row>
    <row r="116" spans="4:54" x14ac:dyDescent="0.3">
      <c r="D116">
        <v>31</v>
      </c>
      <c r="F116">
        <v>30</v>
      </c>
      <c r="G116" s="21"/>
      <c r="H116" s="21"/>
      <c r="I116" s="21"/>
      <c r="J116" s="21"/>
      <c r="K116" s="21"/>
      <c r="L116" s="22"/>
      <c r="M116" s="21"/>
      <c r="N116" s="23"/>
      <c r="O116" s="23"/>
      <c r="P116" s="24"/>
      <c r="Q116" s="24"/>
      <c r="R116" s="24"/>
      <c r="S116" s="25"/>
      <c r="T116" s="25"/>
      <c r="U116" s="26"/>
      <c r="V116" s="26"/>
      <c r="W116" s="27"/>
      <c r="X116" s="27"/>
      <c r="Z116" s="22"/>
      <c r="AA116" s="22"/>
      <c r="AE116">
        <v>31</v>
      </c>
      <c r="AG116">
        <f t="shared" si="29"/>
        <v>22.426633924947051</v>
      </c>
      <c r="AH116" s="21">
        <f t="shared" si="37"/>
        <v>27.634210036561832</v>
      </c>
      <c r="AI116" s="21">
        <f t="shared" si="37"/>
        <v>38.255824832697115</v>
      </c>
      <c r="AJ116" s="21">
        <f t="shared" si="37"/>
        <v>29.641485032292135</v>
      </c>
      <c r="AK116" s="21">
        <f t="shared" si="37"/>
        <v>38.464922104832688</v>
      </c>
      <c r="AL116" s="21">
        <f t="shared" si="37"/>
        <v>12.631790651504042</v>
      </c>
      <c r="AM116" s="22" t="e">
        <f t="shared" si="31"/>
        <v>#VALUE!</v>
      </c>
      <c r="AN116" s="21">
        <f t="shared" si="36"/>
        <v>10.894974028617812</v>
      </c>
      <c r="AO116" s="23">
        <f t="shared" si="36"/>
        <v>7.8749911191512796</v>
      </c>
      <c r="AP116" s="23">
        <f t="shared" si="36"/>
        <v>1.574998223830256</v>
      </c>
      <c r="AQ116" s="24">
        <f t="shared" si="36"/>
        <v>36.558868945476227</v>
      </c>
      <c r="AR116" s="24">
        <f t="shared" si="36"/>
        <v>19.295149516816448</v>
      </c>
      <c r="AS116" s="24">
        <f t="shared" si="36"/>
        <v>43.359857302912047</v>
      </c>
      <c r="AT116" s="25" t="e">
        <f t="shared" si="38"/>
        <v>#VALUE!</v>
      </c>
      <c r="AU116" s="25" t="e">
        <f t="shared" si="38"/>
        <v>#VALUE!</v>
      </c>
      <c r="AV116" s="26" t="e">
        <f t="shared" si="39"/>
        <v>#VALUE!</v>
      </c>
      <c r="AW116" s="26" t="e">
        <f t="shared" si="39"/>
        <v>#VALUE!</v>
      </c>
      <c r="AX116" s="27" t="e">
        <f t="shared" si="39"/>
        <v>#VALUE!</v>
      </c>
      <c r="AY116" s="27" t="e">
        <f t="shared" si="39"/>
        <v>#VALUE!</v>
      </c>
      <c r="AZ116" t="e">
        <f>NA()</f>
        <v>#N/A</v>
      </c>
      <c r="BA116" s="22">
        <f t="shared" si="34"/>
        <v>18.386915056770484</v>
      </c>
      <c r="BB116" s="22">
        <f t="shared" si="35"/>
        <v>38.249337365013531</v>
      </c>
    </row>
    <row r="117" spans="4:54" x14ac:dyDescent="0.3">
      <c r="D117">
        <v>32</v>
      </c>
      <c r="F117">
        <v>31</v>
      </c>
      <c r="G117" s="21"/>
      <c r="H117" s="21"/>
      <c r="I117" s="21"/>
      <c r="J117" s="21"/>
      <c r="K117" s="21"/>
      <c r="L117" s="22"/>
      <c r="M117" s="21"/>
      <c r="N117" s="23"/>
      <c r="O117" s="23"/>
      <c r="P117" s="24"/>
      <c r="Q117" s="24"/>
      <c r="R117" s="24"/>
      <c r="S117" s="25"/>
      <c r="T117" s="25"/>
      <c r="U117" s="26"/>
      <c r="V117" s="26"/>
      <c r="W117" s="27"/>
      <c r="X117" s="27"/>
      <c r="Z117" s="22"/>
      <c r="AA117" s="22"/>
      <c r="AE117">
        <v>32</v>
      </c>
      <c r="AG117">
        <f t="shared" si="29"/>
        <v>23.585668651620018</v>
      </c>
      <c r="AH117" s="21">
        <f t="shared" si="37"/>
        <v>30.483688921552314</v>
      </c>
      <c r="AI117" s="21">
        <f t="shared" si="37"/>
        <v>40.366468517462479</v>
      </c>
      <c r="AJ117" s="21">
        <f t="shared" si="37"/>
        <v>32.332457389337925</v>
      </c>
      <c r="AK117" s="21">
        <f t="shared" si="37"/>
        <v>40.556737476928944</v>
      </c>
      <c r="AL117" s="21">
        <f t="shared" si="37"/>
        <v>13.703379303509548</v>
      </c>
      <c r="AM117" s="22" t="e">
        <f t="shared" si="31"/>
        <v>#VALUE!</v>
      </c>
      <c r="AN117" s="21">
        <f t="shared" si="36"/>
        <v>11.679458874728885</v>
      </c>
      <c r="AO117" s="23">
        <f t="shared" si="36"/>
        <v>8.3704609911220995</v>
      </c>
      <c r="AP117" s="23">
        <f t="shared" si="36"/>
        <v>1.6740921982244199</v>
      </c>
      <c r="AQ117" s="24">
        <f t="shared" si="36"/>
        <v>38.266854969724129</v>
      </c>
      <c r="AR117" s="24">
        <f t="shared" si="36"/>
        <v>20.277117344087475</v>
      </c>
      <c r="AS117" s="24">
        <f t="shared" si="36"/>
        <v>45.749745307764641</v>
      </c>
      <c r="AT117" s="25" t="e">
        <f t="shared" si="38"/>
        <v>#VALUE!</v>
      </c>
      <c r="AU117" s="25" t="e">
        <f t="shared" si="38"/>
        <v>#VALUE!</v>
      </c>
      <c r="AV117" s="26" t="e">
        <f t="shared" si="39"/>
        <v>#VALUE!</v>
      </c>
      <c r="AW117" s="26" t="e">
        <f t="shared" si="39"/>
        <v>#VALUE!</v>
      </c>
      <c r="AX117" s="27" t="e">
        <f t="shared" si="39"/>
        <v>#VALUE!</v>
      </c>
      <c r="AY117" s="27" t="e">
        <f t="shared" si="39"/>
        <v>#VALUE!</v>
      </c>
      <c r="AZ117" t="e">
        <f>NA()</f>
        <v>#N/A</v>
      </c>
      <c r="BA117" s="22">
        <f t="shared" si="34"/>
        <v>19.378384656738067</v>
      </c>
      <c r="BB117" s="22">
        <f t="shared" si="35"/>
        <v>39.294591700091722</v>
      </c>
    </row>
    <row r="118" spans="4:54" x14ac:dyDescent="0.3">
      <c r="D118">
        <v>33</v>
      </c>
      <c r="F118">
        <v>32</v>
      </c>
      <c r="G118" s="21"/>
      <c r="H118" s="21"/>
      <c r="I118" s="21"/>
      <c r="J118" s="21"/>
      <c r="K118" s="21"/>
      <c r="L118" s="22"/>
      <c r="M118" s="21"/>
      <c r="N118" s="23"/>
      <c r="O118" s="23"/>
      <c r="P118" s="24"/>
      <c r="Q118" s="24"/>
      <c r="R118" s="24"/>
      <c r="S118" s="25"/>
      <c r="T118" s="25"/>
      <c r="U118" s="26"/>
      <c r="V118" s="26"/>
      <c r="W118" s="27"/>
      <c r="X118" s="27"/>
      <c r="Z118" s="22"/>
      <c r="AA118" s="22"/>
      <c r="AE118">
        <v>33</v>
      </c>
      <c r="AG118">
        <f t="shared" si="29"/>
        <v>24.804603651429346</v>
      </c>
      <c r="AH118" s="21">
        <f t="shared" si="37"/>
        <v>33.472542135767675</v>
      </c>
      <c r="AI118" s="21">
        <f t="shared" si="37"/>
        <v>42.551416654628909</v>
      </c>
      <c r="AJ118" s="21">
        <f t="shared" si="37"/>
        <v>35.174565462269044</v>
      </c>
      <c r="AK118" s="21">
        <f t="shared" si="37"/>
        <v>42.718815445044442</v>
      </c>
      <c r="AL118" s="21">
        <f t="shared" si="37"/>
        <v>14.804333045513221</v>
      </c>
      <c r="AM118" s="22" t="e">
        <f t="shared" si="31"/>
        <v>#VALUE!</v>
      </c>
      <c r="AN118" s="21">
        <f t="shared" ref="AN118:AS133" si="40">AN46*AN$12</f>
        <v>12.502963160487042</v>
      </c>
      <c r="AO118" s="23">
        <f t="shared" si="40"/>
        <v>8.8890040385624101</v>
      </c>
      <c r="AP118" s="23">
        <f t="shared" si="40"/>
        <v>1.7778008077124821</v>
      </c>
      <c r="AQ118" s="24">
        <f t="shared" si="40"/>
        <v>40.01898142256524</v>
      </c>
      <c r="AR118" s="24">
        <f t="shared" si="40"/>
        <v>21.277373865967505</v>
      </c>
      <c r="AS118" s="24">
        <f t="shared" si="40"/>
        <v>48.110150542242458</v>
      </c>
      <c r="AT118" s="25" t="e">
        <f t="shared" si="38"/>
        <v>#VALUE!</v>
      </c>
      <c r="AU118" s="25" t="e">
        <f t="shared" si="38"/>
        <v>#VALUE!</v>
      </c>
      <c r="AV118" s="26" t="e">
        <f t="shared" si="39"/>
        <v>#VALUE!</v>
      </c>
      <c r="AW118" s="26" t="e">
        <f t="shared" si="39"/>
        <v>#VALUE!</v>
      </c>
      <c r="AX118" s="27" t="e">
        <f t="shared" si="39"/>
        <v>#VALUE!</v>
      </c>
      <c r="AY118" s="27" t="e">
        <f t="shared" si="39"/>
        <v>#VALUE!</v>
      </c>
      <c r="AZ118" t="e">
        <f>NA()</f>
        <v>#N/A</v>
      </c>
      <c r="BA118" s="22">
        <f t="shared" si="34"/>
        <v>20.359265748104963</v>
      </c>
      <c r="BB118" s="22">
        <f t="shared" si="35"/>
        <v>40.330804315685278</v>
      </c>
    </row>
    <row r="119" spans="4:54" x14ac:dyDescent="0.3">
      <c r="D119">
        <v>34</v>
      </c>
      <c r="F119">
        <v>33</v>
      </c>
      <c r="G119" s="21"/>
      <c r="H119" s="21"/>
      <c r="I119" s="21"/>
      <c r="J119" s="21"/>
      <c r="K119" s="21"/>
      <c r="L119" s="22"/>
      <c r="M119" s="21"/>
      <c r="N119" s="23"/>
      <c r="O119" s="23"/>
      <c r="P119" s="24"/>
      <c r="Q119" s="24"/>
      <c r="R119" s="24"/>
      <c r="S119" s="25"/>
      <c r="T119" s="25"/>
      <c r="U119" s="26"/>
      <c r="V119" s="26"/>
      <c r="W119" s="27"/>
      <c r="X119" s="27"/>
      <c r="Z119" s="22"/>
      <c r="AA119" s="22"/>
      <c r="AE119">
        <v>34</v>
      </c>
      <c r="AG119">
        <f t="shared" si="29"/>
        <v>26.08653464069765</v>
      </c>
      <c r="AH119" s="21">
        <f t="shared" ref="AH119:AL134" si="41">AH47*AH$12</f>
        <v>36.583903947572075</v>
      </c>
      <c r="AI119" s="21">
        <f t="shared" si="41"/>
        <v>44.808611377491438</v>
      </c>
      <c r="AJ119" s="21">
        <f t="shared" si="41"/>
        <v>38.162780229757246</v>
      </c>
      <c r="AK119" s="21">
        <f t="shared" si="41"/>
        <v>44.948727113653185</v>
      </c>
      <c r="AL119" s="21">
        <f t="shared" si="41"/>
        <v>15.927117581548599</v>
      </c>
      <c r="AM119" s="22" t="e">
        <f t="shared" si="31"/>
        <v>#VALUE!</v>
      </c>
      <c r="AN119" s="21">
        <f t="shared" si="40"/>
        <v>13.365196706407128</v>
      </c>
      <c r="AO119" s="23">
        <f t="shared" si="40"/>
        <v>9.4307330129482398</v>
      </c>
      <c r="AP119" s="23">
        <f t="shared" si="40"/>
        <v>1.8861466025896481</v>
      </c>
      <c r="AQ119" s="24">
        <f t="shared" si="40"/>
        <v>41.812737399355591</v>
      </c>
      <c r="AR119" s="24">
        <f t="shared" si="40"/>
        <v>22.292891675193761</v>
      </c>
      <c r="AS119" s="24">
        <f t="shared" si="40"/>
        <v>50.424289507031254</v>
      </c>
      <c r="AT119" s="25" t="e">
        <f t="shared" ref="AT119:AU134" si="42">AT47</f>
        <v>#VALUE!</v>
      </c>
      <c r="AU119" s="25" t="e">
        <f t="shared" si="42"/>
        <v>#VALUE!</v>
      </c>
      <c r="AV119" s="26" t="e">
        <f t="shared" ref="AV119:AY134" si="43">AV47*AV$12</f>
        <v>#VALUE!</v>
      </c>
      <c r="AW119" s="26" t="e">
        <f t="shared" si="43"/>
        <v>#VALUE!</v>
      </c>
      <c r="AX119" s="27" t="e">
        <f t="shared" si="43"/>
        <v>#VALUE!</v>
      </c>
      <c r="AY119" s="27" t="e">
        <f t="shared" si="43"/>
        <v>#VALUE!</v>
      </c>
      <c r="AZ119" t="e">
        <f>NA()</f>
        <v>#N/A</v>
      </c>
      <c r="BA119" s="22">
        <f t="shared" si="34"/>
        <v>21.322900147084127</v>
      </c>
      <c r="BB119" s="22">
        <f t="shared" si="35"/>
        <v>41.354922612177866</v>
      </c>
    </row>
    <row r="120" spans="4:54" x14ac:dyDescent="0.3">
      <c r="D120">
        <v>35</v>
      </c>
      <c r="F120">
        <v>34</v>
      </c>
      <c r="G120" s="21"/>
      <c r="H120" s="21"/>
      <c r="I120" s="21"/>
      <c r="J120" s="21"/>
      <c r="K120" s="21"/>
      <c r="L120" s="22"/>
      <c r="M120" s="21"/>
      <c r="N120" s="23"/>
      <c r="O120" s="23"/>
      <c r="P120" s="24"/>
      <c r="Q120" s="24"/>
      <c r="R120" s="24"/>
      <c r="S120" s="25"/>
      <c r="T120" s="25"/>
      <c r="U120" s="26"/>
      <c r="V120" s="26"/>
      <c r="W120" s="27"/>
      <c r="X120" s="27"/>
      <c r="Z120" s="22"/>
      <c r="AA120" s="22"/>
      <c r="AE120">
        <v>35</v>
      </c>
      <c r="AG120">
        <f t="shared" si="29"/>
        <v>27.434717325995447</v>
      </c>
      <c r="AH120" s="21">
        <f t="shared" si="41"/>
        <v>39.797564908566265</v>
      </c>
      <c r="AI120" s="21">
        <f t="shared" si="41"/>
        <v>47.135386483347382</v>
      </c>
      <c r="AJ120" s="21">
        <f t="shared" si="41"/>
        <v>41.28988267640915</v>
      </c>
      <c r="AK120" s="21">
        <f t="shared" si="41"/>
        <v>47.24343033636903</v>
      </c>
      <c r="AL120" s="21">
        <f t="shared" si="41"/>
        <v>17.063456450988738</v>
      </c>
      <c r="AM120" s="22" t="e">
        <f t="shared" si="31"/>
        <v>#VALUE!</v>
      </c>
      <c r="AN120" s="21">
        <f t="shared" si="40"/>
        <v>14.265541546698151</v>
      </c>
      <c r="AO120" s="23">
        <f t="shared" si="40"/>
        <v>9.9956323008684898</v>
      </c>
      <c r="AP120" s="23">
        <f t="shared" si="40"/>
        <v>1.999126460173698</v>
      </c>
      <c r="AQ120" s="24">
        <f t="shared" si="40"/>
        <v>43.645194825868003</v>
      </c>
      <c r="AR120" s="24">
        <f t="shared" si="40"/>
        <v>23.320336303643465</v>
      </c>
      <c r="AS120" s="24">
        <f t="shared" si="40"/>
        <v>52.675827861053833</v>
      </c>
      <c r="AT120" s="25" t="e">
        <f t="shared" si="42"/>
        <v>#VALUE!</v>
      </c>
      <c r="AU120" s="25" t="e">
        <f t="shared" si="42"/>
        <v>#VALUE!</v>
      </c>
      <c r="AV120" s="26" t="e">
        <f t="shared" si="43"/>
        <v>#VALUE!</v>
      </c>
      <c r="AW120" s="26" t="e">
        <f t="shared" si="43"/>
        <v>#VALUE!</v>
      </c>
      <c r="AX120" s="27" t="e">
        <f t="shared" si="43"/>
        <v>#VALUE!</v>
      </c>
      <c r="AY120" s="27" t="e">
        <f t="shared" si="43"/>
        <v>#VALUE!</v>
      </c>
      <c r="AZ120" t="e">
        <f>NA()</f>
        <v>#N/A</v>
      </c>
      <c r="BA120" s="22">
        <f t="shared" si="34"/>
        <v>22.26275606615323</v>
      </c>
      <c r="BB120" s="22">
        <f t="shared" si="35"/>
        <v>42.363843822678163</v>
      </c>
    </row>
    <row r="121" spans="4:54" x14ac:dyDescent="0.3">
      <c r="D121">
        <v>36</v>
      </c>
      <c r="F121">
        <v>35</v>
      </c>
      <c r="G121" s="21"/>
      <c r="H121" s="21"/>
      <c r="I121" s="21"/>
      <c r="J121" s="21"/>
      <c r="K121" s="21"/>
      <c r="L121" s="22"/>
      <c r="M121" s="21"/>
      <c r="N121" s="23"/>
      <c r="O121" s="23"/>
      <c r="P121" s="24"/>
      <c r="Q121" s="24"/>
      <c r="R121" s="24"/>
      <c r="S121" s="25"/>
      <c r="T121" s="25"/>
      <c r="U121" s="26"/>
      <c r="V121" s="26"/>
      <c r="W121" s="27"/>
      <c r="X121" s="27"/>
      <c r="Z121" s="22"/>
      <c r="AA121" s="22"/>
      <c r="AE121">
        <v>36</v>
      </c>
      <c r="AG121">
        <f t="shared" si="29"/>
        <v>28.852575672624699</v>
      </c>
      <c r="AH121" s="21">
        <f t="shared" si="41"/>
        <v>43.090247551379086</v>
      </c>
      <c r="AI121" s="21">
        <f t="shared" si="41"/>
        <v>49.528432365913623</v>
      </c>
      <c r="AJ121" s="21">
        <f t="shared" si="41"/>
        <v>44.546362721104209</v>
      </c>
      <c r="AK121" s="21">
        <f t="shared" si="41"/>
        <v>49.59923931059533</v>
      </c>
      <c r="AL121" s="21">
        <f t="shared" si="41"/>
        <v>18.20449541901981</v>
      </c>
      <c r="AM121" s="22" t="e">
        <f t="shared" si="31"/>
        <v>#VALUE!</v>
      </c>
      <c r="AN121" s="21">
        <f t="shared" si="40"/>
        <v>15.203023046505278</v>
      </c>
      <c r="AO121" s="23">
        <f t="shared" si="40"/>
        <v>10.583543805954958</v>
      </c>
      <c r="AP121" s="23">
        <f t="shared" si="40"/>
        <v>2.116708761190992</v>
      </c>
      <c r="AQ121" s="24">
        <f t="shared" si="40"/>
        <v>45.51299643624877</v>
      </c>
      <c r="AR121" s="24">
        <f t="shared" si="40"/>
        <v>24.356083865545301</v>
      </c>
      <c r="AS121" s="24">
        <f t="shared" si="40"/>
        <v>54.849267514661271</v>
      </c>
      <c r="AT121" s="25" t="e">
        <f t="shared" si="42"/>
        <v>#VALUE!</v>
      </c>
      <c r="AU121" s="25" t="e">
        <f t="shared" si="42"/>
        <v>#VALUE!</v>
      </c>
      <c r="AV121" s="26" t="e">
        <f t="shared" si="43"/>
        <v>#VALUE!</v>
      </c>
      <c r="AW121" s="26" t="e">
        <f t="shared" si="43"/>
        <v>#VALUE!</v>
      </c>
      <c r="AX121" s="27" t="e">
        <f t="shared" si="43"/>
        <v>#VALUE!</v>
      </c>
      <c r="AY121" s="27" t="e">
        <f t="shared" si="43"/>
        <v>#VALUE!</v>
      </c>
      <c r="AZ121" t="e">
        <f>NA()</f>
        <v>#N/A</v>
      </c>
      <c r="BA121" s="22">
        <f t="shared" si="34"/>
        <v>23.172575477182981</v>
      </c>
      <c r="BB121" s="22">
        <f t="shared" si="35"/>
        <v>43.354443648965038</v>
      </c>
    </row>
    <row r="122" spans="4:54" x14ac:dyDescent="0.3">
      <c r="D122">
        <v>37</v>
      </c>
      <c r="F122">
        <v>36</v>
      </c>
      <c r="G122" s="21"/>
      <c r="H122" s="21"/>
      <c r="I122" s="21"/>
      <c r="J122" s="21"/>
      <c r="K122" s="21"/>
      <c r="L122" s="22"/>
      <c r="M122" s="21"/>
      <c r="N122" s="23"/>
      <c r="O122" s="23"/>
      <c r="P122" s="24"/>
      <c r="Q122" s="24"/>
      <c r="R122" s="24"/>
      <c r="S122" s="25"/>
      <c r="T122" s="25"/>
      <c r="U122" s="26"/>
      <c r="V122" s="26"/>
      <c r="W122" s="27"/>
      <c r="X122" s="27"/>
      <c r="Z122" s="22"/>
      <c r="AA122" s="22"/>
      <c r="AE122">
        <v>37</v>
      </c>
      <c r="AG122">
        <f t="shared" si="29"/>
        <v>30.343710600427304</v>
      </c>
      <c r="AH122" s="21">
        <f t="shared" si="41"/>
        <v>46.436022050442858</v>
      </c>
      <c r="AI122" s="21">
        <f t="shared" si="41"/>
        <v>51.983765795823778</v>
      </c>
      <c r="AJ122" s="21">
        <f t="shared" si="41"/>
        <v>47.920365286113764</v>
      </c>
      <c r="AK122" s="21">
        <f t="shared" si="41"/>
        <v>52.01179979751948</v>
      </c>
      <c r="AL122" s="21">
        <f t="shared" si="41"/>
        <v>19.340999032340459</v>
      </c>
      <c r="AM122" s="22" t="e">
        <f t="shared" si="31"/>
        <v>#VALUE!</v>
      </c>
      <c r="AN122" s="21">
        <f t="shared" si="40"/>
        <v>16.176283455529799</v>
      </c>
      <c r="AO122" s="23">
        <f t="shared" si="40"/>
        <v>11.19415289880455</v>
      </c>
      <c r="AP122" s="23">
        <f t="shared" si="40"/>
        <v>2.23883057976091</v>
      </c>
      <c r="AQ122" s="24">
        <f t="shared" si="40"/>
        <v>47.412348128836889</v>
      </c>
      <c r="AR122" s="24">
        <f t="shared" si="40"/>
        <v>25.396245863591265</v>
      </c>
      <c r="AS122" s="24">
        <f t="shared" si="40"/>
        <v>56.930321489266355</v>
      </c>
      <c r="AT122" s="25" t="e">
        <f t="shared" si="42"/>
        <v>#VALUE!</v>
      </c>
      <c r="AU122" s="25" t="e">
        <f t="shared" si="42"/>
        <v>#VALUE!</v>
      </c>
      <c r="AV122" s="26" t="e">
        <f t="shared" si="43"/>
        <v>#VALUE!</v>
      </c>
      <c r="AW122" s="26" t="e">
        <f t="shared" si="43"/>
        <v>#VALUE!</v>
      </c>
      <c r="AX122" s="27" t="e">
        <f t="shared" si="43"/>
        <v>#VALUE!</v>
      </c>
      <c r="AY122" s="27" t="e">
        <f t="shared" si="43"/>
        <v>#VALUE!</v>
      </c>
      <c r="AZ122" t="e">
        <f>NA()</f>
        <v>#N/A</v>
      </c>
      <c r="BA122" s="22">
        <f t="shared" si="34"/>
        <v>24.046519454839157</v>
      </c>
      <c r="BB122" s="22">
        <f t="shared" si="35"/>
        <v>44.323607895542146</v>
      </c>
    </row>
    <row r="123" spans="4:54" x14ac:dyDescent="0.3">
      <c r="D123">
        <v>38</v>
      </c>
      <c r="F123">
        <v>37</v>
      </c>
      <c r="G123" s="21"/>
      <c r="H123" s="21"/>
      <c r="I123" s="21"/>
      <c r="J123" s="21"/>
      <c r="K123" s="21"/>
      <c r="L123" s="22"/>
      <c r="M123" s="21"/>
      <c r="N123" s="23"/>
      <c r="O123" s="23"/>
      <c r="P123" s="24"/>
      <c r="Q123" s="24"/>
      <c r="R123" s="24"/>
      <c r="S123" s="25"/>
      <c r="T123" s="25"/>
      <c r="U123" s="26"/>
      <c r="V123" s="26"/>
      <c r="W123" s="27"/>
      <c r="X123" s="27"/>
      <c r="Z123" s="22"/>
      <c r="AA123" s="22"/>
      <c r="AE123">
        <v>38</v>
      </c>
      <c r="AG123">
        <f t="shared" si="29"/>
        <v>31.911909129003085</v>
      </c>
      <c r="AH123" s="21">
        <f t="shared" si="41"/>
        <v>49.806855736285051</v>
      </c>
      <c r="AI123" s="21">
        <f t="shared" si="41"/>
        <v>54.496705849679358</v>
      </c>
      <c r="AJ123" s="21">
        <f t="shared" si="41"/>
        <v>51.39769204247817</v>
      </c>
      <c r="AK123" s="21">
        <f t="shared" si="41"/>
        <v>54.476071277604447</v>
      </c>
      <c r="AL123" s="21">
        <f t="shared" si="41"/>
        <v>20.463573022837991</v>
      </c>
      <c r="AM123" s="22" t="e">
        <f t="shared" si="31"/>
        <v>#VALUE!</v>
      </c>
      <c r="AN123" s="21">
        <f t="shared" si="40"/>
        <v>17.18355889331583</v>
      </c>
      <c r="AO123" s="23">
        <f t="shared" si="40"/>
        <v>11.826974704392503</v>
      </c>
      <c r="AP123" s="23">
        <f t="shared" si="40"/>
        <v>2.3653949408785011</v>
      </c>
      <c r="AQ123" s="24">
        <f t="shared" si="40"/>
        <v>49.339016466271872</v>
      </c>
      <c r="AR123" s="24">
        <f t="shared" si="40"/>
        <v>26.436701456246066</v>
      </c>
      <c r="AS123" s="24">
        <f t="shared" si="40"/>
        <v>58.906260499771015</v>
      </c>
      <c r="AT123" s="25" t="e">
        <f t="shared" si="42"/>
        <v>#VALUE!</v>
      </c>
      <c r="AU123" s="25" t="e">
        <f t="shared" si="42"/>
        <v>#VALUE!</v>
      </c>
      <c r="AV123" s="26" t="e">
        <f t="shared" si="43"/>
        <v>#VALUE!</v>
      </c>
      <c r="AW123" s="26" t="e">
        <f t="shared" si="43"/>
        <v>#VALUE!</v>
      </c>
      <c r="AX123" s="27" t="e">
        <f t="shared" si="43"/>
        <v>#VALUE!</v>
      </c>
      <c r="AY123" s="27" t="e">
        <f t="shared" si="43"/>
        <v>#VALUE!</v>
      </c>
      <c r="AZ123" t="e">
        <f>NA()</f>
        <v>#N/A</v>
      </c>
      <c r="BA123" s="22">
        <f t="shared" si="34"/>
        <v>24.879305631475354</v>
      </c>
      <c r="BB123" s="22">
        <f t="shared" si="35"/>
        <v>45.268266809530104</v>
      </c>
    </row>
    <row r="124" spans="4:54" x14ac:dyDescent="0.3">
      <c r="D124">
        <v>39</v>
      </c>
      <c r="F124">
        <v>38</v>
      </c>
      <c r="G124" s="21"/>
      <c r="H124" s="21"/>
      <c r="I124" s="21"/>
      <c r="J124" s="21"/>
      <c r="K124" s="21"/>
      <c r="L124" s="22"/>
      <c r="M124" s="21"/>
      <c r="N124" s="23"/>
      <c r="O124" s="23"/>
      <c r="P124" s="24"/>
      <c r="Q124" s="24"/>
      <c r="R124" s="24"/>
      <c r="S124" s="25"/>
      <c r="T124" s="25"/>
      <c r="U124" s="26"/>
      <c r="V124" s="26"/>
      <c r="W124" s="27"/>
      <c r="X124" s="27"/>
      <c r="Z124" s="22"/>
      <c r="AA124" s="22"/>
      <c r="AE124">
        <v>39</v>
      </c>
      <c r="AG124">
        <f t="shared" si="29"/>
        <v>33.561153995563402</v>
      </c>
      <c r="AH124" s="21">
        <f t="shared" si="41"/>
        <v>53.173281636118595</v>
      </c>
      <c r="AI124" s="21">
        <f t="shared" si="41"/>
        <v>57.061857360060209</v>
      </c>
      <c r="AJ124" s="21">
        <f t="shared" si="41"/>
        <v>54.961866331268929</v>
      </c>
      <c r="AK124" s="21">
        <f t="shared" si="41"/>
        <v>56.986317401137811</v>
      </c>
      <c r="AL124" s="21">
        <f t="shared" si="41"/>
        <v>21.56290420879423</v>
      </c>
      <c r="AM124" s="22" t="e">
        <f t="shared" si="31"/>
        <v>#VALUE!</v>
      </c>
      <c r="AN124" s="21">
        <f t="shared" si="40"/>
        <v>18.222660835414416</v>
      </c>
      <c r="AO124" s="23">
        <f t="shared" si="40"/>
        <v>12.481341037274994</v>
      </c>
      <c r="AP124" s="23">
        <f t="shared" si="40"/>
        <v>2.4962682074549987</v>
      </c>
      <c r="AQ124" s="24">
        <f t="shared" si="40"/>
        <v>51.288332093601127</v>
      </c>
      <c r="AR124" s="24">
        <f t="shared" si="40"/>
        <v>27.473137295214425</v>
      </c>
      <c r="AS124" s="24">
        <f t="shared" si="40"/>
        <v>60.766215770844944</v>
      </c>
      <c r="AT124" s="25" t="e">
        <f t="shared" si="42"/>
        <v>#VALUE!</v>
      </c>
      <c r="AU124" s="25" t="e">
        <f t="shared" si="42"/>
        <v>#VALUE!</v>
      </c>
      <c r="AV124" s="26" t="e">
        <f t="shared" si="43"/>
        <v>#VALUE!</v>
      </c>
      <c r="AW124" s="26" t="e">
        <f t="shared" si="43"/>
        <v>#VALUE!</v>
      </c>
      <c r="AX124" s="27" t="e">
        <f t="shared" si="43"/>
        <v>#VALUE!</v>
      </c>
      <c r="AY124" s="27" t="e">
        <f t="shared" si="43"/>
        <v>#VALUE!</v>
      </c>
      <c r="AZ124" t="e">
        <f>NA()</f>
        <v>#N/A</v>
      </c>
      <c r="BA124" s="22">
        <f t="shared" si="34"/>
        <v>25.666331906742723</v>
      </c>
      <c r="BB124" s="22">
        <f t="shared" si="35"/>
        <v>46.185431718387854</v>
      </c>
    </row>
    <row r="125" spans="4:54" x14ac:dyDescent="0.3">
      <c r="D125">
        <v>40</v>
      </c>
      <c r="F125">
        <v>39</v>
      </c>
      <c r="G125" s="21"/>
      <c r="H125" s="21"/>
      <c r="I125" s="21"/>
      <c r="J125" s="21"/>
      <c r="K125" s="21"/>
      <c r="L125" s="22"/>
      <c r="M125" s="21"/>
      <c r="N125" s="23"/>
      <c r="O125" s="23"/>
      <c r="P125" s="24"/>
      <c r="Q125" s="24"/>
      <c r="R125" s="24"/>
      <c r="S125" s="25"/>
      <c r="T125" s="25"/>
      <c r="U125" s="26"/>
      <c r="V125" s="26"/>
      <c r="W125" s="27"/>
      <c r="X125" s="27"/>
      <c r="Z125" s="22"/>
      <c r="AA125" s="22"/>
      <c r="AE125">
        <v>40</v>
      </c>
      <c r="AG125">
        <f t="shared" si="29"/>
        <v>35.295633769846724</v>
      </c>
      <c r="AH125" s="21">
        <f t="shared" si="41"/>
        <v>56.505162562922557</v>
      </c>
      <c r="AI125" s="21">
        <f t="shared" si="41"/>
        <v>59.673103302590349</v>
      </c>
      <c r="AJ125" s="21">
        <f t="shared" si="41"/>
        <v>58.594267148295025</v>
      </c>
      <c r="AK125" s="21">
        <f t="shared" si="41"/>
        <v>59.536106109804905</v>
      </c>
      <c r="AL125" s="21">
        <f t="shared" si="41"/>
        <v>22.6300078832056</v>
      </c>
      <c r="AM125" s="22" t="e">
        <f t="shared" si="31"/>
        <v>#VALUE!</v>
      </c>
      <c r="AN125" s="21">
        <f t="shared" si="40"/>
        <v>19.290963218912257</v>
      </c>
      <c r="AO125" s="23">
        <f t="shared" si="40"/>
        <v>13.156388334903268</v>
      </c>
      <c r="AP125" s="23">
        <f t="shared" si="40"/>
        <v>2.6312776669806537</v>
      </c>
      <c r="AQ125" s="24">
        <f t="shared" si="40"/>
        <v>53.255199833889321</v>
      </c>
      <c r="AR125" s="24">
        <f t="shared" si="40"/>
        <v>28.501094816174923</v>
      </c>
      <c r="AS125" s="24">
        <f t="shared" si="40"/>
        <v>62.501424151808514</v>
      </c>
      <c r="AT125" s="25" t="e">
        <f t="shared" si="42"/>
        <v>#VALUE!</v>
      </c>
      <c r="AU125" s="25" t="e">
        <f t="shared" si="42"/>
        <v>#VALUE!</v>
      </c>
      <c r="AV125" s="26" t="e">
        <f t="shared" si="43"/>
        <v>#VALUE!</v>
      </c>
      <c r="AW125" s="26" t="e">
        <f t="shared" si="43"/>
        <v>#VALUE!</v>
      </c>
      <c r="AX125" s="27" t="e">
        <f t="shared" si="43"/>
        <v>#VALUE!</v>
      </c>
      <c r="AY125" s="27" t="e">
        <f t="shared" si="43"/>
        <v>#VALUE!</v>
      </c>
      <c r="AZ125" t="e">
        <f>NA()</f>
        <v>#N/A</v>
      </c>
      <c r="BA125" s="22">
        <f t="shared" si="34"/>
        <v>26.403780919449058</v>
      </c>
      <c r="BB125" s="22">
        <f t="shared" si="35"/>
        <v>47.072233435346298</v>
      </c>
    </row>
    <row r="126" spans="4:54" x14ac:dyDescent="0.3">
      <c r="D126">
        <v>41</v>
      </c>
      <c r="F126">
        <v>40</v>
      </c>
      <c r="G126" s="21"/>
      <c r="H126" s="21"/>
      <c r="I126" s="21"/>
      <c r="J126" s="21"/>
      <c r="K126" s="21"/>
      <c r="L126" s="22"/>
      <c r="M126" s="21"/>
      <c r="N126" s="23"/>
      <c r="O126" s="23"/>
      <c r="P126" s="24"/>
      <c r="Q126" s="24"/>
      <c r="R126" s="24"/>
      <c r="S126" s="25"/>
      <c r="T126" s="25"/>
      <c r="U126" s="26"/>
      <c r="V126" s="26"/>
      <c r="W126" s="27"/>
      <c r="X126" s="27"/>
      <c r="Z126" s="22"/>
      <c r="AA126" s="22"/>
      <c r="AE126">
        <v>41</v>
      </c>
      <c r="AG126">
        <f t="shared" si="29"/>
        <v>37.119753491784877</v>
      </c>
      <c r="AH126" s="21">
        <f t="shared" si="41"/>
        <v>59.77251944629559</v>
      </c>
      <c r="AI126" s="21">
        <f t="shared" si="41"/>
        <v>62.323607543717543</v>
      </c>
      <c r="AJ126" s="21">
        <f t="shared" si="41"/>
        <v>62.274335882056185</v>
      </c>
      <c r="AK126" s="21">
        <f t="shared" si="41"/>
        <v>62.11832078078546</v>
      </c>
      <c r="AL126" s="21">
        <f t="shared" si="41"/>
        <v>23.656471566322175</v>
      </c>
      <c r="AM126" s="22" t="e">
        <f t="shared" si="31"/>
        <v>#VALUE!</v>
      </c>
      <c r="AN126" s="21">
        <f t="shared" si="40"/>
        <v>20.385396302782571</v>
      </c>
      <c r="AO126" s="23">
        <f t="shared" si="40"/>
        <v>13.85104697700479</v>
      </c>
      <c r="AP126" s="23">
        <f t="shared" si="40"/>
        <v>2.7702093954009586</v>
      </c>
      <c r="AQ126" s="24">
        <f t="shared" si="40"/>
        <v>55.234116180944483</v>
      </c>
      <c r="AR126" s="24">
        <f t="shared" si="40"/>
        <v>29.51602460713687</v>
      </c>
      <c r="AS126" s="24">
        <f t="shared" si="40"/>
        <v>64.105404102056099</v>
      </c>
      <c r="AT126" s="25" t="e">
        <f t="shared" si="42"/>
        <v>#VALUE!</v>
      </c>
      <c r="AU126" s="25" t="e">
        <f t="shared" si="42"/>
        <v>#VALUE!</v>
      </c>
      <c r="AV126" s="26" t="e">
        <f t="shared" si="43"/>
        <v>#VALUE!</v>
      </c>
      <c r="AW126" s="26" t="e">
        <f t="shared" si="43"/>
        <v>#VALUE!</v>
      </c>
      <c r="AX126" s="27" t="e">
        <f t="shared" si="43"/>
        <v>#VALUE!</v>
      </c>
      <c r="AY126" s="27" t="e">
        <f t="shared" si="43"/>
        <v>#VALUE!</v>
      </c>
      <c r="AZ126" t="e">
        <f>NA()</f>
        <v>#N/A</v>
      </c>
      <c r="BA126" s="22">
        <f t="shared" si="34"/>
        <v>27.088700508270747</v>
      </c>
      <c r="BB126" s="22">
        <f t="shared" si="35"/>
        <v>47.925961777759468</v>
      </c>
    </row>
    <row r="127" spans="4:54" x14ac:dyDescent="0.3">
      <c r="D127">
        <v>42</v>
      </c>
      <c r="F127">
        <v>41</v>
      </c>
      <c r="G127" s="21"/>
      <c r="H127" s="21"/>
      <c r="I127" s="21"/>
      <c r="J127" s="21"/>
      <c r="K127" s="21"/>
      <c r="L127" s="22"/>
      <c r="M127" s="21"/>
      <c r="N127" s="23"/>
      <c r="O127" s="23"/>
      <c r="P127" s="24"/>
      <c r="Q127" s="24"/>
      <c r="R127" s="24"/>
      <c r="S127" s="25"/>
      <c r="T127" s="25"/>
      <c r="U127" s="26"/>
      <c r="V127" s="26"/>
      <c r="W127" s="27"/>
      <c r="X127" s="27"/>
      <c r="Z127" s="22"/>
      <c r="AA127" s="22"/>
      <c r="AE127">
        <v>42</v>
      </c>
      <c r="AG127">
        <f t="shared" si="29"/>
        <v>38.85778775562828</v>
      </c>
      <c r="AH127" s="21">
        <f t="shared" si="41"/>
        <v>62.659350919968503</v>
      </c>
      <c r="AI127" s="21">
        <f t="shared" si="41"/>
        <v>64.758227705504183</v>
      </c>
      <c r="AJ127" s="21">
        <f t="shared" si="41"/>
        <v>65.638880248477719</v>
      </c>
      <c r="AK127" s="21">
        <f t="shared" si="41"/>
        <v>64.484807681463209</v>
      </c>
      <c r="AL127" s="21">
        <f t="shared" si="41"/>
        <v>24.546984384403594</v>
      </c>
      <c r="AM127" s="22" t="e">
        <f t="shared" si="31"/>
        <v>#VALUE!</v>
      </c>
      <c r="AN127" s="21">
        <f t="shared" si="40"/>
        <v>21.398951032261941</v>
      </c>
      <c r="AO127" s="23">
        <f t="shared" si="40"/>
        <v>14.49778392436912</v>
      </c>
      <c r="AP127" s="23">
        <f t="shared" si="40"/>
        <v>2.8995567848738246</v>
      </c>
      <c r="AQ127" s="24">
        <f t="shared" si="40"/>
        <v>57.036675548601124</v>
      </c>
      <c r="AR127" s="24">
        <f t="shared" si="40"/>
        <v>30.422550800884562</v>
      </c>
      <c r="AS127" s="24">
        <f t="shared" si="40"/>
        <v>65.444797293017373</v>
      </c>
      <c r="AT127" s="25" t="e">
        <f t="shared" si="42"/>
        <v>#VALUE!</v>
      </c>
      <c r="AU127" s="25" t="e">
        <f t="shared" si="42"/>
        <v>#VALUE!</v>
      </c>
      <c r="AV127" s="26" t="e">
        <f t="shared" si="43"/>
        <v>#VALUE!</v>
      </c>
      <c r="AW127" s="26" t="e">
        <f t="shared" si="43"/>
        <v>#VALUE!</v>
      </c>
      <c r="AX127" s="27" t="e">
        <f t="shared" si="43"/>
        <v>#VALUE!</v>
      </c>
      <c r="AY127" s="27" t="e">
        <f t="shared" si="43"/>
        <v>#VALUE!</v>
      </c>
      <c r="AZ127" t="e">
        <f>NA()</f>
        <v>#N/A</v>
      </c>
      <c r="BA127" s="22">
        <f t="shared" si="34"/>
        <v>27.663440422697555</v>
      </c>
      <c r="BB127" s="22">
        <f t="shared" si="35"/>
        <v>48.670466484916439</v>
      </c>
    </row>
    <row r="128" spans="4:54" x14ac:dyDescent="0.3">
      <c r="D128">
        <v>43</v>
      </c>
      <c r="F128">
        <v>42</v>
      </c>
      <c r="G128" s="21"/>
      <c r="H128" s="21"/>
      <c r="I128" s="21"/>
      <c r="J128" s="21"/>
      <c r="K128" s="21"/>
      <c r="L128" s="22"/>
      <c r="M128" s="21"/>
      <c r="N128" s="23"/>
      <c r="O128" s="23"/>
      <c r="P128" s="24"/>
      <c r="Q128" s="24"/>
      <c r="R128" s="24"/>
      <c r="S128" s="25"/>
      <c r="T128" s="25"/>
      <c r="U128" s="26"/>
      <c r="V128" s="26"/>
      <c r="W128" s="27"/>
      <c r="X128" s="27"/>
      <c r="Z128" s="22"/>
      <c r="AA128" s="22"/>
      <c r="AE128">
        <v>43</v>
      </c>
      <c r="AG128">
        <f t="shared" si="29"/>
        <v>40.467341024247702</v>
      </c>
      <c r="AH128" s="21">
        <f t="shared" si="41"/>
        <v>65.138866414333222</v>
      </c>
      <c r="AI128" s="21">
        <f t="shared" si="41"/>
        <v>66.934611589601928</v>
      </c>
      <c r="AJ128" s="21">
        <f t="shared" si="41"/>
        <v>68.626539398157462</v>
      </c>
      <c r="AK128" s="21">
        <f t="shared" si="41"/>
        <v>66.595767190538538</v>
      </c>
      <c r="AL128" s="21">
        <f t="shared" si="41"/>
        <v>25.299492354885651</v>
      </c>
      <c r="AM128" s="22" t="e">
        <f t="shared" si="31"/>
        <v>#VALUE!</v>
      </c>
      <c r="AN128" s="21">
        <f t="shared" si="40"/>
        <v>22.311189821297322</v>
      </c>
      <c r="AO128" s="23">
        <f t="shared" si="40"/>
        <v>15.083166305654746</v>
      </c>
      <c r="AP128" s="23">
        <f t="shared" si="40"/>
        <v>3.0166332611309494</v>
      </c>
      <c r="AQ128" s="24">
        <f t="shared" si="40"/>
        <v>58.63598784762187</v>
      </c>
      <c r="AR128" s="24">
        <f t="shared" si="40"/>
        <v>31.211710604191474</v>
      </c>
      <c r="AS128" s="24">
        <f t="shared" si="40"/>
        <v>66.538245613777136</v>
      </c>
      <c r="AT128" s="25" t="e">
        <f t="shared" si="42"/>
        <v>#VALUE!</v>
      </c>
      <c r="AU128" s="25" t="e">
        <f t="shared" si="42"/>
        <v>#VALUE!</v>
      </c>
      <c r="AV128" s="26" t="e">
        <f t="shared" si="43"/>
        <v>#VALUE!</v>
      </c>
      <c r="AW128" s="26" t="e">
        <f t="shared" si="43"/>
        <v>#VALUE!</v>
      </c>
      <c r="AX128" s="27" t="e">
        <f t="shared" si="43"/>
        <v>#VALUE!</v>
      </c>
      <c r="AY128" s="27" t="e">
        <f t="shared" si="43"/>
        <v>#VALUE!</v>
      </c>
      <c r="AZ128" t="e">
        <f>NA()</f>
        <v>#N/A</v>
      </c>
      <c r="BA128" s="22">
        <f t="shared" si="34"/>
        <v>28.134849574443813</v>
      </c>
      <c r="BB128" s="22">
        <f t="shared" si="35"/>
        <v>49.304872587549553</v>
      </c>
    </row>
    <row r="129" spans="4:54" x14ac:dyDescent="0.3">
      <c r="D129">
        <v>44</v>
      </c>
      <c r="F129">
        <v>43</v>
      </c>
      <c r="G129" s="21"/>
      <c r="H129" s="21"/>
      <c r="I129" s="21"/>
      <c r="J129" s="21"/>
      <c r="K129" s="21"/>
      <c r="L129" s="22"/>
      <c r="M129" s="21"/>
      <c r="N129" s="23"/>
      <c r="O129" s="23"/>
      <c r="P129" s="24"/>
      <c r="Q129" s="24"/>
      <c r="R129" s="24"/>
      <c r="S129" s="25"/>
      <c r="T129" s="25"/>
      <c r="U129" s="26"/>
      <c r="V129" s="26"/>
      <c r="W129" s="27"/>
      <c r="X129" s="27"/>
      <c r="Z129" s="22"/>
      <c r="AA129" s="22"/>
      <c r="AE129">
        <v>44</v>
      </c>
      <c r="AG129">
        <f t="shared" si="29"/>
        <v>41.95047391357199</v>
      </c>
      <c r="AH129" s="21">
        <f t="shared" si="41"/>
        <v>67.263054294641265</v>
      </c>
      <c r="AI129" s="21">
        <f t="shared" si="41"/>
        <v>68.874264027899585</v>
      </c>
      <c r="AJ129" s="21">
        <f t="shared" si="41"/>
        <v>71.268198679995351</v>
      </c>
      <c r="AK129" s="21">
        <f t="shared" si="41"/>
        <v>68.473410193832777</v>
      </c>
      <c r="AL129" s="21">
        <f t="shared" si="41"/>
        <v>25.934963634826442</v>
      </c>
      <c r="AM129" s="22" t="e">
        <f t="shared" si="31"/>
        <v>#VALUE!</v>
      </c>
      <c r="AN129" s="21">
        <f t="shared" si="40"/>
        <v>23.128765095555583</v>
      </c>
      <c r="AO129" s="23">
        <f t="shared" si="40"/>
        <v>15.610820257888683</v>
      </c>
      <c r="AP129" s="23">
        <f t="shared" si="40"/>
        <v>3.1221640515777369</v>
      </c>
      <c r="AQ129" s="24">
        <f t="shared" si="40"/>
        <v>60.051899559552183</v>
      </c>
      <c r="AR129" s="24">
        <f t="shared" si="40"/>
        <v>31.897899224109153</v>
      </c>
      <c r="AS129" s="24">
        <f t="shared" si="40"/>
        <v>67.433649692848931</v>
      </c>
      <c r="AT129" s="25" t="e">
        <f t="shared" si="42"/>
        <v>#VALUE!</v>
      </c>
      <c r="AU129" s="25" t="e">
        <f t="shared" si="42"/>
        <v>#VALUE!</v>
      </c>
      <c r="AV129" s="26" t="e">
        <f t="shared" si="43"/>
        <v>#VALUE!</v>
      </c>
      <c r="AW129" s="26" t="e">
        <f t="shared" si="43"/>
        <v>#VALUE!</v>
      </c>
      <c r="AX129" s="27" t="e">
        <f t="shared" si="43"/>
        <v>#VALUE!</v>
      </c>
      <c r="AY129" s="27" t="e">
        <f t="shared" si="43"/>
        <v>#VALUE!</v>
      </c>
      <c r="AZ129" t="e">
        <f>NA()</f>
        <v>#N/A</v>
      </c>
      <c r="BA129" s="22">
        <f t="shared" si="34"/>
        <v>28.522578267882011</v>
      </c>
      <c r="BB129" s="22">
        <f t="shared" si="35"/>
        <v>49.846184577083804</v>
      </c>
    </row>
    <row r="130" spans="4:54" x14ac:dyDescent="0.3">
      <c r="D130">
        <v>45</v>
      </c>
      <c r="F130">
        <v>44</v>
      </c>
      <c r="G130" s="21"/>
      <c r="H130" s="21"/>
      <c r="I130" s="21"/>
      <c r="J130" s="21"/>
      <c r="K130" s="21"/>
      <c r="L130" s="22"/>
      <c r="M130" s="21"/>
      <c r="N130" s="23"/>
      <c r="O130" s="23"/>
      <c r="P130" s="24"/>
      <c r="Q130" s="24"/>
      <c r="R130" s="24"/>
      <c r="S130" s="25"/>
      <c r="T130" s="25"/>
      <c r="U130" s="26"/>
      <c r="V130" s="26"/>
      <c r="W130" s="27"/>
      <c r="X130" s="27"/>
      <c r="Z130" s="22"/>
      <c r="AA130" s="22"/>
      <c r="AE130">
        <v>45</v>
      </c>
      <c r="AG130">
        <f t="shared" si="29"/>
        <v>43.317115956604354</v>
      </c>
      <c r="AH130" s="21">
        <f t="shared" si="41"/>
        <v>69.088707002932082</v>
      </c>
      <c r="AI130" s="21">
        <f t="shared" si="41"/>
        <v>70.606498828995043</v>
      </c>
      <c r="AJ130" s="21">
        <f t="shared" si="41"/>
        <v>73.60703735532077</v>
      </c>
      <c r="AK130" s="21">
        <f t="shared" si="41"/>
        <v>70.147234521118136</v>
      </c>
      <c r="AL130" s="21">
        <f t="shared" si="41"/>
        <v>26.474223602988989</v>
      </c>
      <c r="AM130" s="22" t="e">
        <f t="shared" si="31"/>
        <v>#VALUE!</v>
      </c>
      <c r="AN130" s="21">
        <f t="shared" si="40"/>
        <v>23.862291658994277</v>
      </c>
      <c r="AO130" s="23">
        <f t="shared" si="40"/>
        <v>16.086930277088712</v>
      </c>
      <c r="AP130" s="23">
        <f t="shared" si="40"/>
        <v>3.2173860554177427</v>
      </c>
      <c r="AQ130" s="24">
        <f t="shared" si="40"/>
        <v>61.308969363257553</v>
      </c>
      <c r="AR130" s="24">
        <f t="shared" si="40"/>
        <v>32.496874277274216</v>
      </c>
      <c r="AS130" s="24">
        <f t="shared" si="40"/>
        <v>68.172871030214097</v>
      </c>
      <c r="AT130" s="25" t="e">
        <f t="shared" si="42"/>
        <v>#VALUE!</v>
      </c>
      <c r="AU130" s="25" t="e">
        <f t="shared" si="42"/>
        <v>#VALUE!</v>
      </c>
      <c r="AV130" s="26" t="e">
        <f t="shared" si="43"/>
        <v>#VALUE!</v>
      </c>
      <c r="AW130" s="26" t="e">
        <f t="shared" si="43"/>
        <v>#VALUE!</v>
      </c>
      <c r="AX130" s="27" t="e">
        <f t="shared" si="43"/>
        <v>#VALUE!</v>
      </c>
      <c r="AY130" s="27" t="e">
        <f t="shared" si="43"/>
        <v>#VALUE!</v>
      </c>
      <c r="AZ130" t="e">
        <f>NA()</f>
        <v>#N/A</v>
      </c>
      <c r="BA130" s="22">
        <f t="shared" si="34"/>
        <v>28.843989565247227</v>
      </c>
      <c r="BB130" s="22">
        <f t="shared" si="35"/>
        <v>50.310862595438714</v>
      </c>
    </row>
    <row r="131" spans="4:54" x14ac:dyDescent="0.3">
      <c r="D131">
        <v>46</v>
      </c>
      <c r="F131">
        <v>45</v>
      </c>
      <c r="G131" s="21"/>
      <c r="H131" s="21"/>
      <c r="I131" s="21"/>
      <c r="J131" s="21"/>
      <c r="K131" s="21"/>
      <c r="L131" s="22"/>
      <c r="M131" s="21"/>
      <c r="N131" s="23"/>
      <c r="O131" s="23"/>
      <c r="P131" s="24"/>
      <c r="Q131" s="24"/>
      <c r="R131" s="24"/>
      <c r="S131" s="25"/>
      <c r="T131" s="25"/>
      <c r="U131" s="26"/>
      <c r="V131" s="26"/>
      <c r="W131" s="27"/>
      <c r="X131" s="27"/>
      <c r="Z131" s="22"/>
      <c r="AA131" s="22"/>
      <c r="AE131">
        <v>46</v>
      </c>
      <c r="AG131">
        <f t="shared" si="29"/>
        <v>44.576416783406593</v>
      </c>
      <c r="AH131" s="21">
        <f t="shared" si="41"/>
        <v>70.663378296034892</v>
      </c>
      <c r="AI131" s="21">
        <f t="shared" si="41"/>
        <v>72.15662027071626</v>
      </c>
      <c r="AJ131" s="21">
        <f t="shared" si="41"/>
        <v>75.681188301065262</v>
      </c>
      <c r="AK131" s="21">
        <f t="shared" si="41"/>
        <v>71.642596640583704</v>
      </c>
      <c r="AL131" s="21">
        <f t="shared" si="41"/>
        <v>26.934118203864628</v>
      </c>
      <c r="AM131" s="22" t="e">
        <f t="shared" si="31"/>
        <v>#VALUE!</v>
      </c>
      <c r="AN131" s="21">
        <f t="shared" si="40"/>
        <v>24.521220422304573</v>
      </c>
      <c r="AO131" s="23">
        <f t="shared" si="40"/>
        <v>16.517003875813732</v>
      </c>
      <c r="AP131" s="23">
        <f t="shared" si="40"/>
        <v>3.3034007751627468</v>
      </c>
      <c r="AQ131" s="24">
        <f t="shared" si="40"/>
        <v>62.427989652460582</v>
      </c>
      <c r="AR131" s="24">
        <f t="shared" si="40"/>
        <v>33.021673257957076</v>
      </c>
      <c r="AS131" s="24">
        <f t="shared" si="40"/>
        <v>68.787921945963291</v>
      </c>
      <c r="AT131" s="25" t="e">
        <f t="shared" si="42"/>
        <v>#VALUE!</v>
      </c>
      <c r="AU131" s="25" t="e">
        <f t="shared" si="42"/>
        <v>#VALUE!</v>
      </c>
      <c r="AV131" s="26" t="e">
        <f t="shared" si="43"/>
        <v>#VALUE!</v>
      </c>
      <c r="AW131" s="26" t="e">
        <f t="shared" si="43"/>
        <v>#VALUE!</v>
      </c>
      <c r="AX131" s="27" t="e">
        <f t="shared" si="43"/>
        <v>#VALUE!</v>
      </c>
      <c r="AY131" s="27" t="e">
        <f t="shared" si="43"/>
        <v>#VALUE!</v>
      </c>
      <c r="AZ131" t="e">
        <f>NA()</f>
        <v>#N/A</v>
      </c>
      <c r="BA131" s="22">
        <f t="shared" si="34"/>
        <v>29.11243034959076</v>
      </c>
      <c r="BB131" s="22">
        <f t="shared" si="35"/>
        <v>50.711982759521817</v>
      </c>
    </row>
    <row r="132" spans="4:54" x14ac:dyDescent="0.3">
      <c r="D132">
        <v>47</v>
      </c>
      <c r="F132">
        <v>46</v>
      </c>
      <c r="G132" s="21"/>
      <c r="H132" s="21"/>
      <c r="I132" s="21"/>
      <c r="J132" s="21"/>
      <c r="K132" s="21"/>
      <c r="L132" s="22"/>
      <c r="M132" s="21"/>
      <c r="N132" s="23"/>
      <c r="O132" s="23"/>
      <c r="P132" s="24"/>
      <c r="Q132" s="24"/>
      <c r="R132" s="24"/>
      <c r="S132" s="25"/>
      <c r="T132" s="25"/>
      <c r="U132" s="26"/>
      <c r="V132" s="26"/>
      <c r="W132" s="27"/>
      <c r="X132" s="27"/>
      <c r="Z132" s="22"/>
      <c r="AA132" s="22"/>
      <c r="AE132">
        <v>47</v>
      </c>
      <c r="AG132">
        <f t="shared" si="29"/>
        <v>45.736807377615186</v>
      </c>
      <c r="AH132" s="21">
        <f t="shared" si="41"/>
        <v>72.026633070075491</v>
      </c>
      <c r="AI132" s="21">
        <f t="shared" si="41"/>
        <v>73.546482246909889</v>
      </c>
      <c r="AJ132" s="21">
        <f t="shared" si="41"/>
        <v>77.523995768929851</v>
      </c>
      <c r="AK132" s="21">
        <f t="shared" si="41"/>
        <v>72.981311592015658</v>
      </c>
      <c r="AL132" s="21">
        <f t="shared" si="41"/>
        <v>27.328265839692442</v>
      </c>
      <c r="AM132" s="22" t="e">
        <f t="shared" si="31"/>
        <v>#VALUE!</v>
      </c>
      <c r="AN132" s="21">
        <f t="shared" si="40"/>
        <v>25.11391615197536</v>
      </c>
      <c r="AO132" s="23">
        <f t="shared" si="40"/>
        <v>16.90592998996113</v>
      </c>
      <c r="AP132" s="23">
        <f t="shared" si="40"/>
        <v>3.3811859979922265</v>
      </c>
      <c r="AQ132" s="24">
        <f t="shared" si="40"/>
        <v>63.426619829662442</v>
      </c>
      <c r="AR132" s="24">
        <f t="shared" si="40"/>
        <v>33.48311625356758</v>
      </c>
      <c r="AS132" s="24">
        <f t="shared" si="40"/>
        <v>69.303450857739278</v>
      </c>
      <c r="AT132" s="25" t="e">
        <f t="shared" si="42"/>
        <v>#VALUE!</v>
      </c>
      <c r="AU132" s="25" t="e">
        <f t="shared" si="42"/>
        <v>#VALUE!</v>
      </c>
      <c r="AV132" s="26" t="e">
        <f t="shared" si="43"/>
        <v>#VALUE!</v>
      </c>
      <c r="AW132" s="26" t="e">
        <f t="shared" si="43"/>
        <v>#VALUE!</v>
      </c>
      <c r="AX132" s="27" t="e">
        <f t="shared" si="43"/>
        <v>#VALUE!</v>
      </c>
      <c r="AY132" s="27" t="e">
        <f t="shared" si="43"/>
        <v>#VALUE!</v>
      </c>
      <c r="AZ132" t="e">
        <f>NA()</f>
        <v>#N/A</v>
      </c>
      <c r="BA132" s="22">
        <f t="shared" si="34"/>
        <v>29.338228432598754</v>
      </c>
      <c r="BB132" s="22">
        <f t="shared" si="35"/>
        <v>51.060019162642718</v>
      </c>
    </row>
    <row r="133" spans="4:54" x14ac:dyDescent="0.3">
      <c r="D133">
        <v>48</v>
      </c>
      <c r="F133">
        <v>47</v>
      </c>
      <c r="G133" s="21"/>
      <c r="H133" s="21"/>
      <c r="I133" s="21"/>
      <c r="J133" s="21"/>
      <c r="K133" s="21"/>
      <c r="L133" s="22"/>
      <c r="M133" s="21"/>
      <c r="N133" s="23"/>
      <c r="O133" s="23"/>
      <c r="P133" s="24"/>
      <c r="Q133" s="24"/>
      <c r="R133" s="24"/>
      <c r="S133" s="25"/>
      <c r="T133" s="25"/>
      <c r="U133" s="26"/>
      <c r="V133" s="26"/>
      <c r="W133" s="27"/>
      <c r="X133" s="27"/>
      <c r="Z133" s="22"/>
      <c r="AA133" s="22"/>
      <c r="AE133">
        <v>48</v>
      </c>
      <c r="AG133">
        <f t="shared" si="29"/>
        <v>46.806056521639796</v>
      </c>
      <c r="AH133" s="21">
        <f t="shared" si="41"/>
        <v>73.211296843594539</v>
      </c>
      <c r="AI133" s="21">
        <f t="shared" si="41"/>
        <v>74.794982731805746</v>
      </c>
      <c r="AJ133" s="21">
        <f t="shared" si="41"/>
        <v>79.16444401854433</v>
      </c>
      <c r="AK133" s="21">
        <f t="shared" si="41"/>
        <v>74.182177139209841</v>
      </c>
      <c r="AL133" s="21">
        <f t="shared" si="41"/>
        <v>27.667691859955827</v>
      </c>
      <c r="AM133" s="22" t="e">
        <f t="shared" si="31"/>
        <v>#VALUE!</v>
      </c>
      <c r="AN133" s="21">
        <f t="shared" si="40"/>
        <v>25.647756374661853</v>
      </c>
      <c r="AO133" s="23">
        <f t="shared" si="40"/>
        <v>17.258041180448611</v>
      </c>
      <c r="AP133" s="23">
        <f t="shared" si="40"/>
        <v>3.4516082360897227</v>
      </c>
      <c r="AQ133" s="24">
        <f t="shared" si="40"/>
        <v>64.319909409143122</v>
      </c>
      <c r="AR133" s="24">
        <f t="shared" si="40"/>
        <v>33.890215527105241</v>
      </c>
      <c r="AS133" s="24">
        <f t="shared" si="40"/>
        <v>69.738576202212073</v>
      </c>
      <c r="AT133" s="25" t="e">
        <f t="shared" si="42"/>
        <v>#VALUE!</v>
      </c>
      <c r="AU133" s="25" t="e">
        <f t="shared" si="42"/>
        <v>#VALUE!</v>
      </c>
      <c r="AV133" s="26" t="e">
        <f t="shared" si="43"/>
        <v>#VALUE!</v>
      </c>
      <c r="AW133" s="26" t="e">
        <f t="shared" si="43"/>
        <v>#VALUE!</v>
      </c>
      <c r="AX133" s="27" t="e">
        <f t="shared" si="43"/>
        <v>#VALUE!</v>
      </c>
      <c r="AY133" s="27" t="e">
        <f t="shared" si="43"/>
        <v>#VALUE!</v>
      </c>
      <c r="AZ133" t="e">
        <f>NA()</f>
        <v>#N/A</v>
      </c>
      <c r="BA133" s="22">
        <f t="shared" si="34"/>
        <v>29.529432540857261</v>
      </c>
      <c r="BB133" s="22">
        <f t="shared" si="35"/>
        <v>51.363427522310694</v>
      </c>
    </row>
    <row r="134" spans="4:54" x14ac:dyDescent="0.3">
      <c r="D134">
        <v>49</v>
      </c>
      <c r="F134">
        <v>48</v>
      </c>
      <c r="G134" s="21"/>
      <c r="H134" s="21"/>
      <c r="I134" s="21"/>
      <c r="J134" s="21"/>
      <c r="K134" s="21"/>
      <c r="L134" s="22"/>
      <c r="M134" s="21"/>
      <c r="N134" s="23"/>
      <c r="O134" s="23"/>
      <c r="P134" s="24"/>
      <c r="Q134" s="24"/>
      <c r="R134" s="24"/>
      <c r="S134" s="25"/>
      <c r="T134" s="25"/>
      <c r="U134" s="26"/>
      <c r="V134" s="26"/>
      <c r="W134" s="27"/>
      <c r="X134" s="27"/>
      <c r="Z134" s="22"/>
      <c r="AA134" s="22"/>
      <c r="AE134">
        <v>49</v>
      </c>
      <c r="AG134">
        <f t="shared" si="29"/>
        <v>47.791322808443105</v>
      </c>
      <c r="AH134" s="21">
        <f t="shared" si="41"/>
        <v>74.244590609263994</v>
      </c>
      <c r="AI134" s="21">
        <f t="shared" si="41"/>
        <v>75.918492906011778</v>
      </c>
      <c r="AJ134" s="21">
        <f t="shared" si="41"/>
        <v>80.627644258937394</v>
      </c>
      <c r="AK134" s="21">
        <f t="shared" si="41"/>
        <v>75.261424393595476</v>
      </c>
      <c r="AL134" s="21">
        <f t="shared" si="41"/>
        <v>27.9613474792476</v>
      </c>
      <c r="AM134" s="22" t="e">
        <f t="shared" si="31"/>
        <v>#VALUE!</v>
      </c>
      <c r="AN134" s="21">
        <f t="shared" ref="AN134:AS149" si="44">AN62*AN$12</f>
        <v>26.129235896566126</v>
      </c>
      <c r="AO134" s="23">
        <f t="shared" si="44"/>
        <v>17.577174558432116</v>
      </c>
      <c r="AP134" s="23">
        <f t="shared" si="44"/>
        <v>3.5154349116864236</v>
      </c>
      <c r="AQ134" s="24">
        <f t="shared" si="44"/>
        <v>65.12072895958292</v>
      </c>
      <c r="AR134" s="24">
        <f t="shared" si="44"/>
        <v>34.250507148804118</v>
      </c>
      <c r="AS134" s="24">
        <f t="shared" si="44"/>
        <v>70.108239823108619</v>
      </c>
      <c r="AT134" s="25" t="e">
        <f t="shared" si="42"/>
        <v>#VALUE!</v>
      </c>
      <c r="AU134" s="25" t="e">
        <f t="shared" si="42"/>
        <v>#VALUE!</v>
      </c>
      <c r="AV134" s="26" t="e">
        <f t="shared" si="43"/>
        <v>#VALUE!</v>
      </c>
      <c r="AW134" s="26" t="e">
        <f t="shared" si="43"/>
        <v>#VALUE!</v>
      </c>
      <c r="AX134" s="27" t="e">
        <f t="shared" si="43"/>
        <v>#VALUE!</v>
      </c>
      <c r="AY134" s="27" t="e">
        <f t="shared" si="43"/>
        <v>#VALUE!</v>
      </c>
      <c r="AZ134" t="e">
        <f>NA()</f>
        <v>#N/A</v>
      </c>
      <c r="BA134" s="22">
        <f t="shared" si="34"/>
        <v>29.692361439170433</v>
      </c>
      <c r="BB134" s="22">
        <f t="shared" si="35"/>
        <v>51.629084828034706</v>
      </c>
    </row>
    <row r="135" spans="4:54" x14ac:dyDescent="0.3">
      <c r="D135">
        <v>50</v>
      </c>
      <c r="F135">
        <v>49</v>
      </c>
      <c r="G135" s="21"/>
      <c r="H135" s="21"/>
      <c r="I135" s="21"/>
      <c r="J135" s="21"/>
      <c r="K135" s="21"/>
      <c r="L135" s="22"/>
      <c r="M135" s="21"/>
      <c r="N135" s="23"/>
      <c r="O135" s="23"/>
      <c r="P135" s="24"/>
      <c r="Q135" s="24"/>
      <c r="R135" s="24"/>
      <c r="S135" s="25"/>
      <c r="T135" s="25"/>
      <c r="U135" s="26"/>
      <c r="V135" s="26"/>
      <c r="W135" s="27"/>
      <c r="X135" s="27"/>
      <c r="Z135" s="22"/>
      <c r="AA135" s="22"/>
      <c r="AE135">
        <v>50</v>
      </c>
      <c r="AG135">
        <f t="shared" si="29"/>
        <v>48.699202568119411</v>
      </c>
      <c r="AH135" s="21">
        <f t="shared" ref="AH135:AL150" si="45">AH63*AH$12</f>
        <v>75.149112124329065</v>
      </c>
      <c r="AI135" s="21">
        <f t="shared" si="45"/>
        <v>76.931225362678106</v>
      </c>
      <c r="AJ135" s="21">
        <f t="shared" si="45"/>
        <v>81.935319454418462</v>
      </c>
      <c r="AK135" s="21">
        <f t="shared" si="45"/>
        <v>76.233101494710269</v>
      </c>
      <c r="AL135" s="21">
        <f t="shared" si="45"/>
        <v>28.21652685415815</v>
      </c>
      <c r="AM135" s="22" t="e">
        <f t="shared" si="31"/>
        <v>#VALUE!</v>
      </c>
      <c r="AN135" s="21">
        <f t="shared" si="44"/>
        <v>26.564068482403886</v>
      </c>
      <c r="AO135" s="23">
        <f t="shared" si="44"/>
        <v>17.866728828358923</v>
      </c>
      <c r="AP135" s="23">
        <f t="shared" si="44"/>
        <v>3.5733457656717853</v>
      </c>
      <c r="AQ135" s="24">
        <f t="shared" si="44"/>
        <v>65.840124907574292</v>
      </c>
      <c r="AR135" s="24">
        <f t="shared" si="44"/>
        <v>34.570318778297136</v>
      </c>
      <c r="AS135" s="24">
        <f t="shared" si="44"/>
        <v>70.4242085930115</v>
      </c>
      <c r="AT135" s="25" t="e">
        <f t="shared" ref="AT135:AU150" si="46">AT63</f>
        <v>#VALUE!</v>
      </c>
      <c r="AU135" s="25" t="e">
        <f t="shared" si="46"/>
        <v>#VALUE!</v>
      </c>
      <c r="AV135" s="26" t="e">
        <f t="shared" ref="AV135:AY150" si="47">AV63*AV$12</f>
        <v>#VALUE!</v>
      </c>
      <c r="AW135" s="26" t="e">
        <f t="shared" si="47"/>
        <v>#VALUE!</v>
      </c>
      <c r="AX135" s="27" t="e">
        <f t="shared" si="47"/>
        <v>#VALUE!</v>
      </c>
      <c r="AY135" s="27" t="e">
        <f t="shared" si="47"/>
        <v>#VALUE!</v>
      </c>
      <c r="AZ135" t="e">
        <f>NA()</f>
        <v>#N/A</v>
      </c>
      <c r="BA135" s="22">
        <f t="shared" si="34"/>
        <v>29.832012498987883</v>
      </c>
      <c r="BB135" s="22">
        <f t="shared" si="35"/>
        <v>51.862623433392777</v>
      </c>
    </row>
    <row r="136" spans="4:54" x14ac:dyDescent="0.3">
      <c r="D136">
        <v>51</v>
      </c>
      <c r="F136">
        <v>50</v>
      </c>
      <c r="G136" s="21"/>
      <c r="H136" s="21"/>
      <c r="I136" s="21"/>
      <c r="J136" s="21"/>
      <c r="K136" s="21"/>
      <c r="L136" s="22"/>
      <c r="M136" s="21"/>
      <c r="N136" s="23"/>
      <c r="O136" s="23"/>
      <c r="P136" s="24"/>
      <c r="Q136" s="24"/>
      <c r="R136" s="24"/>
      <c r="S136" s="25"/>
      <c r="T136" s="25"/>
      <c r="U136" s="26"/>
      <c r="V136" s="26"/>
      <c r="W136" s="27"/>
      <c r="X136" s="27"/>
      <c r="Z136" s="22"/>
      <c r="AA136" s="22"/>
      <c r="AE136">
        <v>51</v>
      </c>
      <c r="AG136">
        <f t="shared" si="29"/>
        <v>49.535774030139265</v>
      </c>
      <c r="AH136" s="21">
        <f t="shared" si="45"/>
        <v>75.943661173931176</v>
      </c>
      <c r="AI136" s="21">
        <f t="shared" si="45"/>
        <v>77.845547882988924</v>
      </c>
      <c r="AJ136" s="21">
        <f t="shared" si="45"/>
        <v>83.1062567592205</v>
      </c>
      <c r="AK136" s="21">
        <f t="shared" si="45"/>
        <v>77.109398441316046</v>
      </c>
      <c r="AL136" s="21">
        <f t="shared" si="45"/>
        <v>28.439199139034855</v>
      </c>
      <c r="AM136" s="22" t="e">
        <f t="shared" si="31"/>
        <v>#VALUE!</v>
      </c>
      <c r="AN136" s="21">
        <f t="shared" si="44"/>
        <v>26.957281415848559</v>
      </c>
      <c r="AO136" s="23">
        <f t="shared" si="44"/>
        <v>18.129716278276227</v>
      </c>
      <c r="AP136" s="23">
        <f t="shared" si="44"/>
        <v>3.6259432556552458</v>
      </c>
      <c r="AQ136" s="24">
        <f t="shared" si="44"/>
        <v>66.487611868077551</v>
      </c>
      <c r="AR136" s="24">
        <f t="shared" si="44"/>
        <v>34.854985783113406</v>
      </c>
      <c r="AS136" s="24">
        <f t="shared" si="44"/>
        <v>70.695819086075389</v>
      </c>
      <c r="AT136" s="25" t="e">
        <f t="shared" si="46"/>
        <v>#VALUE!</v>
      </c>
      <c r="AU136" s="25" t="e">
        <f t="shared" si="46"/>
        <v>#VALUE!</v>
      </c>
      <c r="AV136" s="26" t="e">
        <f t="shared" si="47"/>
        <v>#VALUE!</v>
      </c>
      <c r="AW136" s="26" t="e">
        <f t="shared" si="47"/>
        <v>#VALUE!</v>
      </c>
      <c r="AX136" s="27" t="e">
        <f t="shared" si="47"/>
        <v>#VALUE!</v>
      </c>
      <c r="AY136" s="27" t="e">
        <f t="shared" si="47"/>
        <v>#VALUE!</v>
      </c>
      <c r="AZ136" t="e">
        <f>NA()</f>
        <v>#N/A</v>
      </c>
      <c r="BA136" s="22">
        <f t="shared" si="34"/>
        <v>29.952367007554216</v>
      </c>
      <c r="BB136" s="22">
        <f t="shared" si="35"/>
        <v>52.068687058687935</v>
      </c>
    </row>
    <row r="137" spans="4:54" x14ac:dyDescent="0.3">
      <c r="D137">
        <v>52</v>
      </c>
      <c r="F137">
        <v>51</v>
      </c>
      <c r="G137" s="21"/>
      <c r="H137" s="21"/>
      <c r="I137" s="21"/>
      <c r="J137" s="21"/>
      <c r="K137" s="21"/>
      <c r="L137" s="22"/>
      <c r="M137" s="21"/>
      <c r="N137" s="23"/>
      <c r="O137" s="23"/>
      <c r="P137" s="24"/>
      <c r="Q137" s="24"/>
      <c r="R137" s="24"/>
      <c r="S137" s="25"/>
      <c r="T137" s="25"/>
      <c r="U137" s="26"/>
      <c r="V137" s="26"/>
      <c r="W137" s="27"/>
      <c r="X137" s="27"/>
      <c r="Z137" s="22"/>
      <c r="AA137" s="22"/>
      <c r="AE137">
        <v>52</v>
      </c>
      <c r="AG137">
        <f t="shared" si="29"/>
        <v>50.306638016924872</v>
      </c>
      <c r="AH137" s="21">
        <f t="shared" si="45"/>
        <v>76.643922381837399</v>
      </c>
      <c r="AI137" s="21">
        <f t="shared" si="45"/>
        <v>78.672249775730748</v>
      </c>
      <c r="AJ137" s="21">
        <f t="shared" si="45"/>
        <v>84.156714529067216</v>
      </c>
      <c r="AK137" s="21">
        <f t="shared" si="45"/>
        <v>77.900921251600295</v>
      </c>
      <c r="AL137" s="21">
        <f t="shared" si="45"/>
        <v>28.634271620672738</v>
      </c>
      <c r="AM137" s="22" t="e">
        <f t="shared" si="31"/>
        <v>#VALUE!</v>
      </c>
      <c r="AN137" s="21">
        <f t="shared" si="44"/>
        <v>27.313301094228397</v>
      </c>
      <c r="AO137" s="23">
        <f t="shared" si="44"/>
        <v>18.368809367669019</v>
      </c>
      <c r="AP137" s="23">
        <f t="shared" si="44"/>
        <v>3.6737618735338047</v>
      </c>
      <c r="AQ137" s="24">
        <f t="shared" si="44"/>
        <v>67.07141389420886</v>
      </c>
      <c r="AR137" s="24">
        <f t="shared" si="44"/>
        <v>35.109025832599123</v>
      </c>
      <c r="AS137" s="24">
        <f t="shared" si="44"/>
        <v>70.930534328554742</v>
      </c>
      <c r="AT137" s="25" t="e">
        <f t="shared" si="46"/>
        <v>#VALUE!</v>
      </c>
      <c r="AU137" s="25" t="e">
        <f t="shared" si="46"/>
        <v>#VALUE!</v>
      </c>
      <c r="AV137" s="26" t="e">
        <f t="shared" si="47"/>
        <v>#VALUE!</v>
      </c>
      <c r="AW137" s="26" t="e">
        <f t="shared" si="47"/>
        <v>#VALUE!</v>
      </c>
      <c r="AX137" s="27" t="e">
        <f t="shared" si="47"/>
        <v>#VALUE!</v>
      </c>
      <c r="AY137" s="27" t="e">
        <f t="shared" si="47"/>
        <v>#VALUE!</v>
      </c>
      <c r="AZ137" t="e">
        <f>NA()</f>
        <v>#N/A</v>
      </c>
      <c r="BA137" s="22">
        <f t="shared" si="34"/>
        <v>30.056619542590166</v>
      </c>
      <c r="BB137" s="22">
        <f t="shared" si="35"/>
        <v>52.251128516169139</v>
      </c>
    </row>
    <row r="138" spans="4:54" x14ac:dyDescent="0.3">
      <c r="D138">
        <v>53</v>
      </c>
      <c r="F138">
        <v>52</v>
      </c>
      <c r="G138" s="21"/>
      <c r="H138" s="21"/>
      <c r="I138" s="21"/>
      <c r="J138" s="21"/>
      <c r="K138" s="21"/>
      <c r="L138" s="22"/>
      <c r="M138" s="21"/>
      <c r="N138" s="23"/>
      <c r="O138" s="23"/>
      <c r="P138" s="24"/>
      <c r="Q138" s="24"/>
      <c r="R138" s="24"/>
      <c r="S138" s="25"/>
      <c r="T138" s="25"/>
      <c r="U138" s="26"/>
      <c r="V138" s="26"/>
      <c r="W138" s="27"/>
      <c r="X138" s="27"/>
      <c r="Z138" s="22"/>
      <c r="AA138" s="22"/>
      <c r="AE138">
        <v>53</v>
      </c>
      <c r="AG138">
        <f t="shared" si="29"/>
        <v>51.016955441198782</v>
      </c>
      <c r="AH138" s="21">
        <f t="shared" si="45"/>
        <v>77.263024785615528</v>
      </c>
      <c r="AI138" s="21">
        <f t="shared" si="45"/>
        <v>79.420767503809273</v>
      </c>
      <c r="AJ138" s="21">
        <f t="shared" si="45"/>
        <v>85.10078035671134</v>
      </c>
      <c r="AK138" s="21">
        <f t="shared" si="45"/>
        <v>78.616923046704258</v>
      </c>
      <c r="AL138" s="21">
        <f t="shared" si="45"/>
        <v>28.805797906156378</v>
      </c>
      <c r="AM138" s="22" t="e">
        <f t="shared" si="31"/>
        <v>#VALUE!</v>
      </c>
      <c r="AN138" s="21">
        <f t="shared" si="44"/>
        <v>27.636029192101258</v>
      </c>
      <c r="AO138" s="23">
        <f t="shared" si="44"/>
        <v>18.586382017203594</v>
      </c>
      <c r="AP138" s="23">
        <f t="shared" si="44"/>
        <v>3.7172764034407186</v>
      </c>
      <c r="AQ138" s="24">
        <f t="shared" si="44"/>
        <v>67.598664017032348</v>
      </c>
      <c r="AR138" s="24">
        <f t="shared" si="44"/>
        <v>35.336280224458939</v>
      </c>
      <c r="AS138" s="24">
        <f t="shared" si="44"/>
        <v>71.13436264901496</v>
      </c>
      <c r="AT138" s="25" t="e">
        <f t="shared" si="46"/>
        <v>#VALUE!</v>
      </c>
      <c r="AU138" s="25" t="e">
        <f t="shared" si="46"/>
        <v>#VALUE!</v>
      </c>
      <c r="AV138" s="26" t="e">
        <f t="shared" si="47"/>
        <v>#VALUE!</v>
      </c>
      <c r="AW138" s="26" t="e">
        <f t="shared" si="47"/>
        <v>#VALUE!</v>
      </c>
      <c r="AX138" s="27" t="e">
        <f t="shared" si="47"/>
        <v>#VALUE!</v>
      </c>
      <c r="AY138" s="27" t="e">
        <f t="shared" si="47"/>
        <v>#VALUE!</v>
      </c>
      <c r="AZ138" t="e">
        <f>NA()</f>
        <v>#N/A</v>
      </c>
      <c r="BA138" s="22">
        <f t="shared" si="34"/>
        <v>30.147351333531091</v>
      </c>
      <c r="BB138" s="22">
        <f t="shared" si="35"/>
        <v>52.41316357961427</v>
      </c>
    </row>
    <row r="139" spans="4:54" x14ac:dyDescent="0.3">
      <c r="D139">
        <v>54</v>
      </c>
      <c r="F139">
        <v>53</v>
      </c>
      <c r="G139" s="21"/>
      <c r="H139" s="21"/>
      <c r="I139" s="21"/>
      <c r="J139" s="21"/>
      <c r="K139" s="21"/>
      <c r="L139" s="22"/>
      <c r="M139" s="21"/>
      <c r="N139" s="23"/>
      <c r="O139" s="23"/>
      <c r="P139" s="24"/>
      <c r="Q139" s="24"/>
      <c r="R139" s="24"/>
      <c r="S139" s="25"/>
      <c r="T139" s="25"/>
      <c r="U139" s="26"/>
      <c r="V139" s="26"/>
      <c r="W139" s="27"/>
      <c r="X139" s="27"/>
      <c r="Z139" s="22"/>
      <c r="AA139" s="22"/>
      <c r="AE139">
        <v>54</v>
      </c>
      <c r="AG139">
        <f t="shared" si="29"/>
        <v>51.671481858149477</v>
      </c>
      <c r="AH139" s="21">
        <f t="shared" si="45"/>
        <v>77.811997993925473</v>
      </c>
      <c r="AI139" s="21">
        <f t="shared" si="45"/>
        <v>80.099375699439591</v>
      </c>
      <c r="AJ139" s="21">
        <f t="shared" si="45"/>
        <v>85.950681585250464</v>
      </c>
      <c r="AK139" s="21">
        <f t="shared" si="45"/>
        <v>79.265498800060016</v>
      </c>
      <c r="AL139" s="21">
        <f t="shared" si="45"/>
        <v>28.957142710018474</v>
      </c>
      <c r="AM139" s="22" t="e">
        <f t="shared" si="31"/>
        <v>#VALUE!</v>
      </c>
      <c r="AN139" s="21">
        <f t="shared" si="44"/>
        <v>27.92890968218391</v>
      </c>
      <c r="AO139" s="23">
        <f t="shared" si="44"/>
        <v>18.784545940612571</v>
      </c>
      <c r="AP139" s="23">
        <f t="shared" si="44"/>
        <v>3.7569091881225143</v>
      </c>
      <c r="AQ139" s="24">
        <f t="shared" si="44"/>
        <v>68.075569723396612</v>
      </c>
      <c r="AR139" s="24">
        <f t="shared" si="44"/>
        <v>35.540028585510377</v>
      </c>
      <c r="AS139" s="24">
        <f t="shared" si="44"/>
        <v>71.312174860279299</v>
      </c>
      <c r="AT139" s="25" t="e">
        <f t="shared" si="46"/>
        <v>#VALUE!</v>
      </c>
      <c r="AU139" s="25" t="e">
        <f t="shared" si="46"/>
        <v>#VALUE!</v>
      </c>
      <c r="AV139" s="26" t="e">
        <f t="shared" si="47"/>
        <v>#VALUE!</v>
      </c>
      <c r="AW139" s="26" t="e">
        <f t="shared" si="47"/>
        <v>#VALUE!</v>
      </c>
      <c r="AX139" s="27" t="e">
        <f t="shared" si="47"/>
        <v>#VALUE!</v>
      </c>
      <c r="AY139" s="27" t="e">
        <f t="shared" si="47"/>
        <v>#VALUE!</v>
      </c>
      <c r="AZ139" t="e">
        <f>NA()</f>
        <v>#N/A</v>
      </c>
      <c r="BA139" s="22">
        <f t="shared" si="34"/>
        <v>30.226662120891906</v>
      </c>
      <c r="BB139" s="22">
        <f t="shared" si="35"/>
        <v>52.557491588187062</v>
      </c>
    </row>
    <row r="140" spans="4:54" x14ac:dyDescent="0.3">
      <c r="D140">
        <v>55</v>
      </c>
      <c r="F140">
        <v>54</v>
      </c>
      <c r="G140" s="21"/>
      <c r="H140" s="21"/>
      <c r="I140" s="21"/>
      <c r="J140" s="21"/>
      <c r="K140" s="21"/>
      <c r="L140" s="22"/>
      <c r="M140" s="21"/>
      <c r="N140" s="23"/>
      <c r="O140" s="23"/>
      <c r="P140" s="24"/>
      <c r="Q140" s="24"/>
      <c r="R140" s="24"/>
      <c r="S140" s="25"/>
      <c r="T140" s="25"/>
      <c r="U140" s="26"/>
      <c r="V140" s="26"/>
      <c r="W140" s="27"/>
      <c r="X140" s="27"/>
      <c r="Z140" s="22"/>
      <c r="AA140" s="22"/>
      <c r="AE140">
        <v>55</v>
      </c>
      <c r="AG140">
        <f t="shared" si="29"/>
        <v>52.274599303739727</v>
      </c>
      <c r="AH140" s="21">
        <f t="shared" si="45"/>
        <v>78.30014310862407</v>
      </c>
      <c r="AI140" s="21">
        <f t="shared" si="45"/>
        <v>80.715348927976521</v>
      </c>
      <c r="AJ140" s="21">
        <f t="shared" si="45"/>
        <v>86.717052169346815</v>
      </c>
      <c r="AK140" s="21">
        <f t="shared" si="45"/>
        <v>79.853749583440774</v>
      </c>
      <c r="AL140" s="21">
        <f t="shared" si="45"/>
        <v>29.09111252314122</v>
      </c>
      <c r="AM140" s="22" t="e">
        <f t="shared" si="31"/>
        <v>#VALUE!</v>
      </c>
      <c r="AN140" s="21">
        <f t="shared" si="44"/>
        <v>28.194987383024415</v>
      </c>
      <c r="AO140" s="23">
        <f t="shared" si="44"/>
        <v>18.965182466221215</v>
      </c>
      <c r="AP140" s="23">
        <f t="shared" si="44"/>
        <v>3.7930364932442431</v>
      </c>
      <c r="AQ140" s="24">
        <f t="shared" si="44"/>
        <v>68.50755058731184</v>
      </c>
      <c r="AR140" s="24">
        <f t="shared" si="44"/>
        <v>35.723082251306856</v>
      </c>
      <c r="AS140" s="24">
        <f t="shared" si="44"/>
        <v>71.467946071521396</v>
      </c>
      <c r="AT140" s="25" t="e">
        <f t="shared" si="46"/>
        <v>#VALUE!</v>
      </c>
      <c r="AU140" s="25" t="e">
        <f t="shared" si="46"/>
        <v>#VALUE!</v>
      </c>
      <c r="AV140" s="26" t="e">
        <f t="shared" si="47"/>
        <v>#VALUE!</v>
      </c>
      <c r="AW140" s="26" t="e">
        <f t="shared" si="47"/>
        <v>#VALUE!</v>
      </c>
      <c r="AX140" s="27" t="e">
        <f t="shared" si="47"/>
        <v>#VALUE!</v>
      </c>
      <c r="AY140" s="27" t="e">
        <f t="shared" si="47"/>
        <v>#VALUE!</v>
      </c>
      <c r="AZ140" t="e">
        <f>NA()</f>
        <v>#N/A</v>
      </c>
      <c r="BA140" s="22">
        <f t="shared" si="34"/>
        <v>30.296271103552549</v>
      </c>
      <c r="BB140" s="22">
        <f t="shared" si="35"/>
        <v>52.686390625628981</v>
      </c>
    </row>
    <row r="141" spans="4:54" x14ac:dyDescent="0.3">
      <c r="D141">
        <v>56</v>
      </c>
      <c r="F141">
        <v>55</v>
      </c>
      <c r="G141" s="21"/>
      <c r="H141" s="21"/>
      <c r="I141" s="21"/>
      <c r="J141" s="21"/>
      <c r="K141" s="21"/>
      <c r="L141" s="22"/>
      <c r="M141" s="21"/>
      <c r="N141" s="23"/>
      <c r="O141" s="23"/>
      <c r="P141" s="24"/>
      <c r="Q141" s="24"/>
      <c r="R141" s="24"/>
      <c r="S141" s="25"/>
      <c r="T141" s="25"/>
      <c r="U141" s="26"/>
      <c r="V141" s="26"/>
      <c r="W141" s="27"/>
      <c r="X141" s="27"/>
      <c r="Z141" s="22"/>
      <c r="AA141" s="22"/>
      <c r="AE141">
        <v>56</v>
      </c>
      <c r="AG141">
        <f t="shared" si="29"/>
        <v>52.830345632314121</v>
      </c>
      <c r="AH141" s="21">
        <f t="shared" si="45"/>
        <v>78.735334153268511</v>
      </c>
      <c r="AI141" s="21">
        <f t="shared" si="45"/>
        <v>81.275098815744826</v>
      </c>
      <c r="AJ141" s="21">
        <f t="shared" si="45"/>
        <v>87.409160707791173</v>
      </c>
      <c r="AK141" s="21">
        <f t="shared" si="45"/>
        <v>80.387921271115829</v>
      </c>
      <c r="AL141" s="21">
        <f t="shared" si="45"/>
        <v>29.210059509189321</v>
      </c>
      <c r="AM141" s="22" t="e">
        <f t="shared" si="31"/>
        <v>#VALUE!</v>
      </c>
      <c r="AN141" s="21">
        <f t="shared" si="44"/>
        <v>28.436958865485554</v>
      </c>
      <c r="AO141" s="23">
        <f t="shared" si="44"/>
        <v>19.129970328548161</v>
      </c>
      <c r="AP141" s="23">
        <f t="shared" si="44"/>
        <v>3.8259940657096325</v>
      </c>
      <c r="AQ141" s="24">
        <f t="shared" si="44"/>
        <v>68.899353096131179</v>
      </c>
      <c r="AR141" s="24">
        <f t="shared" si="44"/>
        <v>35.887860546136174</v>
      </c>
      <c r="AS141" s="24">
        <f t="shared" si="44"/>
        <v>71.604941289736288</v>
      </c>
      <c r="AT141" s="25" t="e">
        <f t="shared" si="46"/>
        <v>#VALUE!</v>
      </c>
      <c r="AU141" s="25" t="e">
        <f t="shared" si="46"/>
        <v>#VALUE!</v>
      </c>
      <c r="AV141" s="26" t="e">
        <f t="shared" si="47"/>
        <v>#VALUE!</v>
      </c>
      <c r="AW141" s="26" t="e">
        <f t="shared" si="47"/>
        <v>#VALUE!</v>
      </c>
      <c r="AX141" s="27" t="e">
        <f t="shared" si="47"/>
        <v>#VALUE!</v>
      </c>
      <c r="AY141" s="27" t="e">
        <f t="shared" si="47"/>
        <v>#VALUE!</v>
      </c>
      <c r="AZ141" t="e">
        <f>NA()</f>
        <v>#N/A</v>
      </c>
      <c r="BA141" s="22">
        <f t="shared" si="34"/>
        <v>30.357594728370898</v>
      </c>
      <c r="BB141" s="22">
        <f t="shared" si="35"/>
        <v>52.801793126797122</v>
      </c>
    </row>
    <row r="142" spans="4:54" x14ac:dyDescent="0.3">
      <c r="D142">
        <v>57</v>
      </c>
      <c r="F142">
        <v>56</v>
      </c>
      <c r="G142" s="21"/>
      <c r="H142" s="21"/>
      <c r="I142" s="21"/>
      <c r="J142" s="21"/>
      <c r="K142" s="21"/>
      <c r="L142" s="22"/>
      <c r="M142" s="21"/>
      <c r="N142" s="23"/>
      <c r="O142" s="23"/>
      <c r="P142" s="24"/>
      <c r="Q142" s="24"/>
      <c r="R142" s="24"/>
      <c r="S142" s="25"/>
      <c r="T142" s="25"/>
      <c r="U142" s="26"/>
      <c r="V142" s="26"/>
      <c r="W142" s="27"/>
      <c r="X142" s="27"/>
      <c r="Z142" s="22"/>
      <c r="AA142" s="22"/>
      <c r="AE142">
        <v>57</v>
      </c>
      <c r="AG142">
        <f t="shared" si="29"/>
        <v>53.342441549920437</v>
      </c>
      <c r="AH142" s="21">
        <f t="shared" si="45"/>
        <v>79.124263197678474</v>
      </c>
      <c r="AI142" s="21">
        <f t="shared" si="45"/>
        <v>81.784290466245352</v>
      </c>
      <c r="AJ142" s="21">
        <f t="shared" si="45"/>
        <v>88.035104625226438</v>
      </c>
      <c r="AK142" s="21">
        <f t="shared" si="45"/>
        <v>80.873521880672385</v>
      </c>
      <c r="AL142" s="21">
        <f t="shared" si="45"/>
        <v>29.315964389876271</v>
      </c>
      <c r="AM142" s="22" t="e">
        <f t="shared" si="31"/>
        <v>#VALUE!</v>
      </c>
      <c r="AN142" s="21">
        <f t="shared" si="44"/>
        <v>28.657216588268565</v>
      </c>
      <c r="AO142" s="23">
        <f t="shared" si="44"/>
        <v>19.280409901842766</v>
      </c>
      <c r="AP142" s="23">
        <f t="shared" si="44"/>
        <v>3.8560819803685535</v>
      </c>
      <c r="AQ142" s="24">
        <f t="shared" si="44"/>
        <v>69.255146758570248</v>
      </c>
      <c r="AR142" s="24">
        <f t="shared" si="44"/>
        <v>36.03645331827758</v>
      </c>
      <c r="AS142" s="24">
        <f t="shared" si="44"/>
        <v>71.725858835239734</v>
      </c>
      <c r="AT142" s="25" t="e">
        <f t="shared" si="46"/>
        <v>#VALUE!</v>
      </c>
      <c r="AU142" s="25" t="e">
        <f t="shared" si="46"/>
        <v>#VALUE!</v>
      </c>
      <c r="AV142" s="26" t="e">
        <f t="shared" si="47"/>
        <v>#VALUE!</v>
      </c>
      <c r="AW142" s="26" t="e">
        <f t="shared" si="47"/>
        <v>#VALUE!</v>
      </c>
      <c r="AX142" s="27" t="e">
        <f t="shared" si="47"/>
        <v>#VALUE!</v>
      </c>
      <c r="AY142" s="27" t="e">
        <f t="shared" si="47"/>
        <v>#VALUE!</v>
      </c>
      <c r="AZ142" t="e">
        <f>NA()</f>
        <v>#N/A</v>
      </c>
      <c r="BA142" s="22">
        <f t="shared" si="34"/>
        <v>30.411807025856568</v>
      </c>
      <c r="BB142" s="22">
        <f t="shared" si="35"/>
        <v>52.905346312337798</v>
      </c>
    </row>
    <row r="143" spans="4:54" x14ac:dyDescent="0.3">
      <c r="D143">
        <v>58</v>
      </c>
      <c r="F143">
        <v>57</v>
      </c>
      <c r="G143" s="21"/>
      <c r="H143" s="21"/>
      <c r="I143" s="21"/>
      <c r="J143" s="21"/>
      <c r="K143" s="21"/>
      <c r="L143" s="22"/>
      <c r="M143" s="21"/>
      <c r="N143" s="23"/>
      <c r="O143" s="23"/>
      <c r="P143" s="24"/>
      <c r="Q143" s="24"/>
      <c r="R143" s="24"/>
      <c r="S143" s="25"/>
      <c r="T143" s="25"/>
      <c r="U143" s="26"/>
      <c r="V143" s="26"/>
      <c r="W143" s="27"/>
      <c r="X143" s="27"/>
      <c r="Z143" s="22"/>
      <c r="AA143" s="22"/>
      <c r="AE143">
        <v>58</v>
      </c>
      <c r="AG143">
        <f t="shared" si="29"/>
        <v>53.814315524332059</v>
      </c>
      <c r="AH143" s="21">
        <f t="shared" si="45"/>
        <v>79.472640016049596</v>
      </c>
      <c r="AI143" s="21">
        <f t="shared" si="45"/>
        <v>82.247941474817921</v>
      </c>
      <c r="AJ143" s="21">
        <f t="shared" si="45"/>
        <v>88.601975223544898</v>
      </c>
      <c r="AK143" s="21">
        <f t="shared" si="45"/>
        <v>81.315421047212354</v>
      </c>
      <c r="AL143" s="21">
        <f t="shared" si="45"/>
        <v>29.41050281638238</v>
      </c>
      <c r="AM143" s="22" t="e">
        <f t="shared" si="31"/>
        <v>#VALUE!</v>
      </c>
      <c r="AN143" s="21">
        <f t="shared" si="44"/>
        <v>28.857887102852715</v>
      </c>
      <c r="AO143" s="23">
        <f t="shared" si="44"/>
        <v>19.417844317095049</v>
      </c>
      <c r="AP143" s="23">
        <f t="shared" si="44"/>
        <v>3.88356886341901</v>
      </c>
      <c r="AQ143" s="24">
        <f t="shared" si="44"/>
        <v>69.578604809996392</v>
      </c>
      <c r="AR143" s="24">
        <f t="shared" si="44"/>
        <v>36.170672397045685</v>
      </c>
      <c r="AS143" s="24">
        <f t="shared" si="44"/>
        <v>71.832941893046808</v>
      </c>
      <c r="AT143" s="25" t="e">
        <f t="shared" si="46"/>
        <v>#VALUE!</v>
      </c>
      <c r="AU143" s="25" t="e">
        <f t="shared" si="46"/>
        <v>#VALUE!</v>
      </c>
      <c r="AV143" s="26" t="e">
        <f t="shared" si="47"/>
        <v>#VALUE!</v>
      </c>
      <c r="AW143" s="26" t="e">
        <f t="shared" si="47"/>
        <v>#VALUE!</v>
      </c>
      <c r="AX143" s="27" t="e">
        <f t="shared" si="47"/>
        <v>#VALUE!</v>
      </c>
      <c r="AY143" s="27" t="e">
        <f t="shared" si="47"/>
        <v>#VALUE!</v>
      </c>
      <c r="AZ143" t="e">
        <f>NA()</f>
        <v>#N/A</v>
      </c>
      <c r="BA143" s="22">
        <f t="shared" si="34"/>
        <v>30.459886709001456</v>
      </c>
      <c r="BB143" s="22">
        <f t="shared" si="35"/>
        <v>52.99846078504936</v>
      </c>
    </row>
    <row r="144" spans="4:54" x14ac:dyDescent="0.3">
      <c r="D144">
        <v>59</v>
      </c>
      <c r="F144">
        <v>58</v>
      </c>
      <c r="G144" s="21"/>
      <c r="H144" s="21"/>
      <c r="I144" s="21"/>
      <c r="J144" s="21"/>
      <c r="K144" s="21"/>
      <c r="L144" s="22"/>
      <c r="M144" s="21"/>
      <c r="N144" s="23"/>
      <c r="O144" s="23"/>
      <c r="P144" s="24"/>
      <c r="Q144" s="24"/>
      <c r="R144" s="24"/>
      <c r="S144" s="25"/>
      <c r="T144" s="25"/>
      <c r="U144" s="26"/>
      <c r="V144" s="26"/>
      <c r="W144" s="27"/>
      <c r="X144" s="27"/>
      <c r="Z144" s="22"/>
      <c r="AA144" s="22"/>
      <c r="AE144">
        <v>59</v>
      </c>
      <c r="AG144">
        <f t="shared" si="29"/>
        <v>54.249126738543261</v>
      </c>
      <c r="AH144" s="21">
        <f t="shared" si="45"/>
        <v>79.785355077944089</v>
      </c>
      <c r="AI144" s="21">
        <f t="shared" si="45"/>
        <v>82.670506319603874</v>
      </c>
      <c r="AJ144" s="21">
        <f t="shared" si="45"/>
        <v>89.115997876879277</v>
      </c>
      <c r="AK144" s="21">
        <f t="shared" si="45"/>
        <v>81.717934545673302</v>
      </c>
      <c r="AL144" s="21">
        <f t="shared" si="45"/>
        <v>29.495098730759494</v>
      </c>
      <c r="AM144" s="22" t="e">
        <f t="shared" si="31"/>
        <v>#VALUE!</v>
      </c>
      <c r="AN144" s="21">
        <f t="shared" si="44"/>
        <v>29.040864104105058</v>
      </c>
      <c r="AO144" s="23">
        <f t="shared" si="44"/>
        <v>19.543477863723137</v>
      </c>
      <c r="AP144" s="23">
        <f t="shared" si="44"/>
        <v>3.9086955727446275</v>
      </c>
      <c r="AQ144" s="24">
        <f t="shared" si="44"/>
        <v>69.872972208098957</v>
      </c>
      <c r="AR144" s="24">
        <f t="shared" si="44"/>
        <v>36.292094093538935</v>
      </c>
      <c r="AS144" s="24">
        <f t="shared" si="44"/>
        <v>71.928065841111305</v>
      </c>
      <c r="AT144" s="25" t="e">
        <f t="shared" si="46"/>
        <v>#VALUE!</v>
      </c>
      <c r="AU144" s="25" t="e">
        <f t="shared" si="46"/>
        <v>#VALUE!</v>
      </c>
      <c r="AV144" s="26" t="e">
        <f t="shared" si="47"/>
        <v>#VALUE!</v>
      </c>
      <c r="AW144" s="26" t="e">
        <f t="shared" si="47"/>
        <v>#VALUE!</v>
      </c>
      <c r="AX144" s="27" t="e">
        <f t="shared" si="47"/>
        <v>#VALUE!</v>
      </c>
      <c r="AY144" s="27" t="e">
        <f t="shared" si="47"/>
        <v>#VALUE!</v>
      </c>
      <c r="AZ144" t="e">
        <f>NA()</f>
        <v>#N/A</v>
      </c>
      <c r="BA144" s="22">
        <f t="shared" si="34"/>
        <v>30.502654170666109</v>
      </c>
      <c r="BB144" s="22">
        <f t="shared" si="35"/>
        <v>53.082349830661038</v>
      </c>
    </row>
    <row r="145" spans="1:54" x14ac:dyDescent="0.3">
      <c r="D145">
        <v>60</v>
      </c>
      <c r="F145">
        <v>59</v>
      </c>
      <c r="G145" s="21"/>
      <c r="H145" s="21"/>
      <c r="I145" s="21"/>
      <c r="J145" s="21"/>
      <c r="K145" s="21"/>
      <c r="L145" s="22"/>
      <c r="M145" s="21"/>
      <c r="N145" s="23"/>
      <c r="O145" s="23"/>
      <c r="P145" s="24"/>
      <c r="Q145" s="24"/>
      <c r="R145" s="24"/>
      <c r="S145" s="25"/>
      <c r="T145" s="25"/>
      <c r="U145" s="26"/>
      <c r="V145" s="26"/>
      <c r="W145" s="27"/>
      <c r="X145" s="27"/>
      <c r="Z145" s="22"/>
      <c r="AA145" s="22"/>
      <c r="AE145">
        <v>60</v>
      </c>
      <c r="AG145">
        <f t="shared" si="29"/>
        <v>54.649786241410681</v>
      </c>
      <c r="AH145" s="21">
        <f t="shared" si="45"/>
        <v>80.066612965705588</v>
      </c>
      <c r="AI145" s="21">
        <f t="shared" si="45"/>
        <v>83.055948452952194</v>
      </c>
      <c r="AJ145" s="21">
        <f t="shared" si="45"/>
        <v>89.582651132819208</v>
      </c>
      <c r="AK145" s="21">
        <f t="shared" si="45"/>
        <v>82.084896285696928</v>
      </c>
      <c r="AL145" s="21">
        <f t="shared" si="45"/>
        <v>29.570967446949989</v>
      </c>
      <c r="AM145" s="22" t="e">
        <f t="shared" si="31"/>
        <v>#VALUE!</v>
      </c>
      <c r="AN145" s="21">
        <f t="shared" si="44"/>
        <v>29.207837024260243</v>
      </c>
      <c r="AO145" s="23">
        <f t="shared" si="44"/>
        <v>19.658392033655193</v>
      </c>
      <c r="AP145" s="23">
        <f t="shared" si="44"/>
        <v>3.9316784067310389</v>
      </c>
      <c r="AQ145" s="24">
        <f t="shared" si="44"/>
        <v>70.141123110604866</v>
      </c>
      <c r="AR145" s="24">
        <f t="shared" si="44"/>
        <v>36.402094436860153</v>
      </c>
      <c r="AS145" s="24">
        <f t="shared" si="44"/>
        <v>72.012807046107298</v>
      </c>
      <c r="AT145" s="25" t="e">
        <f t="shared" si="46"/>
        <v>#VALUE!</v>
      </c>
      <c r="AU145" s="25" t="e">
        <f t="shared" si="46"/>
        <v>#VALUE!</v>
      </c>
      <c r="AV145" s="26" t="e">
        <f t="shared" si="47"/>
        <v>#VALUE!</v>
      </c>
      <c r="AW145" s="26" t="e">
        <f t="shared" si="47"/>
        <v>#VALUE!</v>
      </c>
      <c r="AX145" s="27" t="e">
        <f t="shared" si="47"/>
        <v>#VALUE!</v>
      </c>
      <c r="AY145" s="27" t="e">
        <f t="shared" si="47"/>
        <v>#VALUE!</v>
      </c>
      <c r="AZ145" t="e">
        <f>NA()</f>
        <v>#N/A</v>
      </c>
      <c r="BA145" s="22">
        <f t="shared" si="34"/>
        <v>30.540800724299068</v>
      </c>
      <c r="BB145" s="22">
        <f t="shared" si="35"/>
        <v>53.158061375472215</v>
      </c>
    </row>
    <row r="146" spans="1:54" x14ac:dyDescent="0.3">
      <c r="D146">
        <v>61</v>
      </c>
      <c r="F146">
        <v>60</v>
      </c>
      <c r="G146" s="21"/>
      <c r="H146" s="21"/>
      <c r="I146" s="21"/>
      <c r="J146" s="21"/>
      <c r="K146" s="21"/>
      <c r="L146" s="22"/>
      <c r="M146" s="21"/>
      <c r="N146" s="23"/>
      <c r="O146" s="23"/>
      <c r="P146" s="24"/>
      <c r="Q146" s="24"/>
      <c r="R146" s="24"/>
      <c r="S146" s="25"/>
      <c r="T146" s="25"/>
      <c r="U146" s="26"/>
      <c r="V146" s="26"/>
      <c r="W146" s="27"/>
      <c r="X146" s="27"/>
      <c r="Z146" s="22"/>
      <c r="AA146" s="22"/>
      <c r="AE146">
        <v>61</v>
      </c>
      <c r="AG146">
        <f t="shared" si="29"/>
        <v>55.01897643704347</v>
      </c>
      <c r="AH146" s="21">
        <f t="shared" si="45"/>
        <v>80.320041913745314</v>
      </c>
      <c r="AI146" s="21">
        <f t="shared" si="45"/>
        <v>83.407802034706677</v>
      </c>
      <c r="AJ146" s="21">
        <f t="shared" si="45"/>
        <v>90.006767973532064</v>
      </c>
      <c r="AK146" s="21">
        <f t="shared" si="45"/>
        <v>82.419719793768238</v>
      </c>
      <c r="AL146" s="21">
        <f t="shared" si="45"/>
        <v>29.639150580494402</v>
      </c>
      <c r="AM146" s="22" t="e">
        <f t="shared" si="31"/>
        <v>#VALUE!</v>
      </c>
      <c r="AN146" s="21">
        <f t="shared" si="44"/>
        <v>29.360315786327806</v>
      </c>
      <c r="AO146" s="23">
        <f t="shared" si="44"/>
        <v>19.763559522732841</v>
      </c>
      <c r="AP146" s="23">
        <f t="shared" si="44"/>
        <v>3.9527119045465682</v>
      </c>
      <c r="AQ146" s="24">
        <f t="shared" si="44"/>
        <v>70.385609622583118</v>
      </c>
      <c r="AR146" s="24">
        <f t="shared" si="44"/>
        <v>36.501878497892321</v>
      </c>
      <c r="AS146" s="24">
        <f t="shared" si="44"/>
        <v>72.088497391052911</v>
      </c>
      <c r="AT146" s="25" t="e">
        <f t="shared" si="46"/>
        <v>#VALUE!</v>
      </c>
      <c r="AU146" s="25" t="e">
        <f t="shared" si="46"/>
        <v>#VALUE!</v>
      </c>
      <c r="AV146" s="26" t="e">
        <f t="shared" si="47"/>
        <v>#VALUE!</v>
      </c>
      <c r="AW146" s="26" t="e">
        <f t="shared" si="47"/>
        <v>#VALUE!</v>
      </c>
      <c r="AX146" s="27" t="e">
        <f t="shared" si="47"/>
        <v>#VALUE!</v>
      </c>
      <c r="AY146" s="27" t="e">
        <f t="shared" si="47"/>
        <v>#VALUE!</v>
      </c>
      <c r="AZ146" t="e">
        <f>NA()</f>
        <v>#N/A</v>
      </c>
      <c r="BA146" s="22">
        <f t="shared" si="34"/>
        <v>30.574911851956173</v>
      </c>
      <c r="BB146" s="22">
        <f t="shared" si="35"/>
        <v>53.226504109622454</v>
      </c>
    </row>
    <row r="147" spans="1:54" x14ac:dyDescent="0.3">
      <c r="D147">
        <v>62</v>
      </c>
      <c r="F147">
        <v>61</v>
      </c>
      <c r="G147" s="21"/>
      <c r="H147" s="21"/>
      <c r="I147" s="21"/>
      <c r="J147" s="21"/>
      <c r="K147" s="21"/>
      <c r="L147" s="22"/>
      <c r="M147" s="21"/>
      <c r="N147" s="23"/>
      <c r="O147" s="23"/>
      <c r="P147" s="24"/>
      <c r="Q147" s="24"/>
      <c r="R147" s="24"/>
      <c r="S147" s="25"/>
      <c r="T147" s="25"/>
      <c r="U147" s="26"/>
      <c r="V147" s="26"/>
      <c r="W147" s="27"/>
      <c r="X147" s="27"/>
      <c r="Z147" s="22"/>
      <c r="AA147" s="22"/>
      <c r="AE147">
        <v>62</v>
      </c>
      <c r="AG147">
        <f t="shared" si="29"/>
        <v>55.359169043423464</v>
      </c>
      <c r="AH147" s="21">
        <f t="shared" si="45"/>
        <v>80.548784033908902</v>
      </c>
      <c r="AI147" s="21">
        <f t="shared" si="45"/>
        <v>83.729224928193773</v>
      </c>
      <c r="AJ147" s="21">
        <f t="shared" si="45"/>
        <v>90.392622017387609</v>
      </c>
      <c r="AK147" s="21">
        <f t="shared" si="45"/>
        <v>82.725450856817758</v>
      </c>
      <c r="AL147" s="21">
        <f t="shared" si="45"/>
        <v>29.700544491084472</v>
      </c>
      <c r="AM147" s="22" t="e">
        <f t="shared" si="31"/>
        <v>#VALUE!</v>
      </c>
      <c r="AN147" s="21">
        <f t="shared" si="44"/>
        <v>29.499652254453792</v>
      </c>
      <c r="AO147" s="23">
        <f t="shared" si="44"/>
        <v>19.859856464307015</v>
      </c>
      <c r="AP147" s="23">
        <f t="shared" si="44"/>
        <v>3.971971292861403</v>
      </c>
      <c r="AQ147" s="24">
        <f t="shared" si="44"/>
        <v>70.608703274881947</v>
      </c>
      <c r="AR147" s="24">
        <f t="shared" si="44"/>
        <v>36.592504884233193</v>
      </c>
      <c r="AS147" s="24">
        <f t="shared" si="44"/>
        <v>72.156267749965764</v>
      </c>
      <c r="AT147" s="25" t="e">
        <f t="shared" si="46"/>
        <v>#VALUE!</v>
      </c>
      <c r="AU147" s="25" t="e">
        <f t="shared" si="46"/>
        <v>#VALUE!</v>
      </c>
      <c r="AV147" s="26" t="e">
        <f t="shared" si="47"/>
        <v>#VALUE!</v>
      </c>
      <c r="AW147" s="26" t="e">
        <f t="shared" si="47"/>
        <v>#VALUE!</v>
      </c>
      <c r="AX147" s="27" t="e">
        <f t="shared" si="47"/>
        <v>#VALUE!</v>
      </c>
      <c r="AY147" s="27" t="e">
        <f t="shared" si="47"/>
        <v>#VALUE!</v>
      </c>
      <c r="AZ147" t="e">
        <f>NA()</f>
        <v>#N/A</v>
      </c>
      <c r="BA147" s="22">
        <f t="shared" si="34"/>
        <v>30.605485794592401</v>
      </c>
      <c r="BB147" s="22">
        <f t="shared" si="35"/>
        <v>53.288468949044784</v>
      </c>
    </row>
    <row r="148" spans="1:54" x14ac:dyDescent="0.3">
      <c r="D148">
        <v>63</v>
      </c>
      <c r="F148">
        <v>62</v>
      </c>
      <c r="G148" s="21"/>
      <c r="H148" s="21"/>
      <c r="I148" s="21"/>
      <c r="J148" s="21"/>
      <c r="K148" s="21"/>
      <c r="L148" s="22"/>
      <c r="M148" s="21"/>
      <c r="N148" s="23"/>
      <c r="O148" s="23"/>
      <c r="P148" s="24"/>
      <c r="Q148" s="24"/>
      <c r="R148" s="24"/>
      <c r="S148" s="25"/>
      <c r="T148" s="25"/>
      <c r="U148" s="26"/>
      <c r="V148" s="26"/>
      <c r="W148" s="27"/>
      <c r="X148" s="27"/>
      <c r="Z148" s="22"/>
      <c r="AA148" s="22"/>
      <c r="AE148">
        <v>63</v>
      </c>
      <c r="AG148">
        <f t="shared" si="29"/>
        <v>55.672641640487548</v>
      </c>
      <c r="AH148" s="21">
        <f t="shared" si="45"/>
        <v>80.755569883030219</v>
      </c>
      <c r="AI148" s="21">
        <f t="shared" si="45"/>
        <v>84.023044312289088</v>
      </c>
      <c r="AJ148" s="21">
        <f t="shared" si="45"/>
        <v>90.74400101886846</v>
      </c>
      <c r="AK148" s="21">
        <f t="shared" si="45"/>
        <v>83.004812719349417</v>
      </c>
      <c r="AL148" s="21">
        <f t="shared" si="45"/>
        <v>29.75592354227939</v>
      </c>
      <c r="AM148" s="22" t="e">
        <f t="shared" si="31"/>
        <v>#VALUE!</v>
      </c>
      <c r="AN148" s="21">
        <f t="shared" si="44"/>
        <v>29.627058846453711</v>
      </c>
      <c r="AO148" s="23">
        <f t="shared" si="44"/>
        <v>19.948073133522634</v>
      </c>
      <c r="AP148" s="23">
        <f t="shared" si="44"/>
        <v>3.9896146267045265</v>
      </c>
      <c r="AQ148" s="24">
        <f t="shared" si="44"/>
        <v>70.812430431853315</v>
      </c>
      <c r="AR148" s="24">
        <f t="shared" si="44"/>
        <v>36.674906277343659</v>
      </c>
      <c r="AS148" s="24">
        <f t="shared" si="44"/>
        <v>72.217082848608896</v>
      </c>
      <c r="AT148" s="25" t="e">
        <f t="shared" si="46"/>
        <v>#VALUE!</v>
      </c>
      <c r="AU148" s="25" t="e">
        <f t="shared" si="46"/>
        <v>#VALUE!</v>
      </c>
      <c r="AV148" s="26" t="e">
        <f t="shared" si="47"/>
        <v>#VALUE!</v>
      </c>
      <c r="AW148" s="26" t="e">
        <f t="shared" si="47"/>
        <v>#VALUE!</v>
      </c>
      <c r="AX148" s="27" t="e">
        <f t="shared" si="47"/>
        <v>#VALUE!</v>
      </c>
      <c r="AY148" s="27" t="e">
        <f t="shared" si="47"/>
        <v>#VALUE!</v>
      </c>
      <c r="AZ148" t="e">
        <f>NA()</f>
        <v>#N/A</v>
      </c>
      <c r="BA148" s="22">
        <f t="shared" si="34"/>
        <v>30.632948500953919</v>
      </c>
      <c r="BB148" s="22">
        <f t="shared" si="35"/>
        <v>53.34464675348972</v>
      </c>
    </row>
    <row r="149" spans="1:54" x14ac:dyDescent="0.3">
      <c r="D149">
        <v>64</v>
      </c>
      <c r="F149">
        <v>63</v>
      </c>
      <c r="G149" s="21"/>
      <c r="H149" s="21"/>
      <c r="I149" s="21"/>
      <c r="J149" s="21"/>
      <c r="K149" s="21"/>
      <c r="L149" s="22"/>
      <c r="M149" s="21"/>
      <c r="N149" s="23"/>
      <c r="O149" s="23"/>
      <c r="P149" s="24"/>
      <c r="Q149" s="24"/>
      <c r="R149" s="24"/>
      <c r="S149" s="25"/>
      <c r="T149" s="25"/>
      <c r="U149" s="26"/>
      <c r="V149" s="26"/>
      <c r="W149" s="27"/>
      <c r="X149" s="27"/>
      <c r="Z149" s="22"/>
      <c r="AA149" s="22"/>
      <c r="AE149">
        <v>64</v>
      </c>
      <c r="AG149">
        <f t="shared" si="29"/>
        <v>55.961492918461353</v>
      </c>
      <c r="AH149" s="21">
        <f t="shared" si="45"/>
        <v>80.942780303196628</v>
      </c>
      <c r="AI149" s="21">
        <f t="shared" si="45"/>
        <v>84.291796040445846</v>
      </c>
      <c r="AJ149" s="21">
        <f t="shared" si="45"/>
        <v>91.064269655777551</v>
      </c>
      <c r="AK149" s="21">
        <f t="shared" si="45"/>
        <v>83.260244992822535</v>
      </c>
      <c r="AL149" s="21">
        <f t="shared" si="45"/>
        <v>29.805959203909811</v>
      </c>
      <c r="AM149" s="22" t="e">
        <f t="shared" si="31"/>
        <v>#VALUE!</v>
      </c>
      <c r="AN149" s="21">
        <f t="shared" si="44"/>
        <v>29.743624708933989</v>
      </c>
      <c r="AO149" s="23">
        <f t="shared" si="44"/>
        <v>20.028923328401696</v>
      </c>
      <c r="AP149" s="23">
        <f t="shared" si="44"/>
        <v>4.0057846656803395</v>
      </c>
      <c r="AQ149" s="24">
        <f t="shared" si="44"/>
        <v>70.998602613309743</v>
      </c>
      <c r="AR149" s="24">
        <f t="shared" si="44"/>
        <v>36.749906714332802</v>
      </c>
      <c r="AS149" s="24">
        <f t="shared" si="44"/>
        <v>72.271769372803575</v>
      </c>
      <c r="AT149" s="25" t="e">
        <f t="shared" si="46"/>
        <v>#VALUE!</v>
      </c>
      <c r="AU149" s="25" t="e">
        <f t="shared" si="46"/>
        <v>#VALUE!</v>
      </c>
      <c r="AV149" s="26" t="e">
        <f t="shared" si="47"/>
        <v>#VALUE!</v>
      </c>
      <c r="AW149" s="26" t="e">
        <f t="shared" si="47"/>
        <v>#VALUE!</v>
      </c>
      <c r="AX149" s="27" t="e">
        <f t="shared" si="47"/>
        <v>#VALUE!</v>
      </c>
      <c r="AY149" s="27" t="e">
        <f t="shared" si="47"/>
        <v>#VALUE!</v>
      </c>
      <c r="AZ149" t="e">
        <f>NA()</f>
        <v>#N/A</v>
      </c>
      <c r="BA149" s="22">
        <f t="shared" si="34"/>
        <v>30.657665713361851</v>
      </c>
      <c r="BB149" s="22">
        <f t="shared" si="35"/>
        <v>53.395643022102327</v>
      </c>
    </row>
    <row r="150" spans="1:54" x14ac:dyDescent="0.3">
      <c r="D150">
        <v>65</v>
      </c>
      <c r="F150">
        <v>64</v>
      </c>
      <c r="G150" s="21"/>
      <c r="H150" s="21"/>
      <c r="I150" s="21"/>
      <c r="J150" s="21"/>
      <c r="K150" s="21"/>
      <c r="L150" s="22"/>
      <c r="M150" s="21"/>
      <c r="N150" s="23"/>
      <c r="O150" s="23"/>
      <c r="P150" s="24"/>
      <c r="Q150" s="24"/>
      <c r="R150" s="24"/>
      <c r="S150" s="25"/>
      <c r="T150" s="25"/>
      <c r="U150" s="26"/>
      <c r="V150" s="26"/>
      <c r="W150" s="27"/>
      <c r="X150" s="27"/>
      <c r="Z150" s="22"/>
      <c r="AA150" s="22"/>
      <c r="AE150">
        <v>65</v>
      </c>
      <c r="AG150">
        <f t="shared" si="29"/>
        <v>56.227656728531329</v>
      </c>
      <c r="AH150" s="21">
        <f t="shared" si="45"/>
        <v>81.112497886906397</v>
      </c>
      <c r="AI150" s="21">
        <f t="shared" si="45"/>
        <v>84.537758692718668</v>
      </c>
      <c r="AJ150" s="21">
        <f t="shared" si="45"/>
        <v>91.356423276200545</v>
      </c>
      <c r="AK150" s="21">
        <f t="shared" si="45"/>
        <v>83.493937243176561</v>
      </c>
      <c r="AL150" s="21">
        <f t="shared" si="45"/>
        <v>29.851235806282574</v>
      </c>
      <c r="AM150" s="22" t="e">
        <f t="shared" si="31"/>
        <v>#VALUE!</v>
      </c>
      <c r="AN150" s="21">
        <f t="shared" ref="AN150:AS156" si="48">AN78*AN$12</f>
        <v>29.850329798374315</v>
      </c>
      <c r="AO150" s="23">
        <f t="shared" si="48"/>
        <v>20.103052605380814</v>
      </c>
      <c r="AP150" s="23">
        <f t="shared" si="48"/>
        <v>4.0206105210761631</v>
      </c>
      <c r="AQ150" s="24">
        <f t="shared" si="48"/>
        <v>71.168842542679585</v>
      </c>
      <c r="AR150" s="24">
        <f t="shared" si="48"/>
        <v>36.818236182672223</v>
      </c>
      <c r="AS150" s="24">
        <f t="shared" si="48"/>
        <v>72.321038753409312</v>
      </c>
      <c r="AT150" s="25" t="e">
        <f t="shared" si="46"/>
        <v>#VALUE!</v>
      </c>
      <c r="AU150" s="25" t="e">
        <f t="shared" si="46"/>
        <v>#VALUE!</v>
      </c>
      <c r="AV150" s="26" t="e">
        <f t="shared" si="47"/>
        <v>#VALUE!</v>
      </c>
      <c r="AW150" s="26" t="e">
        <f t="shared" si="47"/>
        <v>#VALUE!</v>
      </c>
      <c r="AX150" s="27" t="e">
        <f t="shared" si="47"/>
        <v>#VALUE!</v>
      </c>
      <c r="AY150" s="27" t="e">
        <f t="shared" si="47"/>
        <v>#VALUE!</v>
      </c>
      <c r="AZ150" t="e">
        <f>NA()</f>
        <v>#N/A</v>
      </c>
      <c r="BA150" s="22">
        <f t="shared" si="34"/>
        <v>30.6799527898376</v>
      </c>
      <c r="BB150" s="22">
        <f t="shared" si="35"/>
        <v>53.441990137028888</v>
      </c>
    </row>
    <row r="151" spans="1:54" x14ac:dyDescent="0.3">
      <c r="D151">
        <v>66</v>
      </c>
      <c r="F151">
        <v>65</v>
      </c>
      <c r="G151" s="21"/>
      <c r="H151" s="21"/>
      <c r="I151" s="21"/>
      <c r="J151" s="21"/>
      <c r="K151" s="21"/>
      <c r="L151" s="22"/>
      <c r="M151" s="21"/>
      <c r="N151" s="23"/>
      <c r="O151" s="23"/>
      <c r="P151" s="24"/>
      <c r="Q151" s="24"/>
      <c r="R151" s="24"/>
      <c r="S151" s="25"/>
      <c r="T151" s="25"/>
      <c r="U151" s="26"/>
      <c r="V151" s="26"/>
      <c r="W151" s="27"/>
      <c r="X151" s="27"/>
      <c r="Z151" s="22"/>
      <c r="AA151" s="22"/>
      <c r="AE151">
        <v>66</v>
      </c>
      <c r="AG151">
        <f t="shared" ref="AG151:AG156" si="49">AE79</f>
        <v>56.472915029924017</v>
      </c>
      <c r="AH151" s="21">
        <f t="shared" ref="AH151:AL156" si="50">AH79*AH$12</f>
        <v>81.266549958726998</v>
      </c>
      <c r="AI151" s="21">
        <f t="shared" si="50"/>
        <v>84.762983113321553</v>
      </c>
      <c r="AJ151" s="21">
        <f t="shared" si="50"/>
        <v>91.623134008832977</v>
      </c>
      <c r="AK151" s="21">
        <f t="shared" si="50"/>
        <v>83.707858063006697</v>
      </c>
      <c r="AL151" s="21">
        <f t="shared" si="50"/>
        <v>29.89226358688903</v>
      </c>
      <c r="AM151" s="22" t="e">
        <f t="shared" ref="AM151:AM156" si="51">BA151+AM235*(BB151-BA151)</f>
        <v>#VALUE!</v>
      </c>
      <c r="AN151" s="21">
        <f t="shared" si="48"/>
        <v>29.948057161928261</v>
      </c>
      <c r="AO151" s="23">
        <f t="shared" si="48"/>
        <v>20.171045522189271</v>
      </c>
      <c r="AP151" s="23">
        <f t="shared" si="48"/>
        <v>4.0342091044378545</v>
      </c>
      <c r="AQ151" s="24">
        <f t="shared" si="48"/>
        <v>71.324606592651378</v>
      </c>
      <c r="AR151" s="24">
        <f t="shared" si="48"/>
        <v>36.880542989146683</v>
      </c>
      <c r="AS151" s="24">
        <f t="shared" si="48"/>
        <v>72.36550573148719</v>
      </c>
      <c r="AT151" s="25" t="e">
        <f t="shared" ref="AT151:AU156" si="52">AT79</f>
        <v>#VALUE!</v>
      </c>
      <c r="AU151" s="25" t="e">
        <f t="shared" si="52"/>
        <v>#VALUE!</v>
      </c>
      <c r="AV151" s="26" t="e">
        <f t="shared" ref="AV151:AY156" si="53">AV79*AV$12</f>
        <v>#VALUE!</v>
      </c>
      <c r="AW151" s="26" t="e">
        <f t="shared" si="53"/>
        <v>#VALUE!</v>
      </c>
      <c r="AX151" s="27" t="e">
        <f t="shared" si="53"/>
        <v>#VALUE!</v>
      </c>
      <c r="AY151" s="27" t="e">
        <f t="shared" si="53"/>
        <v>#VALUE!</v>
      </c>
      <c r="AZ151" t="e">
        <f>NA()</f>
        <v>#N/A</v>
      </c>
      <c r="BA151" s="22">
        <f t="shared" ref="BA151:BA156" si="54">BA79*BA$12</f>
        <v>30.700082726882204</v>
      </c>
      <c r="BB151" s="22">
        <f t="shared" ref="BB151:BB156" si="55">BB79*($AM$166/0.778237)</f>
        <v>53.484157608468792</v>
      </c>
    </row>
    <row r="152" spans="1:54" x14ac:dyDescent="0.3">
      <c r="D152">
        <v>67</v>
      </c>
      <c r="F152">
        <v>66</v>
      </c>
      <c r="G152" s="21"/>
      <c r="H152" s="21"/>
      <c r="I152" s="21"/>
      <c r="J152" s="21"/>
      <c r="K152" s="21"/>
      <c r="L152" s="22"/>
      <c r="M152" s="21"/>
      <c r="N152" s="23"/>
      <c r="O152" s="23"/>
      <c r="P152" s="24"/>
      <c r="Q152" s="24"/>
      <c r="R152" s="24"/>
      <c r="S152" s="25"/>
      <c r="T152" s="25"/>
      <c r="U152" s="26"/>
      <c r="V152" s="26"/>
      <c r="W152" s="27"/>
      <c r="X152" s="27"/>
      <c r="Z152" s="22"/>
      <c r="AA152" s="22"/>
      <c r="AE152">
        <v>67</v>
      </c>
      <c r="AG152">
        <f t="shared" si="49"/>
        <v>56.698909820073034</v>
      </c>
      <c r="AH152" s="21">
        <f t="shared" si="50"/>
        <v>81.406544598198835</v>
      </c>
      <c r="AI152" s="21">
        <f t="shared" si="50"/>
        <v>84.969318098779752</v>
      </c>
      <c r="AJ152" s="21">
        <f t="shared" si="50"/>
        <v>91.866790413579778</v>
      </c>
      <c r="AK152" s="21">
        <f t="shared" si="50"/>
        <v>83.903780303092105</v>
      </c>
      <c r="AL152" s="21">
        <f t="shared" si="50"/>
        <v>29.929489538878489</v>
      </c>
      <c r="AM152" s="22" t="e">
        <f t="shared" si="51"/>
        <v>#VALUE!</v>
      </c>
      <c r="AN152" s="21">
        <f t="shared" si="48"/>
        <v>30.037603668905923</v>
      </c>
      <c r="AO152" s="23">
        <f t="shared" si="48"/>
        <v>20.233432019530206</v>
      </c>
      <c r="AP152" s="23">
        <f t="shared" si="48"/>
        <v>4.0466864039060413</v>
      </c>
      <c r="AQ152" s="24">
        <f t="shared" si="48"/>
        <v>71.467204184898279</v>
      </c>
      <c r="AR152" s="24">
        <f t="shared" si="48"/>
        <v>36.937404278758557</v>
      </c>
      <c r="AS152" s="24">
        <f t="shared" si="48"/>
        <v>72.405703560570302</v>
      </c>
      <c r="AT152" s="25" t="e">
        <f t="shared" si="52"/>
        <v>#VALUE!</v>
      </c>
      <c r="AU152" s="25" t="e">
        <f t="shared" si="52"/>
        <v>#VALUE!</v>
      </c>
      <c r="AV152" s="26" t="e">
        <f t="shared" si="53"/>
        <v>#VALUE!</v>
      </c>
      <c r="AW152" s="26" t="e">
        <f t="shared" si="53"/>
        <v>#VALUE!</v>
      </c>
      <c r="AX152" s="27" t="e">
        <f t="shared" si="53"/>
        <v>#VALUE!</v>
      </c>
      <c r="AY152" s="27" t="e">
        <f t="shared" si="53"/>
        <v>#VALUE!</v>
      </c>
      <c r="AZ152" t="e">
        <f>NA()</f>
        <v>#N/A</v>
      </c>
      <c r="BA152" s="22">
        <f t="shared" si="54"/>
        <v>30.718292744531592</v>
      </c>
      <c r="BB152" s="22">
        <f t="shared" si="55"/>
        <v>53.522560683342164</v>
      </c>
    </row>
    <row r="153" spans="1:54" x14ac:dyDescent="0.3">
      <c r="D153">
        <v>68</v>
      </c>
      <c r="F153">
        <v>67</v>
      </c>
      <c r="G153" s="21"/>
      <c r="H153" s="21"/>
      <c r="I153" s="21"/>
      <c r="J153" s="21"/>
      <c r="K153" s="21"/>
      <c r="L153" s="22"/>
      <c r="M153" s="21"/>
      <c r="N153" s="23"/>
      <c r="O153" s="23"/>
      <c r="P153" s="24"/>
      <c r="Q153" s="24"/>
      <c r="R153" s="24"/>
      <c r="S153" s="25"/>
      <c r="T153" s="25"/>
      <c r="U153" s="26"/>
      <c r="V153" s="26"/>
      <c r="W153" s="27"/>
      <c r="X153" s="27"/>
      <c r="Z153" s="22"/>
      <c r="AA153" s="22"/>
      <c r="AE153">
        <v>68</v>
      </c>
      <c r="AG153">
        <f t="shared" si="49"/>
        <v>56.907154127745713</v>
      </c>
      <c r="AH153" s="21">
        <f t="shared" si="50"/>
        <v>81.533900936200482</v>
      </c>
      <c r="AI153" s="21">
        <f t="shared" si="50"/>
        <v>85.158432795790077</v>
      </c>
      <c r="AJ153" s="21">
        <f t="shared" si="50"/>
        <v>92.089531659079142</v>
      </c>
      <c r="AK153" s="21">
        <f t="shared" si="50"/>
        <v>84.083303028863966</v>
      </c>
      <c r="AL153" s="21">
        <f t="shared" si="50"/>
        <v>29.9633064676358</v>
      </c>
      <c r="AM153" s="22" t="e">
        <f t="shared" si="51"/>
        <v>#VALUE!</v>
      </c>
      <c r="AN153" s="21">
        <f t="shared" si="48"/>
        <v>30.119689407204387</v>
      </c>
      <c r="AO153" s="23">
        <f t="shared" si="48"/>
        <v>20.290693054578593</v>
      </c>
      <c r="AP153" s="23">
        <f t="shared" si="48"/>
        <v>4.0581386109157185</v>
      </c>
      <c r="AQ153" s="24">
        <f t="shared" si="48"/>
        <v>71.597814606706919</v>
      </c>
      <c r="AR153" s="24">
        <f t="shared" si="48"/>
        <v>36.989335010619129</v>
      </c>
      <c r="AS153" s="24">
        <f t="shared" si="48"/>
        <v>72.442096515130629</v>
      </c>
      <c r="AT153" s="25" t="e">
        <f t="shared" si="52"/>
        <v>#VALUE!</v>
      </c>
      <c r="AU153" s="25" t="e">
        <f t="shared" si="52"/>
        <v>#VALUE!</v>
      </c>
      <c r="AV153" s="26" t="e">
        <f t="shared" si="53"/>
        <v>#VALUE!</v>
      </c>
      <c r="AW153" s="26" t="e">
        <f t="shared" si="53"/>
        <v>#VALUE!</v>
      </c>
      <c r="AX153" s="27" t="e">
        <f t="shared" si="53"/>
        <v>#VALUE!</v>
      </c>
      <c r="AY153" s="27" t="e">
        <f t="shared" si="53"/>
        <v>#VALUE!</v>
      </c>
      <c r="AZ153" t="e">
        <f>NA()</f>
        <v>#N/A</v>
      </c>
      <c r="BA153" s="22">
        <f t="shared" si="54"/>
        <v>30.734789716840911</v>
      </c>
      <c r="BB153" s="22">
        <f t="shared" si="55"/>
        <v>53.557567608246565</v>
      </c>
    </row>
    <row r="154" spans="1:54" x14ac:dyDescent="0.3">
      <c r="D154">
        <v>69</v>
      </c>
      <c r="F154">
        <v>68</v>
      </c>
      <c r="G154" s="21"/>
      <c r="H154" s="21"/>
      <c r="I154" s="21"/>
      <c r="J154" s="21"/>
      <c r="K154" s="21"/>
      <c r="L154" s="22"/>
      <c r="M154" s="21"/>
      <c r="N154" s="23"/>
      <c r="O154" s="23"/>
      <c r="P154" s="24"/>
      <c r="Q154" s="24"/>
      <c r="R154" s="24"/>
      <c r="S154" s="25"/>
      <c r="T154" s="25"/>
      <c r="U154" s="26"/>
      <c r="V154" s="26"/>
      <c r="W154" s="27"/>
      <c r="X154" s="27"/>
      <c r="Z154" s="22"/>
      <c r="AA154" s="22"/>
      <c r="AE154">
        <v>69</v>
      </c>
      <c r="AG154">
        <f t="shared" si="49"/>
        <v>57.099042142728173</v>
      </c>
      <c r="AH154" s="21">
        <f t="shared" si="50"/>
        <v>81.649874723368512</v>
      </c>
      <c r="AI154" s="21">
        <f t="shared" si="50"/>
        <v>85.331836279768268</v>
      </c>
      <c r="AJ154" s="21">
        <f t="shared" si="50"/>
        <v>92.293277054630579</v>
      </c>
      <c r="AK154" s="21">
        <f t="shared" si="50"/>
        <v>84.247870676948679</v>
      </c>
      <c r="AL154" s="21">
        <f t="shared" si="50"/>
        <v>29.994060580933013</v>
      </c>
      <c r="AM154" s="22" t="e">
        <f t="shared" si="51"/>
        <v>#VALUE!</v>
      </c>
      <c r="AN154" s="21">
        <f t="shared" si="48"/>
        <v>30.194965927607054</v>
      </c>
      <c r="AO154" s="23">
        <f t="shared" si="48"/>
        <v>20.343265583473066</v>
      </c>
      <c r="AP154" s="23">
        <f t="shared" si="48"/>
        <v>4.0686531166946134</v>
      </c>
      <c r="AQ154" s="24">
        <f t="shared" si="48"/>
        <v>71.717501630474402</v>
      </c>
      <c r="AR154" s="24">
        <f t="shared" si="48"/>
        <v>37.036795642567107</v>
      </c>
      <c r="AS154" s="24">
        <f t="shared" si="48"/>
        <v>72.475090230453574</v>
      </c>
      <c r="AT154" s="25" t="e">
        <f t="shared" si="52"/>
        <v>#VALUE!</v>
      </c>
      <c r="AU154" s="25" t="e">
        <f t="shared" si="52"/>
        <v>#VALUE!</v>
      </c>
      <c r="AV154" s="26" t="e">
        <f t="shared" si="53"/>
        <v>#VALUE!</v>
      </c>
      <c r="AW154" s="26" t="e">
        <f t="shared" si="53"/>
        <v>#VALUE!</v>
      </c>
      <c r="AX154" s="27" t="e">
        <f t="shared" si="53"/>
        <v>#VALUE!</v>
      </c>
      <c r="AY154" s="27" t="e">
        <f t="shared" si="53"/>
        <v>#VALUE!</v>
      </c>
      <c r="AZ154" t="e">
        <f>NA()</f>
        <v>#N/A</v>
      </c>
      <c r="BA154" s="22">
        <f t="shared" si="54"/>
        <v>30.749754670663773</v>
      </c>
      <c r="BB154" s="22">
        <f t="shared" si="55"/>
        <v>53.58950578106716</v>
      </c>
    </row>
    <row r="155" spans="1:54" x14ac:dyDescent="0.3">
      <c r="D155">
        <v>70</v>
      </c>
      <c r="F155">
        <v>69</v>
      </c>
      <c r="G155" s="21"/>
      <c r="H155" s="21"/>
      <c r="I155" s="21"/>
      <c r="J155" s="21"/>
      <c r="K155" s="21"/>
      <c r="L155" s="22"/>
      <c r="M155" s="21"/>
      <c r="N155" s="23"/>
      <c r="O155" s="23"/>
      <c r="P155" s="24"/>
      <c r="Q155" s="24"/>
      <c r="R155" s="24"/>
      <c r="S155" s="25"/>
      <c r="T155" s="25"/>
      <c r="U155" s="26"/>
      <c r="V155" s="26"/>
      <c r="W155" s="27"/>
      <c r="X155" s="27"/>
      <c r="Z155" s="22"/>
      <c r="AA155" s="22"/>
      <c r="AE155">
        <v>70</v>
      </c>
      <c r="AG155">
        <f t="shared" si="49"/>
        <v>57.275858549886756</v>
      </c>
      <c r="AH155" s="21">
        <f t="shared" si="50"/>
        <v>81.755579982199066</v>
      </c>
      <c r="AI155" s="21">
        <f t="shared" si="50"/>
        <v>85.490894711643634</v>
      </c>
      <c r="AJ155" s="21">
        <f t="shared" si="50"/>
        <v>92.479751631075715</v>
      </c>
      <c r="AK155" s="21">
        <f t="shared" si="50"/>
        <v>84.398789811826674</v>
      </c>
      <c r="AL155" s="21">
        <f t="shared" si="50"/>
        <v>30.022057874355269</v>
      </c>
      <c r="AM155" s="22" t="e">
        <f t="shared" si="51"/>
        <v>#VALUE!</v>
      </c>
      <c r="AN155" s="21">
        <f t="shared" si="48"/>
        <v>30.264023492170431</v>
      </c>
      <c r="AO155" s="23">
        <f t="shared" si="48"/>
        <v>20.391546976409426</v>
      </c>
      <c r="AP155" s="23">
        <f t="shared" si="48"/>
        <v>4.0783093952818854</v>
      </c>
      <c r="AQ155" s="24">
        <f t="shared" si="48"/>
        <v>71.827226258861373</v>
      </c>
      <c r="AR155" s="24">
        <f t="shared" si="48"/>
        <v>37.080198731599666</v>
      </c>
      <c r="AS155" s="24">
        <f t="shared" si="48"/>
        <v>72.505040288324992</v>
      </c>
      <c r="AT155" s="25" t="e">
        <f t="shared" si="52"/>
        <v>#VALUE!</v>
      </c>
      <c r="AU155" s="25" t="e">
        <f t="shared" si="52"/>
        <v>#VALUE!</v>
      </c>
      <c r="AV155" s="26" t="e">
        <f t="shared" si="53"/>
        <v>#VALUE!</v>
      </c>
      <c r="AW155" s="26" t="e">
        <f t="shared" si="53"/>
        <v>#VALUE!</v>
      </c>
      <c r="AX155" s="27" t="e">
        <f t="shared" si="53"/>
        <v>#VALUE!</v>
      </c>
      <c r="AY155" s="27" t="e">
        <f t="shared" si="53"/>
        <v>#VALUE!</v>
      </c>
      <c r="AZ155" t="e">
        <f>NA()</f>
        <v>#N/A</v>
      </c>
      <c r="BA155" s="22">
        <f t="shared" si="54"/>
        <v>30.763346529026553</v>
      </c>
      <c r="BB155" s="22">
        <f t="shared" si="55"/>
        <v>53.618666981042665</v>
      </c>
    </row>
    <row r="156" spans="1:54" x14ac:dyDescent="0.3">
      <c r="D156">
        <v>71</v>
      </c>
      <c r="F156">
        <v>70</v>
      </c>
      <c r="G156" s="21"/>
      <c r="H156" s="21"/>
      <c r="I156" s="21"/>
      <c r="J156" s="21"/>
      <c r="K156" s="21"/>
      <c r="L156" s="22"/>
      <c r="M156" s="21"/>
      <c r="N156" s="23"/>
      <c r="O156" s="23"/>
      <c r="P156" s="24"/>
      <c r="Q156" s="24"/>
      <c r="R156" s="24"/>
      <c r="S156" s="25"/>
      <c r="T156" s="25"/>
      <c r="U156" s="26"/>
      <c r="V156" s="26"/>
      <c r="W156" s="27"/>
      <c r="X156" s="27"/>
      <c r="Z156" s="22"/>
      <c r="AA156" s="22"/>
      <c r="AE156">
        <v>71</v>
      </c>
      <c r="AG156">
        <f t="shared" si="49"/>
        <v>57.43878713009709</v>
      </c>
      <c r="AH156" s="21">
        <f t="shared" si="50"/>
        <v>81.852007404484453</v>
      </c>
      <c r="AI156" s="21">
        <f t="shared" si="50"/>
        <v>85.636846409210833</v>
      </c>
      <c r="AJ156" s="21">
        <f t="shared" si="50"/>
        <v>92.650508354278415</v>
      </c>
      <c r="AK156" s="21">
        <f t="shared" si="50"/>
        <v>84.537243820186148</v>
      </c>
      <c r="AL156" s="21">
        <f t="shared" si="50"/>
        <v>30.047569523230678</v>
      </c>
      <c r="AM156" s="22" t="e">
        <f t="shared" si="51"/>
        <v>#VALUE!</v>
      </c>
      <c r="AN156" s="21">
        <f t="shared" si="48"/>
        <v>30.327397460208065</v>
      </c>
      <c r="AO156" s="23">
        <f t="shared" si="48"/>
        <v>20.435898937332762</v>
      </c>
      <c r="AP156" s="23">
        <f t="shared" si="48"/>
        <v>4.0871797874665523</v>
      </c>
      <c r="AQ156" s="24">
        <f t="shared" si="48"/>
        <v>71.927857866321062</v>
      </c>
      <c r="AR156" s="24">
        <f t="shared" si="48"/>
        <v>37.119914621021941</v>
      </c>
      <c r="AS156" s="24">
        <f t="shared" si="48"/>
        <v>72.532259377138573</v>
      </c>
      <c r="AT156" s="25" t="e">
        <f t="shared" si="52"/>
        <v>#VALUE!</v>
      </c>
      <c r="AU156" s="25" t="e">
        <f t="shared" si="52"/>
        <v>#VALUE!</v>
      </c>
      <c r="AV156" s="26" t="e">
        <f t="shared" si="53"/>
        <v>#VALUE!</v>
      </c>
      <c r="AW156" s="26" t="e">
        <f t="shared" si="53"/>
        <v>#VALUE!</v>
      </c>
      <c r="AX156" s="27" t="e">
        <f t="shared" si="53"/>
        <v>#VALUE!</v>
      </c>
      <c r="AY156" s="27" t="e">
        <f t="shared" si="53"/>
        <v>#VALUE!</v>
      </c>
      <c r="AZ156" t="e">
        <f>NA()</f>
        <v>#N/A</v>
      </c>
      <c r="BA156" s="22">
        <f t="shared" si="54"/>
        <v>30.775705239244701</v>
      </c>
      <c r="BB156" s="22">
        <f t="shared" si="55"/>
        <v>53.645311831655803</v>
      </c>
    </row>
    <row r="158" spans="1:54" x14ac:dyDescent="0.3">
      <c r="A158" t="s">
        <v>39</v>
      </c>
      <c r="B158" s="8">
        <f>Settings!K6</f>
        <v>91</v>
      </c>
      <c r="F158" t="s">
        <v>33</v>
      </c>
      <c r="G158" s="21"/>
      <c r="H158" s="21"/>
      <c r="I158" s="21"/>
      <c r="J158" s="21"/>
      <c r="K158" s="21"/>
      <c r="L158" s="22"/>
      <c r="M158" s="20"/>
      <c r="N158" s="23"/>
      <c r="O158" s="23"/>
      <c r="P158" s="24"/>
      <c r="Q158" s="24"/>
      <c r="R158" s="24"/>
      <c r="S158" s="25"/>
      <c r="T158" s="25"/>
      <c r="U158" s="26"/>
      <c r="V158" s="26"/>
      <c r="W158" s="27"/>
      <c r="X158" s="27"/>
      <c r="AB158" t="s">
        <v>39</v>
      </c>
      <c r="AC158" s="8">
        <f>B158</f>
        <v>91</v>
      </c>
      <c r="AG158" t="s">
        <v>33</v>
      </c>
      <c r="AH158" s="21"/>
      <c r="AI158" s="21"/>
      <c r="AJ158" s="21"/>
      <c r="AK158" s="21"/>
      <c r="AL158" s="21"/>
      <c r="AM158" s="22"/>
      <c r="AN158" s="20">
        <f>2*(1-EXP(-0.104*(AC158-70)))</f>
        <v>1.7748194647088766</v>
      </c>
      <c r="AO158" s="23"/>
      <c r="AP158" s="23"/>
      <c r="AQ158" s="24">
        <f>4*(1-EXP(-0.025*AQ11))</f>
        <v>3.5784031017525426</v>
      </c>
      <c r="AR158" s="24">
        <f>10*(1-EXP(-0.013*AR11))</f>
        <v>6.8963305873451493</v>
      </c>
      <c r="AS158" s="24">
        <f>12*(1-EXP(-0.0166*AS11))</f>
        <v>9.3063244140365704</v>
      </c>
      <c r="AT158" s="25"/>
      <c r="AU158" s="25"/>
      <c r="AV158" s="26"/>
      <c r="AW158" s="26"/>
      <c r="AX158" s="27"/>
      <c r="AY158" s="27"/>
    </row>
    <row r="159" spans="1:54" x14ac:dyDescent="0.3">
      <c r="A159" t="s">
        <v>22</v>
      </c>
      <c r="B159" s="8">
        <f>Settings!J6</f>
        <v>90</v>
      </c>
      <c r="F159" t="s">
        <v>34</v>
      </c>
      <c r="G159" s="21"/>
      <c r="H159" s="21"/>
      <c r="I159" s="21"/>
      <c r="J159" s="21"/>
      <c r="K159" s="21"/>
      <c r="L159" s="22"/>
      <c r="M159" s="20"/>
      <c r="N159" s="23"/>
      <c r="O159" s="23"/>
      <c r="P159" s="24"/>
      <c r="Q159" s="24"/>
      <c r="R159" s="24"/>
      <c r="S159" s="25"/>
      <c r="T159" s="25"/>
      <c r="U159" s="26"/>
      <c r="V159" s="26"/>
      <c r="W159" s="27"/>
      <c r="X159" s="27"/>
      <c r="AB159" t="s">
        <v>22</v>
      </c>
      <c r="AC159" s="8">
        <f>B159</f>
        <v>90</v>
      </c>
      <c r="AG159" t="s">
        <v>34</v>
      </c>
      <c r="AH159" s="21"/>
      <c r="AI159" s="21"/>
      <c r="AJ159" s="21"/>
      <c r="AK159" s="21"/>
      <c r="AL159" s="21"/>
      <c r="AM159" s="22"/>
      <c r="AN159" s="20">
        <f>1.5*(1-EXP(-0.0201*AN11))</f>
        <v>1.2542731908092133</v>
      </c>
      <c r="AO159" s="23"/>
      <c r="AP159" s="23"/>
      <c r="AQ159" s="24">
        <f>4*(1-EXP(-0.034*AQ11))</f>
        <v>3.8124492191200461</v>
      </c>
      <c r="AR159" s="24">
        <f>6*(1-EXP(-0.06*AR11))</f>
        <v>5.9729005143443246</v>
      </c>
      <c r="AS159" s="24">
        <f>20*(1-EXP(-0.021*AS11))</f>
        <v>16.978563823272584</v>
      </c>
      <c r="AT159" s="25"/>
      <c r="AU159" s="25"/>
      <c r="AV159" s="26"/>
      <c r="AW159" s="26"/>
      <c r="AX159" s="27"/>
      <c r="AY159" s="27"/>
    </row>
    <row r="160" spans="1:54" x14ac:dyDescent="0.3">
      <c r="A160" t="s">
        <v>46</v>
      </c>
      <c r="B160" s="8">
        <f>Settings!I6</f>
        <v>100</v>
      </c>
      <c r="F160" t="s">
        <v>32</v>
      </c>
      <c r="G160" s="21"/>
      <c r="H160" s="21"/>
      <c r="I160" s="21"/>
      <c r="J160" s="21"/>
      <c r="K160" s="21"/>
      <c r="L160" s="22"/>
      <c r="M160" s="20"/>
      <c r="N160" s="23"/>
      <c r="O160" s="23"/>
      <c r="P160" s="24"/>
      <c r="Q160" s="24"/>
      <c r="R160" s="24"/>
      <c r="S160" s="25"/>
      <c r="T160" s="25"/>
      <c r="U160" s="26"/>
      <c r="V160" s="26"/>
      <c r="W160" s="27"/>
      <c r="X160" s="27"/>
      <c r="AB160" t="s">
        <v>46</v>
      </c>
      <c r="AC160" s="8">
        <f>B160</f>
        <v>100</v>
      </c>
      <c r="AG160" t="s">
        <v>32</v>
      </c>
      <c r="AH160" s="21">
        <f>IF(AC158&gt;84, 0.75+0.75*(1-EXP(-0.23*(AC158-84)))^0.5, 0.75-0.75*(1-EXP(0.23*(AC158-84)))^0.5)</f>
        <v>1.4208675108266395</v>
      </c>
      <c r="AI160" s="21">
        <f>5*(1-EXP(-0.0115*AI11))</f>
        <v>3.2238680953752423</v>
      </c>
      <c r="AJ160" s="21">
        <f>5*(1-EXP(-0.0164*AJ11))^2.24</f>
        <v>2.7960141186210832</v>
      </c>
      <c r="AK160" s="21">
        <f>5*(1-EXP(-0.0164*AK11))^2.24</f>
        <v>2.7960141186210832</v>
      </c>
      <c r="AL160" s="21">
        <f>5*(1-EXP(-0.0149*AL11))^2.48</f>
        <v>2.3569848759726133</v>
      </c>
      <c r="AM160" s="22">
        <f>5*(1-EXP(-0.0149*AM11))^2.48</f>
        <v>2.3569848759726133</v>
      </c>
      <c r="AN160" s="20">
        <f>AN158+AN159</f>
        <v>3.0290926555180899</v>
      </c>
      <c r="AO160" s="23">
        <f>1.5*(1-EXP(-0.0183*AO11))</f>
        <v>1.2110596148458825</v>
      </c>
      <c r="AP160" s="23">
        <f>1.5*(1-EXP(-0.0183*AP11))</f>
        <v>1.2110596148458825</v>
      </c>
      <c r="AQ160" s="24">
        <f>AQ158+AQ159</f>
        <v>7.3908523208725887</v>
      </c>
      <c r="AR160" s="24">
        <f>AR158+AR159</f>
        <v>12.869231101689474</v>
      </c>
      <c r="AS160" s="24">
        <f>AS158+AS159</f>
        <v>26.284888237309154</v>
      </c>
      <c r="AT160" s="25">
        <f>AC161/10</f>
        <v>0.35</v>
      </c>
      <c r="AU160" s="25">
        <f>AC161/10</f>
        <v>0.35</v>
      </c>
      <c r="AV160" s="26" t="e">
        <f>($C$5/100*$AI$160)+((100-$C$5)/100*$AO$160)</f>
        <v>#VALUE!</v>
      </c>
      <c r="AW160" s="26" t="e">
        <f>($C$5/100*$AI$160)+((100-$C$5)/100*$AO$160)</f>
        <v>#VALUE!</v>
      </c>
      <c r="AX160" s="27">
        <f>5*(1-EXP(-0.0115*AX11))</f>
        <v>3.2238680953752423</v>
      </c>
      <c r="AY160" s="27">
        <f>5*(1-EXP(-0.0115*AY11))</f>
        <v>3.2238680953752423</v>
      </c>
    </row>
    <row r="161" spans="1:51" x14ac:dyDescent="0.3">
      <c r="A161" t="s">
        <v>41</v>
      </c>
      <c r="B161" s="8">
        <f>Settings!L6</f>
        <v>3.5</v>
      </c>
      <c r="G161" s="21"/>
      <c r="H161" s="21"/>
      <c r="I161" s="21"/>
      <c r="J161" s="21"/>
      <c r="K161" s="21"/>
      <c r="L161" s="22"/>
      <c r="M161" s="20"/>
      <c r="N161" s="23"/>
      <c r="O161" s="23"/>
      <c r="P161" s="24"/>
      <c r="Q161" s="24"/>
      <c r="R161" s="24"/>
      <c r="S161" s="25"/>
      <c r="T161" s="25"/>
      <c r="U161" s="26"/>
      <c r="V161" s="26"/>
      <c r="W161" s="27"/>
      <c r="X161" s="27"/>
      <c r="AB161" t="s">
        <v>41</v>
      </c>
      <c r="AC161" s="8">
        <f>B161</f>
        <v>3.5</v>
      </c>
      <c r="AH161" s="21"/>
      <c r="AI161" s="21"/>
      <c r="AJ161" s="21"/>
      <c r="AK161" s="21"/>
      <c r="AL161" s="21"/>
      <c r="AM161" s="22"/>
      <c r="AN161" s="20"/>
      <c r="AO161" s="23"/>
      <c r="AP161" s="23"/>
      <c r="AQ161" s="24"/>
      <c r="AR161" s="24"/>
      <c r="AS161" s="24"/>
      <c r="AT161" s="25"/>
      <c r="AU161" s="25"/>
      <c r="AV161" s="26"/>
      <c r="AW161" s="26"/>
      <c r="AX161" s="27"/>
      <c r="AY161" s="27"/>
    </row>
    <row r="162" spans="1:51" x14ac:dyDescent="0.3">
      <c r="A162" t="s">
        <v>51</v>
      </c>
      <c r="B162" s="8" t="str">
        <f>C5</f>
        <v/>
      </c>
      <c r="F162" t="s">
        <v>36</v>
      </c>
      <c r="G162" s="21"/>
      <c r="H162" s="21"/>
      <c r="I162" s="21"/>
      <c r="J162" s="21"/>
      <c r="K162" s="21"/>
      <c r="L162" s="3"/>
      <c r="M162" s="20"/>
      <c r="N162" s="23"/>
      <c r="O162" s="23"/>
      <c r="P162" s="24"/>
      <c r="Q162" s="24"/>
      <c r="R162" s="24"/>
      <c r="S162" s="25"/>
      <c r="T162" s="25"/>
      <c r="U162" s="26"/>
      <c r="V162" s="26"/>
      <c r="W162" s="27"/>
      <c r="X162" s="27"/>
      <c r="AB162" t="s">
        <v>51</v>
      </c>
      <c r="AC162" s="8" t="str">
        <f>B162</f>
        <v/>
      </c>
      <c r="AG162" t="s">
        <v>36</v>
      </c>
      <c r="AH162" s="21">
        <v>2</v>
      </c>
      <c r="AI162" s="21">
        <v>3</v>
      </c>
      <c r="AJ162" s="21">
        <v>8</v>
      </c>
      <c r="AK162" s="21">
        <v>4</v>
      </c>
      <c r="AL162" s="21">
        <v>18</v>
      </c>
      <c r="AM162" s="3" t="str">
        <f>$AC$162</f>
        <v/>
      </c>
      <c r="AN162" s="20">
        <v>10</v>
      </c>
      <c r="AO162" s="23"/>
      <c r="AP162" s="23"/>
      <c r="AQ162" s="24"/>
      <c r="AR162" s="24"/>
      <c r="AS162" s="24"/>
      <c r="AT162" s="25"/>
      <c r="AU162" s="25"/>
      <c r="AV162" s="26">
        <v>6</v>
      </c>
      <c r="AW162" s="26">
        <v>6</v>
      </c>
      <c r="AX162" s="27">
        <v>6</v>
      </c>
      <c r="AY162" s="27">
        <v>6</v>
      </c>
    </row>
    <row r="163" spans="1:51" x14ac:dyDescent="0.3">
      <c r="F163" t="s">
        <v>37</v>
      </c>
      <c r="G163" s="21"/>
      <c r="H163" s="21"/>
      <c r="I163" s="21"/>
      <c r="J163" s="21"/>
      <c r="K163" s="21"/>
      <c r="L163" s="22"/>
      <c r="M163" s="20"/>
      <c r="N163" s="23"/>
      <c r="O163" s="23"/>
      <c r="P163" s="24"/>
      <c r="Q163" s="24"/>
      <c r="R163" s="24"/>
      <c r="S163" s="25"/>
      <c r="T163" s="25"/>
      <c r="U163" s="26"/>
      <c r="V163" s="26"/>
      <c r="W163" s="27"/>
      <c r="X163" s="27"/>
      <c r="AG163" t="s">
        <v>37</v>
      </c>
      <c r="AH163" s="21">
        <v>0.75</v>
      </c>
      <c r="AI163" s="21">
        <v>0.8</v>
      </c>
      <c r="AJ163" s="21">
        <v>1.1499999999999999</v>
      </c>
      <c r="AK163" s="21">
        <v>1.2</v>
      </c>
      <c r="AL163" s="21">
        <v>1.2</v>
      </c>
      <c r="AM163" s="22">
        <v>1.8</v>
      </c>
      <c r="AN163" s="20">
        <v>0.5</v>
      </c>
      <c r="AO163" s="23"/>
      <c r="AP163" s="23"/>
      <c r="AQ163" s="24"/>
      <c r="AR163" s="24"/>
      <c r="AS163" s="24"/>
      <c r="AT163" s="25"/>
      <c r="AU163" s="25"/>
      <c r="AV163" s="26">
        <v>0.8</v>
      </c>
      <c r="AW163" s="26">
        <v>0.8</v>
      </c>
      <c r="AX163" s="27">
        <v>0.8</v>
      </c>
      <c r="AY163" s="27">
        <v>0.8</v>
      </c>
    </row>
    <row r="164" spans="1:51" x14ac:dyDescent="0.3">
      <c r="F164" t="s">
        <v>35</v>
      </c>
      <c r="G164" s="21"/>
      <c r="H164" s="21"/>
      <c r="I164" s="21"/>
      <c r="J164" s="21"/>
      <c r="K164" s="21"/>
      <c r="L164" s="22"/>
      <c r="M164" s="20"/>
      <c r="N164" s="23"/>
      <c r="O164" s="23"/>
      <c r="P164" s="24"/>
      <c r="Q164" s="24"/>
      <c r="R164" s="24"/>
      <c r="S164" s="25"/>
      <c r="T164" s="25"/>
      <c r="U164" s="26"/>
      <c r="V164" s="26"/>
      <c r="W164" s="27"/>
      <c r="X164" s="27"/>
      <c r="AG164" t="s">
        <v>35</v>
      </c>
      <c r="AH164" s="21">
        <f t="shared" ref="AH164:AN164" si="56">0.001*AH162^1.5*(460+25.9*$B$160)^1.5</f>
        <v>476.4252302303056</v>
      </c>
      <c r="AI164" s="21">
        <f t="shared" si="56"/>
        <v>875.24903598918581</v>
      </c>
      <c r="AJ164" s="21">
        <f t="shared" si="56"/>
        <v>3811.401841842443</v>
      </c>
      <c r="AK164" s="21">
        <f t="shared" si="56"/>
        <v>1347.5340440968448</v>
      </c>
      <c r="AL164" s="21">
        <f t="shared" si="56"/>
        <v>12863.481216218244</v>
      </c>
      <c r="AM164" s="22" t="e">
        <f t="shared" si="56"/>
        <v>#VALUE!</v>
      </c>
      <c r="AN164" s="20">
        <f t="shared" si="56"/>
        <v>5326.5960049547575</v>
      </c>
      <c r="AO164" s="23"/>
      <c r="AP164" s="23"/>
      <c r="AQ164" s="24"/>
      <c r="AR164" s="24"/>
      <c r="AS164" s="24"/>
      <c r="AT164" s="25"/>
      <c r="AU164" s="25"/>
      <c r="AV164" s="26">
        <f>0.001*AV162^1.5*(460+25.9*$B$160)^1.5</f>
        <v>2475.5781142997675</v>
      </c>
      <c r="AW164" s="26">
        <f>0.001*AW162^1.5*(460+25.9*$B$160)^1.5</f>
        <v>2475.5781142997675</v>
      </c>
      <c r="AX164" s="27">
        <f>0.001*AX162^1.5*(460+25.9*$B$160)^1.5</f>
        <v>2475.5781142997675</v>
      </c>
      <c r="AY164" s="27">
        <f>0.001*AY162^1.5*(460+25.9*$B$160)^1.5</f>
        <v>2475.5781142997675</v>
      </c>
    </row>
    <row r="165" spans="1:51" x14ac:dyDescent="0.3">
      <c r="F165" t="s">
        <v>69</v>
      </c>
      <c r="G165" s="21"/>
      <c r="H165" s="21"/>
      <c r="I165" s="21"/>
      <c r="J165" s="21"/>
      <c r="K165" s="21"/>
      <c r="L165" s="22"/>
      <c r="M165" s="20"/>
      <c r="N165" s="23"/>
      <c r="O165" s="23"/>
      <c r="P165" s="24"/>
      <c r="Q165" s="24"/>
      <c r="R165" s="24"/>
      <c r="S165" s="25"/>
      <c r="T165" s="25"/>
      <c r="U165" s="26"/>
      <c r="V165" s="26"/>
      <c r="W165" s="27"/>
      <c r="X165" s="27"/>
      <c r="AG165" t="s">
        <v>69</v>
      </c>
      <c r="AH165" s="21">
        <f t="shared" ref="AH165:AN165" si="57">AH164/(300*AH160)</f>
        <v>1.117686264670632</v>
      </c>
      <c r="AI165" s="21">
        <f t="shared" si="57"/>
        <v>0.90496779034349328</v>
      </c>
      <c r="AJ165" s="21">
        <f t="shared" si="57"/>
        <v>4.5438514496511448</v>
      </c>
      <c r="AK165" s="21">
        <f t="shared" si="57"/>
        <v>1.6064940863763251</v>
      </c>
      <c r="AL165" s="21">
        <f t="shared" si="57"/>
        <v>18.192000787885284</v>
      </c>
      <c r="AM165" s="22" t="e">
        <f t="shared" si="57"/>
        <v>#VALUE!</v>
      </c>
      <c r="AN165" s="20">
        <f t="shared" si="57"/>
        <v>5.8615968660354572</v>
      </c>
      <c r="AO165" s="23"/>
      <c r="AP165" s="23"/>
      <c r="AQ165" s="24"/>
      <c r="AR165" s="24"/>
      <c r="AS165" s="24"/>
      <c r="AT165" s="25"/>
      <c r="AU165" s="25"/>
      <c r="AV165" s="26" t="e">
        <f>AV164/(300*AV160)</f>
        <v>#VALUE!</v>
      </c>
      <c r="AW165" s="26" t="e">
        <f>AW164/(300*AW160)</f>
        <v>#VALUE!</v>
      </c>
      <c r="AX165" s="27">
        <f>AX164/(300*AX160)</f>
        <v>2.5596354452291599</v>
      </c>
      <c r="AY165" s="27">
        <f>AY164/(300*AY160)</f>
        <v>2.5596354452291599</v>
      </c>
    </row>
    <row r="166" spans="1:51" x14ac:dyDescent="0.3">
      <c r="F166" t="s">
        <v>47</v>
      </c>
      <c r="G166" s="21"/>
      <c r="H166" s="21"/>
      <c r="I166" s="21"/>
      <c r="J166" s="21"/>
      <c r="K166" s="21"/>
      <c r="L166" s="22"/>
      <c r="M166" s="20"/>
      <c r="N166" s="23"/>
      <c r="O166" s="23"/>
      <c r="P166" s="24"/>
      <c r="Q166" s="24"/>
      <c r="R166" s="24"/>
      <c r="S166" s="25"/>
      <c r="T166" s="25"/>
      <c r="U166" s="26"/>
      <c r="V166" s="26"/>
      <c r="W166" s="27"/>
      <c r="X166" s="27"/>
      <c r="AG166" t="s">
        <v>47</v>
      </c>
      <c r="AH166" s="21"/>
      <c r="AI166" s="21"/>
      <c r="AJ166" s="21"/>
      <c r="AK166" s="21"/>
      <c r="AL166" s="21"/>
      <c r="AM166" s="22">
        <f>((1.5-0.00275*AC160)^4)/(460+(25.9*AC160))*1000</f>
        <v>0.73831980020491839</v>
      </c>
      <c r="AN166" s="20"/>
      <c r="AO166" s="23"/>
      <c r="AP166" s="23"/>
      <c r="AQ166" s="24"/>
      <c r="AR166" s="24"/>
      <c r="AS166" s="24"/>
      <c r="AT166" s="25"/>
      <c r="AU166" s="25"/>
      <c r="AV166" s="26"/>
      <c r="AW166" s="26"/>
      <c r="AX166" s="27"/>
      <c r="AY166" s="27"/>
    </row>
    <row r="168" spans="1:51" x14ac:dyDescent="0.3">
      <c r="G168" s="28"/>
      <c r="H168" s="28"/>
      <c r="I168" s="28"/>
      <c r="J168" s="28"/>
      <c r="K168" s="28"/>
      <c r="L168" s="29"/>
      <c r="M168" s="30"/>
      <c r="N168" s="31"/>
      <c r="O168" s="31"/>
      <c r="P168" s="32"/>
      <c r="Q168" s="32"/>
      <c r="R168" s="32"/>
      <c r="S168" s="33"/>
      <c r="T168" s="33"/>
      <c r="U168" s="34"/>
      <c r="V168" s="34"/>
      <c r="W168" s="35"/>
      <c r="X168" s="35"/>
      <c r="AH168" s="28" t="s">
        <v>4</v>
      </c>
      <c r="AI168" s="28" t="s">
        <v>5</v>
      </c>
      <c r="AJ168" s="28" t="s">
        <v>6</v>
      </c>
      <c r="AK168" s="28" t="s">
        <v>7</v>
      </c>
      <c r="AL168" s="28" t="s">
        <v>8</v>
      </c>
      <c r="AM168" s="29" t="s">
        <v>50</v>
      </c>
      <c r="AN168" s="30" t="s">
        <v>9</v>
      </c>
      <c r="AO168" s="31" t="s">
        <v>10</v>
      </c>
      <c r="AP168" s="31" t="s">
        <v>11</v>
      </c>
      <c r="AQ168" s="32" t="s">
        <v>12</v>
      </c>
      <c r="AR168" s="32" t="s">
        <v>13</v>
      </c>
      <c r="AS168" s="32" t="s">
        <v>14</v>
      </c>
      <c r="AT168" s="33" t="s">
        <v>20</v>
      </c>
      <c r="AU168" s="33" t="s">
        <v>21</v>
      </c>
      <c r="AV168" s="34" t="s">
        <v>16</v>
      </c>
      <c r="AW168" s="34" t="s">
        <v>17</v>
      </c>
      <c r="AX168" s="35" t="s">
        <v>18</v>
      </c>
      <c r="AY168" s="35" t="s">
        <v>24</v>
      </c>
    </row>
    <row r="170" spans="1:51" x14ac:dyDescent="0.3">
      <c r="E170" s="1" t="s">
        <v>65</v>
      </c>
      <c r="F170">
        <v>0</v>
      </c>
      <c r="G170" s="28"/>
      <c r="H170" s="28"/>
      <c r="I170" s="28"/>
      <c r="J170" s="28"/>
      <c r="K170" s="28"/>
      <c r="L170" s="29"/>
      <c r="M170" s="30"/>
      <c r="N170" s="31"/>
      <c r="O170" s="31"/>
      <c r="P170" s="32"/>
      <c r="Q170" s="32"/>
      <c r="R170" s="32"/>
      <c r="S170" s="33"/>
      <c r="T170" s="33"/>
      <c r="U170" s="34"/>
      <c r="V170" s="34"/>
      <c r="W170" s="35"/>
      <c r="X170" s="35"/>
      <c r="AF170" s="1" t="s">
        <v>65</v>
      </c>
      <c r="AG170">
        <f>AE14</f>
        <v>4.9458521066739074</v>
      </c>
      <c r="AH170" s="28">
        <f t="shared" ref="AH170:AL185" si="58">IF(1-EXP(-0.23*(AH86-AH$165))&lt;0, 0, 1-EXP(-0.23*(AH86-AH$165)))</f>
        <v>0</v>
      </c>
      <c r="AI170" s="28">
        <f t="shared" si="58"/>
        <v>0.66035521474125147</v>
      </c>
      <c r="AJ170" s="28">
        <f t="shared" si="58"/>
        <v>0</v>
      </c>
      <c r="AK170" s="28">
        <f t="shared" si="58"/>
        <v>0.61011002429703387</v>
      </c>
      <c r="AL170" s="28">
        <f t="shared" si="58"/>
        <v>0</v>
      </c>
      <c r="AM170" s="29" t="e">
        <f>IF(1-EXP(-0.23*(BA86-AM$165))&lt;0, 0, 1-EXP(-0.23*(BA86-AM$165)))</f>
        <v>#VALUE!</v>
      </c>
      <c r="AN170" s="30">
        <f t="shared" ref="AN170:AN233" si="59">IF(1-EXP(-0.23*(AN86-AN$165))&lt;0, 0, 1-EXP(-0.23*(AN86-AN$165)))</f>
        <v>0</v>
      </c>
      <c r="AO170" s="31"/>
      <c r="AP170" s="31"/>
      <c r="AQ170" s="32"/>
      <c r="AR170" s="32"/>
      <c r="AS170" s="32"/>
      <c r="AT170" s="33"/>
      <c r="AU170" s="33"/>
      <c r="AV170" s="34" t="e">
        <f t="shared" ref="AV170:AY185" si="60">IF(1-EXP(-0.23*(AV86-AV$165))&lt;0, 0, 1-EXP(-0.23*(AV86-AV$165)))</f>
        <v>#VALUE!</v>
      </c>
      <c r="AW170" s="34" t="e">
        <f t="shared" si="60"/>
        <v>#VALUE!</v>
      </c>
      <c r="AX170" s="35" t="e">
        <f t="shared" si="60"/>
        <v>#VALUE!</v>
      </c>
      <c r="AY170" s="35" t="e">
        <f t="shared" si="60"/>
        <v>#VALUE!</v>
      </c>
    </row>
    <row r="171" spans="1:51" x14ac:dyDescent="0.3">
      <c r="F171">
        <v>1</v>
      </c>
      <c r="G171" s="28"/>
      <c r="H171" s="28"/>
      <c r="I171" s="28"/>
      <c r="J171" s="28"/>
      <c r="K171" s="28"/>
      <c r="L171" s="29"/>
      <c r="M171" s="30"/>
      <c r="N171" s="31"/>
      <c r="O171" s="31"/>
      <c r="P171" s="32"/>
      <c r="Q171" s="32"/>
      <c r="R171" s="32"/>
      <c r="S171" s="33"/>
      <c r="T171" s="33"/>
      <c r="U171" s="34"/>
      <c r="V171" s="34"/>
      <c r="W171" s="35"/>
      <c r="X171" s="35"/>
      <c r="AG171">
        <f t="shared" ref="AG171:AG234" si="61">AE15</f>
        <v>5.2014595403979236</v>
      </c>
      <c r="AH171" s="28">
        <f t="shared" si="58"/>
        <v>0</v>
      </c>
      <c r="AI171" s="28">
        <f t="shared" si="58"/>
        <v>0.69077018373366394</v>
      </c>
      <c r="AJ171" s="28">
        <f t="shared" si="58"/>
        <v>0</v>
      </c>
      <c r="AK171" s="28">
        <f t="shared" si="58"/>
        <v>0.64552855573122847</v>
      </c>
      <c r="AL171" s="28">
        <f t="shared" si="58"/>
        <v>0</v>
      </c>
      <c r="AM171" s="29" t="e">
        <f t="shared" ref="AM171:AM225" si="62">IF(1-EXP(-0.23*(BA87-AM$165))&lt;0, 0, 1-EXP(-0.23*(BA87-AM$165)))</f>
        <v>#VALUE!</v>
      </c>
      <c r="AN171" s="30">
        <f t="shared" si="59"/>
        <v>0</v>
      </c>
      <c r="AO171" s="31"/>
      <c r="AP171" s="31"/>
      <c r="AQ171" s="32"/>
      <c r="AR171" s="32"/>
      <c r="AS171" s="32"/>
      <c r="AT171" s="33"/>
      <c r="AU171" s="33"/>
      <c r="AV171" s="34" t="e">
        <f t="shared" si="60"/>
        <v>#VALUE!</v>
      </c>
      <c r="AW171" s="34" t="e">
        <f t="shared" si="60"/>
        <v>#VALUE!</v>
      </c>
      <c r="AX171" s="35" t="e">
        <f t="shared" si="60"/>
        <v>#VALUE!</v>
      </c>
      <c r="AY171" s="35" t="e">
        <f t="shared" si="60"/>
        <v>#VALUE!</v>
      </c>
    </row>
    <row r="172" spans="1:51" x14ac:dyDescent="0.3">
      <c r="F172">
        <v>2</v>
      </c>
      <c r="G172" s="28"/>
      <c r="H172" s="28"/>
      <c r="I172" s="28"/>
      <c r="J172" s="28"/>
      <c r="K172" s="28"/>
      <c r="L172" s="29"/>
      <c r="M172" s="30"/>
      <c r="N172" s="31"/>
      <c r="O172" s="31"/>
      <c r="P172" s="32"/>
      <c r="Q172" s="32"/>
      <c r="R172" s="32"/>
      <c r="S172" s="33"/>
      <c r="T172" s="33"/>
      <c r="U172" s="34"/>
      <c r="V172" s="34"/>
      <c r="W172" s="35"/>
      <c r="X172" s="35"/>
      <c r="AG172">
        <f t="shared" si="61"/>
        <v>5.4702770658848543</v>
      </c>
      <c r="AH172" s="28">
        <f t="shared" si="58"/>
        <v>0</v>
      </c>
      <c r="AI172" s="28">
        <f t="shared" si="58"/>
        <v>0.72026864911640365</v>
      </c>
      <c r="AJ172" s="28">
        <f t="shared" si="58"/>
        <v>0</v>
      </c>
      <c r="AK172" s="28">
        <f t="shared" si="58"/>
        <v>0.67981777566000257</v>
      </c>
      <c r="AL172" s="28">
        <f t="shared" si="58"/>
        <v>0</v>
      </c>
      <c r="AM172" s="29" t="e">
        <f t="shared" si="62"/>
        <v>#VALUE!</v>
      </c>
      <c r="AN172" s="30">
        <f t="shared" si="59"/>
        <v>0</v>
      </c>
      <c r="AO172" s="31"/>
      <c r="AP172" s="31"/>
      <c r="AQ172" s="32"/>
      <c r="AR172" s="32"/>
      <c r="AS172" s="32"/>
      <c r="AT172" s="33"/>
      <c r="AU172" s="33"/>
      <c r="AV172" s="34" t="e">
        <f t="shared" si="60"/>
        <v>#VALUE!</v>
      </c>
      <c r="AW172" s="34" t="e">
        <f t="shared" si="60"/>
        <v>#VALUE!</v>
      </c>
      <c r="AX172" s="35" t="e">
        <f t="shared" si="60"/>
        <v>#VALUE!</v>
      </c>
      <c r="AY172" s="35" t="e">
        <f t="shared" si="60"/>
        <v>#VALUE!</v>
      </c>
    </row>
    <row r="173" spans="1:51" x14ac:dyDescent="0.3">
      <c r="F173">
        <v>3</v>
      </c>
      <c r="G173" s="28"/>
      <c r="H173" s="28"/>
      <c r="I173" s="28"/>
      <c r="J173" s="28"/>
      <c r="K173" s="28"/>
      <c r="L173" s="29"/>
      <c r="M173" s="30"/>
      <c r="N173" s="31"/>
      <c r="O173" s="31"/>
      <c r="P173" s="32"/>
      <c r="Q173" s="32"/>
      <c r="R173" s="32"/>
      <c r="S173" s="33"/>
      <c r="T173" s="33"/>
      <c r="U173" s="34"/>
      <c r="V173" s="34"/>
      <c r="W173" s="35"/>
      <c r="X173" s="35"/>
      <c r="AG173">
        <f t="shared" si="61"/>
        <v>5.7529873961600746</v>
      </c>
      <c r="AH173" s="28">
        <f t="shared" si="58"/>
        <v>0</v>
      </c>
      <c r="AI173" s="28">
        <f t="shared" si="58"/>
        <v>0.74867578757896525</v>
      </c>
      <c r="AJ173" s="28">
        <f t="shared" si="58"/>
        <v>0</v>
      </c>
      <c r="AK173" s="28">
        <f t="shared" si="58"/>
        <v>0.71277619870286169</v>
      </c>
      <c r="AL173" s="28">
        <f t="shared" si="58"/>
        <v>0</v>
      </c>
      <c r="AM173" s="29" t="e">
        <f t="shared" si="62"/>
        <v>#VALUE!</v>
      </c>
      <c r="AN173" s="30">
        <f t="shared" si="59"/>
        <v>0</v>
      </c>
      <c r="AO173" s="31"/>
      <c r="AP173" s="31"/>
      <c r="AQ173" s="32"/>
      <c r="AR173" s="32"/>
      <c r="AS173" s="32"/>
      <c r="AT173" s="33"/>
      <c r="AU173" s="33"/>
      <c r="AV173" s="34" t="e">
        <f t="shared" si="60"/>
        <v>#VALUE!</v>
      </c>
      <c r="AW173" s="34" t="e">
        <f t="shared" si="60"/>
        <v>#VALUE!</v>
      </c>
      <c r="AX173" s="35" t="e">
        <f t="shared" si="60"/>
        <v>#VALUE!</v>
      </c>
      <c r="AY173" s="35" t="e">
        <f t="shared" si="60"/>
        <v>#VALUE!</v>
      </c>
    </row>
    <row r="174" spans="1:51" x14ac:dyDescent="0.3">
      <c r="F174">
        <v>4</v>
      </c>
      <c r="G174" s="28"/>
      <c r="H174" s="28"/>
      <c r="I174" s="28"/>
      <c r="J174" s="28"/>
      <c r="K174" s="28"/>
      <c r="L174" s="29"/>
      <c r="M174" s="30"/>
      <c r="N174" s="31"/>
      <c r="O174" s="31"/>
      <c r="P174" s="32"/>
      <c r="Q174" s="32"/>
      <c r="R174" s="32"/>
      <c r="S174" s="33"/>
      <c r="T174" s="33"/>
      <c r="U174" s="34"/>
      <c r="V174" s="34"/>
      <c r="W174" s="35"/>
      <c r="X174" s="35"/>
      <c r="AG174">
        <f t="shared" si="61"/>
        <v>6.0503085276582826</v>
      </c>
      <c r="AH174" s="28">
        <f t="shared" si="58"/>
        <v>0</v>
      </c>
      <c r="AI174" s="28">
        <f t="shared" si="58"/>
        <v>0.77582690657300724</v>
      </c>
      <c r="AJ174" s="28">
        <f t="shared" si="58"/>
        <v>0</v>
      </c>
      <c r="AK174" s="28">
        <f t="shared" si="58"/>
        <v>0.74421553319369882</v>
      </c>
      <c r="AL174" s="28">
        <f t="shared" si="58"/>
        <v>0</v>
      </c>
      <c r="AM174" s="29" t="e">
        <f t="shared" si="62"/>
        <v>#VALUE!</v>
      </c>
      <c r="AN174" s="30">
        <f t="shared" si="59"/>
        <v>0</v>
      </c>
      <c r="AO174" s="31"/>
      <c r="AP174" s="31"/>
      <c r="AQ174" s="32"/>
      <c r="AR174" s="32"/>
      <c r="AS174" s="32"/>
      <c r="AT174" s="33"/>
      <c r="AU174" s="33"/>
      <c r="AV174" s="34" t="e">
        <f t="shared" si="60"/>
        <v>#VALUE!</v>
      </c>
      <c r="AW174" s="34" t="e">
        <f t="shared" si="60"/>
        <v>#VALUE!</v>
      </c>
      <c r="AX174" s="35" t="e">
        <f t="shared" si="60"/>
        <v>#VALUE!</v>
      </c>
      <c r="AY174" s="35" t="e">
        <f t="shared" si="60"/>
        <v>#VALUE!</v>
      </c>
    </row>
    <row r="175" spans="1:51" x14ac:dyDescent="0.3">
      <c r="F175">
        <v>5</v>
      </c>
      <c r="G175" s="28"/>
      <c r="H175" s="28"/>
      <c r="I175" s="28"/>
      <c r="J175" s="28"/>
      <c r="K175" s="28"/>
      <c r="L175" s="29"/>
      <c r="M175" s="30"/>
      <c r="N175" s="31"/>
      <c r="O175" s="31"/>
      <c r="P175" s="32"/>
      <c r="Q175" s="32"/>
      <c r="R175" s="32"/>
      <c r="S175" s="33"/>
      <c r="T175" s="33"/>
      <c r="U175" s="34"/>
      <c r="V175" s="34"/>
      <c r="W175" s="35"/>
      <c r="X175" s="35"/>
      <c r="AG175">
        <f t="shared" si="61"/>
        <v>6.3629955637114666</v>
      </c>
      <c r="AH175" s="28">
        <f t="shared" si="58"/>
        <v>0</v>
      </c>
      <c r="AI175" s="28">
        <f t="shared" si="58"/>
        <v>0.80157163842918966</v>
      </c>
      <c r="AJ175" s="28">
        <f t="shared" si="58"/>
        <v>0</v>
      </c>
      <c r="AK175" s="28">
        <f t="shared" si="58"/>
        <v>0.77396553937266965</v>
      </c>
      <c r="AL175" s="28">
        <f t="shared" si="58"/>
        <v>0</v>
      </c>
      <c r="AM175" s="29" t="e">
        <f t="shared" si="62"/>
        <v>#VALUE!</v>
      </c>
      <c r="AN175" s="30">
        <f t="shared" si="59"/>
        <v>0</v>
      </c>
      <c r="AO175" s="31"/>
      <c r="AP175" s="31"/>
      <c r="AQ175" s="32"/>
      <c r="AR175" s="32"/>
      <c r="AS175" s="32"/>
      <c r="AT175" s="33"/>
      <c r="AU175" s="33"/>
      <c r="AV175" s="34" t="e">
        <f t="shared" si="60"/>
        <v>#VALUE!</v>
      </c>
      <c r="AW175" s="34" t="e">
        <f t="shared" si="60"/>
        <v>#VALUE!</v>
      </c>
      <c r="AX175" s="35" t="e">
        <f t="shared" si="60"/>
        <v>#VALUE!</v>
      </c>
      <c r="AY175" s="35" t="e">
        <f t="shared" si="60"/>
        <v>#VALUE!</v>
      </c>
    </row>
    <row r="176" spans="1:51" x14ac:dyDescent="0.3">
      <c r="F176">
        <v>6</v>
      </c>
      <c r="G176" s="28"/>
      <c r="H176" s="28"/>
      <c r="I176" s="28"/>
      <c r="J176" s="28"/>
      <c r="K176" s="28"/>
      <c r="L176" s="29"/>
      <c r="M176" s="30"/>
      <c r="N176" s="31"/>
      <c r="O176" s="31"/>
      <c r="P176" s="32"/>
      <c r="Q176" s="32"/>
      <c r="R176" s="32"/>
      <c r="S176" s="33"/>
      <c r="T176" s="33"/>
      <c r="U176" s="34"/>
      <c r="V176" s="34"/>
      <c r="W176" s="35"/>
      <c r="X176" s="35"/>
      <c r="AG176">
        <f t="shared" si="61"/>
        <v>6.6918426322768392</v>
      </c>
      <c r="AH176" s="28">
        <f t="shared" si="58"/>
        <v>0</v>
      </c>
      <c r="AI176" s="28">
        <f t="shared" si="58"/>
        <v>0.82577801281977803</v>
      </c>
      <c r="AJ176" s="28">
        <f t="shared" si="58"/>
        <v>0</v>
      </c>
      <c r="AK176" s="28">
        <f t="shared" si="58"/>
        <v>0.80187868221858427</v>
      </c>
      <c r="AL176" s="28">
        <f t="shared" si="58"/>
        <v>0</v>
      </c>
      <c r="AM176" s="29" t="e">
        <f t="shared" si="62"/>
        <v>#VALUE!</v>
      </c>
      <c r="AN176" s="30">
        <f t="shared" si="59"/>
        <v>0</v>
      </c>
      <c r="AO176" s="31"/>
      <c r="AP176" s="31"/>
      <c r="AQ176" s="32"/>
      <c r="AR176" s="32"/>
      <c r="AS176" s="32"/>
      <c r="AT176" s="33"/>
      <c r="AU176" s="33"/>
      <c r="AV176" s="34" t="e">
        <f t="shared" si="60"/>
        <v>#VALUE!</v>
      </c>
      <c r="AW176" s="34" t="e">
        <f t="shared" si="60"/>
        <v>#VALUE!</v>
      </c>
      <c r="AX176" s="35" t="e">
        <f t="shared" si="60"/>
        <v>#VALUE!</v>
      </c>
      <c r="AY176" s="35" t="e">
        <f t="shared" si="60"/>
        <v>#VALUE!</v>
      </c>
    </row>
    <row r="177" spans="6:51" x14ac:dyDescent="0.3">
      <c r="F177">
        <v>7</v>
      </c>
      <c r="G177" s="28"/>
      <c r="H177" s="28"/>
      <c r="I177" s="28"/>
      <c r="J177" s="28"/>
      <c r="K177" s="28"/>
      <c r="L177" s="29"/>
      <c r="M177" s="30"/>
      <c r="N177" s="31"/>
      <c r="O177" s="31"/>
      <c r="P177" s="32"/>
      <c r="Q177" s="32"/>
      <c r="R177" s="32"/>
      <c r="S177" s="33"/>
      <c r="T177" s="33"/>
      <c r="U177" s="34"/>
      <c r="V177" s="34"/>
      <c r="W177" s="35"/>
      <c r="X177" s="35"/>
      <c r="AG177">
        <f t="shared" si="61"/>
        <v>7.0376849027752071</v>
      </c>
      <c r="AH177" s="28">
        <f t="shared" si="58"/>
        <v>0</v>
      </c>
      <c r="AI177" s="28">
        <f t="shared" si="58"/>
        <v>0.84833621348132116</v>
      </c>
      <c r="AJ177" s="28">
        <f t="shared" si="58"/>
        <v>0</v>
      </c>
      <c r="AK177" s="28">
        <f t="shared" si="58"/>
        <v>0.82783435010784268</v>
      </c>
      <c r="AL177" s="28">
        <f t="shared" si="58"/>
        <v>0</v>
      </c>
      <c r="AM177" s="29" t="e">
        <f t="shared" si="62"/>
        <v>#VALUE!</v>
      </c>
      <c r="AN177" s="30">
        <f t="shared" si="59"/>
        <v>0</v>
      </c>
      <c r="AO177" s="31"/>
      <c r="AP177" s="31"/>
      <c r="AQ177" s="32"/>
      <c r="AR177" s="32"/>
      <c r="AS177" s="32"/>
      <c r="AT177" s="33"/>
      <c r="AU177" s="33"/>
      <c r="AV177" s="34" t="e">
        <f t="shared" si="60"/>
        <v>#VALUE!</v>
      </c>
      <c r="AW177" s="34" t="e">
        <f t="shared" si="60"/>
        <v>#VALUE!</v>
      </c>
      <c r="AX177" s="35" t="e">
        <f t="shared" si="60"/>
        <v>#VALUE!</v>
      </c>
      <c r="AY177" s="35" t="e">
        <f t="shared" si="60"/>
        <v>#VALUE!</v>
      </c>
    </row>
    <row r="178" spans="6:51" x14ac:dyDescent="0.3">
      <c r="F178">
        <v>8</v>
      </c>
      <c r="G178" s="28"/>
      <c r="H178" s="28"/>
      <c r="I178" s="28"/>
      <c r="J178" s="28"/>
      <c r="K178" s="28"/>
      <c r="L178" s="29"/>
      <c r="M178" s="30"/>
      <c r="N178" s="31"/>
      <c r="O178" s="31"/>
      <c r="P178" s="32"/>
      <c r="Q178" s="32"/>
      <c r="R178" s="32"/>
      <c r="S178" s="33"/>
      <c r="T178" s="33"/>
      <c r="U178" s="34"/>
      <c r="V178" s="34"/>
      <c r="W178" s="35"/>
      <c r="X178" s="35"/>
      <c r="AG178">
        <f t="shared" si="61"/>
        <v>7.4014007071619208</v>
      </c>
      <c r="AH178" s="28">
        <f t="shared" si="58"/>
        <v>1.7386086072705642E-2</v>
      </c>
      <c r="AI178" s="28">
        <f t="shared" si="58"/>
        <v>0.86916181661433223</v>
      </c>
      <c r="AJ178" s="28">
        <f t="shared" si="58"/>
        <v>0</v>
      </c>
      <c r="AK178" s="28">
        <f t="shared" si="58"/>
        <v>0.85174240503779064</v>
      </c>
      <c r="AL178" s="28">
        <f t="shared" si="58"/>
        <v>0</v>
      </c>
      <c r="AM178" s="29" t="e">
        <f t="shared" si="62"/>
        <v>#VALUE!</v>
      </c>
      <c r="AN178" s="30">
        <f t="shared" si="59"/>
        <v>0</v>
      </c>
      <c r="AO178" s="31"/>
      <c r="AP178" s="31"/>
      <c r="AQ178" s="32"/>
      <c r="AR178" s="32"/>
      <c r="AS178" s="32"/>
      <c r="AT178" s="33"/>
      <c r="AU178" s="33"/>
      <c r="AV178" s="34" t="e">
        <f t="shared" si="60"/>
        <v>#VALUE!</v>
      </c>
      <c r="AW178" s="34" t="e">
        <f t="shared" si="60"/>
        <v>#VALUE!</v>
      </c>
      <c r="AX178" s="35" t="e">
        <f t="shared" si="60"/>
        <v>#VALUE!</v>
      </c>
      <c r="AY178" s="35" t="e">
        <f t="shared" si="60"/>
        <v>#VALUE!</v>
      </c>
    </row>
    <row r="179" spans="6:51" x14ac:dyDescent="0.3">
      <c r="F179">
        <v>9</v>
      </c>
      <c r="G179" s="28"/>
      <c r="H179" s="28"/>
      <c r="I179" s="28"/>
      <c r="J179" s="28"/>
      <c r="K179" s="28"/>
      <c r="L179" s="29"/>
      <c r="M179" s="30"/>
      <c r="N179" s="31"/>
      <c r="O179" s="31"/>
      <c r="P179" s="32"/>
      <c r="Q179" s="32"/>
      <c r="R179" s="32"/>
      <c r="S179" s="33"/>
      <c r="T179" s="33"/>
      <c r="U179" s="34"/>
      <c r="V179" s="34"/>
      <c r="W179" s="35"/>
      <c r="X179" s="35"/>
      <c r="AG179">
        <f t="shared" si="61"/>
        <v>7.7839137706172403</v>
      </c>
      <c r="AH179" s="28">
        <f t="shared" si="58"/>
        <v>6.780145075286792E-2</v>
      </c>
      <c r="AI179" s="28">
        <f t="shared" si="58"/>
        <v>0.88819831324779086</v>
      </c>
      <c r="AJ179" s="28">
        <f t="shared" si="58"/>
        <v>0</v>
      </c>
      <c r="AK179" s="28">
        <f t="shared" si="58"/>
        <v>0.87354584094243326</v>
      </c>
      <c r="AL179" s="28">
        <f t="shared" si="58"/>
        <v>0</v>
      </c>
      <c r="AM179" s="29" t="e">
        <f t="shared" si="62"/>
        <v>#VALUE!</v>
      </c>
      <c r="AN179" s="30">
        <f t="shared" si="59"/>
        <v>0</v>
      </c>
      <c r="AO179" s="31"/>
      <c r="AP179" s="31"/>
      <c r="AQ179" s="32"/>
      <c r="AR179" s="32"/>
      <c r="AS179" s="32"/>
      <c r="AT179" s="33"/>
      <c r="AU179" s="33"/>
      <c r="AV179" s="34" t="e">
        <f t="shared" si="60"/>
        <v>#VALUE!</v>
      </c>
      <c r="AW179" s="34" t="e">
        <f t="shared" si="60"/>
        <v>#VALUE!</v>
      </c>
      <c r="AX179" s="35" t="e">
        <f t="shared" si="60"/>
        <v>#VALUE!</v>
      </c>
      <c r="AY179" s="35" t="e">
        <f t="shared" si="60"/>
        <v>#VALUE!</v>
      </c>
    </row>
    <row r="180" spans="6:51" x14ac:dyDescent="0.3">
      <c r="F180">
        <v>10</v>
      </c>
      <c r="G180" s="28"/>
      <c r="H180" s="28"/>
      <c r="I180" s="28"/>
      <c r="J180" s="28"/>
      <c r="K180" s="28"/>
      <c r="L180" s="29"/>
      <c r="M180" s="30"/>
      <c r="N180" s="31"/>
      <c r="O180" s="31"/>
      <c r="P180" s="32"/>
      <c r="Q180" s="32"/>
      <c r="R180" s="32"/>
      <c r="S180" s="33"/>
      <c r="T180" s="33"/>
      <c r="U180" s="34"/>
      <c r="V180" s="34"/>
      <c r="W180" s="35"/>
      <c r="X180" s="35"/>
      <c r="AG180">
        <f t="shared" si="61"/>
        <v>8.1861955575214029</v>
      </c>
      <c r="AH180" s="28">
        <f t="shared" si="58"/>
        <v>0.12369891308946046</v>
      </c>
      <c r="AI180" s="28">
        <f t="shared" si="58"/>
        <v>0.9054187382334844</v>
      </c>
      <c r="AJ180" s="28">
        <f t="shared" si="58"/>
        <v>0</v>
      </c>
      <c r="AK180" s="28">
        <f t="shared" si="58"/>
        <v>0.89322235573255493</v>
      </c>
      <c r="AL180" s="28">
        <f t="shared" si="58"/>
        <v>0</v>
      </c>
      <c r="AM180" s="29" t="e">
        <f t="shared" si="62"/>
        <v>#VALUE!</v>
      </c>
      <c r="AN180" s="30">
        <f t="shared" si="59"/>
        <v>0</v>
      </c>
      <c r="AO180" s="31"/>
      <c r="AP180" s="31"/>
      <c r="AQ180" s="32"/>
      <c r="AR180" s="32"/>
      <c r="AS180" s="32"/>
      <c r="AT180" s="33"/>
      <c r="AU180" s="33"/>
      <c r="AV180" s="34" t="e">
        <f t="shared" si="60"/>
        <v>#VALUE!</v>
      </c>
      <c r="AW180" s="34" t="e">
        <f t="shared" si="60"/>
        <v>#VALUE!</v>
      </c>
      <c r="AX180" s="35" t="e">
        <f t="shared" si="60"/>
        <v>#VALUE!</v>
      </c>
      <c r="AY180" s="35" t="e">
        <f t="shared" si="60"/>
        <v>#VALUE!</v>
      </c>
    </row>
    <row r="181" spans="6:51" x14ac:dyDescent="0.3">
      <c r="F181">
        <v>11</v>
      </c>
      <c r="G181" s="28"/>
      <c r="H181" s="28"/>
      <c r="I181" s="28"/>
      <c r="J181" s="28"/>
      <c r="K181" s="28"/>
      <c r="L181" s="29"/>
      <c r="M181" s="30"/>
      <c r="N181" s="31"/>
      <c r="O181" s="31"/>
      <c r="P181" s="32"/>
      <c r="Q181" s="32"/>
      <c r="R181" s="32"/>
      <c r="S181" s="33"/>
      <c r="T181" s="33"/>
      <c r="U181" s="34"/>
      <c r="V181" s="34"/>
      <c r="W181" s="35"/>
      <c r="X181" s="35"/>
      <c r="AG181">
        <f t="shared" si="61"/>
        <v>8.6092677386724414</v>
      </c>
      <c r="AH181" s="28">
        <f t="shared" si="58"/>
        <v>0.18487067667301949</v>
      </c>
      <c r="AI181" s="28">
        <f t="shared" si="58"/>
        <v>0.92082626535127043</v>
      </c>
      <c r="AJ181" s="28">
        <f t="shared" si="58"/>
        <v>0</v>
      </c>
      <c r="AK181" s="28">
        <f t="shared" si="58"/>
        <v>0.91078469064991507</v>
      </c>
      <c r="AL181" s="28">
        <f t="shared" si="58"/>
        <v>0</v>
      </c>
      <c r="AM181" s="29" t="e">
        <f t="shared" si="62"/>
        <v>#VALUE!</v>
      </c>
      <c r="AN181" s="30">
        <f t="shared" si="59"/>
        <v>0</v>
      </c>
      <c r="AO181" s="31"/>
      <c r="AP181" s="31"/>
      <c r="AQ181" s="32"/>
      <c r="AR181" s="32"/>
      <c r="AS181" s="32"/>
      <c r="AT181" s="33"/>
      <c r="AU181" s="33"/>
      <c r="AV181" s="34" t="e">
        <f t="shared" si="60"/>
        <v>#VALUE!</v>
      </c>
      <c r="AW181" s="34" t="e">
        <f t="shared" si="60"/>
        <v>#VALUE!</v>
      </c>
      <c r="AX181" s="35" t="e">
        <f t="shared" si="60"/>
        <v>#VALUE!</v>
      </c>
      <c r="AY181" s="35" t="e">
        <f t="shared" si="60"/>
        <v>#VALUE!</v>
      </c>
    </row>
    <row r="182" spans="6:51" x14ac:dyDescent="0.3">
      <c r="F182">
        <v>12</v>
      </c>
      <c r="G182" s="28"/>
      <c r="H182" s="28"/>
      <c r="I182" s="28"/>
      <c r="J182" s="28"/>
      <c r="K182" s="28"/>
      <c r="L182" s="29"/>
      <c r="M182" s="30"/>
      <c r="N182" s="31"/>
      <c r="O182" s="31"/>
      <c r="P182" s="32"/>
      <c r="Q182" s="32"/>
      <c r="R182" s="32"/>
      <c r="S182" s="33"/>
      <c r="T182" s="33"/>
      <c r="U182" s="34"/>
      <c r="V182" s="34"/>
      <c r="W182" s="35"/>
      <c r="X182" s="35"/>
      <c r="AG182">
        <f t="shared" si="61"/>
        <v>9.0542047860126846</v>
      </c>
      <c r="AH182" s="28">
        <f t="shared" si="58"/>
        <v>0.25084205794752645</v>
      </c>
      <c r="AI182" s="28">
        <f t="shared" si="58"/>
        <v>0.93445368057276335</v>
      </c>
      <c r="AJ182" s="28">
        <f t="shared" si="58"/>
        <v>0</v>
      </c>
      <c r="AK182" s="28">
        <f t="shared" si="58"/>
        <v>0.92627965590264516</v>
      </c>
      <c r="AL182" s="28">
        <f t="shared" si="58"/>
        <v>0</v>
      </c>
      <c r="AM182" s="29" t="e">
        <f t="shared" si="62"/>
        <v>#VALUE!</v>
      </c>
      <c r="AN182" s="30">
        <f t="shared" si="59"/>
        <v>0</v>
      </c>
      <c r="AO182" s="31"/>
      <c r="AP182" s="31"/>
      <c r="AQ182" s="32"/>
      <c r="AR182" s="32"/>
      <c r="AS182" s="32"/>
      <c r="AT182" s="33"/>
      <c r="AU182" s="33"/>
      <c r="AV182" s="34" t="e">
        <f t="shared" si="60"/>
        <v>#VALUE!</v>
      </c>
      <c r="AW182" s="34" t="e">
        <f t="shared" si="60"/>
        <v>#VALUE!</v>
      </c>
      <c r="AX182" s="35" t="e">
        <f t="shared" si="60"/>
        <v>#VALUE!</v>
      </c>
      <c r="AY182" s="35" t="e">
        <f t="shared" si="60"/>
        <v>#VALUE!</v>
      </c>
    </row>
    <row r="183" spans="6:51" x14ac:dyDescent="0.3">
      <c r="F183">
        <v>13</v>
      </c>
      <c r="G183" s="28"/>
      <c r="H183" s="28"/>
      <c r="I183" s="28"/>
      <c r="J183" s="28"/>
      <c r="K183" s="28"/>
      <c r="L183" s="29"/>
      <c r="M183" s="30"/>
      <c r="N183" s="31"/>
      <c r="O183" s="31"/>
      <c r="P183" s="32"/>
      <c r="Q183" s="32"/>
      <c r="R183" s="32"/>
      <c r="S183" s="33"/>
      <c r="T183" s="33"/>
      <c r="U183" s="34"/>
      <c r="V183" s="34"/>
      <c r="W183" s="35"/>
      <c r="X183" s="35"/>
      <c r="AG183">
        <f t="shared" si="61"/>
        <v>9.5221367014538032</v>
      </c>
      <c r="AH183" s="28">
        <f t="shared" si="58"/>
        <v>0.32083529562748359</v>
      </c>
      <c r="AI183" s="28">
        <f t="shared" si="58"/>
        <v>0.94636171125235458</v>
      </c>
      <c r="AJ183" s="28">
        <f t="shared" si="58"/>
        <v>6.7083572080399501E-2</v>
      </c>
      <c r="AK183" s="28">
        <f t="shared" si="58"/>
        <v>0.93978584068206894</v>
      </c>
      <c r="AL183" s="28">
        <f t="shared" si="58"/>
        <v>0</v>
      </c>
      <c r="AM183" s="29" t="e">
        <f t="shared" si="62"/>
        <v>#VALUE!</v>
      </c>
      <c r="AN183" s="30">
        <f t="shared" si="59"/>
        <v>0</v>
      </c>
      <c r="AO183" s="31"/>
      <c r="AP183" s="31"/>
      <c r="AQ183" s="32"/>
      <c r="AR183" s="32"/>
      <c r="AS183" s="32"/>
      <c r="AT183" s="33"/>
      <c r="AU183" s="33"/>
      <c r="AV183" s="34" t="e">
        <f t="shared" si="60"/>
        <v>#VALUE!</v>
      </c>
      <c r="AW183" s="34" t="e">
        <f t="shared" si="60"/>
        <v>#VALUE!</v>
      </c>
      <c r="AX183" s="35" t="e">
        <f t="shared" si="60"/>
        <v>#VALUE!</v>
      </c>
      <c r="AY183" s="35" t="e">
        <f t="shared" si="60"/>
        <v>#VALUE!</v>
      </c>
    </row>
    <row r="184" spans="6:51" x14ac:dyDescent="0.3">
      <c r="F184">
        <v>14</v>
      </c>
      <c r="G184" s="28"/>
      <c r="H184" s="28"/>
      <c r="I184" s="28"/>
      <c r="J184" s="28"/>
      <c r="K184" s="28"/>
      <c r="L184" s="29"/>
      <c r="M184" s="30"/>
      <c r="N184" s="31"/>
      <c r="O184" s="31"/>
      <c r="P184" s="32"/>
      <c r="Q184" s="32"/>
      <c r="R184" s="32"/>
      <c r="S184" s="33"/>
      <c r="T184" s="33"/>
      <c r="U184" s="34"/>
      <c r="V184" s="34"/>
      <c r="W184" s="35"/>
      <c r="X184" s="35"/>
      <c r="AG184">
        <f t="shared" si="61"/>
        <v>10.014251886730682</v>
      </c>
      <c r="AH184" s="28">
        <f t="shared" si="58"/>
        <v>0.39375367159639463</v>
      </c>
      <c r="AI184" s="28">
        <f t="shared" si="58"/>
        <v>0.95663626332061558</v>
      </c>
      <c r="AJ184" s="28">
        <f t="shared" si="58"/>
        <v>0.19143125988903908</v>
      </c>
      <c r="AK184" s="28">
        <f t="shared" si="58"/>
        <v>0.95141009267453081</v>
      </c>
      <c r="AL184" s="28">
        <f t="shared" si="58"/>
        <v>0</v>
      </c>
      <c r="AM184" s="29" t="e">
        <f t="shared" si="62"/>
        <v>#VALUE!</v>
      </c>
      <c r="AN184" s="30">
        <f t="shared" si="59"/>
        <v>0</v>
      </c>
      <c r="AO184" s="31"/>
      <c r="AP184" s="31"/>
      <c r="AQ184" s="32"/>
      <c r="AR184" s="32"/>
      <c r="AS184" s="32"/>
      <c r="AT184" s="33"/>
      <c r="AU184" s="33"/>
      <c r="AV184" s="34" t="e">
        <f t="shared" si="60"/>
        <v>#VALUE!</v>
      </c>
      <c r="AW184" s="34" t="e">
        <f t="shared" si="60"/>
        <v>#VALUE!</v>
      </c>
      <c r="AX184" s="35" t="e">
        <f t="shared" si="60"/>
        <v>#VALUE!</v>
      </c>
      <c r="AY184" s="35" t="e">
        <f t="shared" si="60"/>
        <v>#VALUE!</v>
      </c>
    </row>
    <row r="185" spans="6:51" x14ac:dyDescent="0.3">
      <c r="F185">
        <v>15</v>
      </c>
      <c r="G185" s="28"/>
      <c r="H185" s="28"/>
      <c r="I185" s="28"/>
      <c r="J185" s="28"/>
      <c r="K185" s="28"/>
      <c r="L185" s="29"/>
      <c r="M185" s="30"/>
      <c r="N185" s="31"/>
      <c r="O185" s="31"/>
      <c r="P185" s="32"/>
      <c r="Q185" s="32"/>
      <c r="R185" s="32"/>
      <c r="S185" s="33"/>
      <c r="T185" s="33"/>
      <c r="U185" s="34"/>
      <c r="V185" s="34"/>
      <c r="W185" s="35"/>
      <c r="X185" s="35"/>
      <c r="AG185">
        <f t="shared" si="61"/>
        <v>10.531800161572754</v>
      </c>
      <c r="AH185" s="28">
        <f t="shared" si="58"/>
        <v>0.46819577332203499</v>
      </c>
      <c r="AI185" s="28">
        <f t="shared" si="58"/>
        <v>0.96538469512371961</v>
      </c>
      <c r="AJ185" s="28">
        <f t="shared" si="58"/>
        <v>0.31054379303701307</v>
      </c>
      <c r="AK185" s="28">
        <f t="shared" si="58"/>
        <v>0.96128293935634801</v>
      </c>
      <c r="AL185" s="28">
        <f t="shared" si="58"/>
        <v>0</v>
      </c>
      <c r="AM185" s="29" t="e">
        <f t="shared" si="62"/>
        <v>#VALUE!</v>
      </c>
      <c r="AN185" s="30">
        <f t="shared" si="59"/>
        <v>0</v>
      </c>
      <c r="AO185" s="31"/>
      <c r="AP185" s="31"/>
      <c r="AQ185" s="32"/>
      <c r="AR185" s="32"/>
      <c r="AS185" s="32"/>
      <c r="AT185" s="33"/>
      <c r="AU185" s="33"/>
      <c r="AV185" s="34" t="e">
        <f t="shared" si="60"/>
        <v>#VALUE!</v>
      </c>
      <c r="AW185" s="34" t="e">
        <f t="shared" si="60"/>
        <v>#VALUE!</v>
      </c>
      <c r="AX185" s="35" t="e">
        <f t="shared" si="60"/>
        <v>#VALUE!</v>
      </c>
      <c r="AY185" s="35" t="e">
        <f t="shared" si="60"/>
        <v>#VALUE!</v>
      </c>
    </row>
    <row r="186" spans="6:51" x14ac:dyDescent="0.3">
      <c r="F186">
        <v>16</v>
      </c>
      <c r="G186" s="28"/>
      <c r="H186" s="28"/>
      <c r="I186" s="28"/>
      <c r="J186" s="28"/>
      <c r="K186" s="28"/>
      <c r="L186" s="29"/>
      <c r="M186" s="30"/>
      <c r="N186" s="31"/>
      <c r="O186" s="31"/>
      <c r="P186" s="32"/>
      <c r="Q186" s="32"/>
      <c r="R186" s="32"/>
      <c r="S186" s="33"/>
      <c r="T186" s="33"/>
      <c r="U186" s="34"/>
      <c r="V186" s="34"/>
      <c r="W186" s="35"/>
      <c r="X186" s="35"/>
      <c r="AG186">
        <f t="shared" si="61"/>
        <v>11.076095937857938</v>
      </c>
      <c r="AH186" s="28">
        <f t="shared" ref="AH186:AL201" si="63">IF(1-EXP(-0.23*(AH102-AH$165))&lt;0, 0, 1-EXP(-0.23*(AH102-AH$165)))</f>
        <v>0.54250813248557417</v>
      </c>
      <c r="AI186" s="28">
        <f t="shared" si="63"/>
        <v>0.97273132785971006</v>
      </c>
      <c r="AJ186" s="28">
        <f t="shared" si="63"/>
        <v>0.42247731244571163</v>
      </c>
      <c r="AK186" s="28">
        <f t="shared" si="63"/>
        <v>0.96955320187202942</v>
      </c>
      <c r="AL186" s="28">
        <f t="shared" si="63"/>
        <v>0</v>
      </c>
      <c r="AM186" s="29" t="e">
        <f t="shared" si="62"/>
        <v>#VALUE!</v>
      </c>
      <c r="AN186" s="30">
        <f t="shared" si="59"/>
        <v>0</v>
      </c>
      <c r="AO186" s="31"/>
      <c r="AP186" s="31"/>
      <c r="AQ186" s="32"/>
      <c r="AR186" s="32"/>
      <c r="AS186" s="32"/>
      <c r="AT186" s="33"/>
      <c r="AU186" s="33"/>
      <c r="AV186" s="34" t="e">
        <f t="shared" ref="AV186:AY201" si="64">IF(1-EXP(-0.23*(AV102-AV$165))&lt;0, 0, 1-EXP(-0.23*(AV102-AV$165)))</f>
        <v>#VALUE!</v>
      </c>
      <c r="AW186" s="34" t="e">
        <f t="shared" si="64"/>
        <v>#VALUE!</v>
      </c>
      <c r="AX186" s="35" t="e">
        <f t="shared" si="64"/>
        <v>#VALUE!</v>
      </c>
      <c r="AY186" s="35" t="e">
        <f t="shared" si="64"/>
        <v>#VALUE!</v>
      </c>
    </row>
    <row r="187" spans="6:51" x14ac:dyDescent="0.3">
      <c r="F187">
        <v>17</v>
      </c>
      <c r="G187" s="28"/>
      <c r="H187" s="28"/>
      <c r="I187" s="28"/>
      <c r="J187" s="28"/>
      <c r="K187" s="28"/>
      <c r="L187" s="29"/>
      <c r="M187" s="30"/>
      <c r="N187" s="31"/>
      <c r="O187" s="31"/>
      <c r="P187" s="32"/>
      <c r="Q187" s="32"/>
      <c r="R187" s="32"/>
      <c r="S187" s="33"/>
      <c r="T187" s="33"/>
      <c r="U187" s="34"/>
      <c r="V187" s="34"/>
      <c r="W187" s="35"/>
      <c r="X187" s="35"/>
      <c r="AG187">
        <f t="shared" si="61"/>
        <v>11.648521557810575</v>
      </c>
      <c r="AH187" s="28">
        <f t="shared" si="63"/>
        <v>0.6148801131235001</v>
      </c>
      <c r="AI187" s="28">
        <f t="shared" si="63"/>
        <v>0.97881245074103185</v>
      </c>
      <c r="AJ187" s="28">
        <f t="shared" si="63"/>
        <v>0.52550361601768136</v>
      </c>
      <c r="AK187" s="28">
        <f t="shared" si="63"/>
        <v>0.97638211328128788</v>
      </c>
      <c r="AL187" s="28">
        <f t="shared" si="63"/>
        <v>0</v>
      </c>
      <c r="AM187" s="29" t="e">
        <f t="shared" si="62"/>
        <v>#VALUE!</v>
      </c>
      <c r="AN187" s="30">
        <f t="shared" si="59"/>
        <v>0</v>
      </c>
      <c r="AO187" s="31"/>
      <c r="AP187" s="31"/>
      <c r="AQ187" s="32"/>
      <c r="AR187" s="32"/>
      <c r="AS187" s="32"/>
      <c r="AT187" s="33"/>
      <c r="AU187" s="33"/>
      <c r="AV187" s="34" t="e">
        <f t="shared" si="64"/>
        <v>#VALUE!</v>
      </c>
      <c r="AW187" s="34" t="e">
        <f t="shared" si="64"/>
        <v>#VALUE!</v>
      </c>
      <c r="AX187" s="35" t="e">
        <f t="shared" si="64"/>
        <v>#VALUE!</v>
      </c>
      <c r="AY187" s="35" t="e">
        <f t="shared" si="64"/>
        <v>#VALUE!</v>
      </c>
    </row>
    <row r="188" spans="6:51" x14ac:dyDescent="0.3">
      <c r="F188">
        <v>18</v>
      </c>
      <c r="G188" s="28"/>
      <c r="H188" s="28"/>
      <c r="I188" s="28"/>
      <c r="J188" s="28"/>
      <c r="K188" s="28"/>
      <c r="L188" s="29"/>
      <c r="M188" s="30"/>
      <c r="N188" s="31"/>
      <c r="O188" s="31"/>
      <c r="P188" s="32"/>
      <c r="Q188" s="32"/>
      <c r="R188" s="32"/>
      <c r="S188" s="33"/>
      <c r="T188" s="33"/>
      <c r="U188" s="34"/>
      <c r="V188" s="34"/>
      <c r="W188" s="35"/>
      <c r="X188" s="35"/>
      <c r="AG188">
        <f t="shared" si="61"/>
        <v>12.250530804721352</v>
      </c>
      <c r="AH188" s="28">
        <f t="shared" si="63"/>
        <v>0.68347766788289321</v>
      </c>
      <c r="AI188" s="28">
        <f t="shared" si="63"/>
        <v>0.98377111692842401</v>
      </c>
      <c r="AJ188" s="28">
        <f t="shared" si="63"/>
        <v>0.61822848529592056</v>
      </c>
      <c r="AK188" s="28">
        <f t="shared" si="63"/>
        <v>0.98193728877736586</v>
      </c>
      <c r="AL188" s="28">
        <f t="shared" si="63"/>
        <v>0</v>
      </c>
      <c r="AM188" s="29" t="e">
        <f t="shared" si="62"/>
        <v>#VALUE!</v>
      </c>
      <c r="AN188" s="30">
        <f t="shared" si="59"/>
        <v>0</v>
      </c>
      <c r="AO188" s="31"/>
      <c r="AP188" s="31"/>
      <c r="AQ188" s="32"/>
      <c r="AR188" s="32"/>
      <c r="AS188" s="32"/>
      <c r="AT188" s="33"/>
      <c r="AU188" s="33"/>
      <c r="AV188" s="34" t="e">
        <f t="shared" si="64"/>
        <v>#VALUE!</v>
      </c>
      <c r="AW188" s="34" t="e">
        <f t="shared" si="64"/>
        <v>#VALUE!</v>
      </c>
      <c r="AX188" s="35" t="e">
        <f t="shared" si="64"/>
        <v>#VALUE!</v>
      </c>
      <c r="AY188" s="35" t="e">
        <f t="shared" si="64"/>
        <v>#VALUE!</v>
      </c>
    </row>
    <row r="189" spans="6:51" x14ac:dyDescent="0.3">
      <c r="F189">
        <v>19</v>
      </c>
      <c r="G189" s="28"/>
      <c r="H189" s="28"/>
      <c r="I189" s="28"/>
      <c r="J189" s="28"/>
      <c r="K189" s="28"/>
      <c r="L189" s="29"/>
      <c r="M189" s="30"/>
      <c r="N189" s="31"/>
      <c r="O189" s="31"/>
      <c r="P189" s="32"/>
      <c r="Q189" s="32"/>
      <c r="R189" s="32"/>
      <c r="S189" s="33"/>
      <c r="T189" s="33"/>
      <c r="U189" s="34"/>
      <c r="V189" s="34"/>
      <c r="W189" s="35"/>
      <c r="X189" s="35"/>
      <c r="AG189">
        <f t="shared" si="61"/>
        <v>12.883652595105344</v>
      </c>
      <c r="AH189" s="28">
        <f t="shared" si="63"/>
        <v>0.74660329614685517</v>
      </c>
      <c r="AI189" s="28">
        <f t="shared" si="63"/>
        <v>0.98775203866934691</v>
      </c>
      <c r="AJ189" s="28">
        <f t="shared" si="63"/>
        <v>0.69969088036127658</v>
      </c>
      <c r="AK189" s="28">
        <f t="shared" si="63"/>
        <v>0.98638690097168791</v>
      </c>
      <c r="AL189" s="28">
        <f t="shared" si="63"/>
        <v>0</v>
      </c>
      <c r="AM189" s="29" t="e">
        <f t="shared" si="62"/>
        <v>#VALUE!</v>
      </c>
      <c r="AN189" s="30">
        <f t="shared" si="59"/>
        <v>0</v>
      </c>
      <c r="AO189" s="31"/>
      <c r="AP189" s="31"/>
      <c r="AQ189" s="32"/>
      <c r="AR189" s="32"/>
      <c r="AS189" s="32"/>
      <c r="AT189" s="33"/>
      <c r="AU189" s="33"/>
      <c r="AV189" s="34" t="e">
        <f t="shared" si="64"/>
        <v>#VALUE!</v>
      </c>
      <c r="AW189" s="34" t="e">
        <f t="shared" si="64"/>
        <v>#VALUE!</v>
      </c>
      <c r="AX189" s="35" t="e">
        <f t="shared" si="64"/>
        <v>#VALUE!</v>
      </c>
      <c r="AY189" s="35" t="e">
        <f t="shared" si="64"/>
        <v>#VALUE!</v>
      </c>
    </row>
    <row r="190" spans="6:51" x14ac:dyDescent="0.3">
      <c r="F190">
        <v>20</v>
      </c>
      <c r="G190" s="28"/>
      <c r="H190" s="28"/>
      <c r="I190" s="28"/>
      <c r="J190" s="28"/>
      <c r="K190" s="28"/>
      <c r="L190" s="29"/>
      <c r="M190" s="30"/>
      <c r="N190" s="31"/>
      <c r="O190" s="31"/>
      <c r="P190" s="32"/>
      <c r="Q190" s="32"/>
      <c r="R190" s="32"/>
      <c r="S190" s="33"/>
      <c r="T190" s="33"/>
      <c r="U190" s="34"/>
      <c r="V190" s="34"/>
      <c r="W190" s="35"/>
      <c r="X190" s="35"/>
      <c r="AG190">
        <f t="shared" si="61"/>
        <v>13.549494861675118</v>
      </c>
      <c r="AH190" s="28">
        <f t="shared" si="63"/>
        <v>0.80286030056919344</v>
      </c>
      <c r="AI190" s="28">
        <f t="shared" si="63"/>
        <v>0.99089687452985475</v>
      </c>
      <c r="AJ190" s="28">
        <f t="shared" si="63"/>
        <v>0.76942864464678873</v>
      </c>
      <c r="AK190" s="28">
        <f t="shared" si="63"/>
        <v>0.98989438685963882</v>
      </c>
      <c r="AL190" s="28">
        <f t="shared" si="63"/>
        <v>0</v>
      </c>
      <c r="AM190" s="29" t="e">
        <f t="shared" si="62"/>
        <v>#VALUE!</v>
      </c>
      <c r="AN190" s="30">
        <f t="shared" si="59"/>
        <v>0</v>
      </c>
      <c r="AO190" s="31"/>
      <c r="AP190" s="31"/>
      <c r="AQ190" s="32"/>
      <c r="AR190" s="32"/>
      <c r="AS190" s="32"/>
      <c r="AT190" s="33"/>
      <c r="AU190" s="33"/>
      <c r="AV190" s="34" t="e">
        <f t="shared" si="64"/>
        <v>#VALUE!</v>
      </c>
      <c r="AW190" s="34" t="e">
        <f t="shared" si="64"/>
        <v>#VALUE!</v>
      </c>
      <c r="AX190" s="35" t="e">
        <f t="shared" si="64"/>
        <v>#VALUE!</v>
      </c>
      <c r="AY190" s="35" t="e">
        <f t="shared" si="64"/>
        <v>#VALUE!</v>
      </c>
    </row>
    <row r="191" spans="6:51" x14ac:dyDescent="0.3">
      <c r="F191">
        <v>21</v>
      </c>
      <c r="G191" s="28"/>
      <c r="H191" s="28"/>
      <c r="I191" s="28"/>
      <c r="J191" s="28"/>
      <c r="K191" s="28"/>
      <c r="L191" s="29"/>
      <c r="M191" s="30"/>
      <c r="N191" s="31"/>
      <c r="O191" s="31"/>
      <c r="P191" s="32"/>
      <c r="Q191" s="32"/>
      <c r="R191" s="32"/>
      <c r="S191" s="33"/>
      <c r="T191" s="33"/>
      <c r="U191" s="34"/>
      <c r="V191" s="34"/>
      <c r="W191" s="35"/>
      <c r="X191" s="35"/>
      <c r="AG191">
        <f t="shared" si="61"/>
        <v>14.249748636990411</v>
      </c>
      <c r="AH191" s="28">
        <f t="shared" si="63"/>
        <v>0.85129328719280939</v>
      </c>
      <c r="AI191" s="28">
        <f t="shared" si="63"/>
        <v>0.99334015921452146</v>
      </c>
      <c r="AJ191" s="28">
        <f t="shared" si="63"/>
        <v>0.82749951334408789</v>
      </c>
      <c r="AK191" s="28">
        <f t="shared" si="63"/>
        <v>0.99261395703388999</v>
      </c>
      <c r="AL191" s="28">
        <f t="shared" si="63"/>
        <v>0</v>
      </c>
      <c r="AM191" s="29" t="e">
        <f t="shared" si="62"/>
        <v>#VALUE!</v>
      </c>
      <c r="AN191" s="30">
        <f t="shared" si="59"/>
        <v>0</v>
      </c>
      <c r="AO191" s="31"/>
      <c r="AP191" s="31"/>
      <c r="AQ191" s="32"/>
      <c r="AR191" s="32"/>
      <c r="AS191" s="32"/>
      <c r="AT191" s="33"/>
      <c r="AU191" s="33"/>
      <c r="AV191" s="34" t="e">
        <f t="shared" si="64"/>
        <v>#VALUE!</v>
      </c>
      <c r="AW191" s="34" t="e">
        <f t="shared" si="64"/>
        <v>#VALUE!</v>
      </c>
      <c r="AX191" s="35" t="e">
        <f t="shared" si="64"/>
        <v>#VALUE!</v>
      </c>
      <c r="AY191" s="35" t="e">
        <f t="shared" si="64"/>
        <v>#VALUE!</v>
      </c>
    </row>
    <row r="192" spans="6:51" x14ac:dyDescent="0.3">
      <c r="F192">
        <v>22</v>
      </c>
      <c r="G192" s="28"/>
      <c r="H192" s="28"/>
      <c r="I192" s="28"/>
      <c r="J192" s="28"/>
      <c r="K192" s="28"/>
      <c r="L192" s="29"/>
      <c r="M192" s="30"/>
      <c r="N192" s="31"/>
      <c r="O192" s="31"/>
      <c r="P192" s="32"/>
      <c r="Q192" s="32"/>
      <c r="R192" s="32"/>
      <c r="S192" s="33"/>
      <c r="T192" s="33"/>
      <c r="U192" s="34"/>
      <c r="V192" s="34"/>
      <c r="W192" s="35"/>
      <c r="X192" s="35"/>
      <c r="AG192">
        <f t="shared" si="61"/>
        <v>14.986192348155662</v>
      </c>
      <c r="AH192" s="28">
        <f t="shared" si="63"/>
        <v>0.89147688356113908</v>
      </c>
      <c r="AI192" s="28">
        <f t="shared" si="63"/>
        <v>0.99520606188161131</v>
      </c>
      <c r="AJ192" s="28">
        <f t="shared" si="63"/>
        <v>0.87445213321967208</v>
      </c>
      <c r="AK192" s="28">
        <f t="shared" si="63"/>
        <v>0.99468709844838454</v>
      </c>
      <c r="AL192" s="28">
        <f t="shared" si="63"/>
        <v>0</v>
      </c>
      <c r="AM192" s="29" t="e">
        <f t="shared" si="62"/>
        <v>#VALUE!</v>
      </c>
      <c r="AN192" s="30">
        <f t="shared" si="59"/>
        <v>2.5681676088350591E-2</v>
      </c>
      <c r="AO192" s="31"/>
      <c r="AP192" s="31"/>
      <c r="AQ192" s="32"/>
      <c r="AR192" s="32"/>
      <c r="AS192" s="32"/>
      <c r="AT192" s="33"/>
      <c r="AU192" s="33"/>
      <c r="AV192" s="34" t="e">
        <f t="shared" si="64"/>
        <v>#VALUE!</v>
      </c>
      <c r="AW192" s="34" t="e">
        <f t="shared" si="64"/>
        <v>#VALUE!</v>
      </c>
      <c r="AX192" s="35" t="e">
        <f t="shared" si="64"/>
        <v>#VALUE!</v>
      </c>
      <c r="AY192" s="35" t="e">
        <f t="shared" si="64"/>
        <v>#VALUE!</v>
      </c>
    </row>
    <row r="193" spans="6:51" x14ac:dyDescent="0.3">
      <c r="F193">
        <v>23</v>
      </c>
      <c r="G193" s="28"/>
      <c r="H193" s="28"/>
      <c r="I193" s="28"/>
      <c r="J193" s="28"/>
      <c r="K193" s="28"/>
      <c r="L193" s="29"/>
      <c r="M193" s="30"/>
      <c r="N193" s="31"/>
      <c r="O193" s="31"/>
      <c r="P193" s="32"/>
      <c r="Q193" s="32"/>
      <c r="R193" s="32"/>
      <c r="S193" s="33"/>
      <c r="T193" s="33"/>
      <c r="U193" s="34"/>
      <c r="V193" s="34"/>
      <c r="W193" s="35"/>
      <c r="X193" s="35"/>
      <c r="AG193">
        <f t="shared" si="61"/>
        <v>15.760696333472486</v>
      </c>
      <c r="AH193" s="28">
        <f t="shared" si="63"/>
        <v>0.92353260455796427</v>
      </c>
      <c r="AI193" s="28">
        <f t="shared" si="63"/>
        <v>0.99660607977598847</v>
      </c>
      <c r="AJ193" s="28">
        <f t="shared" si="63"/>
        <v>0.91124959410849837</v>
      </c>
      <c r="AK193" s="28">
        <f t="shared" si="63"/>
        <v>0.99624016905374357</v>
      </c>
      <c r="AL193" s="28">
        <f t="shared" si="63"/>
        <v>0</v>
      </c>
      <c r="AM193" s="29" t="e">
        <f t="shared" si="62"/>
        <v>#VALUE!</v>
      </c>
      <c r="AN193" s="30">
        <f t="shared" si="59"/>
        <v>0.12975157932851988</v>
      </c>
      <c r="AO193" s="31"/>
      <c r="AP193" s="31"/>
      <c r="AQ193" s="32"/>
      <c r="AR193" s="32"/>
      <c r="AS193" s="32"/>
      <c r="AT193" s="33"/>
      <c r="AU193" s="33"/>
      <c r="AV193" s="34" t="e">
        <f t="shared" si="64"/>
        <v>#VALUE!</v>
      </c>
      <c r="AW193" s="34" t="e">
        <f t="shared" si="64"/>
        <v>#VALUE!</v>
      </c>
      <c r="AX193" s="35" t="e">
        <f t="shared" si="64"/>
        <v>#VALUE!</v>
      </c>
      <c r="AY193" s="35" t="e">
        <f t="shared" si="64"/>
        <v>#VALUE!</v>
      </c>
    </row>
    <row r="194" spans="6:51" x14ac:dyDescent="0.3">
      <c r="F194">
        <v>24</v>
      </c>
      <c r="G194" s="28"/>
      <c r="H194" s="28"/>
      <c r="I194" s="28"/>
      <c r="J194" s="28"/>
      <c r="K194" s="28"/>
      <c r="L194" s="29"/>
      <c r="M194" s="30"/>
      <c r="N194" s="31"/>
      <c r="O194" s="31"/>
      <c r="P194" s="32"/>
      <c r="Q194" s="32"/>
      <c r="R194" s="32"/>
      <c r="S194" s="33"/>
      <c r="T194" s="33"/>
      <c r="U194" s="34"/>
      <c r="V194" s="34"/>
      <c r="W194" s="35"/>
      <c r="X194" s="35"/>
      <c r="AG194">
        <f t="shared" si="61"/>
        <v>16.575227592518086</v>
      </c>
      <c r="AH194" s="28">
        <f t="shared" si="63"/>
        <v>0.94806874884124903</v>
      </c>
      <c r="AI194" s="28">
        <f t="shared" si="63"/>
        <v>0.99763769004263714</v>
      </c>
      <c r="AJ194" s="28">
        <f t="shared" si="63"/>
        <v>0.93915602673450693</v>
      </c>
      <c r="AK194" s="28">
        <f t="shared" si="63"/>
        <v>0.9973830871532271</v>
      </c>
      <c r="AL194" s="28">
        <f t="shared" si="63"/>
        <v>0</v>
      </c>
      <c r="AM194" s="29" t="e">
        <f t="shared" si="62"/>
        <v>#VALUE!</v>
      </c>
      <c r="AN194" s="30">
        <f t="shared" si="59"/>
        <v>0.2286167668299649</v>
      </c>
      <c r="AO194" s="31"/>
      <c r="AP194" s="31"/>
      <c r="AQ194" s="32"/>
      <c r="AR194" s="32"/>
      <c r="AS194" s="32"/>
      <c r="AT194" s="33"/>
      <c r="AU194" s="33"/>
      <c r="AV194" s="34" t="e">
        <f t="shared" si="64"/>
        <v>#VALUE!</v>
      </c>
      <c r="AW194" s="34" t="e">
        <f t="shared" si="64"/>
        <v>#VALUE!</v>
      </c>
      <c r="AX194" s="35" t="e">
        <f t="shared" si="64"/>
        <v>#VALUE!</v>
      </c>
      <c r="AY194" s="35" t="e">
        <f t="shared" si="64"/>
        <v>#VALUE!</v>
      </c>
    </row>
    <row r="195" spans="6:51" x14ac:dyDescent="0.3">
      <c r="F195">
        <v>25</v>
      </c>
      <c r="G195" s="28"/>
      <c r="H195" s="28"/>
      <c r="I195" s="28"/>
      <c r="J195" s="28"/>
      <c r="K195" s="28"/>
      <c r="L195" s="29"/>
      <c r="M195" s="30"/>
      <c r="N195" s="31"/>
      <c r="O195" s="31"/>
      <c r="P195" s="32"/>
      <c r="Q195" s="32"/>
      <c r="R195" s="32"/>
      <c r="S195" s="33"/>
      <c r="T195" s="33"/>
      <c r="U195" s="34"/>
      <c r="V195" s="34"/>
      <c r="W195" s="35"/>
      <c r="X195" s="35"/>
      <c r="AG195">
        <f t="shared" si="61"/>
        <v>17.431854781713245</v>
      </c>
      <c r="AH195" s="28">
        <f t="shared" si="63"/>
        <v>0.96605616286131457</v>
      </c>
      <c r="AI195" s="28">
        <f t="shared" si="63"/>
        <v>0.99838390379212394</v>
      </c>
      <c r="AJ195" s="28">
        <f t="shared" si="63"/>
        <v>0.9596031645226234</v>
      </c>
      <c r="AK195" s="28">
        <f t="shared" si="63"/>
        <v>0.99820903156559071</v>
      </c>
      <c r="AL195" s="28">
        <f t="shared" si="63"/>
        <v>0</v>
      </c>
      <c r="AM195" s="29" t="e">
        <f t="shared" si="62"/>
        <v>#VALUE!</v>
      </c>
      <c r="AN195" s="30">
        <f t="shared" si="59"/>
        <v>0.3216452279220966</v>
      </c>
      <c r="AO195" s="31"/>
      <c r="AP195" s="31"/>
      <c r="AQ195" s="32"/>
      <c r="AR195" s="32"/>
      <c r="AS195" s="32"/>
      <c r="AT195" s="33"/>
      <c r="AU195" s="33"/>
      <c r="AV195" s="34" t="e">
        <f t="shared" si="64"/>
        <v>#VALUE!</v>
      </c>
      <c r="AW195" s="34" t="e">
        <f t="shared" si="64"/>
        <v>#VALUE!</v>
      </c>
      <c r="AX195" s="35" t="e">
        <f t="shared" si="64"/>
        <v>#VALUE!</v>
      </c>
      <c r="AY195" s="35" t="e">
        <f t="shared" si="64"/>
        <v>#VALUE!</v>
      </c>
    </row>
    <row r="196" spans="6:51" x14ac:dyDescent="0.3">
      <c r="F196">
        <v>26</v>
      </c>
      <c r="G196" s="28"/>
      <c r="H196" s="28"/>
      <c r="I196" s="28"/>
      <c r="J196" s="28"/>
      <c r="K196" s="28"/>
      <c r="L196" s="29"/>
      <c r="M196" s="30"/>
      <c r="N196" s="31"/>
      <c r="O196" s="31"/>
      <c r="P196" s="32"/>
      <c r="Q196" s="32"/>
      <c r="R196" s="32"/>
      <c r="S196" s="33"/>
      <c r="T196" s="33"/>
      <c r="U196" s="34"/>
      <c r="V196" s="34"/>
      <c r="W196" s="35"/>
      <c r="X196" s="35"/>
      <c r="AG196">
        <f t="shared" si="61"/>
        <v>18.332753468067196</v>
      </c>
      <c r="AH196" s="28">
        <f t="shared" si="63"/>
        <v>0.97866774299362913</v>
      </c>
      <c r="AI196" s="28">
        <f t="shared" si="63"/>
        <v>0.99891360172074894</v>
      </c>
      <c r="AJ196" s="28">
        <f t="shared" si="63"/>
        <v>0.97405667656920869</v>
      </c>
      <c r="AK196" s="28">
        <f t="shared" si="63"/>
        <v>0.99879500001865773</v>
      </c>
      <c r="AL196" s="28">
        <f t="shared" si="63"/>
        <v>0</v>
      </c>
      <c r="AM196" s="29" t="e">
        <f t="shared" si="62"/>
        <v>#VALUE!</v>
      </c>
      <c r="AN196" s="30">
        <f t="shared" si="59"/>
        <v>0.40831847360337936</v>
      </c>
      <c r="AO196" s="31"/>
      <c r="AP196" s="31"/>
      <c r="AQ196" s="32"/>
      <c r="AR196" s="32"/>
      <c r="AS196" s="32"/>
      <c r="AT196" s="33"/>
      <c r="AU196" s="33"/>
      <c r="AV196" s="34" t="e">
        <f t="shared" si="64"/>
        <v>#VALUE!</v>
      </c>
      <c r="AW196" s="34" t="e">
        <f t="shared" si="64"/>
        <v>#VALUE!</v>
      </c>
      <c r="AX196" s="35" t="e">
        <f t="shared" si="64"/>
        <v>#VALUE!</v>
      </c>
      <c r="AY196" s="35" t="e">
        <f t="shared" si="64"/>
        <v>#VALUE!</v>
      </c>
    </row>
    <row r="197" spans="6:51" x14ac:dyDescent="0.3">
      <c r="F197">
        <v>27</v>
      </c>
      <c r="G197" s="28"/>
      <c r="H197" s="28"/>
      <c r="I197" s="28"/>
      <c r="J197" s="28"/>
      <c r="K197" s="28"/>
      <c r="L197" s="29"/>
      <c r="M197" s="30"/>
      <c r="N197" s="31"/>
      <c r="O197" s="31"/>
      <c r="P197" s="32"/>
      <c r="Q197" s="32"/>
      <c r="R197" s="32"/>
      <c r="S197" s="33"/>
      <c r="T197" s="33"/>
      <c r="U197" s="34"/>
      <c r="V197" s="34"/>
      <c r="W197" s="35"/>
      <c r="X197" s="35"/>
      <c r="AG197">
        <f t="shared" si="61"/>
        <v>19.280211654442091</v>
      </c>
      <c r="AH197" s="28">
        <f t="shared" si="63"/>
        <v>0.98711628189180034</v>
      </c>
      <c r="AI197" s="28">
        <f t="shared" si="63"/>
        <v>0.99928248612929127</v>
      </c>
      <c r="AJ197" s="28">
        <f t="shared" si="63"/>
        <v>0.98390071317713479</v>
      </c>
      <c r="AK197" s="28">
        <f t="shared" si="63"/>
        <v>0.9992030288020094</v>
      </c>
      <c r="AL197" s="28">
        <f t="shared" si="63"/>
        <v>0</v>
      </c>
      <c r="AM197" s="29" t="e">
        <f t="shared" si="62"/>
        <v>#VALUE!</v>
      </c>
      <c r="AN197" s="30">
        <f t="shared" si="59"/>
        <v>0.48824715925462936</v>
      </c>
      <c r="AO197" s="31"/>
      <c r="AP197" s="31"/>
      <c r="AQ197" s="32"/>
      <c r="AR197" s="32"/>
      <c r="AS197" s="32"/>
      <c r="AT197" s="33"/>
      <c r="AU197" s="33"/>
      <c r="AV197" s="34" t="e">
        <f t="shared" si="64"/>
        <v>#VALUE!</v>
      </c>
      <c r="AW197" s="34" t="e">
        <f t="shared" si="64"/>
        <v>#VALUE!</v>
      </c>
      <c r="AX197" s="35" t="e">
        <f t="shared" si="64"/>
        <v>#VALUE!</v>
      </c>
      <c r="AY197" s="35" t="e">
        <f t="shared" si="64"/>
        <v>#VALUE!</v>
      </c>
    </row>
    <row r="198" spans="6:51" x14ac:dyDescent="0.3">
      <c r="F198">
        <v>28</v>
      </c>
      <c r="G198" s="28"/>
      <c r="H198" s="28"/>
      <c r="I198" s="28"/>
      <c r="J198" s="28"/>
      <c r="K198" s="28"/>
      <c r="L198" s="29"/>
      <c r="M198" s="30"/>
      <c r="N198" s="31"/>
      <c r="O198" s="31"/>
      <c r="P198" s="32"/>
      <c r="Q198" s="32"/>
      <c r="R198" s="32"/>
      <c r="S198" s="33"/>
      <c r="T198" s="33"/>
      <c r="U198" s="34"/>
      <c r="V198" s="34"/>
      <c r="W198" s="35"/>
      <c r="X198" s="35"/>
      <c r="AG198">
        <f t="shared" si="61"/>
        <v>20.276635590369683</v>
      </c>
      <c r="AH198" s="28">
        <f t="shared" si="63"/>
        <v>0.99252147154201464</v>
      </c>
      <c r="AI198" s="28">
        <f t="shared" si="63"/>
        <v>0.99953446289254622</v>
      </c>
      <c r="AJ198" s="28">
        <f t="shared" si="63"/>
        <v>0.9903538752896629</v>
      </c>
      <c r="AK198" s="28">
        <f t="shared" si="63"/>
        <v>0.99948185875263651</v>
      </c>
      <c r="AL198" s="28">
        <f t="shared" si="63"/>
        <v>0</v>
      </c>
      <c r="AM198" s="29" t="e">
        <f t="shared" si="62"/>
        <v>#VALUE!</v>
      </c>
      <c r="AN198" s="30">
        <f t="shared" si="59"/>
        <v>0.56118145285150223</v>
      </c>
      <c r="AO198" s="31"/>
      <c r="AP198" s="31"/>
      <c r="AQ198" s="32"/>
      <c r="AR198" s="32"/>
      <c r="AS198" s="32"/>
      <c r="AT198" s="33"/>
      <c r="AU198" s="33"/>
      <c r="AV198" s="34" t="e">
        <f t="shared" si="64"/>
        <v>#VALUE!</v>
      </c>
      <c r="AW198" s="34" t="e">
        <f t="shared" si="64"/>
        <v>#VALUE!</v>
      </c>
      <c r="AX198" s="35" t="e">
        <f t="shared" si="64"/>
        <v>#VALUE!</v>
      </c>
      <c r="AY198" s="35" t="e">
        <f t="shared" si="64"/>
        <v>#VALUE!</v>
      </c>
    </row>
    <row r="199" spans="6:51" x14ac:dyDescent="0.3">
      <c r="F199">
        <v>29</v>
      </c>
      <c r="G199" s="28"/>
      <c r="H199" s="28"/>
      <c r="I199" s="28"/>
      <c r="J199" s="28"/>
      <c r="K199" s="28"/>
      <c r="L199" s="29"/>
      <c r="M199" s="30"/>
      <c r="N199" s="31"/>
      <c r="O199" s="31"/>
      <c r="P199" s="32"/>
      <c r="Q199" s="32"/>
      <c r="R199" s="32"/>
      <c r="S199" s="33"/>
      <c r="T199" s="33"/>
      <c r="U199" s="34"/>
      <c r="V199" s="34"/>
      <c r="W199" s="35"/>
      <c r="X199" s="35"/>
      <c r="AG199">
        <f t="shared" si="61"/>
        <v>21.324555883177815</v>
      </c>
      <c r="AH199" s="28">
        <f t="shared" si="63"/>
        <v>0.99582464043849583</v>
      </c>
      <c r="AI199" s="28">
        <f t="shared" si="63"/>
        <v>0.99970326806165344</v>
      </c>
      <c r="AJ199" s="28">
        <f t="shared" si="63"/>
        <v>0.99442229726187326</v>
      </c>
      <c r="AK199" s="28">
        <f t="shared" si="63"/>
        <v>0.99966883933479156</v>
      </c>
      <c r="AL199" s="28">
        <f t="shared" si="63"/>
        <v>0</v>
      </c>
      <c r="AM199" s="29" t="e">
        <f t="shared" si="62"/>
        <v>#VALUE!</v>
      </c>
      <c r="AN199" s="30">
        <f t="shared" si="59"/>
        <v>0.62701536374249045</v>
      </c>
      <c r="AO199" s="31"/>
      <c r="AP199" s="31"/>
      <c r="AQ199" s="32"/>
      <c r="AR199" s="32"/>
      <c r="AS199" s="32"/>
      <c r="AT199" s="33"/>
      <c r="AU199" s="33"/>
      <c r="AV199" s="34" t="e">
        <f t="shared" si="64"/>
        <v>#VALUE!</v>
      </c>
      <c r="AW199" s="34" t="e">
        <f t="shared" si="64"/>
        <v>#VALUE!</v>
      </c>
      <c r="AX199" s="35" t="e">
        <f t="shared" si="64"/>
        <v>#VALUE!</v>
      </c>
      <c r="AY199" s="35" t="e">
        <f t="shared" si="64"/>
        <v>#VALUE!</v>
      </c>
    </row>
    <row r="200" spans="6:51" x14ac:dyDescent="0.3">
      <c r="F200">
        <v>30</v>
      </c>
      <c r="G200" s="28"/>
      <c r="H200" s="28"/>
      <c r="I200" s="28"/>
      <c r="J200" s="28"/>
      <c r="K200" s="28"/>
      <c r="L200" s="29"/>
      <c r="M200" s="30"/>
      <c r="N200" s="31"/>
      <c r="O200" s="31"/>
      <c r="P200" s="32"/>
      <c r="Q200" s="32"/>
      <c r="R200" s="32"/>
      <c r="S200" s="33"/>
      <c r="T200" s="33"/>
      <c r="U200" s="34"/>
      <c r="V200" s="34"/>
      <c r="W200" s="35"/>
      <c r="X200" s="35"/>
      <c r="AG200">
        <f t="shared" si="61"/>
        <v>22.426633924947051</v>
      </c>
      <c r="AH200" s="28">
        <f t="shared" si="63"/>
        <v>0.99775444027361793</v>
      </c>
      <c r="AI200" s="28">
        <f t="shared" si="63"/>
        <v>0.99981417350083002</v>
      </c>
      <c r="AJ200" s="28">
        <f t="shared" si="63"/>
        <v>0.99688789434998126</v>
      </c>
      <c r="AK200" s="28">
        <f t="shared" si="63"/>
        <v>0.99979188889125903</v>
      </c>
      <c r="AL200" s="28">
        <f t="shared" si="63"/>
        <v>0</v>
      </c>
      <c r="AM200" s="29" t="e">
        <f t="shared" si="62"/>
        <v>#VALUE!</v>
      </c>
      <c r="AN200" s="30">
        <f t="shared" si="59"/>
        <v>0.68578466485389211</v>
      </c>
      <c r="AO200" s="31"/>
      <c r="AP200" s="31"/>
      <c r="AQ200" s="32"/>
      <c r="AR200" s="32"/>
      <c r="AS200" s="32"/>
      <c r="AT200" s="33"/>
      <c r="AU200" s="33"/>
      <c r="AV200" s="34" t="e">
        <f t="shared" si="64"/>
        <v>#VALUE!</v>
      </c>
      <c r="AW200" s="34" t="e">
        <f t="shared" si="64"/>
        <v>#VALUE!</v>
      </c>
      <c r="AX200" s="35" t="e">
        <f t="shared" si="64"/>
        <v>#VALUE!</v>
      </c>
      <c r="AY200" s="35" t="e">
        <f t="shared" si="64"/>
        <v>#VALUE!</v>
      </c>
    </row>
    <row r="201" spans="6:51" x14ac:dyDescent="0.3">
      <c r="F201">
        <v>31</v>
      </c>
      <c r="G201" s="28"/>
      <c r="H201" s="28"/>
      <c r="I201" s="28"/>
      <c r="J201" s="28"/>
      <c r="K201" s="28"/>
      <c r="L201" s="29"/>
      <c r="M201" s="30"/>
      <c r="N201" s="31"/>
      <c r="O201" s="31"/>
      <c r="P201" s="32"/>
      <c r="Q201" s="32"/>
      <c r="R201" s="32"/>
      <c r="S201" s="33"/>
      <c r="T201" s="33"/>
      <c r="U201" s="34"/>
      <c r="V201" s="34"/>
      <c r="W201" s="35"/>
      <c r="X201" s="35"/>
      <c r="AG201">
        <f t="shared" si="61"/>
        <v>23.585668651620018</v>
      </c>
      <c r="AH201" s="28">
        <f t="shared" si="63"/>
        <v>0.99883400515374232</v>
      </c>
      <c r="AI201" s="28">
        <f t="shared" si="63"/>
        <v>0.9998856383962873</v>
      </c>
      <c r="AJ201" s="28">
        <f t="shared" si="63"/>
        <v>0.99832405713253503</v>
      </c>
      <c r="AK201" s="28">
        <f t="shared" si="63"/>
        <v>0.99987136813330191</v>
      </c>
      <c r="AL201" s="28">
        <f t="shared" si="63"/>
        <v>0</v>
      </c>
      <c r="AM201" s="29" t="e">
        <f t="shared" si="62"/>
        <v>#VALUE!</v>
      </c>
      <c r="AN201" s="30">
        <f t="shared" si="59"/>
        <v>0.73765851919259817</v>
      </c>
      <c r="AO201" s="31"/>
      <c r="AP201" s="31"/>
      <c r="AQ201" s="32"/>
      <c r="AR201" s="32"/>
      <c r="AS201" s="32"/>
      <c r="AT201" s="33"/>
      <c r="AU201" s="33"/>
      <c r="AV201" s="34" t="e">
        <f t="shared" si="64"/>
        <v>#VALUE!</v>
      </c>
      <c r="AW201" s="34" t="e">
        <f t="shared" si="64"/>
        <v>#VALUE!</v>
      </c>
      <c r="AX201" s="35" t="e">
        <f t="shared" si="64"/>
        <v>#VALUE!</v>
      </c>
      <c r="AY201" s="35" t="e">
        <f t="shared" si="64"/>
        <v>#VALUE!</v>
      </c>
    </row>
    <row r="202" spans="6:51" x14ac:dyDescent="0.3">
      <c r="F202">
        <v>32</v>
      </c>
      <c r="G202" s="28"/>
      <c r="H202" s="28"/>
      <c r="I202" s="28"/>
      <c r="J202" s="28"/>
      <c r="K202" s="28"/>
      <c r="L202" s="29"/>
      <c r="M202" s="30"/>
      <c r="N202" s="31"/>
      <c r="O202" s="31"/>
      <c r="P202" s="32"/>
      <c r="Q202" s="32"/>
      <c r="R202" s="32"/>
      <c r="S202" s="33"/>
      <c r="T202" s="33"/>
      <c r="U202" s="34"/>
      <c r="V202" s="34"/>
      <c r="W202" s="35"/>
      <c r="X202" s="35"/>
      <c r="AG202">
        <f t="shared" si="61"/>
        <v>24.804603651429346</v>
      </c>
      <c r="AH202" s="28">
        <f t="shared" ref="AH202:AL217" si="65">IF(1-EXP(-0.23*(AH118-AH$165))&lt;0, 0, 1-EXP(-0.23*(AH118-AH$165)))</f>
        <v>0.99941366358750416</v>
      </c>
      <c r="AI202" s="28">
        <f t="shared" si="65"/>
        <v>0.99993081200816436</v>
      </c>
      <c r="AJ202" s="28">
        <f t="shared" si="65"/>
        <v>0.99912829912215873</v>
      </c>
      <c r="AK202" s="28">
        <f t="shared" si="65"/>
        <v>0.99992176816628497</v>
      </c>
      <c r="AL202" s="28">
        <f t="shared" si="65"/>
        <v>0</v>
      </c>
      <c r="AM202" s="29" t="e">
        <f t="shared" si="62"/>
        <v>#VALUE!</v>
      </c>
      <c r="AN202" s="30">
        <f t="shared" si="59"/>
        <v>0.78292540911835684</v>
      </c>
      <c r="AO202" s="31"/>
      <c r="AP202" s="31"/>
      <c r="AQ202" s="32"/>
      <c r="AR202" s="32"/>
      <c r="AS202" s="32"/>
      <c r="AT202" s="33"/>
      <c r="AU202" s="33"/>
      <c r="AV202" s="34" t="e">
        <f t="shared" ref="AV202:AY217" si="66">IF(1-EXP(-0.23*(AV118-AV$165))&lt;0, 0, 1-EXP(-0.23*(AV118-AV$165)))</f>
        <v>#VALUE!</v>
      </c>
      <c r="AW202" s="34" t="e">
        <f t="shared" si="66"/>
        <v>#VALUE!</v>
      </c>
      <c r="AX202" s="35" t="e">
        <f t="shared" si="66"/>
        <v>#VALUE!</v>
      </c>
      <c r="AY202" s="35" t="e">
        <f t="shared" si="66"/>
        <v>#VALUE!</v>
      </c>
    </row>
    <row r="203" spans="6:51" x14ac:dyDescent="0.3">
      <c r="F203">
        <v>33</v>
      </c>
      <c r="G203" s="28"/>
      <c r="H203" s="28"/>
      <c r="I203" s="28"/>
      <c r="J203" s="28"/>
      <c r="K203" s="28"/>
      <c r="L203" s="29"/>
      <c r="M203" s="30"/>
      <c r="N203" s="31"/>
      <c r="O203" s="31"/>
      <c r="P203" s="32"/>
      <c r="Q203" s="32"/>
      <c r="R203" s="32"/>
      <c r="S203" s="33"/>
      <c r="T203" s="33"/>
      <c r="U203" s="34"/>
      <c r="V203" s="34"/>
      <c r="W203" s="35"/>
      <c r="X203" s="35"/>
      <c r="AG203">
        <f t="shared" si="61"/>
        <v>26.08653464069765</v>
      </c>
      <c r="AH203" s="28">
        <f t="shared" si="65"/>
        <v>0.99971334468788409</v>
      </c>
      <c r="AI203" s="28">
        <f t="shared" si="65"/>
        <v>0.99995883153573017</v>
      </c>
      <c r="AJ203" s="28">
        <f t="shared" si="65"/>
        <v>0.99956158895090674</v>
      </c>
      <c r="AK203" s="28">
        <f t="shared" si="65"/>
        <v>0.99995315721654576</v>
      </c>
      <c r="AL203" s="28">
        <f t="shared" si="65"/>
        <v>0</v>
      </c>
      <c r="AM203" s="29" t="e">
        <f t="shared" si="62"/>
        <v>#VALUE!</v>
      </c>
      <c r="AN203" s="30">
        <f t="shared" si="59"/>
        <v>0.82197440791840304</v>
      </c>
      <c r="AO203" s="31"/>
      <c r="AP203" s="31"/>
      <c r="AQ203" s="32"/>
      <c r="AR203" s="32"/>
      <c r="AS203" s="32"/>
      <c r="AT203" s="33"/>
      <c r="AU203" s="33"/>
      <c r="AV203" s="34" t="e">
        <f t="shared" si="66"/>
        <v>#VALUE!</v>
      </c>
      <c r="AW203" s="34" t="e">
        <f t="shared" si="66"/>
        <v>#VALUE!</v>
      </c>
      <c r="AX203" s="35" t="e">
        <f t="shared" si="66"/>
        <v>#VALUE!</v>
      </c>
      <c r="AY203" s="35" t="e">
        <f t="shared" si="66"/>
        <v>#VALUE!</v>
      </c>
    </row>
    <row r="204" spans="6:51" x14ac:dyDescent="0.3">
      <c r="F204">
        <v>34</v>
      </c>
      <c r="G204" s="28"/>
      <c r="H204" s="28"/>
      <c r="I204" s="28"/>
      <c r="J204" s="28"/>
      <c r="K204" s="28"/>
      <c r="L204" s="29"/>
      <c r="M204" s="30"/>
      <c r="N204" s="31"/>
      <c r="O204" s="31"/>
      <c r="P204" s="32"/>
      <c r="Q204" s="32"/>
      <c r="R204" s="32"/>
      <c r="S204" s="33"/>
      <c r="T204" s="33"/>
      <c r="U204" s="34"/>
      <c r="V204" s="34"/>
      <c r="W204" s="35"/>
      <c r="X204" s="35"/>
      <c r="AG204">
        <f t="shared" si="61"/>
        <v>27.434717325995447</v>
      </c>
      <c r="AH204" s="28">
        <f t="shared" si="65"/>
        <v>0.99986311536786354</v>
      </c>
      <c r="AI204" s="28">
        <f t="shared" si="65"/>
        <v>0.99997589271062215</v>
      </c>
      <c r="AJ204" s="28">
        <f t="shared" si="65"/>
        <v>0.99978643881427354</v>
      </c>
      <c r="AK204" s="28">
        <f t="shared" si="65"/>
        <v>0.9999723668753806</v>
      </c>
      <c r="AL204" s="28">
        <f t="shared" si="65"/>
        <v>0</v>
      </c>
      <c r="AM204" s="29" t="e">
        <f t="shared" si="62"/>
        <v>#VALUE!</v>
      </c>
      <c r="AN204" s="30">
        <f t="shared" si="59"/>
        <v>0.85527317464954256</v>
      </c>
      <c r="AO204" s="31"/>
      <c r="AP204" s="31"/>
      <c r="AQ204" s="32"/>
      <c r="AR204" s="32"/>
      <c r="AS204" s="32"/>
      <c r="AT204" s="33"/>
      <c r="AU204" s="33"/>
      <c r="AV204" s="34" t="e">
        <f t="shared" si="66"/>
        <v>#VALUE!</v>
      </c>
      <c r="AW204" s="34" t="e">
        <f t="shared" si="66"/>
        <v>#VALUE!</v>
      </c>
      <c r="AX204" s="35" t="e">
        <f t="shared" si="66"/>
        <v>#VALUE!</v>
      </c>
      <c r="AY204" s="35" t="e">
        <f t="shared" si="66"/>
        <v>#VALUE!</v>
      </c>
    </row>
    <row r="205" spans="6:51" x14ac:dyDescent="0.3">
      <c r="F205">
        <v>35</v>
      </c>
      <c r="G205" s="28"/>
      <c r="H205" s="28"/>
      <c r="I205" s="28"/>
      <c r="J205" s="28"/>
      <c r="K205" s="28"/>
      <c r="L205" s="29"/>
      <c r="M205" s="30"/>
      <c r="N205" s="31"/>
      <c r="O205" s="31"/>
      <c r="P205" s="32"/>
      <c r="Q205" s="32"/>
      <c r="R205" s="32"/>
      <c r="S205" s="33"/>
      <c r="T205" s="33"/>
      <c r="U205" s="34"/>
      <c r="V205" s="34"/>
      <c r="W205" s="35"/>
      <c r="X205" s="35"/>
      <c r="AG205">
        <f t="shared" si="61"/>
        <v>28.852575672624699</v>
      </c>
      <c r="AH205" s="28">
        <f t="shared" si="65"/>
        <v>0.99993581166720458</v>
      </c>
      <c r="AI205" s="28">
        <f t="shared" si="65"/>
        <v>0.99998609687401885</v>
      </c>
      <c r="AJ205" s="28">
        <f t="shared" si="65"/>
        <v>0.99989901894090616</v>
      </c>
      <c r="AK205" s="28">
        <f t="shared" si="65"/>
        <v>0.99998392638421862</v>
      </c>
      <c r="AL205" s="28">
        <f t="shared" si="65"/>
        <v>2.869639850511585E-3</v>
      </c>
      <c r="AM205" s="29" t="e">
        <f t="shared" si="62"/>
        <v>#VALUE!</v>
      </c>
      <c r="AN205" s="30">
        <f t="shared" si="59"/>
        <v>0.88334425379535053</v>
      </c>
      <c r="AO205" s="31"/>
      <c r="AP205" s="31"/>
      <c r="AQ205" s="32"/>
      <c r="AR205" s="32"/>
      <c r="AS205" s="32"/>
      <c r="AT205" s="33"/>
      <c r="AU205" s="33"/>
      <c r="AV205" s="34" t="e">
        <f t="shared" si="66"/>
        <v>#VALUE!</v>
      </c>
      <c r="AW205" s="34" t="e">
        <f t="shared" si="66"/>
        <v>#VALUE!</v>
      </c>
      <c r="AX205" s="35" t="e">
        <f t="shared" si="66"/>
        <v>#VALUE!</v>
      </c>
      <c r="AY205" s="35" t="e">
        <f t="shared" si="66"/>
        <v>#VALUE!</v>
      </c>
    </row>
    <row r="206" spans="6:51" x14ac:dyDescent="0.3">
      <c r="F206">
        <v>36</v>
      </c>
      <c r="G206" s="28"/>
      <c r="H206" s="28"/>
      <c r="I206" s="28"/>
      <c r="J206" s="28"/>
      <c r="K206" s="28"/>
      <c r="L206" s="29"/>
      <c r="M206" s="30"/>
      <c r="N206" s="31"/>
      <c r="O206" s="31"/>
      <c r="P206" s="32"/>
      <c r="Q206" s="32"/>
      <c r="R206" s="32"/>
      <c r="S206" s="33"/>
      <c r="T206" s="33"/>
      <c r="U206" s="34"/>
      <c r="V206" s="34"/>
      <c r="W206" s="35"/>
      <c r="X206" s="35"/>
      <c r="AG206">
        <f t="shared" si="61"/>
        <v>30.343710600427304</v>
      </c>
      <c r="AH206" s="28">
        <f t="shared" si="65"/>
        <v>0.99997026593592175</v>
      </c>
      <c r="AI206" s="28">
        <f t="shared" si="65"/>
        <v>0.99999209585728199</v>
      </c>
      <c r="AJ206" s="28">
        <f t="shared" si="65"/>
        <v>0.99995352510029434</v>
      </c>
      <c r="AK206" s="28">
        <f t="shared" si="65"/>
        <v>0.99999077155793048</v>
      </c>
      <c r="AL206" s="28">
        <f t="shared" si="65"/>
        <v>0.23223347520378101</v>
      </c>
      <c r="AM206" s="29" t="e">
        <f t="shared" si="62"/>
        <v>#VALUE!</v>
      </c>
      <c r="AN206" s="30">
        <f t="shared" si="59"/>
        <v>0.90674129891453115</v>
      </c>
      <c r="AO206" s="31"/>
      <c r="AP206" s="31"/>
      <c r="AQ206" s="32"/>
      <c r="AR206" s="32"/>
      <c r="AS206" s="32"/>
      <c r="AT206" s="33"/>
      <c r="AU206" s="33"/>
      <c r="AV206" s="34" t="e">
        <f t="shared" si="66"/>
        <v>#VALUE!</v>
      </c>
      <c r="AW206" s="34" t="e">
        <f t="shared" si="66"/>
        <v>#VALUE!</v>
      </c>
      <c r="AX206" s="35" t="e">
        <f t="shared" si="66"/>
        <v>#VALUE!</v>
      </c>
      <c r="AY206" s="35" t="e">
        <f t="shared" si="66"/>
        <v>#VALUE!</v>
      </c>
    </row>
    <row r="207" spans="6:51" x14ac:dyDescent="0.3">
      <c r="F207">
        <v>37</v>
      </c>
      <c r="G207" s="28"/>
      <c r="H207" s="28"/>
      <c r="I207" s="28"/>
      <c r="J207" s="28"/>
      <c r="K207" s="28"/>
      <c r="L207" s="29"/>
      <c r="M207" s="30"/>
      <c r="N207" s="31"/>
      <c r="O207" s="31"/>
      <c r="P207" s="32"/>
      <c r="Q207" s="32"/>
      <c r="R207" s="32"/>
      <c r="S207" s="33"/>
      <c r="T207" s="33"/>
      <c r="U207" s="34"/>
      <c r="V207" s="34"/>
      <c r="W207" s="35"/>
      <c r="X207" s="35"/>
      <c r="AG207">
        <f t="shared" si="61"/>
        <v>31.911909129003085</v>
      </c>
      <c r="AH207" s="28">
        <f t="shared" si="65"/>
        <v>0.99998630540020617</v>
      </c>
      <c r="AI207" s="28">
        <f t="shared" si="65"/>
        <v>0.99999556551802848</v>
      </c>
      <c r="AJ207" s="28">
        <f t="shared" si="65"/>
        <v>0.99997911299444942</v>
      </c>
      <c r="AK207" s="28">
        <f t="shared" si="65"/>
        <v>0.99999476426202416</v>
      </c>
      <c r="AL207" s="28">
        <f t="shared" si="65"/>
        <v>0.40694113237271667</v>
      </c>
      <c r="AM207" s="29" t="e">
        <f t="shared" si="62"/>
        <v>#VALUE!</v>
      </c>
      <c r="AN207" s="30">
        <f t="shared" si="59"/>
        <v>0.92602671513329526</v>
      </c>
      <c r="AO207" s="31"/>
      <c r="AP207" s="31"/>
      <c r="AQ207" s="32"/>
      <c r="AR207" s="32"/>
      <c r="AS207" s="32"/>
      <c r="AT207" s="33"/>
      <c r="AU207" s="33"/>
      <c r="AV207" s="34" t="e">
        <f t="shared" si="66"/>
        <v>#VALUE!</v>
      </c>
      <c r="AW207" s="34" t="e">
        <f t="shared" si="66"/>
        <v>#VALUE!</v>
      </c>
      <c r="AX207" s="35" t="e">
        <f t="shared" si="66"/>
        <v>#VALUE!</v>
      </c>
      <c r="AY207" s="35" t="e">
        <f t="shared" si="66"/>
        <v>#VALUE!</v>
      </c>
    </row>
    <row r="208" spans="6:51" x14ac:dyDescent="0.3">
      <c r="F208">
        <v>38</v>
      </c>
      <c r="G208" s="28"/>
      <c r="H208" s="28"/>
      <c r="I208" s="28"/>
      <c r="J208" s="28"/>
      <c r="K208" s="28"/>
      <c r="L208" s="29"/>
      <c r="M208" s="30"/>
      <c r="N208" s="31"/>
      <c r="O208" s="31"/>
      <c r="P208" s="32"/>
      <c r="Q208" s="32"/>
      <c r="R208" s="32"/>
      <c r="S208" s="33"/>
      <c r="T208" s="33"/>
      <c r="U208" s="34"/>
      <c r="V208" s="34"/>
      <c r="W208" s="35"/>
      <c r="X208" s="35"/>
      <c r="AG208">
        <f t="shared" si="61"/>
        <v>33.561153995563402</v>
      </c>
      <c r="AH208" s="28">
        <f t="shared" si="65"/>
        <v>0.99999368628897001</v>
      </c>
      <c r="AI208" s="28">
        <f t="shared" si="65"/>
        <v>0.99999754180840184</v>
      </c>
      <c r="AJ208" s="28">
        <f t="shared" si="65"/>
        <v>0.99999079849428629</v>
      </c>
      <c r="AK208" s="28">
        <f t="shared" si="65"/>
        <v>0.99999706075955608</v>
      </c>
      <c r="AL208" s="28">
        <f t="shared" si="65"/>
        <v>0.53943799572808615</v>
      </c>
      <c r="AM208" s="29" t="e">
        <f t="shared" si="62"/>
        <v>#VALUE!</v>
      </c>
      <c r="AN208" s="30">
        <f t="shared" si="59"/>
        <v>0.94175195288127678</v>
      </c>
      <c r="AO208" s="31"/>
      <c r="AP208" s="31"/>
      <c r="AQ208" s="32"/>
      <c r="AR208" s="32"/>
      <c r="AS208" s="32"/>
      <c r="AT208" s="33"/>
      <c r="AU208" s="33"/>
      <c r="AV208" s="34" t="e">
        <f t="shared" si="66"/>
        <v>#VALUE!</v>
      </c>
      <c r="AW208" s="34" t="e">
        <f t="shared" si="66"/>
        <v>#VALUE!</v>
      </c>
      <c r="AX208" s="35" t="e">
        <f t="shared" si="66"/>
        <v>#VALUE!</v>
      </c>
      <c r="AY208" s="35" t="e">
        <f t="shared" si="66"/>
        <v>#VALUE!</v>
      </c>
    </row>
    <row r="209" spans="6:51" x14ac:dyDescent="0.3">
      <c r="F209">
        <v>39</v>
      </c>
      <c r="G209" s="28"/>
      <c r="H209" s="28"/>
      <c r="I209" s="28"/>
      <c r="J209" s="28"/>
      <c r="K209" s="28"/>
      <c r="L209" s="29"/>
      <c r="M209" s="30"/>
      <c r="N209" s="31"/>
      <c r="O209" s="31"/>
      <c r="P209" s="32"/>
      <c r="Q209" s="32"/>
      <c r="R209" s="32"/>
      <c r="S209" s="33"/>
      <c r="T209" s="33"/>
      <c r="U209" s="34"/>
      <c r="V209" s="34"/>
      <c r="W209" s="35"/>
      <c r="X209" s="35"/>
      <c r="AG209">
        <f t="shared" si="61"/>
        <v>35.295633769846724</v>
      </c>
      <c r="AH209" s="28">
        <f t="shared" si="65"/>
        <v>0.99999706592861592</v>
      </c>
      <c r="AI209" s="28">
        <f t="shared" si="65"/>
        <v>0.99999865170694302</v>
      </c>
      <c r="AJ209" s="28">
        <f t="shared" si="65"/>
        <v>0.99999600950634115</v>
      </c>
      <c r="AK209" s="28">
        <f t="shared" si="65"/>
        <v>0.99999836490682159</v>
      </c>
      <c r="AL209" s="28">
        <f t="shared" si="65"/>
        <v>0.63967238940374171</v>
      </c>
      <c r="AM209" s="29" t="e">
        <f t="shared" si="62"/>
        <v>#VALUE!</v>
      </c>
      <c r="AN209" s="30">
        <f t="shared" si="59"/>
        <v>0.95444132672243998</v>
      </c>
      <c r="AO209" s="31"/>
      <c r="AP209" s="31"/>
      <c r="AQ209" s="32"/>
      <c r="AR209" s="32"/>
      <c r="AS209" s="32"/>
      <c r="AT209" s="33"/>
      <c r="AU209" s="33"/>
      <c r="AV209" s="34" t="e">
        <f t="shared" si="66"/>
        <v>#VALUE!</v>
      </c>
      <c r="AW209" s="34" t="e">
        <f t="shared" si="66"/>
        <v>#VALUE!</v>
      </c>
      <c r="AX209" s="35" t="e">
        <f t="shared" si="66"/>
        <v>#VALUE!</v>
      </c>
      <c r="AY209" s="35" t="e">
        <f t="shared" si="66"/>
        <v>#VALUE!</v>
      </c>
    </row>
    <row r="210" spans="6:51" x14ac:dyDescent="0.3">
      <c r="F210">
        <v>40</v>
      </c>
      <c r="G210" s="28"/>
      <c r="H210" s="28"/>
      <c r="I210" s="28"/>
      <c r="J210" s="28"/>
      <c r="K210" s="28"/>
      <c r="L210" s="29"/>
      <c r="M210" s="30"/>
      <c r="N210" s="31"/>
      <c r="O210" s="31"/>
      <c r="P210" s="32"/>
      <c r="Q210" s="32"/>
      <c r="R210" s="32"/>
      <c r="S210" s="33"/>
      <c r="T210" s="33"/>
      <c r="U210" s="34"/>
      <c r="V210" s="34"/>
      <c r="W210" s="35"/>
      <c r="X210" s="35"/>
      <c r="AG210">
        <f t="shared" si="61"/>
        <v>37.119753491784877</v>
      </c>
      <c r="AH210" s="28">
        <f t="shared" si="65"/>
        <v>0.99999861610923624</v>
      </c>
      <c r="AI210" s="28">
        <f t="shared" si="65"/>
        <v>0.99999926712240683</v>
      </c>
      <c r="AJ210" s="28">
        <f t="shared" si="65"/>
        <v>0.99999828827927151</v>
      </c>
      <c r="AK210" s="28">
        <f t="shared" si="65"/>
        <v>0.99999909715968704</v>
      </c>
      <c r="AL210" s="28">
        <f t="shared" si="65"/>
        <v>0.71544487381615984</v>
      </c>
      <c r="AM210" s="29" t="e">
        <f t="shared" si="62"/>
        <v>#VALUE!</v>
      </c>
      <c r="AN210" s="30">
        <f t="shared" si="59"/>
        <v>0.9645798308274558</v>
      </c>
      <c r="AO210" s="31"/>
      <c r="AP210" s="31"/>
      <c r="AQ210" s="32"/>
      <c r="AR210" s="32"/>
      <c r="AS210" s="32"/>
      <c r="AT210" s="33"/>
      <c r="AU210" s="33"/>
      <c r="AV210" s="34" t="e">
        <f t="shared" si="66"/>
        <v>#VALUE!</v>
      </c>
      <c r="AW210" s="34" t="e">
        <f t="shared" si="66"/>
        <v>#VALUE!</v>
      </c>
      <c r="AX210" s="35" t="e">
        <f t="shared" si="66"/>
        <v>#VALUE!</v>
      </c>
      <c r="AY210" s="35" t="e">
        <f t="shared" si="66"/>
        <v>#VALUE!</v>
      </c>
    </row>
    <row r="211" spans="6:51" x14ac:dyDescent="0.3">
      <c r="F211">
        <v>41</v>
      </c>
      <c r="G211" s="28"/>
      <c r="H211" s="28"/>
      <c r="I211" s="28"/>
      <c r="J211" s="28"/>
      <c r="K211" s="28"/>
      <c r="L211" s="29"/>
      <c r="M211" s="30"/>
      <c r="N211" s="31"/>
      <c r="O211" s="31"/>
      <c r="P211" s="32"/>
      <c r="Q211" s="32"/>
      <c r="R211" s="32"/>
      <c r="S211" s="33"/>
      <c r="T211" s="33"/>
      <c r="U211" s="34"/>
      <c r="V211" s="34"/>
      <c r="W211" s="35"/>
      <c r="X211" s="35"/>
      <c r="AG211">
        <f t="shared" si="61"/>
        <v>38.85778775562828</v>
      </c>
      <c r="AH211" s="28">
        <f t="shared" si="65"/>
        <v>0.99999928756907064</v>
      </c>
      <c r="AI211" s="28">
        <f t="shared" si="65"/>
        <v>0.99999958135803468</v>
      </c>
      <c r="AJ211" s="28">
        <f t="shared" si="65"/>
        <v>0.99999921049259488</v>
      </c>
      <c r="AK211" s="28">
        <f t="shared" si="65"/>
        <v>0.99999947612468365</v>
      </c>
      <c r="AL211" s="28">
        <f t="shared" si="65"/>
        <v>0.76814572442737339</v>
      </c>
      <c r="AM211" s="29" t="e">
        <f t="shared" si="62"/>
        <v>#VALUE!</v>
      </c>
      <c r="AN211" s="30">
        <f t="shared" si="59"/>
        <v>0.97194508552421544</v>
      </c>
      <c r="AO211" s="31"/>
      <c r="AP211" s="31"/>
      <c r="AQ211" s="32"/>
      <c r="AR211" s="32"/>
      <c r="AS211" s="32"/>
      <c r="AT211" s="33"/>
      <c r="AU211" s="33"/>
      <c r="AV211" s="34" t="e">
        <f t="shared" si="66"/>
        <v>#VALUE!</v>
      </c>
      <c r="AW211" s="34" t="e">
        <f t="shared" si="66"/>
        <v>#VALUE!</v>
      </c>
      <c r="AX211" s="35" t="e">
        <f t="shared" si="66"/>
        <v>#VALUE!</v>
      </c>
      <c r="AY211" s="35" t="e">
        <f t="shared" si="66"/>
        <v>#VALUE!</v>
      </c>
    </row>
    <row r="212" spans="6:51" x14ac:dyDescent="0.3">
      <c r="F212">
        <v>42</v>
      </c>
      <c r="G212" s="28"/>
      <c r="H212" s="28"/>
      <c r="I212" s="28"/>
      <c r="J212" s="28"/>
      <c r="K212" s="28"/>
      <c r="L212" s="29"/>
      <c r="M212" s="30"/>
      <c r="N212" s="31"/>
      <c r="O212" s="31"/>
      <c r="P212" s="32"/>
      <c r="Q212" s="32"/>
      <c r="R212" s="32"/>
      <c r="S212" s="33"/>
      <c r="T212" s="33"/>
      <c r="U212" s="34"/>
      <c r="V212" s="34"/>
      <c r="W212" s="35"/>
      <c r="X212" s="35"/>
      <c r="AG212">
        <f t="shared" si="61"/>
        <v>40.467341024247702</v>
      </c>
      <c r="AH212" s="28">
        <f t="shared" si="65"/>
        <v>0.99999959721843101</v>
      </c>
      <c r="AI212" s="28">
        <f t="shared" si="65"/>
        <v>0.99999974622507226</v>
      </c>
      <c r="AJ212" s="28">
        <f t="shared" si="65"/>
        <v>0.99999960287638345</v>
      </c>
      <c r="AK212" s="28">
        <f t="shared" si="65"/>
        <v>0.99999967761933939</v>
      </c>
      <c r="AL212" s="28">
        <f t="shared" si="65"/>
        <v>0.80499363119437828</v>
      </c>
      <c r="AM212" s="29" t="e">
        <f t="shared" si="62"/>
        <v>#VALUE!</v>
      </c>
      <c r="AN212" s="30">
        <f t="shared" si="59"/>
        <v>0.97725491906746109</v>
      </c>
      <c r="AO212" s="31"/>
      <c r="AP212" s="31"/>
      <c r="AQ212" s="32"/>
      <c r="AR212" s="32"/>
      <c r="AS212" s="32"/>
      <c r="AT212" s="33"/>
      <c r="AU212" s="33"/>
      <c r="AV212" s="34" t="e">
        <f t="shared" si="66"/>
        <v>#VALUE!</v>
      </c>
      <c r="AW212" s="34" t="e">
        <f t="shared" si="66"/>
        <v>#VALUE!</v>
      </c>
      <c r="AX212" s="35" t="e">
        <f t="shared" si="66"/>
        <v>#VALUE!</v>
      </c>
      <c r="AY212" s="35" t="e">
        <f t="shared" si="66"/>
        <v>#VALUE!</v>
      </c>
    </row>
    <row r="213" spans="6:51" x14ac:dyDescent="0.3">
      <c r="F213">
        <v>43</v>
      </c>
      <c r="G213" s="28"/>
      <c r="H213" s="28"/>
      <c r="I213" s="28"/>
      <c r="J213" s="28"/>
      <c r="K213" s="28"/>
      <c r="L213" s="29"/>
      <c r="M213" s="30"/>
      <c r="N213" s="31"/>
      <c r="O213" s="31"/>
      <c r="P213" s="32"/>
      <c r="Q213" s="32"/>
      <c r="R213" s="32"/>
      <c r="S213" s="33"/>
      <c r="T213" s="33"/>
      <c r="U213" s="34"/>
      <c r="V213" s="34"/>
      <c r="W213" s="35"/>
      <c r="X213" s="35"/>
      <c r="AG213">
        <f t="shared" si="61"/>
        <v>41.95047391357199</v>
      </c>
      <c r="AH213" s="28">
        <f t="shared" si="65"/>
        <v>0.99999975289059095</v>
      </c>
      <c r="AI213" s="28">
        <f t="shared" si="65"/>
        <v>0.99999983755691368</v>
      </c>
      <c r="AJ213" s="28">
        <f t="shared" si="65"/>
        <v>0.99999978370007769</v>
      </c>
      <c r="AK213" s="28">
        <f t="shared" si="65"/>
        <v>0.99999979067770783</v>
      </c>
      <c r="AL213" s="28">
        <f t="shared" si="65"/>
        <v>0.83151043414166304</v>
      </c>
      <c r="AM213" s="29" t="e">
        <f t="shared" si="62"/>
        <v>#VALUE!</v>
      </c>
      <c r="AN213" s="30">
        <f t="shared" si="59"/>
        <v>0.98115388887596822</v>
      </c>
      <c r="AO213" s="31"/>
      <c r="AP213" s="31"/>
      <c r="AQ213" s="32"/>
      <c r="AR213" s="32"/>
      <c r="AS213" s="32"/>
      <c r="AT213" s="33"/>
      <c r="AU213" s="33"/>
      <c r="AV213" s="34" t="e">
        <f t="shared" si="66"/>
        <v>#VALUE!</v>
      </c>
      <c r="AW213" s="34" t="e">
        <f t="shared" si="66"/>
        <v>#VALUE!</v>
      </c>
      <c r="AX213" s="35" t="e">
        <f t="shared" si="66"/>
        <v>#VALUE!</v>
      </c>
      <c r="AY213" s="35" t="e">
        <f t="shared" si="66"/>
        <v>#VALUE!</v>
      </c>
    </row>
    <row r="214" spans="6:51" x14ac:dyDescent="0.3">
      <c r="F214">
        <v>44</v>
      </c>
      <c r="G214" s="28"/>
      <c r="H214" s="28"/>
      <c r="I214" s="28"/>
      <c r="J214" s="28"/>
      <c r="K214" s="28"/>
      <c r="L214" s="29"/>
      <c r="M214" s="30"/>
      <c r="N214" s="31"/>
      <c r="O214" s="31"/>
      <c r="P214" s="32"/>
      <c r="Q214" s="32"/>
      <c r="R214" s="32"/>
      <c r="S214" s="33"/>
      <c r="T214" s="33"/>
      <c r="U214" s="34"/>
      <c r="V214" s="34"/>
      <c r="W214" s="35"/>
      <c r="X214" s="35"/>
      <c r="AG214">
        <f t="shared" si="61"/>
        <v>43.317115956604354</v>
      </c>
      <c r="AH214" s="28">
        <f t="shared" si="65"/>
        <v>0.9999998376213316</v>
      </c>
      <c r="AI214" s="28">
        <f t="shared" si="65"/>
        <v>0.99999989093830866</v>
      </c>
      <c r="AJ214" s="28">
        <f t="shared" si="65"/>
        <v>0.99999987369077359</v>
      </c>
      <c r="AK214" s="28">
        <f t="shared" si="65"/>
        <v>0.99999985756360676</v>
      </c>
      <c r="AL214" s="28">
        <f t="shared" si="65"/>
        <v>0.85116414840622279</v>
      </c>
      <c r="AM214" s="29" t="e">
        <f t="shared" si="62"/>
        <v>#VALUE!</v>
      </c>
      <c r="AN214" s="30">
        <f t="shared" si="59"/>
        <v>0.98407969280176499</v>
      </c>
      <c r="AO214" s="31"/>
      <c r="AP214" s="31"/>
      <c r="AQ214" s="32"/>
      <c r="AR214" s="32"/>
      <c r="AS214" s="32"/>
      <c r="AT214" s="33"/>
      <c r="AU214" s="33"/>
      <c r="AV214" s="34" t="e">
        <f t="shared" si="66"/>
        <v>#VALUE!</v>
      </c>
      <c r="AW214" s="34" t="e">
        <f t="shared" si="66"/>
        <v>#VALUE!</v>
      </c>
      <c r="AX214" s="35" t="e">
        <f t="shared" si="66"/>
        <v>#VALUE!</v>
      </c>
      <c r="AY214" s="35" t="e">
        <f t="shared" si="66"/>
        <v>#VALUE!</v>
      </c>
    </row>
    <row r="215" spans="6:51" x14ac:dyDescent="0.3">
      <c r="F215">
        <v>45</v>
      </c>
      <c r="G215" s="28"/>
      <c r="H215" s="28"/>
      <c r="I215" s="28"/>
      <c r="J215" s="28"/>
      <c r="K215" s="28"/>
      <c r="L215" s="29"/>
      <c r="M215" s="30"/>
      <c r="N215" s="31"/>
      <c r="O215" s="31"/>
      <c r="P215" s="32"/>
      <c r="Q215" s="32"/>
      <c r="R215" s="32"/>
      <c r="S215" s="33"/>
      <c r="T215" s="33"/>
      <c r="U215" s="34"/>
      <c r="V215" s="34"/>
      <c r="W215" s="35"/>
      <c r="X215" s="35"/>
      <c r="AG215">
        <f t="shared" si="61"/>
        <v>44.576416783406593</v>
      </c>
      <c r="AH215" s="28">
        <f t="shared" si="65"/>
        <v>0.9999998869583121</v>
      </c>
      <c r="AI215" s="28">
        <f t="shared" si="65"/>
        <v>0.99999992364559187</v>
      </c>
      <c r="AJ215" s="28">
        <f t="shared" si="65"/>
        <v>0.9999999216114116</v>
      </c>
      <c r="AK215" s="28">
        <f t="shared" si="65"/>
        <v>0.99999989901598374</v>
      </c>
      <c r="AL215" s="28">
        <f t="shared" si="65"/>
        <v>0.86610334469857853</v>
      </c>
      <c r="AM215" s="29" t="e">
        <f t="shared" si="62"/>
        <v>#VALUE!</v>
      </c>
      <c r="AN215" s="30">
        <f t="shared" si="59"/>
        <v>0.98631853686154991</v>
      </c>
      <c r="AO215" s="31"/>
      <c r="AP215" s="31"/>
      <c r="AQ215" s="32"/>
      <c r="AR215" s="32"/>
      <c r="AS215" s="32"/>
      <c r="AT215" s="33"/>
      <c r="AU215" s="33"/>
      <c r="AV215" s="34" t="e">
        <f t="shared" si="66"/>
        <v>#VALUE!</v>
      </c>
      <c r="AW215" s="34" t="e">
        <f t="shared" si="66"/>
        <v>#VALUE!</v>
      </c>
      <c r="AX215" s="35" t="e">
        <f t="shared" si="66"/>
        <v>#VALUE!</v>
      </c>
      <c r="AY215" s="35" t="e">
        <f t="shared" si="66"/>
        <v>#VALUE!</v>
      </c>
    </row>
    <row r="216" spans="6:51" x14ac:dyDescent="0.3">
      <c r="F216">
        <v>46</v>
      </c>
      <c r="G216" s="28"/>
      <c r="H216" s="28"/>
      <c r="I216" s="28"/>
      <c r="J216" s="28"/>
      <c r="K216" s="28"/>
      <c r="L216" s="29"/>
      <c r="M216" s="30"/>
      <c r="N216" s="31"/>
      <c r="O216" s="31"/>
      <c r="P216" s="32"/>
      <c r="Q216" s="32"/>
      <c r="R216" s="32"/>
      <c r="S216" s="33"/>
      <c r="T216" s="33"/>
      <c r="U216" s="34"/>
      <c r="V216" s="34"/>
      <c r="W216" s="35"/>
      <c r="X216" s="35"/>
      <c r="AG216">
        <f t="shared" si="61"/>
        <v>45.736807377615186</v>
      </c>
      <c r="AH216" s="28">
        <f t="shared" si="65"/>
        <v>0.99999991738361127</v>
      </c>
      <c r="AI216" s="28">
        <f t="shared" si="65"/>
        <v>0.99999994453692342</v>
      </c>
      <c r="AJ216" s="28">
        <f t="shared" si="65"/>
        <v>0.99999994869272046</v>
      </c>
      <c r="AK216" s="28">
        <f t="shared" si="65"/>
        <v>0.99999992577820718</v>
      </c>
      <c r="AL216" s="28">
        <f t="shared" si="65"/>
        <v>0.87770767110354764</v>
      </c>
      <c r="AM216" s="29" t="e">
        <f t="shared" si="62"/>
        <v>#VALUE!</v>
      </c>
      <c r="AN216" s="30">
        <f t="shared" si="59"/>
        <v>0.98806205666394664</v>
      </c>
      <c r="AO216" s="31"/>
      <c r="AP216" s="31"/>
      <c r="AQ216" s="32"/>
      <c r="AR216" s="32"/>
      <c r="AS216" s="32"/>
      <c r="AT216" s="33"/>
      <c r="AU216" s="33"/>
      <c r="AV216" s="34" t="e">
        <f t="shared" si="66"/>
        <v>#VALUE!</v>
      </c>
      <c r="AW216" s="34" t="e">
        <f t="shared" si="66"/>
        <v>#VALUE!</v>
      </c>
      <c r="AX216" s="35" t="e">
        <f t="shared" si="66"/>
        <v>#VALUE!</v>
      </c>
      <c r="AY216" s="35" t="e">
        <f t="shared" si="66"/>
        <v>#VALUE!</v>
      </c>
    </row>
    <row r="217" spans="6:51" x14ac:dyDescent="0.3">
      <c r="F217">
        <v>47</v>
      </c>
      <c r="G217" s="28"/>
      <c r="H217" s="28"/>
      <c r="I217" s="28"/>
      <c r="J217" s="28"/>
      <c r="K217" s="28"/>
      <c r="L217" s="29"/>
      <c r="M217" s="30"/>
      <c r="N217" s="31"/>
      <c r="O217" s="31"/>
      <c r="P217" s="32"/>
      <c r="Q217" s="32"/>
      <c r="R217" s="32"/>
      <c r="S217" s="33"/>
      <c r="T217" s="33"/>
      <c r="U217" s="34"/>
      <c r="V217" s="34"/>
      <c r="W217" s="35"/>
      <c r="X217" s="35"/>
      <c r="AG217">
        <f t="shared" si="61"/>
        <v>46.806056521639796</v>
      </c>
      <c r="AH217" s="28">
        <f t="shared" si="65"/>
        <v>0.99999993708809565</v>
      </c>
      <c r="AI217" s="28">
        <f t="shared" si="65"/>
        <v>0.99999995838076661</v>
      </c>
      <c r="AJ217" s="28">
        <f t="shared" si="65"/>
        <v>0.99999996481817743</v>
      </c>
      <c r="AK217" s="28">
        <f t="shared" si="65"/>
        <v>0.99999994369075484</v>
      </c>
      <c r="AL217" s="28">
        <f t="shared" si="65"/>
        <v>0.88689163602674692</v>
      </c>
      <c r="AM217" s="29" t="e">
        <f t="shared" si="62"/>
        <v>#VALUE!</v>
      </c>
      <c r="AN217" s="30">
        <f t="shared" si="59"/>
        <v>0.98944142219134035</v>
      </c>
      <c r="AO217" s="31"/>
      <c r="AP217" s="31"/>
      <c r="AQ217" s="32"/>
      <c r="AR217" s="32"/>
      <c r="AS217" s="32"/>
      <c r="AT217" s="33"/>
      <c r="AU217" s="33"/>
      <c r="AV217" s="34" t="e">
        <f t="shared" si="66"/>
        <v>#VALUE!</v>
      </c>
      <c r="AW217" s="34" t="e">
        <f t="shared" si="66"/>
        <v>#VALUE!</v>
      </c>
      <c r="AX217" s="35" t="e">
        <f t="shared" si="66"/>
        <v>#VALUE!</v>
      </c>
      <c r="AY217" s="35" t="e">
        <f t="shared" si="66"/>
        <v>#VALUE!</v>
      </c>
    </row>
    <row r="218" spans="6:51" x14ac:dyDescent="0.3">
      <c r="F218">
        <v>48</v>
      </c>
      <c r="G218" s="28"/>
      <c r="H218" s="28"/>
      <c r="I218" s="28"/>
      <c r="J218" s="28"/>
      <c r="K218" s="28"/>
      <c r="L218" s="29"/>
      <c r="M218" s="30"/>
      <c r="N218" s="31"/>
      <c r="O218" s="31"/>
      <c r="P218" s="32"/>
      <c r="Q218" s="32"/>
      <c r="R218" s="32"/>
      <c r="S218" s="33"/>
      <c r="T218" s="33"/>
      <c r="U218" s="34"/>
      <c r="V218" s="34"/>
      <c r="W218" s="35"/>
      <c r="X218" s="35"/>
      <c r="AG218">
        <f t="shared" si="61"/>
        <v>47.791322808443105</v>
      </c>
      <c r="AH218" s="28">
        <f t="shared" ref="AH218:AL233" si="67">IF(1-EXP(-0.23*(AH134-AH$165))&lt;0, 0, 1-EXP(-0.23*(AH134-AH$165)))</f>
        <v>0.99999995039568446</v>
      </c>
      <c r="AI218" s="28">
        <f t="shared" si="67"/>
        <v>0.99999996785827405</v>
      </c>
      <c r="AJ218" s="28">
        <f t="shared" si="67"/>
        <v>0.99999997487173042</v>
      </c>
      <c r="AK218" s="28">
        <f t="shared" si="67"/>
        <v>0.99999995606848846</v>
      </c>
      <c r="AL218" s="28">
        <f t="shared" si="67"/>
        <v>0.89427878947446682</v>
      </c>
      <c r="AM218" s="29" t="e">
        <f t="shared" si="62"/>
        <v>#VALUE!</v>
      </c>
      <c r="AN218" s="30">
        <f t="shared" si="59"/>
        <v>0.99054826519448969</v>
      </c>
      <c r="AO218" s="31"/>
      <c r="AP218" s="31"/>
      <c r="AQ218" s="32"/>
      <c r="AR218" s="32"/>
      <c r="AS218" s="32"/>
      <c r="AT218" s="33"/>
      <c r="AU218" s="33"/>
      <c r="AV218" s="34" t="e">
        <f t="shared" ref="AV218:AY233" si="68">IF(1-EXP(-0.23*(AV134-AV$165))&lt;0, 0, 1-EXP(-0.23*(AV134-AV$165)))</f>
        <v>#VALUE!</v>
      </c>
      <c r="AW218" s="34" t="e">
        <f t="shared" si="68"/>
        <v>#VALUE!</v>
      </c>
      <c r="AX218" s="35" t="e">
        <f t="shared" si="68"/>
        <v>#VALUE!</v>
      </c>
      <c r="AY218" s="35" t="e">
        <f t="shared" si="68"/>
        <v>#VALUE!</v>
      </c>
    </row>
    <row r="219" spans="6:51" x14ac:dyDescent="0.3">
      <c r="F219">
        <v>49</v>
      </c>
      <c r="G219" s="28"/>
      <c r="H219" s="28"/>
      <c r="I219" s="28"/>
      <c r="J219" s="28"/>
      <c r="K219" s="28"/>
      <c r="L219" s="29"/>
      <c r="M219" s="30"/>
      <c r="N219" s="31"/>
      <c r="O219" s="31"/>
      <c r="P219" s="32"/>
      <c r="Q219" s="32"/>
      <c r="R219" s="32"/>
      <c r="S219" s="33"/>
      <c r="T219" s="33"/>
      <c r="U219" s="34"/>
      <c r="V219" s="34"/>
      <c r="W219" s="35"/>
      <c r="X219" s="35"/>
      <c r="AG219">
        <f t="shared" si="61"/>
        <v>48.699202568119411</v>
      </c>
      <c r="AH219" s="28">
        <f t="shared" si="67"/>
        <v>0.99999995971263533</v>
      </c>
      <c r="AI219" s="28">
        <f t="shared" si="67"/>
        <v>0.99999997453699552</v>
      </c>
      <c r="AJ219" s="28">
        <f t="shared" si="67"/>
        <v>0.9999999813987609</v>
      </c>
      <c r="AK219" s="28">
        <f t="shared" si="67"/>
        <v>0.99999996486681475</v>
      </c>
      <c r="AL219" s="28">
        <f t="shared" si="67"/>
        <v>0.90030512377320826</v>
      </c>
      <c r="AM219" s="29" t="e">
        <f t="shared" si="62"/>
        <v>#VALUE!</v>
      </c>
      <c r="AN219" s="30">
        <f t="shared" si="59"/>
        <v>0.99144781498835255</v>
      </c>
      <c r="AO219" s="31"/>
      <c r="AP219" s="31"/>
      <c r="AQ219" s="32"/>
      <c r="AR219" s="32"/>
      <c r="AS219" s="32"/>
      <c r="AT219" s="33"/>
      <c r="AU219" s="33"/>
      <c r="AV219" s="34" t="e">
        <f t="shared" si="68"/>
        <v>#VALUE!</v>
      </c>
      <c r="AW219" s="34" t="e">
        <f t="shared" si="68"/>
        <v>#VALUE!</v>
      </c>
      <c r="AX219" s="35" t="e">
        <f t="shared" si="68"/>
        <v>#VALUE!</v>
      </c>
      <c r="AY219" s="35" t="e">
        <f t="shared" si="68"/>
        <v>#VALUE!</v>
      </c>
    </row>
    <row r="220" spans="6:51" x14ac:dyDescent="0.3">
      <c r="F220">
        <v>50</v>
      </c>
      <c r="G220" s="28"/>
      <c r="H220" s="28"/>
      <c r="I220" s="28"/>
      <c r="J220" s="28"/>
      <c r="K220" s="28"/>
      <c r="L220" s="29"/>
      <c r="M220" s="30"/>
      <c r="N220" s="31"/>
      <c r="O220" s="31"/>
      <c r="P220" s="32"/>
      <c r="Q220" s="32"/>
      <c r="R220" s="32"/>
      <c r="S220" s="33"/>
      <c r="T220" s="33"/>
      <c r="U220" s="34"/>
      <c r="V220" s="34"/>
      <c r="W220" s="35"/>
      <c r="X220" s="35"/>
      <c r="AG220">
        <f t="shared" si="61"/>
        <v>49.535774030139265</v>
      </c>
      <c r="AH220" s="28">
        <f t="shared" si="67"/>
        <v>0.99999996644145228</v>
      </c>
      <c r="AI220" s="28">
        <f t="shared" si="67"/>
        <v>0.99999997936616059</v>
      </c>
      <c r="AJ220" s="28">
        <f t="shared" si="67"/>
        <v>0.99999998579047356</v>
      </c>
      <c r="AK220" s="28">
        <f t="shared" si="67"/>
        <v>0.99999997127988249</v>
      </c>
      <c r="AL220" s="28">
        <f t="shared" si="67"/>
        <v>0.90528241655276243</v>
      </c>
      <c r="AM220" s="29" t="e">
        <f t="shared" si="62"/>
        <v>#VALUE!</v>
      </c>
      <c r="AN220" s="30">
        <f t="shared" si="59"/>
        <v>0.99218732173653967</v>
      </c>
      <c r="AO220" s="31"/>
      <c r="AP220" s="31"/>
      <c r="AQ220" s="32"/>
      <c r="AR220" s="32"/>
      <c r="AS220" s="32"/>
      <c r="AT220" s="33"/>
      <c r="AU220" s="33"/>
      <c r="AV220" s="34" t="e">
        <f t="shared" si="68"/>
        <v>#VALUE!</v>
      </c>
      <c r="AW220" s="34" t="e">
        <f t="shared" si="68"/>
        <v>#VALUE!</v>
      </c>
      <c r="AX220" s="35" t="e">
        <f t="shared" si="68"/>
        <v>#VALUE!</v>
      </c>
      <c r="AY220" s="35" t="e">
        <f t="shared" si="68"/>
        <v>#VALUE!</v>
      </c>
    </row>
    <row r="221" spans="6:51" x14ac:dyDescent="0.3">
      <c r="F221">
        <v>51</v>
      </c>
      <c r="G221" s="28"/>
      <c r="H221" s="28"/>
      <c r="I221" s="28"/>
      <c r="J221" s="28"/>
      <c r="K221" s="28"/>
      <c r="L221" s="29"/>
      <c r="M221" s="30"/>
      <c r="N221" s="31"/>
      <c r="O221" s="31"/>
      <c r="P221" s="32"/>
      <c r="Q221" s="32"/>
      <c r="R221" s="32"/>
      <c r="S221" s="33"/>
      <c r="T221" s="33"/>
      <c r="U221" s="34"/>
      <c r="V221" s="34"/>
      <c r="W221" s="35"/>
      <c r="X221" s="35"/>
      <c r="AG221">
        <f t="shared" si="61"/>
        <v>50.306638016924872</v>
      </c>
      <c r="AH221" s="28">
        <f t="shared" si="67"/>
        <v>0.99999997143359065</v>
      </c>
      <c r="AI221" s="28">
        <f t="shared" si="67"/>
        <v>0.99999998293907122</v>
      </c>
      <c r="AJ221" s="28">
        <f t="shared" si="67"/>
        <v>0.99999998884031949</v>
      </c>
      <c r="AK221" s="28">
        <f t="shared" si="67"/>
        <v>0.99999997606007451</v>
      </c>
      <c r="AL221" s="28">
        <f t="shared" si="67"/>
        <v>0.90943815500358027</v>
      </c>
      <c r="AM221" s="29" t="e">
        <f t="shared" si="62"/>
        <v>#VALUE!</v>
      </c>
      <c r="AN221" s="30">
        <f t="shared" si="59"/>
        <v>0.99280156740994052</v>
      </c>
      <c r="AO221" s="31"/>
      <c r="AP221" s="31"/>
      <c r="AQ221" s="32"/>
      <c r="AR221" s="32"/>
      <c r="AS221" s="32"/>
      <c r="AT221" s="33"/>
      <c r="AU221" s="33"/>
      <c r="AV221" s="34" t="e">
        <f t="shared" si="68"/>
        <v>#VALUE!</v>
      </c>
      <c r="AW221" s="34" t="e">
        <f t="shared" si="68"/>
        <v>#VALUE!</v>
      </c>
      <c r="AX221" s="35" t="e">
        <f t="shared" si="68"/>
        <v>#VALUE!</v>
      </c>
      <c r="AY221" s="35" t="e">
        <f t="shared" si="68"/>
        <v>#VALUE!</v>
      </c>
    </row>
    <row r="222" spans="6:51" x14ac:dyDescent="0.3">
      <c r="F222">
        <v>52</v>
      </c>
      <c r="G222" s="28"/>
      <c r="H222" s="28"/>
      <c r="I222" s="28"/>
      <c r="J222" s="28"/>
      <c r="K222" s="28"/>
      <c r="L222" s="29"/>
      <c r="M222" s="30"/>
      <c r="N222" s="31"/>
      <c r="O222" s="31"/>
      <c r="P222" s="32"/>
      <c r="Q222" s="32"/>
      <c r="R222" s="32"/>
      <c r="S222" s="33"/>
      <c r="T222" s="33"/>
      <c r="U222" s="34"/>
      <c r="V222" s="34"/>
      <c r="W222" s="35"/>
      <c r="X222" s="35"/>
      <c r="AG222">
        <f t="shared" si="61"/>
        <v>51.016955441198782</v>
      </c>
      <c r="AH222" s="28">
        <f t="shared" si="67"/>
        <v>0.99999997522492823</v>
      </c>
      <c r="AI222" s="28">
        <f t="shared" si="67"/>
        <v>0.99999998563733827</v>
      </c>
      <c r="AJ222" s="28">
        <f t="shared" si="67"/>
        <v>0.99999999101845261</v>
      </c>
      <c r="AK222" s="28">
        <f t="shared" si="67"/>
        <v>0.99999997969499965</v>
      </c>
      <c r="AL222" s="28">
        <f t="shared" si="67"/>
        <v>0.91294135763303474</v>
      </c>
      <c r="AM222" s="29" t="e">
        <f t="shared" si="62"/>
        <v>#VALUE!</v>
      </c>
      <c r="AN222" s="30">
        <f t="shared" si="59"/>
        <v>0.99331653982313106</v>
      </c>
      <c r="AO222" s="31"/>
      <c r="AP222" s="31"/>
      <c r="AQ222" s="32"/>
      <c r="AR222" s="32"/>
      <c r="AS222" s="32"/>
      <c r="AT222" s="33"/>
      <c r="AU222" s="33"/>
      <c r="AV222" s="34" t="e">
        <f t="shared" si="68"/>
        <v>#VALUE!</v>
      </c>
      <c r="AW222" s="34" t="e">
        <f t="shared" si="68"/>
        <v>#VALUE!</v>
      </c>
      <c r="AX222" s="35" t="e">
        <f t="shared" si="68"/>
        <v>#VALUE!</v>
      </c>
      <c r="AY222" s="35" t="e">
        <f t="shared" si="68"/>
        <v>#VALUE!</v>
      </c>
    </row>
    <row r="223" spans="6:51" x14ac:dyDescent="0.3">
      <c r="F223">
        <v>53</v>
      </c>
      <c r="G223" s="28"/>
      <c r="H223" s="28"/>
      <c r="I223" s="28"/>
      <c r="J223" s="28"/>
      <c r="K223" s="28"/>
      <c r="L223" s="29"/>
      <c r="M223" s="30"/>
      <c r="N223" s="31"/>
      <c r="O223" s="31"/>
      <c r="P223" s="32"/>
      <c r="Q223" s="32"/>
      <c r="R223" s="32"/>
      <c r="S223" s="33"/>
      <c r="T223" s="33"/>
      <c r="U223" s="34"/>
      <c r="V223" s="34"/>
      <c r="W223" s="35"/>
      <c r="X223" s="35"/>
      <c r="AG223">
        <f t="shared" si="61"/>
        <v>51.671481858149477</v>
      </c>
      <c r="AH223" s="28">
        <f t="shared" si="67"/>
        <v>0.99999997816369091</v>
      </c>
      <c r="AI223" s="28">
        <f t="shared" si="67"/>
        <v>0.99999998771287435</v>
      </c>
      <c r="AJ223" s="28">
        <f t="shared" si="67"/>
        <v>0.99999999261319794</v>
      </c>
      <c r="AK223" s="28">
        <f t="shared" si="67"/>
        <v>0.99999998250885502</v>
      </c>
      <c r="AL223" s="28">
        <f t="shared" si="67"/>
        <v>0.91591967121941553</v>
      </c>
      <c r="AM223" s="29" t="e">
        <f t="shared" si="62"/>
        <v>#VALUE!</v>
      </c>
      <c r="AN223" s="30">
        <f t="shared" si="59"/>
        <v>0.99375192553132741</v>
      </c>
      <c r="AO223" s="31"/>
      <c r="AP223" s="31"/>
      <c r="AQ223" s="32"/>
      <c r="AR223" s="32"/>
      <c r="AS223" s="32"/>
      <c r="AT223" s="33"/>
      <c r="AU223" s="33"/>
      <c r="AV223" s="34" t="e">
        <f t="shared" si="68"/>
        <v>#VALUE!</v>
      </c>
      <c r="AW223" s="34" t="e">
        <f t="shared" si="68"/>
        <v>#VALUE!</v>
      </c>
      <c r="AX223" s="35" t="e">
        <f t="shared" si="68"/>
        <v>#VALUE!</v>
      </c>
      <c r="AY223" s="35" t="e">
        <f t="shared" si="68"/>
        <v>#VALUE!</v>
      </c>
    </row>
    <row r="224" spans="6:51" x14ac:dyDescent="0.3">
      <c r="F224">
        <v>54</v>
      </c>
      <c r="G224" s="28"/>
      <c r="H224" s="28"/>
      <c r="I224" s="28"/>
      <c r="J224" s="28"/>
      <c r="K224" s="28"/>
      <c r="L224" s="29"/>
      <c r="M224" s="30"/>
      <c r="N224" s="31"/>
      <c r="O224" s="31"/>
      <c r="P224" s="32"/>
      <c r="Q224" s="32"/>
      <c r="R224" s="32"/>
      <c r="S224" s="33"/>
      <c r="T224" s="33"/>
      <c r="U224" s="34"/>
      <c r="V224" s="34"/>
      <c r="W224" s="35"/>
      <c r="X224" s="35"/>
      <c r="AG224">
        <f t="shared" si="61"/>
        <v>52.274599303739727</v>
      </c>
      <c r="AH224" s="28">
        <f t="shared" si="67"/>
        <v>0.99999998048270955</v>
      </c>
      <c r="AI224" s="28">
        <f t="shared" si="67"/>
        <v>0.99999998933595102</v>
      </c>
      <c r="AJ224" s="28">
        <f t="shared" si="67"/>
        <v>0.99999999380693771</v>
      </c>
      <c r="AK224" s="28">
        <f t="shared" si="67"/>
        <v>0.99999998472225682</v>
      </c>
      <c r="AL224" s="28">
        <f t="shared" si="67"/>
        <v>0.9184709352090864</v>
      </c>
      <c r="AM224" s="29" t="e">
        <f t="shared" si="62"/>
        <v>#VALUE!</v>
      </c>
      <c r="AN224" s="30">
        <f t="shared" si="59"/>
        <v>0.99412282937384877</v>
      </c>
      <c r="AO224" s="31"/>
      <c r="AP224" s="31"/>
      <c r="AQ224" s="32"/>
      <c r="AR224" s="32"/>
      <c r="AS224" s="32"/>
      <c r="AT224" s="33"/>
      <c r="AU224" s="33"/>
      <c r="AV224" s="34" t="e">
        <f t="shared" si="68"/>
        <v>#VALUE!</v>
      </c>
      <c r="AW224" s="34" t="e">
        <f t="shared" si="68"/>
        <v>#VALUE!</v>
      </c>
      <c r="AX224" s="35" t="e">
        <f t="shared" si="68"/>
        <v>#VALUE!</v>
      </c>
      <c r="AY224" s="35" t="e">
        <f t="shared" si="68"/>
        <v>#VALUE!</v>
      </c>
    </row>
    <row r="225" spans="6:51" x14ac:dyDescent="0.3">
      <c r="F225">
        <v>55</v>
      </c>
      <c r="G225" s="28"/>
      <c r="H225" s="28"/>
      <c r="I225" s="28"/>
      <c r="J225" s="28"/>
      <c r="K225" s="28"/>
      <c r="L225" s="29"/>
      <c r="M225" s="30"/>
      <c r="N225" s="31"/>
      <c r="O225" s="31"/>
      <c r="P225" s="32"/>
      <c r="Q225" s="32"/>
      <c r="R225" s="32"/>
      <c r="S225" s="33"/>
      <c r="T225" s="33"/>
      <c r="U225" s="34"/>
      <c r="V225" s="34"/>
      <c r="W225" s="35"/>
      <c r="X225" s="35"/>
      <c r="AG225">
        <f t="shared" si="61"/>
        <v>52.830345632314121</v>
      </c>
      <c r="AH225" s="28">
        <f t="shared" si="67"/>
        <v>0.99999998234168419</v>
      </c>
      <c r="AI225" s="28">
        <f t="shared" si="67"/>
        <v>0.99999999062416434</v>
      </c>
      <c r="AJ225" s="28">
        <f t="shared" si="67"/>
        <v>0.99999999471831746</v>
      </c>
      <c r="AK225" s="28">
        <f t="shared" si="67"/>
        <v>0.99999998648854849</v>
      </c>
      <c r="AL225" s="28">
        <f t="shared" si="67"/>
        <v>0.92067115775195274</v>
      </c>
      <c r="AM225" s="29" t="e">
        <f t="shared" si="62"/>
        <v>#VALUE!</v>
      </c>
      <c r="AN225" s="30">
        <f t="shared" si="59"/>
        <v>0.99444097896950012</v>
      </c>
      <c r="AO225" s="31"/>
      <c r="AP225" s="31"/>
      <c r="AQ225" s="32"/>
      <c r="AR225" s="32"/>
      <c r="AS225" s="32"/>
      <c r="AT225" s="33"/>
      <c r="AU225" s="33"/>
      <c r="AV225" s="34" t="e">
        <f t="shared" si="68"/>
        <v>#VALUE!</v>
      </c>
      <c r="AW225" s="34" t="e">
        <f t="shared" si="68"/>
        <v>#VALUE!</v>
      </c>
      <c r="AX225" s="35" t="e">
        <f t="shared" si="68"/>
        <v>#VALUE!</v>
      </c>
      <c r="AY225" s="35" t="e">
        <f t="shared" si="68"/>
        <v>#VALUE!</v>
      </c>
    </row>
    <row r="226" spans="6:51" x14ac:dyDescent="0.3">
      <c r="F226">
        <v>56</v>
      </c>
      <c r="G226" s="28"/>
      <c r="H226" s="28"/>
      <c r="I226" s="28"/>
      <c r="J226" s="28"/>
      <c r="K226" s="28"/>
      <c r="L226" s="29"/>
      <c r="M226" s="30"/>
      <c r="N226" s="31"/>
      <c r="O226" s="31"/>
      <c r="P226" s="32"/>
      <c r="Q226" s="32"/>
      <c r="R226" s="32"/>
      <c r="S226" s="33"/>
      <c r="T226" s="33"/>
      <c r="U226" s="34"/>
      <c r="V226" s="34"/>
      <c r="W226" s="35"/>
      <c r="X226" s="35"/>
      <c r="AG226">
        <f t="shared" si="61"/>
        <v>53.342441549920437</v>
      </c>
      <c r="AH226" s="28">
        <f t="shared" si="67"/>
        <v>0.99999998385269528</v>
      </c>
      <c r="AI226" s="28">
        <f t="shared" si="67"/>
        <v>0.99999999166034692</v>
      </c>
      <c r="AJ226" s="28">
        <f t="shared" si="67"/>
        <v>0.99999999542650531</v>
      </c>
      <c r="AK226" s="28">
        <f t="shared" si="67"/>
        <v>0.99999998791639655</v>
      </c>
      <c r="AL226" s="28">
        <f t="shared" si="67"/>
        <v>0.92258011571380361</v>
      </c>
      <c r="AM226" s="29" t="e">
        <f>IF(1-EXP(-0.23*(BA142-AM$165))&lt;0, 0, 1-EXP(-0.23*(BA142-AM$165)))</f>
        <v>#VALUE!</v>
      </c>
      <c r="AN226" s="30">
        <f t="shared" si="59"/>
        <v>0.99471558066515642</v>
      </c>
      <c r="AO226" s="31"/>
      <c r="AP226" s="31"/>
      <c r="AQ226" s="32"/>
      <c r="AR226" s="32"/>
      <c r="AS226" s="32"/>
      <c r="AT226" s="33"/>
      <c r="AU226" s="33"/>
      <c r="AV226" s="34" t="e">
        <f t="shared" si="68"/>
        <v>#VALUE!</v>
      </c>
      <c r="AW226" s="34" t="e">
        <f t="shared" si="68"/>
        <v>#VALUE!</v>
      </c>
      <c r="AX226" s="35" t="e">
        <f t="shared" si="68"/>
        <v>#VALUE!</v>
      </c>
      <c r="AY226" s="35" t="e">
        <f t="shared" si="68"/>
        <v>#VALUE!</v>
      </c>
    </row>
    <row r="227" spans="6:51" x14ac:dyDescent="0.3">
      <c r="F227">
        <v>57</v>
      </c>
      <c r="G227" s="28"/>
      <c r="H227" s="28"/>
      <c r="I227" s="28"/>
      <c r="J227" s="28"/>
      <c r="K227" s="28"/>
      <c r="L227" s="29"/>
      <c r="M227" s="30"/>
      <c r="N227" s="31"/>
      <c r="O227" s="31"/>
      <c r="P227" s="32"/>
      <c r="Q227" s="32"/>
      <c r="R227" s="32"/>
      <c r="S227" s="33"/>
      <c r="T227" s="33"/>
      <c r="U227" s="34"/>
      <c r="V227" s="34"/>
      <c r="W227" s="35"/>
      <c r="X227" s="35"/>
      <c r="AG227">
        <f t="shared" si="61"/>
        <v>53.814315524332059</v>
      </c>
      <c r="AH227" s="28">
        <f t="shared" si="67"/>
        <v>0.99999998509604704</v>
      </c>
      <c r="AI227" s="28">
        <f t="shared" si="67"/>
        <v>0.99999999250390748</v>
      </c>
      <c r="AJ227" s="28">
        <f t="shared" si="67"/>
        <v>0.999999995985562</v>
      </c>
      <c r="AK227" s="28">
        <f t="shared" si="67"/>
        <v>0.99999998908418519</v>
      </c>
      <c r="AL227" s="28">
        <f t="shared" si="67"/>
        <v>0.92424535122845519</v>
      </c>
      <c r="AM227" s="29" t="e">
        <f t="shared" ref="AM227:AM240" si="69">IF(1-EXP(-0.23*(BA143-AM$165))&lt;0, 0, 1-EXP(-0.23*(BA143-AM$165)))</f>
        <v>#VALUE!</v>
      </c>
      <c r="AN227" s="30">
        <f t="shared" si="59"/>
        <v>0.99495393604510063</v>
      </c>
      <c r="AO227" s="31"/>
      <c r="AP227" s="31"/>
      <c r="AQ227" s="32"/>
      <c r="AR227" s="32"/>
      <c r="AS227" s="32"/>
      <c r="AT227" s="33"/>
      <c r="AU227" s="33"/>
      <c r="AV227" s="34" t="e">
        <f t="shared" si="68"/>
        <v>#VALUE!</v>
      </c>
      <c r="AW227" s="34" t="e">
        <f t="shared" si="68"/>
        <v>#VALUE!</v>
      </c>
      <c r="AX227" s="35" t="e">
        <f t="shared" si="68"/>
        <v>#VALUE!</v>
      </c>
      <c r="AY227" s="35" t="e">
        <f t="shared" si="68"/>
        <v>#VALUE!</v>
      </c>
    </row>
    <row r="228" spans="6:51" x14ac:dyDescent="0.3">
      <c r="F228">
        <v>58</v>
      </c>
      <c r="G228" s="28"/>
      <c r="H228" s="28"/>
      <c r="I228" s="28"/>
      <c r="J228" s="28"/>
      <c r="K228" s="28"/>
      <c r="L228" s="29"/>
      <c r="M228" s="30"/>
      <c r="N228" s="31"/>
      <c r="O228" s="31"/>
      <c r="P228" s="32"/>
      <c r="Q228" s="32"/>
      <c r="R228" s="32"/>
      <c r="S228" s="33"/>
      <c r="T228" s="33"/>
      <c r="U228" s="34"/>
      <c r="V228" s="34"/>
      <c r="W228" s="35"/>
      <c r="X228" s="35"/>
      <c r="AG228">
        <f t="shared" si="61"/>
        <v>54.249126738543261</v>
      </c>
      <c r="AH228" s="28">
        <f t="shared" si="67"/>
        <v>0.99999998613036378</v>
      </c>
      <c r="AI228" s="28">
        <f t="shared" si="67"/>
        <v>0.99999999319816812</v>
      </c>
      <c r="AJ228" s="28">
        <f t="shared" si="67"/>
        <v>0.99999999643318815</v>
      </c>
      <c r="AK228" s="28">
        <f t="shared" si="67"/>
        <v>0.99999999004938322</v>
      </c>
      <c r="AL228" s="28">
        <f t="shared" si="67"/>
        <v>0.92570506705768885</v>
      </c>
      <c r="AM228" s="29" t="e">
        <f t="shared" si="69"/>
        <v>#VALUE!</v>
      </c>
      <c r="AN228" s="30">
        <f t="shared" si="59"/>
        <v>0.99516189161772473</v>
      </c>
      <c r="AO228" s="31"/>
      <c r="AP228" s="31"/>
      <c r="AQ228" s="32"/>
      <c r="AR228" s="32"/>
      <c r="AS228" s="32"/>
      <c r="AT228" s="33"/>
      <c r="AU228" s="33"/>
      <c r="AV228" s="34" t="e">
        <f t="shared" si="68"/>
        <v>#VALUE!</v>
      </c>
      <c r="AW228" s="34" t="e">
        <f t="shared" si="68"/>
        <v>#VALUE!</v>
      </c>
      <c r="AX228" s="35" t="e">
        <f t="shared" si="68"/>
        <v>#VALUE!</v>
      </c>
      <c r="AY228" s="35" t="e">
        <f t="shared" si="68"/>
        <v>#VALUE!</v>
      </c>
    </row>
    <row r="229" spans="6:51" x14ac:dyDescent="0.3">
      <c r="F229">
        <v>59</v>
      </c>
      <c r="G229" s="28"/>
      <c r="H229" s="28"/>
      <c r="I229" s="28"/>
      <c r="J229" s="28"/>
      <c r="K229" s="28"/>
      <c r="L229" s="29"/>
      <c r="M229" s="30"/>
      <c r="N229" s="31"/>
      <c r="O229" s="31"/>
      <c r="P229" s="32"/>
      <c r="Q229" s="32"/>
      <c r="R229" s="32"/>
      <c r="S229" s="33"/>
      <c r="T229" s="33"/>
      <c r="U229" s="34"/>
      <c r="V229" s="34"/>
      <c r="W229" s="35"/>
      <c r="X229" s="35"/>
      <c r="AG229">
        <f t="shared" si="61"/>
        <v>54.649786241410681</v>
      </c>
      <c r="AH229" s="28">
        <f t="shared" si="67"/>
        <v>0.99999998699917658</v>
      </c>
      <c r="AI229" s="28">
        <f t="shared" si="67"/>
        <v>0.99999999377520643</v>
      </c>
      <c r="AJ229" s="28">
        <f t="shared" si="67"/>
        <v>0.99999999679618623</v>
      </c>
      <c r="AK229" s="28">
        <f t="shared" si="67"/>
        <v>0.99999999085476177</v>
      </c>
      <c r="AL229" s="28">
        <f t="shared" si="67"/>
        <v>0.92699025339323093</v>
      </c>
      <c r="AM229" s="29" t="e">
        <f t="shared" si="69"/>
        <v>#VALUE!</v>
      </c>
      <c r="AN229" s="30">
        <f t="shared" si="59"/>
        <v>0.99534417072232695</v>
      </c>
      <c r="AO229" s="31"/>
      <c r="AP229" s="31"/>
      <c r="AQ229" s="32"/>
      <c r="AR229" s="32"/>
      <c r="AS229" s="32"/>
      <c r="AT229" s="33"/>
      <c r="AU229" s="33"/>
      <c r="AV229" s="34" t="e">
        <f t="shared" si="68"/>
        <v>#VALUE!</v>
      </c>
      <c r="AW229" s="34" t="e">
        <f t="shared" si="68"/>
        <v>#VALUE!</v>
      </c>
      <c r="AX229" s="35" t="e">
        <f t="shared" si="68"/>
        <v>#VALUE!</v>
      </c>
      <c r="AY229" s="35" t="e">
        <f t="shared" si="68"/>
        <v>#VALUE!</v>
      </c>
    </row>
    <row r="230" spans="6:51" x14ac:dyDescent="0.3">
      <c r="F230">
        <v>60</v>
      </c>
      <c r="G230" s="28"/>
      <c r="H230" s="28"/>
      <c r="I230" s="28"/>
      <c r="J230" s="28"/>
      <c r="K230" s="28"/>
      <c r="L230" s="29"/>
      <c r="M230" s="30"/>
      <c r="N230" s="31"/>
      <c r="O230" s="31"/>
      <c r="P230" s="32"/>
      <c r="Q230" s="32"/>
      <c r="R230" s="32"/>
      <c r="S230" s="33"/>
      <c r="T230" s="33"/>
      <c r="U230" s="34"/>
      <c r="V230" s="34"/>
      <c r="W230" s="35"/>
      <c r="X230" s="35"/>
      <c r="AG230">
        <f t="shared" si="61"/>
        <v>55.01897643704347</v>
      </c>
      <c r="AH230" s="28">
        <f t="shared" si="67"/>
        <v>0.99999998773531451</v>
      </c>
      <c r="AI230" s="28">
        <f t="shared" si="67"/>
        <v>0.99999999425911168</v>
      </c>
      <c r="AJ230" s="28">
        <f t="shared" si="67"/>
        <v>0.99999999709394927</v>
      </c>
      <c r="AK230" s="28">
        <f t="shared" si="67"/>
        <v>0.99999999153259633</v>
      </c>
      <c r="AL230" s="28">
        <f t="shared" si="67"/>
        <v>0.92812627019507599</v>
      </c>
      <c r="AM230" s="29" t="e">
        <f t="shared" si="69"/>
        <v>#VALUE!</v>
      </c>
      <c r="AN230" s="30">
        <f t="shared" si="59"/>
        <v>0.99550462123807915</v>
      </c>
      <c r="AO230" s="31"/>
      <c r="AP230" s="31"/>
      <c r="AQ230" s="32"/>
      <c r="AR230" s="32"/>
      <c r="AS230" s="32"/>
      <c r="AT230" s="33"/>
      <c r="AU230" s="33"/>
      <c r="AV230" s="34" t="e">
        <f t="shared" si="68"/>
        <v>#VALUE!</v>
      </c>
      <c r="AW230" s="34" t="e">
        <f t="shared" si="68"/>
        <v>#VALUE!</v>
      </c>
      <c r="AX230" s="35" t="e">
        <f t="shared" si="68"/>
        <v>#VALUE!</v>
      </c>
      <c r="AY230" s="35" t="e">
        <f t="shared" si="68"/>
        <v>#VALUE!</v>
      </c>
    </row>
    <row r="231" spans="6:51" x14ac:dyDescent="0.3">
      <c r="F231">
        <v>61</v>
      </c>
      <c r="G231" s="28"/>
      <c r="H231" s="28"/>
      <c r="I231" s="28"/>
      <c r="J231" s="28"/>
      <c r="K231" s="28"/>
      <c r="L231" s="29"/>
      <c r="M231" s="30"/>
      <c r="N231" s="31"/>
      <c r="O231" s="31"/>
      <c r="P231" s="32"/>
      <c r="Q231" s="32"/>
      <c r="R231" s="32"/>
      <c r="S231" s="33"/>
      <c r="T231" s="33"/>
      <c r="U231" s="34"/>
      <c r="V231" s="34"/>
      <c r="W231" s="35"/>
      <c r="X231" s="35"/>
      <c r="AG231">
        <f t="shared" si="61"/>
        <v>55.359169043423464</v>
      </c>
      <c r="AH231" s="28">
        <f t="shared" si="67"/>
        <v>0.99999998836388815</v>
      </c>
      <c r="AI231" s="28">
        <f t="shared" si="67"/>
        <v>0.99999999466821177</v>
      </c>
      <c r="AJ231" s="28">
        <f t="shared" si="67"/>
        <v>0.99999999734073808</v>
      </c>
      <c r="AK231" s="28">
        <f t="shared" si="67"/>
        <v>0.99999999210755652</v>
      </c>
      <c r="AL231" s="28">
        <f t="shared" si="67"/>
        <v>0.92913403845269193</v>
      </c>
      <c r="AM231" s="29" t="e">
        <f t="shared" si="69"/>
        <v>#VALUE!</v>
      </c>
      <c r="AN231" s="30">
        <f t="shared" si="59"/>
        <v>0.99564640239187119</v>
      </c>
      <c r="AO231" s="31"/>
      <c r="AP231" s="31"/>
      <c r="AQ231" s="32"/>
      <c r="AR231" s="32"/>
      <c r="AS231" s="32"/>
      <c r="AT231" s="33"/>
      <c r="AU231" s="33"/>
      <c r="AV231" s="34" t="e">
        <f t="shared" si="68"/>
        <v>#VALUE!</v>
      </c>
      <c r="AW231" s="34" t="e">
        <f t="shared" si="68"/>
        <v>#VALUE!</v>
      </c>
      <c r="AX231" s="35" t="e">
        <f t="shared" si="68"/>
        <v>#VALUE!</v>
      </c>
      <c r="AY231" s="35" t="e">
        <f t="shared" si="68"/>
        <v>#VALUE!</v>
      </c>
    </row>
    <row r="232" spans="6:51" x14ac:dyDescent="0.3">
      <c r="F232">
        <v>62</v>
      </c>
      <c r="G232" s="28"/>
      <c r="H232" s="28"/>
      <c r="I232" s="28"/>
      <c r="J232" s="28"/>
      <c r="K232" s="28"/>
      <c r="L232" s="29"/>
      <c r="M232" s="30"/>
      <c r="N232" s="31"/>
      <c r="O232" s="31"/>
      <c r="P232" s="32"/>
      <c r="Q232" s="32"/>
      <c r="R232" s="32"/>
      <c r="S232" s="33"/>
      <c r="T232" s="33"/>
      <c r="U232" s="34"/>
      <c r="V232" s="34"/>
      <c r="W232" s="35"/>
      <c r="X232" s="35"/>
      <c r="AG232">
        <f t="shared" si="61"/>
        <v>55.672641640487548</v>
      </c>
      <c r="AH232" s="28">
        <f t="shared" si="67"/>
        <v>0.99999998890435593</v>
      </c>
      <c r="AI232" s="28">
        <f t="shared" si="67"/>
        <v>0.99999999501662074</v>
      </c>
      <c r="AJ232" s="28">
        <f t="shared" si="67"/>
        <v>0.99999999754719704</v>
      </c>
      <c r="AK232" s="28">
        <f t="shared" si="67"/>
        <v>0.99999999259872296</v>
      </c>
      <c r="AL232" s="28">
        <f t="shared" si="67"/>
        <v>0.93003094691763577</v>
      </c>
      <c r="AM232" s="29" t="e">
        <f t="shared" si="69"/>
        <v>#VALUE!</v>
      </c>
      <c r="AN232" s="30">
        <f t="shared" si="59"/>
        <v>0.995772127026331</v>
      </c>
      <c r="AO232" s="31"/>
      <c r="AP232" s="31"/>
      <c r="AQ232" s="32"/>
      <c r="AR232" s="32"/>
      <c r="AS232" s="32"/>
      <c r="AT232" s="33"/>
      <c r="AU232" s="33"/>
      <c r="AV232" s="34" t="e">
        <f t="shared" si="68"/>
        <v>#VALUE!</v>
      </c>
      <c r="AW232" s="34" t="e">
        <f t="shared" si="68"/>
        <v>#VALUE!</v>
      </c>
      <c r="AX232" s="35" t="e">
        <f t="shared" si="68"/>
        <v>#VALUE!</v>
      </c>
      <c r="AY232" s="35" t="e">
        <f t="shared" si="68"/>
        <v>#VALUE!</v>
      </c>
    </row>
    <row r="233" spans="6:51" x14ac:dyDescent="0.3">
      <c r="F233">
        <v>63</v>
      </c>
      <c r="G233" s="28"/>
      <c r="H233" s="28"/>
      <c r="I233" s="28"/>
      <c r="J233" s="28"/>
      <c r="K233" s="28"/>
      <c r="L233" s="29"/>
      <c r="M233" s="30"/>
      <c r="N233" s="31"/>
      <c r="O233" s="31"/>
      <c r="P233" s="32"/>
      <c r="Q233" s="32"/>
      <c r="R233" s="32"/>
      <c r="S233" s="33"/>
      <c r="T233" s="33"/>
      <c r="U233" s="34"/>
      <c r="V233" s="34"/>
      <c r="W233" s="35"/>
      <c r="X233" s="35"/>
      <c r="AG233">
        <f t="shared" si="61"/>
        <v>55.961492918461353</v>
      </c>
      <c r="AH233" s="28">
        <f t="shared" si="67"/>
        <v>0.99999998937197687</v>
      </c>
      <c r="AI233" s="28">
        <f t="shared" si="67"/>
        <v>0.99999999531533068</v>
      </c>
      <c r="AJ233" s="28">
        <f t="shared" si="67"/>
        <v>0.99999999772138082</v>
      </c>
      <c r="AK233" s="28">
        <f t="shared" si="67"/>
        <v>0.9999999930210175</v>
      </c>
      <c r="AL233" s="28">
        <f t="shared" si="67"/>
        <v>0.93083154934333534</v>
      </c>
      <c r="AM233" s="29" t="e">
        <f t="shared" si="69"/>
        <v>#VALUE!</v>
      </c>
      <c r="AN233" s="30">
        <f t="shared" si="59"/>
        <v>0.9958839709526941</v>
      </c>
      <c r="AO233" s="31"/>
      <c r="AP233" s="31"/>
      <c r="AQ233" s="32"/>
      <c r="AR233" s="32"/>
      <c r="AS233" s="32"/>
      <c r="AT233" s="33"/>
      <c r="AU233" s="33"/>
      <c r="AV233" s="34" t="e">
        <f t="shared" si="68"/>
        <v>#VALUE!</v>
      </c>
      <c r="AW233" s="34" t="e">
        <f t="shared" si="68"/>
        <v>#VALUE!</v>
      </c>
      <c r="AX233" s="35" t="e">
        <f t="shared" si="68"/>
        <v>#VALUE!</v>
      </c>
      <c r="AY233" s="35" t="e">
        <f t="shared" si="68"/>
        <v>#VALUE!</v>
      </c>
    </row>
    <row r="234" spans="6:51" x14ac:dyDescent="0.3">
      <c r="F234">
        <v>64</v>
      </c>
      <c r="G234" s="28"/>
      <c r="H234" s="28"/>
      <c r="I234" s="28"/>
      <c r="J234" s="28"/>
      <c r="K234" s="28"/>
      <c r="L234" s="29"/>
      <c r="M234" s="30"/>
      <c r="N234" s="31"/>
      <c r="O234" s="31"/>
      <c r="P234" s="32"/>
      <c r="Q234" s="32"/>
      <c r="R234" s="32"/>
      <c r="S234" s="33"/>
      <c r="T234" s="33"/>
      <c r="U234" s="34"/>
      <c r="V234" s="34"/>
      <c r="W234" s="35"/>
      <c r="X234" s="35"/>
      <c r="AG234">
        <f t="shared" si="61"/>
        <v>56.227656728531329</v>
      </c>
      <c r="AH234" s="28">
        <f t="shared" ref="AH234:AL240" si="70">IF(1-EXP(-0.23*(AH150-AH$165))&lt;0, 0, 1-EXP(-0.23*(AH150-AH$165)))</f>
        <v>0.99999998977884941</v>
      </c>
      <c r="AI234" s="28">
        <f t="shared" si="70"/>
        <v>0.99999999557299213</v>
      </c>
      <c r="AJ234" s="28">
        <f t="shared" si="70"/>
        <v>0.99999999786946248</v>
      </c>
      <c r="AK234" s="28">
        <f t="shared" si="70"/>
        <v>0.99999999338622958</v>
      </c>
      <c r="AL234" s="28">
        <f t="shared" si="70"/>
        <v>0.93154810575582447</v>
      </c>
      <c r="AM234" s="29" t="e">
        <f t="shared" si="69"/>
        <v>#VALUE!</v>
      </c>
      <c r="AN234" s="30">
        <f t="shared" ref="AN234:AN240" si="71">IF(1-EXP(-0.23*(AN150-AN$165))&lt;0, 0, 1-EXP(-0.23*(AN150-AN$165)))</f>
        <v>0.99598375773891967</v>
      </c>
      <c r="AO234" s="31"/>
      <c r="AP234" s="31"/>
      <c r="AQ234" s="32"/>
      <c r="AR234" s="32"/>
      <c r="AS234" s="32"/>
      <c r="AT234" s="33"/>
      <c r="AU234" s="33"/>
      <c r="AV234" s="34" t="e">
        <f t="shared" ref="AV234:AY240" si="72">IF(1-EXP(-0.23*(AV150-AV$165))&lt;0, 0, 1-EXP(-0.23*(AV150-AV$165)))</f>
        <v>#VALUE!</v>
      </c>
      <c r="AW234" s="34" t="e">
        <f t="shared" si="72"/>
        <v>#VALUE!</v>
      </c>
      <c r="AX234" s="35" t="e">
        <f t="shared" si="72"/>
        <v>#VALUE!</v>
      </c>
      <c r="AY234" s="35" t="e">
        <f t="shared" si="72"/>
        <v>#VALUE!</v>
      </c>
    </row>
    <row r="235" spans="6:51" x14ac:dyDescent="0.3">
      <c r="F235">
        <v>65</v>
      </c>
      <c r="G235" s="28"/>
      <c r="H235" s="28"/>
      <c r="I235" s="28"/>
      <c r="J235" s="28"/>
      <c r="K235" s="28"/>
      <c r="L235" s="29"/>
      <c r="M235" s="30"/>
      <c r="N235" s="31"/>
      <c r="O235" s="31"/>
      <c r="P235" s="32"/>
      <c r="Q235" s="32"/>
      <c r="R235" s="32"/>
      <c r="S235" s="33"/>
      <c r="T235" s="33"/>
      <c r="U235" s="34"/>
      <c r="V235" s="34"/>
      <c r="W235" s="35"/>
      <c r="X235" s="35"/>
      <c r="AG235">
        <f t="shared" ref="AG235:AG240" si="73">AE79</f>
        <v>56.472915029924017</v>
      </c>
      <c r="AH235" s="28">
        <f t="shared" si="70"/>
        <v>0.99999999013466412</v>
      </c>
      <c r="AI235" s="28">
        <f t="shared" si="70"/>
        <v>0.9999999957964798</v>
      </c>
      <c r="AJ235" s="28">
        <f t="shared" si="70"/>
        <v>0.99999999799622907</v>
      </c>
      <c r="AK235" s="28">
        <f t="shared" si="70"/>
        <v>0.99999999370376325</v>
      </c>
      <c r="AL235" s="28">
        <f t="shared" si="70"/>
        <v>0.93219100639359409</v>
      </c>
      <c r="AM235" s="29" t="e">
        <f t="shared" si="69"/>
        <v>#VALUE!</v>
      </c>
      <c r="AN235" s="30">
        <f t="shared" si="71"/>
        <v>0.99607302499397599</v>
      </c>
      <c r="AO235" s="31"/>
      <c r="AP235" s="31"/>
      <c r="AQ235" s="32"/>
      <c r="AR235" s="32"/>
      <c r="AS235" s="32"/>
      <c r="AT235" s="33"/>
      <c r="AU235" s="33"/>
      <c r="AV235" s="34" t="e">
        <f t="shared" si="72"/>
        <v>#VALUE!</v>
      </c>
      <c r="AW235" s="34" t="e">
        <f t="shared" si="72"/>
        <v>#VALUE!</v>
      </c>
      <c r="AX235" s="35" t="e">
        <f t="shared" si="72"/>
        <v>#VALUE!</v>
      </c>
      <c r="AY235" s="35" t="e">
        <f t="shared" si="72"/>
        <v>#VALUE!</v>
      </c>
    </row>
    <row r="236" spans="6:51" x14ac:dyDescent="0.3">
      <c r="F236">
        <v>66</v>
      </c>
      <c r="G236" s="28"/>
      <c r="H236" s="28"/>
      <c r="I236" s="28"/>
      <c r="J236" s="28"/>
      <c r="K236" s="28"/>
      <c r="L236" s="29"/>
      <c r="M236" s="30"/>
      <c r="N236" s="31"/>
      <c r="O236" s="31"/>
      <c r="P236" s="32"/>
      <c r="Q236" s="32"/>
      <c r="R236" s="32"/>
      <c r="S236" s="33"/>
      <c r="T236" s="33"/>
      <c r="U236" s="34"/>
      <c r="V236" s="34"/>
      <c r="W236" s="35"/>
      <c r="X236" s="35"/>
      <c r="AG236">
        <f t="shared" si="73"/>
        <v>56.698909820073034</v>
      </c>
      <c r="AH236" s="28">
        <f t="shared" si="70"/>
        <v>0.99999999044725618</v>
      </c>
      <c r="AI236" s="28">
        <f t="shared" si="70"/>
        <v>0.99999999599130696</v>
      </c>
      <c r="AJ236" s="28">
        <f t="shared" si="70"/>
        <v>0.99999999810543383</v>
      </c>
      <c r="AK236" s="28">
        <f t="shared" si="70"/>
        <v>0.99999999398118733</v>
      </c>
      <c r="AL236" s="28">
        <f t="shared" si="70"/>
        <v>0.93276910652264067</v>
      </c>
      <c r="AM236" s="29" t="e">
        <f t="shared" si="69"/>
        <v>#VALUE!</v>
      </c>
      <c r="AN236" s="30">
        <f t="shared" si="71"/>
        <v>0.99615307659088492</v>
      </c>
      <c r="AO236" s="31"/>
      <c r="AP236" s="31"/>
      <c r="AQ236" s="32"/>
      <c r="AR236" s="32"/>
      <c r="AS236" s="32"/>
      <c r="AT236" s="33"/>
      <c r="AU236" s="33"/>
      <c r="AV236" s="34" t="e">
        <f t="shared" si="72"/>
        <v>#VALUE!</v>
      </c>
      <c r="AW236" s="34" t="e">
        <f t="shared" si="72"/>
        <v>#VALUE!</v>
      </c>
      <c r="AX236" s="35" t="e">
        <f t="shared" si="72"/>
        <v>#VALUE!</v>
      </c>
      <c r="AY236" s="35" t="e">
        <f t="shared" si="72"/>
        <v>#VALUE!</v>
      </c>
    </row>
    <row r="237" spans="6:51" x14ac:dyDescent="0.3">
      <c r="F237">
        <v>67</v>
      </c>
      <c r="G237" s="28"/>
      <c r="H237" s="28"/>
      <c r="I237" s="28"/>
      <c r="J237" s="28"/>
      <c r="K237" s="28"/>
      <c r="L237" s="29"/>
      <c r="M237" s="30"/>
      <c r="N237" s="31"/>
      <c r="O237" s="31"/>
      <c r="P237" s="32"/>
      <c r="Q237" s="32"/>
      <c r="R237" s="32"/>
      <c r="S237" s="33"/>
      <c r="T237" s="33"/>
      <c r="U237" s="34"/>
      <c r="V237" s="34"/>
      <c r="W237" s="35"/>
      <c r="X237" s="35"/>
      <c r="AG237">
        <f t="shared" si="73"/>
        <v>56.907154127745713</v>
      </c>
      <c r="AH237" s="28">
        <f t="shared" si="70"/>
        <v>0.99999999072301626</v>
      </c>
      <c r="AI237" s="28">
        <f t="shared" si="70"/>
        <v>0.99999999616193291</v>
      </c>
      <c r="AJ237" s="28">
        <f t="shared" si="70"/>
        <v>0.99999999820004914</v>
      </c>
      <c r="AK237" s="28">
        <f t="shared" si="70"/>
        <v>0.99999999422464469</v>
      </c>
      <c r="AL237" s="28">
        <f t="shared" si="70"/>
        <v>0.93328999293420356</v>
      </c>
      <c r="AM237" s="29" t="e">
        <f t="shared" si="69"/>
        <v>#VALUE!</v>
      </c>
      <c r="AN237" s="30">
        <f t="shared" si="71"/>
        <v>0.99622502411533154</v>
      </c>
      <c r="AO237" s="31"/>
      <c r="AP237" s="31"/>
      <c r="AQ237" s="32"/>
      <c r="AR237" s="32"/>
      <c r="AS237" s="32"/>
      <c r="AT237" s="33"/>
      <c r="AU237" s="33"/>
      <c r="AV237" s="34" t="e">
        <f t="shared" si="72"/>
        <v>#VALUE!</v>
      </c>
      <c r="AW237" s="34" t="e">
        <f t="shared" si="72"/>
        <v>#VALUE!</v>
      </c>
      <c r="AX237" s="35" t="e">
        <f t="shared" si="72"/>
        <v>#VALUE!</v>
      </c>
      <c r="AY237" s="35" t="e">
        <f t="shared" si="72"/>
        <v>#VALUE!</v>
      </c>
    </row>
    <row r="238" spans="6:51" x14ac:dyDescent="0.3">
      <c r="F238">
        <v>68</v>
      </c>
      <c r="G238" s="28"/>
      <c r="H238" s="28"/>
      <c r="I238" s="28"/>
      <c r="J238" s="28"/>
      <c r="K238" s="28"/>
      <c r="L238" s="29"/>
      <c r="M238" s="30"/>
      <c r="N238" s="31"/>
      <c r="O238" s="31"/>
      <c r="P238" s="32"/>
      <c r="Q238" s="32"/>
      <c r="R238" s="32"/>
      <c r="S238" s="33"/>
      <c r="T238" s="33"/>
      <c r="U238" s="34"/>
      <c r="V238" s="34"/>
      <c r="W238" s="35"/>
      <c r="X238" s="35"/>
      <c r="AG238">
        <f t="shared" si="73"/>
        <v>57.099042142728173</v>
      </c>
      <c r="AH238" s="28">
        <f t="shared" si="70"/>
        <v>0.99999999096719916</v>
      </c>
      <c r="AI238" s="28">
        <f t="shared" si="70"/>
        <v>0.99999999631199343</v>
      </c>
      <c r="AJ238" s="28">
        <f t="shared" si="70"/>
        <v>0.99999999828245156</v>
      </c>
      <c r="AK238" s="28">
        <f t="shared" si="70"/>
        <v>0.99999999443915977</v>
      </c>
      <c r="AL238" s="28">
        <f t="shared" si="70"/>
        <v>0.93376019762647</v>
      </c>
      <c r="AM238" s="29" t="e">
        <f t="shared" si="69"/>
        <v>#VALUE!</v>
      </c>
      <c r="AN238" s="30">
        <f t="shared" si="71"/>
        <v>0.99628981999310628</v>
      </c>
      <c r="AO238" s="31"/>
      <c r="AP238" s="31"/>
      <c r="AQ238" s="32"/>
      <c r="AR238" s="32"/>
      <c r="AS238" s="32"/>
      <c r="AT238" s="33"/>
      <c r="AU238" s="33"/>
      <c r="AV238" s="34" t="e">
        <f t="shared" si="72"/>
        <v>#VALUE!</v>
      </c>
      <c r="AW238" s="34" t="e">
        <f t="shared" si="72"/>
        <v>#VALUE!</v>
      </c>
      <c r="AX238" s="35" t="e">
        <f t="shared" si="72"/>
        <v>#VALUE!</v>
      </c>
      <c r="AY238" s="35" t="e">
        <f t="shared" si="72"/>
        <v>#VALUE!</v>
      </c>
    </row>
    <row r="239" spans="6:51" x14ac:dyDescent="0.3">
      <c r="F239">
        <v>69</v>
      </c>
      <c r="G239" s="28"/>
      <c r="H239" s="28"/>
      <c r="I239" s="28"/>
      <c r="J239" s="28"/>
      <c r="K239" s="28"/>
      <c r="L239" s="29"/>
      <c r="M239" s="30"/>
      <c r="N239" s="31"/>
      <c r="O239" s="31"/>
      <c r="P239" s="32"/>
      <c r="Q239" s="32"/>
      <c r="R239" s="32"/>
      <c r="S239" s="33"/>
      <c r="T239" s="33"/>
      <c r="U239" s="34"/>
      <c r="V239" s="34"/>
      <c r="W239" s="35"/>
      <c r="X239" s="35"/>
      <c r="AG239">
        <f t="shared" si="73"/>
        <v>57.275858549886756</v>
      </c>
      <c r="AH239" s="28">
        <f t="shared" si="70"/>
        <v>0.99999999118415839</v>
      </c>
      <c r="AI239" s="28">
        <f t="shared" si="70"/>
        <v>0.99999999644447535</v>
      </c>
      <c r="AJ239" s="28">
        <f t="shared" si="70"/>
        <v>0.99999999835455844</v>
      </c>
      <c r="AK239" s="28">
        <f t="shared" si="70"/>
        <v>0.99999999462887268</v>
      </c>
      <c r="AL239" s="28">
        <f t="shared" si="70"/>
        <v>0.93418537032570304</v>
      </c>
      <c r="AM239" s="29" t="e">
        <f t="shared" si="69"/>
        <v>#VALUE!</v>
      </c>
      <c r="AN239" s="30">
        <f t="shared" si="71"/>
        <v>0.99634828414289112</v>
      </c>
      <c r="AO239" s="31"/>
      <c r="AP239" s="31"/>
      <c r="AQ239" s="32"/>
      <c r="AR239" s="32"/>
      <c r="AS239" s="32"/>
      <c r="AT239" s="33"/>
      <c r="AU239" s="33"/>
      <c r="AV239" s="34" t="e">
        <f t="shared" si="72"/>
        <v>#VALUE!</v>
      </c>
      <c r="AW239" s="34" t="e">
        <f t="shared" si="72"/>
        <v>#VALUE!</v>
      </c>
      <c r="AX239" s="35" t="e">
        <f t="shared" si="72"/>
        <v>#VALUE!</v>
      </c>
      <c r="AY239" s="35" t="e">
        <f t="shared" si="72"/>
        <v>#VALUE!</v>
      </c>
    </row>
    <row r="240" spans="6:51" x14ac:dyDescent="0.3">
      <c r="F240">
        <v>70</v>
      </c>
      <c r="G240" s="28"/>
      <c r="H240" s="28"/>
      <c r="I240" s="28"/>
      <c r="J240" s="28"/>
      <c r="K240" s="28"/>
      <c r="L240" s="29"/>
      <c r="M240" s="30"/>
      <c r="N240" s="31"/>
      <c r="O240" s="31"/>
      <c r="P240" s="32"/>
      <c r="Q240" s="32"/>
      <c r="R240" s="32"/>
      <c r="S240" s="33"/>
      <c r="T240" s="33"/>
      <c r="U240" s="34"/>
      <c r="V240" s="34"/>
      <c r="W240" s="35"/>
      <c r="X240" s="35"/>
      <c r="AG240">
        <f t="shared" si="73"/>
        <v>57.43878713009709</v>
      </c>
      <c r="AH240" s="28">
        <f t="shared" si="70"/>
        <v>0.9999999913775266</v>
      </c>
      <c r="AI240" s="28">
        <f t="shared" si="70"/>
        <v>0.99999999656184924</v>
      </c>
      <c r="AJ240" s="28">
        <f t="shared" si="70"/>
        <v>0.99999999841792897</v>
      </c>
      <c r="AK240" s="28">
        <f t="shared" si="70"/>
        <v>0.99999999479721846</v>
      </c>
      <c r="AL240" s="28">
        <f t="shared" si="70"/>
        <v>0.93457041868712465</v>
      </c>
      <c r="AM240" s="29" t="e">
        <f t="shared" si="69"/>
        <v>#VALUE!</v>
      </c>
      <c r="AN240" s="30">
        <f t="shared" si="71"/>
        <v>0.99640112555531113</v>
      </c>
      <c r="AO240" s="31"/>
      <c r="AP240" s="31"/>
      <c r="AQ240" s="32"/>
      <c r="AR240" s="32"/>
      <c r="AS240" s="32"/>
      <c r="AT240" s="33"/>
      <c r="AU240" s="33"/>
      <c r="AV240" s="34" t="e">
        <f t="shared" si="72"/>
        <v>#VALUE!</v>
      </c>
      <c r="AW240" s="34" t="e">
        <f t="shared" si="72"/>
        <v>#VALUE!</v>
      </c>
      <c r="AX240" s="35" t="e">
        <f t="shared" si="72"/>
        <v>#VALUE!</v>
      </c>
      <c r="AY240" s="35" t="e">
        <f t="shared" si="72"/>
        <v>#VALUE!</v>
      </c>
    </row>
    <row r="242" spans="5:51" x14ac:dyDescent="0.3">
      <c r="E242" t="s">
        <v>66</v>
      </c>
      <c r="F242">
        <v>0</v>
      </c>
      <c r="G242" s="28"/>
      <c r="H242" s="28"/>
      <c r="I242" s="28"/>
      <c r="J242" s="28"/>
      <c r="K242" s="28"/>
      <c r="L242" s="29"/>
      <c r="M242" s="30"/>
      <c r="N242" s="31"/>
      <c r="O242" s="31"/>
      <c r="P242" s="32"/>
      <c r="Q242" s="32"/>
      <c r="R242" s="32"/>
      <c r="S242" s="33"/>
      <c r="T242" s="33"/>
      <c r="U242" s="34"/>
      <c r="V242" s="34"/>
      <c r="W242" s="35"/>
      <c r="X242" s="35"/>
      <c r="AF242" t="s">
        <v>66</v>
      </c>
      <c r="AG242">
        <f>AE14</f>
        <v>4.9458521066739074</v>
      </c>
      <c r="AH242" s="28">
        <f>AH170*AH$163</f>
        <v>0</v>
      </c>
      <c r="AI242" s="28">
        <f t="shared" ref="AI242:AU242" si="74">AI170*AI$163</f>
        <v>0.52828417179300124</v>
      </c>
      <c r="AJ242" s="28">
        <f t="shared" si="74"/>
        <v>0</v>
      </c>
      <c r="AK242" s="28">
        <f t="shared" si="74"/>
        <v>0.7321320291564406</v>
      </c>
      <c r="AL242" s="28">
        <f t="shared" si="74"/>
        <v>0</v>
      </c>
      <c r="AM242" s="29" t="e">
        <f t="shared" si="74"/>
        <v>#VALUE!</v>
      </c>
      <c r="AN242" s="30">
        <f t="shared" si="74"/>
        <v>0</v>
      </c>
      <c r="AO242" s="31">
        <f t="shared" si="74"/>
        <v>0</v>
      </c>
      <c r="AP242" s="31">
        <f t="shared" si="74"/>
        <v>0</v>
      </c>
      <c r="AQ242" s="32">
        <f t="shared" si="74"/>
        <v>0</v>
      </c>
      <c r="AR242" s="32">
        <f t="shared" si="74"/>
        <v>0</v>
      </c>
      <c r="AS242" s="32">
        <f t="shared" si="74"/>
        <v>0</v>
      </c>
      <c r="AT242" s="33">
        <f t="shared" si="74"/>
        <v>0</v>
      </c>
      <c r="AU242" s="33">
        <f t="shared" si="74"/>
        <v>0</v>
      </c>
      <c r="AV242" s="34" t="e">
        <f t="shared" ref="AV242:AW257" si="75">$C$5/100*AV$163*AV170</f>
        <v>#VALUE!</v>
      </c>
      <c r="AW242" s="34" t="e">
        <f t="shared" si="75"/>
        <v>#VALUE!</v>
      </c>
      <c r="AX242" s="35" t="e">
        <f t="shared" ref="AX242:AY257" si="76">AX170*AX$163</f>
        <v>#VALUE!</v>
      </c>
      <c r="AY242" s="35" t="e">
        <f t="shared" si="76"/>
        <v>#VALUE!</v>
      </c>
    </row>
    <row r="243" spans="5:51" x14ac:dyDescent="0.3">
      <c r="F243">
        <v>1</v>
      </c>
      <c r="G243" s="28"/>
      <c r="H243" s="28"/>
      <c r="I243" s="28"/>
      <c r="J243" s="28"/>
      <c r="K243" s="28"/>
      <c r="L243" s="29"/>
      <c r="M243" s="30"/>
      <c r="N243" s="31"/>
      <c r="O243" s="31"/>
      <c r="P243" s="32"/>
      <c r="Q243" s="32"/>
      <c r="R243" s="32"/>
      <c r="S243" s="33"/>
      <c r="T243" s="33"/>
      <c r="U243" s="34"/>
      <c r="V243" s="34"/>
      <c r="W243" s="35"/>
      <c r="X243" s="35"/>
      <c r="AG243">
        <f t="shared" ref="AG243:AG306" si="77">AE15</f>
        <v>5.2014595403979236</v>
      </c>
      <c r="AH243" s="28">
        <f t="shared" ref="AH243:AU258" si="78">AH171*AH$163</f>
        <v>0</v>
      </c>
      <c r="AI243" s="28">
        <f t="shared" si="78"/>
        <v>0.55261614698693118</v>
      </c>
      <c r="AJ243" s="28">
        <f t="shared" si="78"/>
        <v>0</v>
      </c>
      <c r="AK243" s="28">
        <f t="shared" si="78"/>
        <v>0.77463426687747416</v>
      </c>
      <c r="AL243" s="28">
        <f t="shared" si="78"/>
        <v>0</v>
      </c>
      <c r="AM243" s="29" t="e">
        <f t="shared" si="78"/>
        <v>#VALUE!</v>
      </c>
      <c r="AN243" s="30">
        <f t="shared" si="78"/>
        <v>0</v>
      </c>
      <c r="AO243" s="31">
        <f t="shared" si="78"/>
        <v>0</v>
      </c>
      <c r="AP243" s="31">
        <f t="shared" si="78"/>
        <v>0</v>
      </c>
      <c r="AQ243" s="32">
        <f t="shared" si="78"/>
        <v>0</v>
      </c>
      <c r="AR243" s="32">
        <f t="shared" si="78"/>
        <v>0</v>
      </c>
      <c r="AS243" s="32">
        <f t="shared" si="78"/>
        <v>0</v>
      </c>
      <c r="AT243" s="33">
        <f t="shared" si="78"/>
        <v>0</v>
      </c>
      <c r="AU243" s="33">
        <f t="shared" si="78"/>
        <v>0</v>
      </c>
      <c r="AV243" s="34" t="e">
        <f t="shared" si="75"/>
        <v>#VALUE!</v>
      </c>
      <c r="AW243" s="34" t="e">
        <f t="shared" si="75"/>
        <v>#VALUE!</v>
      </c>
      <c r="AX243" s="35" t="e">
        <f t="shared" si="76"/>
        <v>#VALUE!</v>
      </c>
      <c r="AY243" s="35" t="e">
        <f t="shared" si="76"/>
        <v>#VALUE!</v>
      </c>
    </row>
    <row r="244" spans="5:51" x14ac:dyDescent="0.3">
      <c r="F244">
        <v>2</v>
      </c>
      <c r="G244" s="28"/>
      <c r="H244" s="28"/>
      <c r="I244" s="28"/>
      <c r="J244" s="28"/>
      <c r="K244" s="28"/>
      <c r="L244" s="29"/>
      <c r="M244" s="30"/>
      <c r="N244" s="31"/>
      <c r="O244" s="31"/>
      <c r="P244" s="32"/>
      <c r="Q244" s="32"/>
      <c r="R244" s="32"/>
      <c r="S244" s="33"/>
      <c r="T244" s="33"/>
      <c r="U244" s="34"/>
      <c r="V244" s="34"/>
      <c r="W244" s="35"/>
      <c r="X244" s="35"/>
      <c r="AG244">
        <f t="shared" si="77"/>
        <v>5.4702770658848543</v>
      </c>
      <c r="AH244" s="28">
        <f t="shared" si="78"/>
        <v>0</v>
      </c>
      <c r="AI244" s="28">
        <f t="shared" si="78"/>
        <v>0.57621491929312296</v>
      </c>
      <c r="AJ244" s="28">
        <f t="shared" si="78"/>
        <v>0</v>
      </c>
      <c r="AK244" s="28">
        <f t="shared" si="78"/>
        <v>0.8157813307920031</v>
      </c>
      <c r="AL244" s="28">
        <f t="shared" si="78"/>
        <v>0</v>
      </c>
      <c r="AM244" s="29" t="e">
        <f t="shared" si="78"/>
        <v>#VALUE!</v>
      </c>
      <c r="AN244" s="30">
        <f t="shared" si="78"/>
        <v>0</v>
      </c>
      <c r="AO244" s="31">
        <f t="shared" si="78"/>
        <v>0</v>
      </c>
      <c r="AP244" s="31">
        <f t="shared" si="78"/>
        <v>0</v>
      </c>
      <c r="AQ244" s="32">
        <f t="shared" si="78"/>
        <v>0</v>
      </c>
      <c r="AR244" s="32">
        <f t="shared" si="78"/>
        <v>0</v>
      </c>
      <c r="AS244" s="32">
        <f t="shared" si="78"/>
        <v>0</v>
      </c>
      <c r="AT244" s="33">
        <f t="shared" si="78"/>
        <v>0</v>
      </c>
      <c r="AU244" s="33">
        <f t="shared" si="78"/>
        <v>0</v>
      </c>
      <c r="AV244" s="34" t="e">
        <f t="shared" si="75"/>
        <v>#VALUE!</v>
      </c>
      <c r="AW244" s="34" t="e">
        <f t="shared" si="75"/>
        <v>#VALUE!</v>
      </c>
      <c r="AX244" s="35" t="e">
        <f t="shared" si="76"/>
        <v>#VALUE!</v>
      </c>
      <c r="AY244" s="35" t="e">
        <f t="shared" si="76"/>
        <v>#VALUE!</v>
      </c>
    </row>
    <row r="245" spans="5:51" x14ac:dyDescent="0.3">
      <c r="F245">
        <v>3</v>
      </c>
      <c r="G245" s="28"/>
      <c r="H245" s="28"/>
      <c r="I245" s="28"/>
      <c r="J245" s="28"/>
      <c r="K245" s="28"/>
      <c r="L245" s="29"/>
      <c r="M245" s="30"/>
      <c r="N245" s="31"/>
      <c r="O245" s="31"/>
      <c r="P245" s="32"/>
      <c r="Q245" s="32"/>
      <c r="R245" s="32"/>
      <c r="S245" s="33"/>
      <c r="T245" s="33"/>
      <c r="U245" s="34"/>
      <c r="V245" s="34"/>
      <c r="W245" s="35"/>
      <c r="X245" s="35"/>
      <c r="AG245">
        <f t="shared" si="77"/>
        <v>5.7529873961600746</v>
      </c>
      <c r="AH245" s="28">
        <f t="shared" si="78"/>
        <v>0</v>
      </c>
      <c r="AI245" s="28">
        <f t="shared" si="78"/>
        <v>0.59894063006317222</v>
      </c>
      <c r="AJ245" s="28">
        <f t="shared" si="78"/>
        <v>0</v>
      </c>
      <c r="AK245" s="28">
        <f t="shared" si="78"/>
        <v>0.85533143844343396</v>
      </c>
      <c r="AL245" s="28">
        <f t="shared" si="78"/>
        <v>0</v>
      </c>
      <c r="AM245" s="29" t="e">
        <f t="shared" si="78"/>
        <v>#VALUE!</v>
      </c>
      <c r="AN245" s="30">
        <f t="shared" si="78"/>
        <v>0</v>
      </c>
      <c r="AO245" s="31">
        <f t="shared" si="78"/>
        <v>0</v>
      </c>
      <c r="AP245" s="31">
        <f t="shared" si="78"/>
        <v>0</v>
      </c>
      <c r="AQ245" s="32">
        <f t="shared" si="78"/>
        <v>0</v>
      </c>
      <c r="AR245" s="32">
        <f t="shared" si="78"/>
        <v>0</v>
      </c>
      <c r="AS245" s="32">
        <f t="shared" si="78"/>
        <v>0</v>
      </c>
      <c r="AT245" s="33">
        <f t="shared" si="78"/>
        <v>0</v>
      </c>
      <c r="AU245" s="33">
        <f t="shared" si="78"/>
        <v>0</v>
      </c>
      <c r="AV245" s="34" t="e">
        <f t="shared" si="75"/>
        <v>#VALUE!</v>
      </c>
      <c r="AW245" s="34" t="e">
        <f t="shared" si="75"/>
        <v>#VALUE!</v>
      </c>
      <c r="AX245" s="35" t="e">
        <f t="shared" si="76"/>
        <v>#VALUE!</v>
      </c>
      <c r="AY245" s="35" t="e">
        <f t="shared" si="76"/>
        <v>#VALUE!</v>
      </c>
    </row>
    <row r="246" spans="5:51" x14ac:dyDescent="0.3">
      <c r="F246">
        <v>4</v>
      </c>
      <c r="G246" s="28"/>
      <c r="H246" s="28"/>
      <c r="I246" s="28"/>
      <c r="J246" s="28"/>
      <c r="K246" s="28"/>
      <c r="L246" s="29"/>
      <c r="M246" s="30"/>
      <c r="N246" s="31"/>
      <c r="O246" s="31"/>
      <c r="P246" s="32"/>
      <c r="Q246" s="32"/>
      <c r="R246" s="32"/>
      <c r="S246" s="33"/>
      <c r="T246" s="33"/>
      <c r="U246" s="34"/>
      <c r="V246" s="34"/>
      <c r="W246" s="35"/>
      <c r="X246" s="35"/>
      <c r="AG246">
        <f t="shared" si="77"/>
        <v>6.0503085276582826</v>
      </c>
      <c r="AH246" s="28">
        <f t="shared" si="78"/>
        <v>0</v>
      </c>
      <c r="AI246" s="28">
        <f t="shared" si="78"/>
        <v>0.62066152525840579</v>
      </c>
      <c r="AJ246" s="28">
        <f t="shared" si="78"/>
        <v>0</v>
      </c>
      <c r="AK246" s="28">
        <f t="shared" si="78"/>
        <v>0.89305863983243861</v>
      </c>
      <c r="AL246" s="28">
        <f t="shared" si="78"/>
        <v>0</v>
      </c>
      <c r="AM246" s="29" t="e">
        <f t="shared" si="78"/>
        <v>#VALUE!</v>
      </c>
      <c r="AN246" s="30">
        <f t="shared" si="78"/>
        <v>0</v>
      </c>
      <c r="AO246" s="31">
        <f t="shared" si="78"/>
        <v>0</v>
      </c>
      <c r="AP246" s="31">
        <f t="shared" si="78"/>
        <v>0</v>
      </c>
      <c r="AQ246" s="32">
        <f t="shared" si="78"/>
        <v>0</v>
      </c>
      <c r="AR246" s="32">
        <f t="shared" si="78"/>
        <v>0</v>
      </c>
      <c r="AS246" s="32">
        <f t="shared" si="78"/>
        <v>0</v>
      </c>
      <c r="AT246" s="33">
        <f t="shared" si="78"/>
        <v>0</v>
      </c>
      <c r="AU246" s="33">
        <f t="shared" si="78"/>
        <v>0</v>
      </c>
      <c r="AV246" s="34" t="e">
        <f t="shared" si="75"/>
        <v>#VALUE!</v>
      </c>
      <c r="AW246" s="34" t="e">
        <f t="shared" si="75"/>
        <v>#VALUE!</v>
      </c>
      <c r="AX246" s="35" t="e">
        <f t="shared" si="76"/>
        <v>#VALUE!</v>
      </c>
      <c r="AY246" s="35" t="e">
        <f t="shared" si="76"/>
        <v>#VALUE!</v>
      </c>
    </row>
    <row r="247" spans="5:51" x14ac:dyDescent="0.3">
      <c r="F247">
        <v>5</v>
      </c>
      <c r="G247" s="28"/>
      <c r="H247" s="28"/>
      <c r="I247" s="28"/>
      <c r="J247" s="28"/>
      <c r="K247" s="28"/>
      <c r="L247" s="29"/>
      <c r="M247" s="30"/>
      <c r="N247" s="31"/>
      <c r="O247" s="31"/>
      <c r="P247" s="32"/>
      <c r="Q247" s="32"/>
      <c r="R247" s="32"/>
      <c r="S247" s="33"/>
      <c r="T247" s="33"/>
      <c r="U247" s="34"/>
      <c r="V247" s="34"/>
      <c r="W247" s="35"/>
      <c r="X247" s="35"/>
      <c r="AG247">
        <f t="shared" si="77"/>
        <v>6.3629955637114666</v>
      </c>
      <c r="AH247" s="28">
        <f t="shared" si="78"/>
        <v>0</v>
      </c>
      <c r="AI247" s="28">
        <f t="shared" si="78"/>
        <v>0.64125731074335179</v>
      </c>
      <c r="AJ247" s="28">
        <f t="shared" si="78"/>
        <v>0</v>
      </c>
      <c r="AK247" s="28">
        <f t="shared" si="78"/>
        <v>0.92875864724720358</v>
      </c>
      <c r="AL247" s="28">
        <f t="shared" si="78"/>
        <v>0</v>
      </c>
      <c r="AM247" s="29" t="e">
        <f t="shared" si="78"/>
        <v>#VALUE!</v>
      </c>
      <c r="AN247" s="30">
        <f t="shared" si="78"/>
        <v>0</v>
      </c>
      <c r="AO247" s="31">
        <f t="shared" si="78"/>
        <v>0</v>
      </c>
      <c r="AP247" s="31">
        <f t="shared" si="78"/>
        <v>0</v>
      </c>
      <c r="AQ247" s="32">
        <f t="shared" si="78"/>
        <v>0</v>
      </c>
      <c r="AR247" s="32">
        <f t="shared" si="78"/>
        <v>0</v>
      </c>
      <c r="AS247" s="32">
        <f t="shared" si="78"/>
        <v>0</v>
      </c>
      <c r="AT247" s="33">
        <f t="shared" si="78"/>
        <v>0</v>
      </c>
      <c r="AU247" s="33">
        <f t="shared" si="78"/>
        <v>0</v>
      </c>
      <c r="AV247" s="34" t="e">
        <f t="shared" si="75"/>
        <v>#VALUE!</v>
      </c>
      <c r="AW247" s="34" t="e">
        <f t="shared" si="75"/>
        <v>#VALUE!</v>
      </c>
      <c r="AX247" s="35" t="e">
        <f t="shared" si="76"/>
        <v>#VALUE!</v>
      </c>
      <c r="AY247" s="35" t="e">
        <f t="shared" si="76"/>
        <v>#VALUE!</v>
      </c>
    </row>
    <row r="248" spans="5:51" x14ac:dyDescent="0.3">
      <c r="F248">
        <v>6</v>
      </c>
      <c r="G248" s="28"/>
      <c r="H248" s="28"/>
      <c r="I248" s="28"/>
      <c r="J248" s="28"/>
      <c r="K248" s="28"/>
      <c r="L248" s="29"/>
      <c r="M248" s="30"/>
      <c r="N248" s="31"/>
      <c r="O248" s="31"/>
      <c r="P248" s="32"/>
      <c r="Q248" s="32"/>
      <c r="R248" s="32"/>
      <c r="S248" s="33"/>
      <c r="T248" s="33"/>
      <c r="U248" s="34"/>
      <c r="V248" s="34"/>
      <c r="W248" s="35"/>
      <c r="X248" s="35"/>
      <c r="AG248">
        <f t="shared" si="77"/>
        <v>6.6918426322768392</v>
      </c>
      <c r="AH248" s="28">
        <f t="shared" si="78"/>
        <v>0</v>
      </c>
      <c r="AI248" s="28">
        <f t="shared" si="78"/>
        <v>0.66062241025582247</v>
      </c>
      <c r="AJ248" s="28">
        <f t="shared" si="78"/>
        <v>0</v>
      </c>
      <c r="AK248" s="28">
        <f t="shared" si="78"/>
        <v>0.9622544186623011</v>
      </c>
      <c r="AL248" s="28">
        <f t="shared" si="78"/>
        <v>0</v>
      </c>
      <c r="AM248" s="29" t="e">
        <f t="shared" si="78"/>
        <v>#VALUE!</v>
      </c>
      <c r="AN248" s="30">
        <f t="shared" si="78"/>
        <v>0</v>
      </c>
      <c r="AO248" s="31">
        <f t="shared" si="78"/>
        <v>0</v>
      </c>
      <c r="AP248" s="31">
        <f t="shared" si="78"/>
        <v>0</v>
      </c>
      <c r="AQ248" s="32">
        <f t="shared" si="78"/>
        <v>0</v>
      </c>
      <c r="AR248" s="32">
        <f t="shared" si="78"/>
        <v>0</v>
      </c>
      <c r="AS248" s="32">
        <f t="shared" si="78"/>
        <v>0</v>
      </c>
      <c r="AT248" s="33">
        <f t="shared" si="78"/>
        <v>0</v>
      </c>
      <c r="AU248" s="33">
        <f t="shared" si="78"/>
        <v>0</v>
      </c>
      <c r="AV248" s="34" t="e">
        <f t="shared" si="75"/>
        <v>#VALUE!</v>
      </c>
      <c r="AW248" s="34" t="e">
        <f t="shared" si="75"/>
        <v>#VALUE!</v>
      </c>
      <c r="AX248" s="35" t="e">
        <f t="shared" si="76"/>
        <v>#VALUE!</v>
      </c>
      <c r="AY248" s="35" t="e">
        <f t="shared" si="76"/>
        <v>#VALUE!</v>
      </c>
    </row>
    <row r="249" spans="5:51" x14ac:dyDescent="0.3">
      <c r="F249">
        <v>7</v>
      </c>
      <c r="G249" s="28"/>
      <c r="H249" s="28"/>
      <c r="I249" s="28"/>
      <c r="J249" s="28"/>
      <c r="K249" s="28"/>
      <c r="L249" s="29"/>
      <c r="M249" s="30"/>
      <c r="N249" s="31"/>
      <c r="O249" s="31"/>
      <c r="P249" s="32"/>
      <c r="Q249" s="32"/>
      <c r="R249" s="32"/>
      <c r="S249" s="33"/>
      <c r="T249" s="33"/>
      <c r="U249" s="34"/>
      <c r="V249" s="34"/>
      <c r="W249" s="35"/>
      <c r="X249" s="35"/>
      <c r="AG249">
        <f t="shared" si="77"/>
        <v>7.0376849027752071</v>
      </c>
      <c r="AH249" s="28">
        <f t="shared" si="78"/>
        <v>0</v>
      </c>
      <c r="AI249" s="28">
        <f t="shared" si="78"/>
        <v>0.67866897078505695</v>
      </c>
      <c r="AJ249" s="28">
        <f t="shared" si="78"/>
        <v>0</v>
      </c>
      <c r="AK249" s="28">
        <f t="shared" si="78"/>
        <v>0.99340122012941112</v>
      </c>
      <c r="AL249" s="28">
        <f t="shared" si="78"/>
        <v>0</v>
      </c>
      <c r="AM249" s="29" t="e">
        <f t="shared" si="78"/>
        <v>#VALUE!</v>
      </c>
      <c r="AN249" s="30">
        <f t="shared" si="78"/>
        <v>0</v>
      </c>
      <c r="AO249" s="31">
        <f t="shared" si="78"/>
        <v>0</v>
      </c>
      <c r="AP249" s="31">
        <f t="shared" si="78"/>
        <v>0</v>
      </c>
      <c r="AQ249" s="32">
        <f t="shared" si="78"/>
        <v>0</v>
      </c>
      <c r="AR249" s="32">
        <f t="shared" si="78"/>
        <v>0</v>
      </c>
      <c r="AS249" s="32">
        <f t="shared" si="78"/>
        <v>0</v>
      </c>
      <c r="AT249" s="33">
        <f t="shared" si="78"/>
        <v>0</v>
      </c>
      <c r="AU249" s="33">
        <f t="shared" si="78"/>
        <v>0</v>
      </c>
      <c r="AV249" s="34" t="e">
        <f t="shared" si="75"/>
        <v>#VALUE!</v>
      </c>
      <c r="AW249" s="34" t="e">
        <f t="shared" si="75"/>
        <v>#VALUE!</v>
      </c>
      <c r="AX249" s="35" t="e">
        <f t="shared" si="76"/>
        <v>#VALUE!</v>
      </c>
      <c r="AY249" s="35" t="e">
        <f t="shared" si="76"/>
        <v>#VALUE!</v>
      </c>
    </row>
    <row r="250" spans="5:51" x14ac:dyDescent="0.3">
      <c r="F250">
        <v>8</v>
      </c>
      <c r="G250" s="28"/>
      <c r="H250" s="28"/>
      <c r="I250" s="28"/>
      <c r="J250" s="28"/>
      <c r="K250" s="28"/>
      <c r="L250" s="29"/>
      <c r="M250" s="30"/>
      <c r="N250" s="31"/>
      <c r="O250" s="31"/>
      <c r="P250" s="32"/>
      <c r="Q250" s="32"/>
      <c r="R250" s="32"/>
      <c r="S250" s="33"/>
      <c r="T250" s="33"/>
      <c r="U250" s="34"/>
      <c r="V250" s="34"/>
      <c r="W250" s="35"/>
      <c r="X250" s="35"/>
      <c r="AG250">
        <f t="shared" si="77"/>
        <v>7.4014007071619208</v>
      </c>
      <c r="AH250" s="28">
        <f t="shared" si="78"/>
        <v>1.3039564554529232E-2</v>
      </c>
      <c r="AI250" s="28">
        <f t="shared" si="78"/>
        <v>0.69532945329146578</v>
      </c>
      <c r="AJ250" s="28">
        <f t="shared" si="78"/>
        <v>0</v>
      </c>
      <c r="AK250" s="28">
        <f t="shared" si="78"/>
        <v>1.0220908860453488</v>
      </c>
      <c r="AL250" s="28">
        <f t="shared" si="78"/>
        <v>0</v>
      </c>
      <c r="AM250" s="29" t="e">
        <f t="shared" si="78"/>
        <v>#VALUE!</v>
      </c>
      <c r="AN250" s="30">
        <f t="shared" si="78"/>
        <v>0</v>
      </c>
      <c r="AO250" s="31">
        <f t="shared" si="78"/>
        <v>0</v>
      </c>
      <c r="AP250" s="31">
        <f t="shared" si="78"/>
        <v>0</v>
      </c>
      <c r="AQ250" s="32">
        <f t="shared" si="78"/>
        <v>0</v>
      </c>
      <c r="AR250" s="32">
        <f t="shared" si="78"/>
        <v>0</v>
      </c>
      <c r="AS250" s="32">
        <f t="shared" si="78"/>
        <v>0</v>
      </c>
      <c r="AT250" s="33">
        <f t="shared" si="78"/>
        <v>0</v>
      </c>
      <c r="AU250" s="33">
        <f t="shared" si="78"/>
        <v>0</v>
      </c>
      <c r="AV250" s="34" t="e">
        <f t="shared" si="75"/>
        <v>#VALUE!</v>
      </c>
      <c r="AW250" s="34" t="e">
        <f t="shared" si="75"/>
        <v>#VALUE!</v>
      </c>
      <c r="AX250" s="35" t="e">
        <f t="shared" si="76"/>
        <v>#VALUE!</v>
      </c>
      <c r="AY250" s="35" t="e">
        <f t="shared" si="76"/>
        <v>#VALUE!</v>
      </c>
    </row>
    <row r="251" spans="5:51" x14ac:dyDescent="0.3">
      <c r="F251">
        <v>9</v>
      </c>
      <c r="G251" s="28"/>
      <c r="H251" s="28"/>
      <c r="I251" s="28"/>
      <c r="J251" s="28"/>
      <c r="K251" s="28"/>
      <c r="L251" s="29"/>
      <c r="M251" s="30"/>
      <c r="N251" s="31"/>
      <c r="O251" s="31"/>
      <c r="P251" s="32"/>
      <c r="Q251" s="32"/>
      <c r="R251" s="32"/>
      <c r="S251" s="33"/>
      <c r="T251" s="33"/>
      <c r="U251" s="34"/>
      <c r="V251" s="34"/>
      <c r="W251" s="35"/>
      <c r="X251" s="35"/>
      <c r="AG251">
        <f t="shared" si="77"/>
        <v>7.7839137706172403</v>
      </c>
      <c r="AH251" s="28">
        <f t="shared" si="78"/>
        <v>5.085108806465094E-2</v>
      </c>
      <c r="AI251" s="28">
        <f t="shared" si="78"/>
        <v>0.71055865059823275</v>
      </c>
      <c r="AJ251" s="28">
        <f t="shared" si="78"/>
        <v>0</v>
      </c>
      <c r="AK251" s="28">
        <f t="shared" si="78"/>
        <v>1.04825500913092</v>
      </c>
      <c r="AL251" s="28">
        <f t="shared" si="78"/>
        <v>0</v>
      </c>
      <c r="AM251" s="29" t="e">
        <f t="shared" si="78"/>
        <v>#VALUE!</v>
      </c>
      <c r="AN251" s="30">
        <f t="shared" si="78"/>
        <v>0</v>
      </c>
      <c r="AO251" s="31">
        <f t="shared" si="78"/>
        <v>0</v>
      </c>
      <c r="AP251" s="31">
        <f t="shared" si="78"/>
        <v>0</v>
      </c>
      <c r="AQ251" s="32">
        <f t="shared" si="78"/>
        <v>0</v>
      </c>
      <c r="AR251" s="32">
        <f t="shared" si="78"/>
        <v>0</v>
      </c>
      <c r="AS251" s="32">
        <f t="shared" si="78"/>
        <v>0</v>
      </c>
      <c r="AT251" s="33">
        <f t="shared" si="78"/>
        <v>0</v>
      </c>
      <c r="AU251" s="33">
        <f t="shared" si="78"/>
        <v>0</v>
      </c>
      <c r="AV251" s="34" t="e">
        <f t="shared" si="75"/>
        <v>#VALUE!</v>
      </c>
      <c r="AW251" s="34" t="e">
        <f t="shared" si="75"/>
        <v>#VALUE!</v>
      </c>
      <c r="AX251" s="35" t="e">
        <f t="shared" si="76"/>
        <v>#VALUE!</v>
      </c>
      <c r="AY251" s="35" t="e">
        <f t="shared" si="76"/>
        <v>#VALUE!</v>
      </c>
    </row>
    <row r="252" spans="5:51" x14ac:dyDescent="0.3">
      <c r="F252">
        <v>10</v>
      </c>
      <c r="G252" s="28"/>
      <c r="H252" s="28"/>
      <c r="I252" s="28"/>
      <c r="J252" s="28"/>
      <c r="K252" s="28"/>
      <c r="L252" s="29"/>
      <c r="M252" s="30"/>
      <c r="N252" s="31"/>
      <c r="O252" s="31"/>
      <c r="P252" s="32"/>
      <c r="Q252" s="32"/>
      <c r="R252" s="32"/>
      <c r="S252" s="33"/>
      <c r="T252" s="33"/>
      <c r="U252" s="34"/>
      <c r="V252" s="34"/>
      <c r="W252" s="35"/>
      <c r="X252" s="35"/>
      <c r="AG252">
        <f t="shared" si="77"/>
        <v>8.1861955575214029</v>
      </c>
      <c r="AH252" s="28">
        <f t="shared" si="78"/>
        <v>9.2774184817095345E-2</v>
      </c>
      <c r="AI252" s="28">
        <f t="shared" si="78"/>
        <v>0.72433499058678752</v>
      </c>
      <c r="AJ252" s="28">
        <f t="shared" si="78"/>
        <v>0</v>
      </c>
      <c r="AK252" s="28">
        <f t="shared" si="78"/>
        <v>1.0718668268790659</v>
      </c>
      <c r="AL252" s="28">
        <f t="shared" si="78"/>
        <v>0</v>
      </c>
      <c r="AM252" s="29" t="e">
        <f t="shared" si="78"/>
        <v>#VALUE!</v>
      </c>
      <c r="AN252" s="30">
        <f t="shared" si="78"/>
        <v>0</v>
      </c>
      <c r="AO252" s="31">
        <f t="shared" si="78"/>
        <v>0</v>
      </c>
      <c r="AP252" s="31">
        <f t="shared" si="78"/>
        <v>0</v>
      </c>
      <c r="AQ252" s="32">
        <f t="shared" si="78"/>
        <v>0</v>
      </c>
      <c r="AR252" s="32">
        <f t="shared" si="78"/>
        <v>0</v>
      </c>
      <c r="AS252" s="32">
        <f t="shared" si="78"/>
        <v>0</v>
      </c>
      <c r="AT252" s="33">
        <f t="shared" si="78"/>
        <v>0</v>
      </c>
      <c r="AU252" s="33">
        <f t="shared" si="78"/>
        <v>0</v>
      </c>
      <c r="AV252" s="34" t="e">
        <f t="shared" si="75"/>
        <v>#VALUE!</v>
      </c>
      <c r="AW252" s="34" t="e">
        <f t="shared" si="75"/>
        <v>#VALUE!</v>
      </c>
      <c r="AX252" s="35" t="e">
        <f t="shared" si="76"/>
        <v>#VALUE!</v>
      </c>
      <c r="AY252" s="35" t="e">
        <f t="shared" si="76"/>
        <v>#VALUE!</v>
      </c>
    </row>
    <row r="253" spans="5:51" x14ac:dyDescent="0.3">
      <c r="F253">
        <v>11</v>
      </c>
      <c r="G253" s="28"/>
      <c r="H253" s="28"/>
      <c r="I253" s="28"/>
      <c r="J253" s="28"/>
      <c r="K253" s="28"/>
      <c r="L253" s="29"/>
      <c r="M253" s="30"/>
      <c r="N253" s="31"/>
      <c r="O253" s="31"/>
      <c r="P253" s="32"/>
      <c r="Q253" s="32"/>
      <c r="R253" s="32"/>
      <c r="S253" s="33"/>
      <c r="T253" s="33"/>
      <c r="U253" s="34"/>
      <c r="V253" s="34"/>
      <c r="W253" s="35"/>
      <c r="X253" s="35"/>
      <c r="AG253">
        <f t="shared" si="77"/>
        <v>8.6092677386724414</v>
      </c>
      <c r="AH253" s="28">
        <f t="shared" si="78"/>
        <v>0.13865300750476461</v>
      </c>
      <c r="AI253" s="28">
        <f t="shared" si="78"/>
        <v>0.73666101228101644</v>
      </c>
      <c r="AJ253" s="28">
        <f t="shared" si="78"/>
        <v>0</v>
      </c>
      <c r="AK253" s="28">
        <f t="shared" si="78"/>
        <v>1.0929416287798981</v>
      </c>
      <c r="AL253" s="28">
        <f t="shared" si="78"/>
        <v>0</v>
      </c>
      <c r="AM253" s="29" t="e">
        <f t="shared" si="78"/>
        <v>#VALUE!</v>
      </c>
      <c r="AN253" s="30">
        <f t="shared" si="78"/>
        <v>0</v>
      </c>
      <c r="AO253" s="31">
        <f t="shared" si="78"/>
        <v>0</v>
      </c>
      <c r="AP253" s="31">
        <f t="shared" si="78"/>
        <v>0</v>
      </c>
      <c r="AQ253" s="32">
        <f t="shared" si="78"/>
        <v>0</v>
      </c>
      <c r="AR253" s="32">
        <f t="shared" si="78"/>
        <v>0</v>
      </c>
      <c r="AS253" s="32">
        <f t="shared" si="78"/>
        <v>0</v>
      </c>
      <c r="AT253" s="33">
        <f t="shared" si="78"/>
        <v>0</v>
      </c>
      <c r="AU253" s="33">
        <f t="shared" si="78"/>
        <v>0</v>
      </c>
      <c r="AV253" s="34" t="e">
        <f t="shared" si="75"/>
        <v>#VALUE!</v>
      </c>
      <c r="AW253" s="34" t="e">
        <f t="shared" si="75"/>
        <v>#VALUE!</v>
      </c>
      <c r="AX253" s="35" t="e">
        <f t="shared" si="76"/>
        <v>#VALUE!</v>
      </c>
      <c r="AY253" s="35" t="e">
        <f t="shared" si="76"/>
        <v>#VALUE!</v>
      </c>
    </row>
    <row r="254" spans="5:51" x14ac:dyDescent="0.3">
      <c r="F254">
        <v>12</v>
      </c>
      <c r="G254" s="28"/>
      <c r="H254" s="28"/>
      <c r="I254" s="28"/>
      <c r="J254" s="28"/>
      <c r="K254" s="28"/>
      <c r="L254" s="29"/>
      <c r="M254" s="30"/>
      <c r="N254" s="31"/>
      <c r="O254" s="31"/>
      <c r="P254" s="32"/>
      <c r="Q254" s="32"/>
      <c r="R254" s="32"/>
      <c r="S254" s="33"/>
      <c r="T254" s="33"/>
      <c r="U254" s="34"/>
      <c r="V254" s="34"/>
      <c r="W254" s="35"/>
      <c r="X254" s="35"/>
      <c r="AG254">
        <f t="shared" si="77"/>
        <v>9.0542047860126846</v>
      </c>
      <c r="AH254" s="28">
        <f t="shared" si="78"/>
        <v>0.18813154346064484</v>
      </c>
      <c r="AI254" s="28">
        <f t="shared" si="78"/>
        <v>0.7475629444582107</v>
      </c>
      <c r="AJ254" s="28">
        <f t="shared" si="78"/>
        <v>0</v>
      </c>
      <c r="AK254" s="28">
        <f t="shared" si="78"/>
        <v>1.1115355870831742</v>
      </c>
      <c r="AL254" s="28">
        <f t="shared" si="78"/>
        <v>0</v>
      </c>
      <c r="AM254" s="29" t="e">
        <f t="shared" si="78"/>
        <v>#VALUE!</v>
      </c>
      <c r="AN254" s="30">
        <f t="shared" si="78"/>
        <v>0</v>
      </c>
      <c r="AO254" s="31">
        <f t="shared" si="78"/>
        <v>0</v>
      </c>
      <c r="AP254" s="31">
        <f t="shared" si="78"/>
        <v>0</v>
      </c>
      <c r="AQ254" s="32">
        <f t="shared" si="78"/>
        <v>0</v>
      </c>
      <c r="AR254" s="32">
        <f t="shared" si="78"/>
        <v>0</v>
      </c>
      <c r="AS254" s="32">
        <f t="shared" si="78"/>
        <v>0</v>
      </c>
      <c r="AT254" s="33">
        <f t="shared" si="78"/>
        <v>0</v>
      </c>
      <c r="AU254" s="33">
        <f t="shared" si="78"/>
        <v>0</v>
      </c>
      <c r="AV254" s="34" t="e">
        <f t="shared" si="75"/>
        <v>#VALUE!</v>
      </c>
      <c r="AW254" s="34" t="e">
        <f t="shared" si="75"/>
        <v>#VALUE!</v>
      </c>
      <c r="AX254" s="35" t="e">
        <f t="shared" si="76"/>
        <v>#VALUE!</v>
      </c>
      <c r="AY254" s="35" t="e">
        <f t="shared" si="76"/>
        <v>#VALUE!</v>
      </c>
    </row>
    <row r="255" spans="5:51" x14ac:dyDescent="0.3">
      <c r="F255">
        <v>13</v>
      </c>
      <c r="G255" s="28"/>
      <c r="H255" s="28"/>
      <c r="I255" s="28"/>
      <c r="J255" s="28"/>
      <c r="K255" s="28"/>
      <c r="L255" s="29"/>
      <c r="M255" s="30"/>
      <c r="N255" s="31"/>
      <c r="O255" s="31"/>
      <c r="P255" s="32"/>
      <c r="Q255" s="32"/>
      <c r="R255" s="32"/>
      <c r="S255" s="33"/>
      <c r="T255" s="33"/>
      <c r="U255" s="34"/>
      <c r="V255" s="34"/>
      <c r="W255" s="35"/>
      <c r="X255" s="35"/>
      <c r="AG255">
        <f t="shared" si="77"/>
        <v>9.5221367014538032</v>
      </c>
      <c r="AH255" s="28">
        <f t="shared" si="78"/>
        <v>0.24062647172061269</v>
      </c>
      <c r="AI255" s="28">
        <f t="shared" si="78"/>
        <v>0.75708936900188373</v>
      </c>
      <c r="AJ255" s="28">
        <f t="shared" si="78"/>
        <v>7.7146107892459417E-2</v>
      </c>
      <c r="AK255" s="28">
        <f t="shared" si="78"/>
        <v>1.1277430088184828</v>
      </c>
      <c r="AL255" s="28">
        <f t="shared" si="78"/>
        <v>0</v>
      </c>
      <c r="AM255" s="29" t="e">
        <f t="shared" si="78"/>
        <v>#VALUE!</v>
      </c>
      <c r="AN255" s="30">
        <f t="shared" si="78"/>
        <v>0</v>
      </c>
      <c r="AO255" s="31">
        <f t="shared" si="78"/>
        <v>0</v>
      </c>
      <c r="AP255" s="31">
        <f t="shared" si="78"/>
        <v>0</v>
      </c>
      <c r="AQ255" s="32">
        <f t="shared" si="78"/>
        <v>0</v>
      </c>
      <c r="AR255" s="32">
        <f t="shared" si="78"/>
        <v>0</v>
      </c>
      <c r="AS255" s="32">
        <f t="shared" si="78"/>
        <v>0</v>
      </c>
      <c r="AT255" s="33">
        <f t="shared" si="78"/>
        <v>0</v>
      </c>
      <c r="AU255" s="33">
        <f t="shared" si="78"/>
        <v>0</v>
      </c>
      <c r="AV255" s="34" t="e">
        <f t="shared" si="75"/>
        <v>#VALUE!</v>
      </c>
      <c r="AW255" s="34" t="e">
        <f t="shared" si="75"/>
        <v>#VALUE!</v>
      </c>
      <c r="AX255" s="35" t="e">
        <f t="shared" si="76"/>
        <v>#VALUE!</v>
      </c>
      <c r="AY255" s="35" t="e">
        <f t="shared" si="76"/>
        <v>#VALUE!</v>
      </c>
    </row>
    <row r="256" spans="5:51" x14ac:dyDescent="0.3">
      <c r="F256">
        <v>14</v>
      </c>
      <c r="G256" s="28"/>
      <c r="H256" s="28"/>
      <c r="I256" s="28"/>
      <c r="J256" s="28"/>
      <c r="K256" s="28"/>
      <c r="L256" s="29"/>
      <c r="M256" s="30"/>
      <c r="N256" s="31"/>
      <c r="O256" s="31"/>
      <c r="P256" s="32"/>
      <c r="Q256" s="32"/>
      <c r="R256" s="32"/>
      <c r="S256" s="33"/>
      <c r="T256" s="33"/>
      <c r="U256" s="34"/>
      <c r="V256" s="34"/>
      <c r="W256" s="35"/>
      <c r="X256" s="35"/>
      <c r="AG256">
        <f t="shared" si="77"/>
        <v>10.014251886730682</v>
      </c>
      <c r="AH256" s="28">
        <f t="shared" si="78"/>
        <v>0.29531525369729594</v>
      </c>
      <c r="AI256" s="28">
        <f t="shared" si="78"/>
        <v>0.76530901065649248</v>
      </c>
      <c r="AJ256" s="28">
        <f t="shared" si="78"/>
        <v>0.22014594887239494</v>
      </c>
      <c r="AK256" s="28">
        <f t="shared" si="78"/>
        <v>1.1416921112094369</v>
      </c>
      <c r="AL256" s="28">
        <f t="shared" si="78"/>
        <v>0</v>
      </c>
      <c r="AM256" s="29" t="e">
        <f t="shared" si="78"/>
        <v>#VALUE!</v>
      </c>
      <c r="AN256" s="30">
        <f t="shared" si="78"/>
        <v>0</v>
      </c>
      <c r="AO256" s="31">
        <f t="shared" si="78"/>
        <v>0</v>
      </c>
      <c r="AP256" s="31">
        <f t="shared" si="78"/>
        <v>0</v>
      </c>
      <c r="AQ256" s="32">
        <f t="shared" si="78"/>
        <v>0</v>
      </c>
      <c r="AR256" s="32">
        <f t="shared" si="78"/>
        <v>0</v>
      </c>
      <c r="AS256" s="32">
        <f t="shared" si="78"/>
        <v>0</v>
      </c>
      <c r="AT256" s="33">
        <f t="shared" si="78"/>
        <v>0</v>
      </c>
      <c r="AU256" s="33">
        <f t="shared" si="78"/>
        <v>0</v>
      </c>
      <c r="AV256" s="34" t="e">
        <f t="shared" si="75"/>
        <v>#VALUE!</v>
      </c>
      <c r="AW256" s="34" t="e">
        <f t="shared" si="75"/>
        <v>#VALUE!</v>
      </c>
      <c r="AX256" s="35" t="e">
        <f t="shared" si="76"/>
        <v>#VALUE!</v>
      </c>
      <c r="AY256" s="35" t="e">
        <f t="shared" si="76"/>
        <v>#VALUE!</v>
      </c>
    </row>
    <row r="257" spans="6:51" x14ac:dyDescent="0.3">
      <c r="F257">
        <v>15</v>
      </c>
      <c r="G257" s="28"/>
      <c r="H257" s="28"/>
      <c r="I257" s="28"/>
      <c r="J257" s="28"/>
      <c r="K257" s="28"/>
      <c r="L257" s="29"/>
      <c r="M257" s="30"/>
      <c r="N257" s="31"/>
      <c r="O257" s="31"/>
      <c r="P257" s="32"/>
      <c r="Q257" s="32"/>
      <c r="R257" s="32"/>
      <c r="S257" s="33"/>
      <c r="T257" s="33"/>
      <c r="U257" s="34"/>
      <c r="V257" s="34"/>
      <c r="W257" s="35"/>
      <c r="X257" s="35"/>
      <c r="AG257">
        <f t="shared" si="77"/>
        <v>10.531800161572754</v>
      </c>
      <c r="AH257" s="28">
        <f t="shared" si="78"/>
        <v>0.35114682999152624</v>
      </c>
      <c r="AI257" s="28">
        <f t="shared" si="78"/>
        <v>0.77230775609897573</v>
      </c>
      <c r="AJ257" s="28">
        <f t="shared" si="78"/>
        <v>0.357125361992565</v>
      </c>
      <c r="AK257" s="28">
        <f t="shared" si="78"/>
        <v>1.1535395272276177</v>
      </c>
      <c r="AL257" s="28">
        <f t="shared" si="78"/>
        <v>0</v>
      </c>
      <c r="AM257" s="29" t="e">
        <f t="shared" si="78"/>
        <v>#VALUE!</v>
      </c>
      <c r="AN257" s="30">
        <f t="shared" si="78"/>
        <v>0</v>
      </c>
      <c r="AO257" s="31">
        <f t="shared" si="78"/>
        <v>0</v>
      </c>
      <c r="AP257" s="31">
        <f t="shared" si="78"/>
        <v>0</v>
      </c>
      <c r="AQ257" s="32">
        <f t="shared" si="78"/>
        <v>0</v>
      </c>
      <c r="AR257" s="32">
        <f t="shared" si="78"/>
        <v>0</v>
      </c>
      <c r="AS257" s="32">
        <f t="shared" si="78"/>
        <v>0</v>
      </c>
      <c r="AT257" s="33">
        <f t="shared" si="78"/>
        <v>0</v>
      </c>
      <c r="AU257" s="33">
        <f t="shared" si="78"/>
        <v>0</v>
      </c>
      <c r="AV257" s="34" t="e">
        <f t="shared" si="75"/>
        <v>#VALUE!</v>
      </c>
      <c r="AW257" s="34" t="e">
        <f t="shared" si="75"/>
        <v>#VALUE!</v>
      </c>
      <c r="AX257" s="35" t="e">
        <f t="shared" si="76"/>
        <v>#VALUE!</v>
      </c>
      <c r="AY257" s="35" t="e">
        <f t="shared" si="76"/>
        <v>#VALUE!</v>
      </c>
    </row>
    <row r="258" spans="6:51" x14ac:dyDescent="0.3">
      <c r="F258">
        <v>16</v>
      </c>
      <c r="G258" s="28"/>
      <c r="H258" s="28"/>
      <c r="I258" s="28"/>
      <c r="J258" s="28"/>
      <c r="K258" s="28"/>
      <c r="L258" s="29"/>
      <c r="M258" s="30"/>
      <c r="N258" s="31"/>
      <c r="O258" s="31"/>
      <c r="P258" s="32"/>
      <c r="Q258" s="32"/>
      <c r="R258" s="32"/>
      <c r="S258" s="33"/>
      <c r="T258" s="33"/>
      <c r="U258" s="34"/>
      <c r="V258" s="34"/>
      <c r="W258" s="35"/>
      <c r="X258" s="35"/>
      <c r="AG258">
        <f t="shared" si="77"/>
        <v>11.076095937857938</v>
      </c>
      <c r="AH258" s="28">
        <f t="shared" si="78"/>
        <v>0.4068810993641806</v>
      </c>
      <c r="AI258" s="28">
        <f t="shared" si="78"/>
        <v>0.77818506228776807</v>
      </c>
      <c r="AJ258" s="28">
        <f t="shared" si="78"/>
        <v>0.48584890931256836</v>
      </c>
      <c r="AK258" s="28">
        <f t="shared" si="78"/>
        <v>1.1634638422464352</v>
      </c>
      <c r="AL258" s="28">
        <f t="shared" si="78"/>
        <v>0</v>
      </c>
      <c r="AM258" s="29" t="e">
        <f t="shared" si="78"/>
        <v>#VALUE!</v>
      </c>
      <c r="AN258" s="30">
        <f t="shared" si="78"/>
        <v>0</v>
      </c>
      <c r="AO258" s="31">
        <f t="shared" si="78"/>
        <v>0</v>
      </c>
      <c r="AP258" s="31">
        <f t="shared" si="78"/>
        <v>0</v>
      </c>
      <c r="AQ258" s="32">
        <f t="shared" si="78"/>
        <v>0</v>
      </c>
      <c r="AR258" s="32">
        <f t="shared" si="78"/>
        <v>0</v>
      </c>
      <c r="AS258" s="32">
        <f t="shared" si="78"/>
        <v>0</v>
      </c>
      <c r="AT258" s="33">
        <f t="shared" si="78"/>
        <v>0</v>
      </c>
      <c r="AU258" s="33">
        <f t="shared" si="78"/>
        <v>0</v>
      </c>
      <c r="AV258" s="34" t="e">
        <f t="shared" ref="AV258:AW273" si="79">$C$5/100*AV$163*AV186</f>
        <v>#VALUE!</v>
      </c>
      <c r="AW258" s="34" t="e">
        <f t="shared" si="79"/>
        <v>#VALUE!</v>
      </c>
      <c r="AX258" s="35" t="e">
        <f t="shared" ref="AX258:AY273" si="80">AX186*AX$163</f>
        <v>#VALUE!</v>
      </c>
      <c r="AY258" s="35" t="e">
        <f t="shared" si="80"/>
        <v>#VALUE!</v>
      </c>
    </row>
    <row r="259" spans="6:51" x14ac:dyDescent="0.3">
      <c r="F259">
        <v>17</v>
      </c>
      <c r="G259" s="28"/>
      <c r="H259" s="28"/>
      <c r="I259" s="28"/>
      <c r="J259" s="28"/>
      <c r="K259" s="28"/>
      <c r="L259" s="29"/>
      <c r="M259" s="30"/>
      <c r="N259" s="31"/>
      <c r="O259" s="31"/>
      <c r="P259" s="32"/>
      <c r="Q259" s="32"/>
      <c r="R259" s="32"/>
      <c r="S259" s="33"/>
      <c r="T259" s="33"/>
      <c r="U259" s="34"/>
      <c r="V259" s="34"/>
      <c r="W259" s="35"/>
      <c r="X259" s="35"/>
      <c r="AG259">
        <f t="shared" si="77"/>
        <v>11.648521557810575</v>
      </c>
      <c r="AH259" s="28">
        <f t="shared" ref="AH259:AU274" si="81">AH187*AH$163</f>
        <v>0.46116008484262505</v>
      </c>
      <c r="AI259" s="28">
        <f t="shared" si="81"/>
        <v>0.7830499605928255</v>
      </c>
      <c r="AJ259" s="28">
        <f t="shared" si="81"/>
        <v>0.60432915842033352</v>
      </c>
      <c r="AK259" s="28">
        <f t="shared" si="81"/>
        <v>1.1716585359375453</v>
      </c>
      <c r="AL259" s="28">
        <f t="shared" si="81"/>
        <v>0</v>
      </c>
      <c r="AM259" s="29" t="e">
        <f t="shared" si="81"/>
        <v>#VALUE!</v>
      </c>
      <c r="AN259" s="30">
        <f t="shared" si="81"/>
        <v>0</v>
      </c>
      <c r="AO259" s="31">
        <f t="shared" si="81"/>
        <v>0</v>
      </c>
      <c r="AP259" s="31">
        <f t="shared" si="81"/>
        <v>0</v>
      </c>
      <c r="AQ259" s="32">
        <f t="shared" si="81"/>
        <v>0</v>
      </c>
      <c r="AR259" s="32">
        <f t="shared" si="81"/>
        <v>0</v>
      </c>
      <c r="AS259" s="32">
        <f t="shared" si="81"/>
        <v>0</v>
      </c>
      <c r="AT259" s="33">
        <f t="shared" si="81"/>
        <v>0</v>
      </c>
      <c r="AU259" s="33">
        <f t="shared" si="81"/>
        <v>0</v>
      </c>
      <c r="AV259" s="34" t="e">
        <f t="shared" si="79"/>
        <v>#VALUE!</v>
      </c>
      <c r="AW259" s="34" t="e">
        <f t="shared" si="79"/>
        <v>#VALUE!</v>
      </c>
      <c r="AX259" s="35" t="e">
        <f t="shared" si="80"/>
        <v>#VALUE!</v>
      </c>
      <c r="AY259" s="35" t="e">
        <f t="shared" si="80"/>
        <v>#VALUE!</v>
      </c>
    </row>
    <row r="260" spans="6:51" x14ac:dyDescent="0.3">
      <c r="F260">
        <v>18</v>
      </c>
      <c r="G260" s="28"/>
      <c r="H260" s="28"/>
      <c r="I260" s="28"/>
      <c r="J260" s="28"/>
      <c r="K260" s="28"/>
      <c r="L260" s="29"/>
      <c r="M260" s="30"/>
      <c r="N260" s="31"/>
      <c r="O260" s="31"/>
      <c r="P260" s="32"/>
      <c r="Q260" s="32"/>
      <c r="R260" s="32"/>
      <c r="S260" s="33"/>
      <c r="T260" s="33"/>
      <c r="U260" s="34"/>
      <c r="V260" s="34"/>
      <c r="W260" s="35"/>
      <c r="X260" s="35"/>
      <c r="AG260">
        <f t="shared" si="77"/>
        <v>12.250530804721352</v>
      </c>
      <c r="AH260" s="28">
        <f t="shared" si="81"/>
        <v>0.51260825091216988</v>
      </c>
      <c r="AI260" s="28">
        <f t="shared" si="81"/>
        <v>0.78701689354273929</v>
      </c>
      <c r="AJ260" s="28">
        <f t="shared" si="81"/>
        <v>0.71096275809030862</v>
      </c>
      <c r="AK260" s="28">
        <f t="shared" si="81"/>
        <v>1.178324746532839</v>
      </c>
      <c r="AL260" s="28">
        <f t="shared" si="81"/>
        <v>0</v>
      </c>
      <c r="AM260" s="29" t="e">
        <f t="shared" si="81"/>
        <v>#VALUE!</v>
      </c>
      <c r="AN260" s="30">
        <f t="shared" si="81"/>
        <v>0</v>
      </c>
      <c r="AO260" s="31">
        <f t="shared" si="81"/>
        <v>0</v>
      </c>
      <c r="AP260" s="31">
        <f t="shared" si="81"/>
        <v>0</v>
      </c>
      <c r="AQ260" s="32">
        <f t="shared" si="81"/>
        <v>0</v>
      </c>
      <c r="AR260" s="32">
        <f t="shared" si="81"/>
        <v>0</v>
      </c>
      <c r="AS260" s="32">
        <f t="shared" si="81"/>
        <v>0</v>
      </c>
      <c r="AT260" s="33">
        <f t="shared" si="81"/>
        <v>0</v>
      </c>
      <c r="AU260" s="33">
        <f t="shared" si="81"/>
        <v>0</v>
      </c>
      <c r="AV260" s="34" t="e">
        <f t="shared" si="79"/>
        <v>#VALUE!</v>
      </c>
      <c r="AW260" s="34" t="e">
        <f t="shared" si="79"/>
        <v>#VALUE!</v>
      </c>
      <c r="AX260" s="35" t="e">
        <f t="shared" si="80"/>
        <v>#VALUE!</v>
      </c>
      <c r="AY260" s="35" t="e">
        <f t="shared" si="80"/>
        <v>#VALUE!</v>
      </c>
    </row>
    <row r="261" spans="6:51" x14ac:dyDescent="0.3">
      <c r="F261">
        <v>19</v>
      </c>
      <c r="G261" s="28"/>
      <c r="H261" s="28"/>
      <c r="I261" s="28"/>
      <c r="J261" s="28"/>
      <c r="K261" s="28"/>
      <c r="L261" s="29"/>
      <c r="M261" s="30"/>
      <c r="N261" s="31"/>
      <c r="O261" s="31"/>
      <c r="P261" s="32"/>
      <c r="Q261" s="32"/>
      <c r="R261" s="32"/>
      <c r="S261" s="33"/>
      <c r="T261" s="33"/>
      <c r="U261" s="34"/>
      <c r="V261" s="34"/>
      <c r="W261" s="35"/>
      <c r="X261" s="35"/>
      <c r="AG261">
        <f t="shared" si="77"/>
        <v>12.883652595105344</v>
      </c>
      <c r="AH261" s="28">
        <f t="shared" si="81"/>
        <v>0.55995247211014143</v>
      </c>
      <c r="AI261" s="28">
        <f t="shared" si="81"/>
        <v>0.79020163093547757</v>
      </c>
      <c r="AJ261" s="28">
        <f t="shared" si="81"/>
        <v>0.80464451241546797</v>
      </c>
      <c r="AK261" s="28">
        <f t="shared" si="81"/>
        <v>1.1836642811660254</v>
      </c>
      <c r="AL261" s="28">
        <f t="shared" si="81"/>
        <v>0</v>
      </c>
      <c r="AM261" s="29" t="e">
        <f t="shared" si="81"/>
        <v>#VALUE!</v>
      </c>
      <c r="AN261" s="30">
        <f t="shared" si="81"/>
        <v>0</v>
      </c>
      <c r="AO261" s="31">
        <f t="shared" si="81"/>
        <v>0</v>
      </c>
      <c r="AP261" s="31">
        <f t="shared" si="81"/>
        <v>0</v>
      </c>
      <c r="AQ261" s="32">
        <f t="shared" si="81"/>
        <v>0</v>
      </c>
      <c r="AR261" s="32">
        <f t="shared" si="81"/>
        <v>0</v>
      </c>
      <c r="AS261" s="32">
        <f t="shared" si="81"/>
        <v>0</v>
      </c>
      <c r="AT261" s="33">
        <f t="shared" si="81"/>
        <v>0</v>
      </c>
      <c r="AU261" s="33">
        <f t="shared" si="81"/>
        <v>0</v>
      </c>
      <c r="AV261" s="34" t="e">
        <f t="shared" si="79"/>
        <v>#VALUE!</v>
      </c>
      <c r="AW261" s="34" t="e">
        <f t="shared" si="79"/>
        <v>#VALUE!</v>
      </c>
      <c r="AX261" s="35" t="e">
        <f t="shared" si="80"/>
        <v>#VALUE!</v>
      </c>
      <c r="AY261" s="35" t="e">
        <f t="shared" si="80"/>
        <v>#VALUE!</v>
      </c>
    </row>
    <row r="262" spans="6:51" x14ac:dyDescent="0.3">
      <c r="F262">
        <v>20</v>
      </c>
      <c r="G262" s="28"/>
      <c r="H262" s="28"/>
      <c r="I262" s="28"/>
      <c r="J262" s="28"/>
      <c r="K262" s="28"/>
      <c r="L262" s="29"/>
      <c r="M262" s="30"/>
      <c r="N262" s="31"/>
      <c r="O262" s="31"/>
      <c r="P262" s="32"/>
      <c r="Q262" s="32"/>
      <c r="R262" s="32"/>
      <c r="S262" s="33"/>
      <c r="T262" s="33"/>
      <c r="U262" s="34"/>
      <c r="V262" s="34"/>
      <c r="W262" s="35"/>
      <c r="X262" s="35"/>
      <c r="AG262">
        <f t="shared" si="77"/>
        <v>13.549494861675118</v>
      </c>
      <c r="AH262" s="28">
        <f t="shared" si="81"/>
        <v>0.60214522542689508</v>
      </c>
      <c r="AI262" s="28">
        <f t="shared" si="81"/>
        <v>0.79271749962388383</v>
      </c>
      <c r="AJ262" s="28">
        <f t="shared" si="81"/>
        <v>0.88484294134380692</v>
      </c>
      <c r="AK262" s="28">
        <f t="shared" si="81"/>
        <v>1.1878732642315666</v>
      </c>
      <c r="AL262" s="28">
        <f t="shared" si="81"/>
        <v>0</v>
      </c>
      <c r="AM262" s="29" t="e">
        <f t="shared" si="81"/>
        <v>#VALUE!</v>
      </c>
      <c r="AN262" s="30">
        <f t="shared" si="81"/>
        <v>0</v>
      </c>
      <c r="AO262" s="31">
        <f t="shared" si="81"/>
        <v>0</v>
      </c>
      <c r="AP262" s="31">
        <f t="shared" si="81"/>
        <v>0</v>
      </c>
      <c r="AQ262" s="32">
        <f t="shared" si="81"/>
        <v>0</v>
      </c>
      <c r="AR262" s="32">
        <f t="shared" si="81"/>
        <v>0</v>
      </c>
      <c r="AS262" s="32">
        <f t="shared" si="81"/>
        <v>0</v>
      </c>
      <c r="AT262" s="33">
        <f t="shared" si="81"/>
        <v>0</v>
      </c>
      <c r="AU262" s="33">
        <f t="shared" si="81"/>
        <v>0</v>
      </c>
      <c r="AV262" s="34" t="e">
        <f t="shared" si="79"/>
        <v>#VALUE!</v>
      </c>
      <c r="AW262" s="34" t="e">
        <f t="shared" si="79"/>
        <v>#VALUE!</v>
      </c>
      <c r="AX262" s="35" t="e">
        <f t="shared" si="80"/>
        <v>#VALUE!</v>
      </c>
      <c r="AY262" s="35" t="e">
        <f t="shared" si="80"/>
        <v>#VALUE!</v>
      </c>
    </row>
    <row r="263" spans="6:51" x14ac:dyDescent="0.3">
      <c r="F263">
        <v>21</v>
      </c>
      <c r="G263" s="28"/>
      <c r="H263" s="28"/>
      <c r="I263" s="28"/>
      <c r="J263" s="28"/>
      <c r="K263" s="28"/>
      <c r="L263" s="29"/>
      <c r="M263" s="30"/>
      <c r="N263" s="31"/>
      <c r="O263" s="31"/>
      <c r="P263" s="32"/>
      <c r="Q263" s="32"/>
      <c r="R263" s="32"/>
      <c r="S263" s="33"/>
      <c r="T263" s="33"/>
      <c r="U263" s="34"/>
      <c r="V263" s="34"/>
      <c r="W263" s="35"/>
      <c r="X263" s="35"/>
      <c r="AG263">
        <f t="shared" si="77"/>
        <v>14.249748636990411</v>
      </c>
      <c r="AH263" s="28">
        <f t="shared" si="81"/>
        <v>0.6384699653946071</v>
      </c>
      <c r="AI263" s="28">
        <f t="shared" si="81"/>
        <v>0.79467212737161719</v>
      </c>
      <c r="AJ263" s="28">
        <f t="shared" si="81"/>
        <v>0.95162444034570104</v>
      </c>
      <c r="AK263" s="28">
        <f t="shared" si="81"/>
        <v>1.1911367484406679</v>
      </c>
      <c r="AL263" s="28">
        <f t="shared" si="81"/>
        <v>0</v>
      </c>
      <c r="AM263" s="29" t="e">
        <f t="shared" si="81"/>
        <v>#VALUE!</v>
      </c>
      <c r="AN263" s="30">
        <f t="shared" si="81"/>
        <v>0</v>
      </c>
      <c r="AO263" s="31">
        <f t="shared" si="81"/>
        <v>0</v>
      </c>
      <c r="AP263" s="31">
        <f t="shared" si="81"/>
        <v>0</v>
      </c>
      <c r="AQ263" s="32">
        <f t="shared" si="81"/>
        <v>0</v>
      </c>
      <c r="AR263" s="32">
        <f t="shared" si="81"/>
        <v>0</v>
      </c>
      <c r="AS263" s="32">
        <f t="shared" si="81"/>
        <v>0</v>
      </c>
      <c r="AT263" s="33">
        <f t="shared" si="81"/>
        <v>0</v>
      </c>
      <c r="AU263" s="33">
        <f t="shared" si="81"/>
        <v>0</v>
      </c>
      <c r="AV263" s="34" t="e">
        <f t="shared" si="79"/>
        <v>#VALUE!</v>
      </c>
      <c r="AW263" s="34" t="e">
        <f t="shared" si="79"/>
        <v>#VALUE!</v>
      </c>
      <c r="AX263" s="35" t="e">
        <f t="shared" si="80"/>
        <v>#VALUE!</v>
      </c>
      <c r="AY263" s="35" t="e">
        <f t="shared" si="80"/>
        <v>#VALUE!</v>
      </c>
    </row>
    <row r="264" spans="6:51" x14ac:dyDescent="0.3">
      <c r="F264">
        <v>22</v>
      </c>
      <c r="G264" s="28"/>
      <c r="H264" s="28"/>
      <c r="I264" s="28"/>
      <c r="J264" s="28"/>
      <c r="K264" s="28"/>
      <c r="L264" s="29"/>
      <c r="M264" s="30"/>
      <c r="N264" s="31"/>
      <c r="O264" s="31"/>
      <c r="P264" s="32"/>
      <c r="Q264" s="32"/>
      <c r="R264" s="32"/>
      <c r="S264" s="33"/>
      <c r="T264" s="33"/>
      <c r="U264" s="34"/>
      <c r="V264" s="34"/>
      <c r="W264" s="35"/>
      <c r="X264" s="35"/>
      <c r="AG264">
        <f t="shared" si="77"/>
        <v>14.986192348155662</v>
      </c>
      <c r="AH264" s="28">
        <f t="shared" si="81"/>
        <v>0.66860766267085436</v>
      </c>
      <c r="AI264" s="28">
        <f t="shared" si="81"/>
        <v>0.7961648495052891</v>
      </c>
      <c r="AJ264" s="28">
        <f t="shared" si="81"/>
        <v>1.0056199532026229</v>
      </c>
      <c r="AK264" s="28">
        <f t="shared" si="81"/>
        <v>1.1936245181380614</v>
      </c>
      <c r="AL264" s="28">
        <f t="shared" si="81"/>
        <v>0</v>
      </c>
      <c r="AM264" s="29" t="e">
        <f t="shared" si="81"/>
        <v>#VALUE!</v>
      </c>
      <c r="AN264" s="30">
        <f t="shared" si="81"/>
        <v>1.2840838044175296E-2</v>
      </c>
      <c r="AO264" s="31">
        <f t="shared" si="81"/>
        <v>0</v>
      </c>
      <c r="AP264" s="31">
        <f t="shared" si="81"/>
        <v>0</v>
      </c>
      <c r="AQ264" s="32">
        <f t="shared" si="81"/>
        <v>0</v>
      </c>
      <c r="AR264" s="32">
        <f t="shared" si="81"/>
        <v>0</v>
      </c>
      <c r="AS264" s="32">
        <f t="shared" si="81"/>
        <v>0</v>
      </c>
      <c r="AT264" s="33">
        <f t="shared" si="81"/>
        <v>0</v>
      </c>
      <c r="AU264" s="33">
        <f t="shared" si="81"/>
        <v>0</v>
      </c>
      <c r="AV264" s="34" t="e">
        <f t="shared" si="79"/>
        <v>#VALUE!</v>
      </c>
      <c r="AW264" s="34" t="e">
        <f t="shared" si="79"/>
        <v>#VALUE!</v>
      </c>
      <c r="AX264" s="35" t="e">
        <f t="shared" si="80"/>
        <v>#VALUE!</v>
      </c>
      <c r="AY264" s="35" t="e">
        <f t="shared" si="80"/>
        <v>#VALUE!</v>
      </c>
    </row>
    <row r="265" spans="6:51" x14ac:dyDescent="0.3">
      <c r="F265">
        <v>23</v>
      </c>
      <c r="G265" s="28"/>
      <c r="H265" s="28"/>
      <c r="I265" s="28"/>
      <c r="J265" s="28"/>
      <c r="K265" s="28"/>
      <c r="L265" s="29"/>
      <c r="M265" s="30"/>
      <c r="N265" s="31"/>
      <c r="O265" s="31"/>
      <c r="P265" s="32"/>
      <c r="Q265" s="32"/>
      <c r="R265" s="32"/>
      <c r="S265" s="33"/>
      <c r="T265" s="33"/>
      <c r="U265" s="34"/>
      <c r="V265" s="34"/>
      <c r="W265" s="35"/>
      <c r="X265" s="35"/>
      <c r="AG265">
        <f t="shared" si="77"/>
        <v>15.760696333472486</v>
      </c>
      <c r="AH265" s="28">
        <f t="shared" si="81"/>
        <v>0.69264945341847317</v>
      </c>
      <c r="AI265" s="28">
        <f t="shared" si="81"/>
        <v>0.79728486382079078</v>
      </c>
      <c r="AJ265" s="28">
        <f t="shared" si="81"/>
        <v>1.0479370332247731</v>
      </c>
      <c r="AK265" s="28">
        <f t="shared" si="81"/>
        <v>1.1954882028644922</v>
      </c>
      <c r="AL265" s="28">
        <f t="shared" si="81"/>
        <v>0</v>
      </c>
      <c r="AM265" s="29" t="e">
        <f t="shared" si="81"/>
        <v>#VALUE!</v>
      </c>
      <c r="AN265" s="30">
        <f t="shared" si="81"/>
        <v>6.4875789664259942E-2</v>
      </c>
      <c r="AO265" s="31">
        <f t="shared" si="81"/>
        <v>0</v>
      </c>
      <c r="AP265" s="31">
        <f t="shared" si="81"/>
        <v>0</v>
      </c>
      <c r="AQ265" s="32">
        <f t="shared" si="81"/>
        <v>0</v>
      </c>
      <c r="AR265" s="32">
        <f t="shared" si="81"/>
        <v>0</v>
      </c>
      <c r="AS265" s="32">
        <f t="shared" si="81"/>
        <v>0</v>
      </c>
      <c r="AT265" s="33">
        <f t="shared" si="81"/>
        <v>0</v>
      </c>
      <c r="AU265" s="33">
        <f t="shared" si="81"/>
        <v>0</v>
      </c>
      <c r="AV265" s="34" t="e">
        <f t="shared" si="79"/>
        <v>#VALUE!</v>
      </c>
      <c r="AW265" s="34" t="e">
        <f t="shared" si="79"/>
        <v>#VALUE!</v>
      </c>
      <c r="AX265" s="35" t="e">
        <f t="shared" si="80"/>
        <v>#VALUE!</v>
      </c>
      <c r="AY265" s="35" t="e">
        <f t="shared" si="80"/>
        <v>#VALUE!</v>
      </c>
    </row>
    <row r="266" spans="6:51" x14ac:dyDescent="0.3">
      <c r="F266">
        <v>24</v>
      </c>
      <c r="G266" s="28"/>
      <c r="H266" s="28"/>
      <c r="I266" s="28"/>
      <c r="J266" s="28"/>
      <c r="K266" s="28"/>
      <c r="L266" s="29"/>
      <c r="M266" s="30"/>
      <c r="N266" s="31"/>
      <c r="O266" s="31"/>
      <c r="P266" s="32"/>
      <c r="Q266" s="32"/>
      <c r="R266" s="32"/>
      <c r="S266" s="33"/>
      <c r="T266" s="33"/>
      <c r="U266" s="34"/>
      <c r="V266" s="34"/>
      <c r="W266" s="35"/>
      <c r="X266" s="35"/>
      <c r="AG266">
        <f t="shared" si="77"/>
        <v>16.575227592518086</v>
      </c>
      <c r="AH266" s="28">
        <f t="shared" si="81"/>
        <v>0.71105156163093675</v>
      </c>
      <c r="AI266" s="28">
        <f t="shared" si="81"/>
        <v>0.79811015203410973</v>
      </c>
      <c r="AJ266" s="28">
        <f t="shared" si="81"/>
        <v>1.0800294307446829</v>
      </c>
      <c r="AK266" s="28">
        <f t="shared" si="81"/>
        <v>1.1968597045838725</v>
      </c>
      <c r="AL266" s="28">
        <f t="shared" si="81"/>
        <v>0</v>
      </c>
      <c r="AM266" s="29" t="e">
        <f t="shared" si="81"/>
        <v>#VALUE!</v>
      </c>
      <c r="AN266" s="30">
        <f t="shared" si="81"/>
        <v>0.11430838341498245</v>
      </c>
      <c r="AO266" s="31">
        <f t="shared" si="81"/>
        <v>0</v>
      </c>
      <c r="AP266" s="31">
        <f t="shared" si="81"/>
        <v>0</v>
      </c>
      <c r="AQ266" s="32">
        <f t="shared" si="81"/>
        <v>0</v>
      </c>
      <c r="AR266" s="32">
        <f t="shared" si="81"/>
        <v>0</v>
      </c>
      <c r="AS266" s="32">
        <f t="shared" si="81"/>
        <v>0</v>
      </c>
      <c r="AT266" s="33">
        <f t="shared" si="81"/>
        <v>0</v>
      </c>
      <c r="AU266" s="33">
        <f t="shared" si="81"/>
        <v>0</v>
      </c>
      <c r="AV266" s="34" t="e">
        <f t="shared" si="79"/>
        <v>#VALUE!</v>
      </c>
      <c r="AW266" s="34" t="e">
        <f t="shared" si="79"/>
        <v>#VALUE!</v>
      </c>
      <c r="AX266" s="35" t="e">
        <f t="shared" si="80"/>
        <v>#VALUE!</v>
      </c>
      <c r="AY266" s="35" t="e">
        <f t="shared" si="80"/>
        <v>#VALUE!</v>
      </c>
    </row>
    <row r="267" spans="6:51" x14ac:dyDescent="0.3">
      <c r="F267">
        <v>25</v>
      </c>
      <c r="G267" s="28"/>
      <c r="H267" s="28"/>
      <c r="I267" s="28"/>
      <c r="J267" s="28"/>
      <c r="K267" s="28"/>
      <c r="L267" s="29"/>
      <c r="M267" s="30"/>
      <c r="N267" s="31"/>
      <c r="O267" s="31"/>
      <c r="P267" s="32"/>
      <c r="Q267" s="32"/>
      <c r="R267" s="32"/>
      <c r="S267" s="33"/>
      <c r="T267" s="33"/>
      <c r="U267" s="34"/>
      <c r="V267" s="34"/>
      <c r="W267" s="35"/>
      <c r="X267" s="35"/>
      <c r="AG267">
        <f t="shared" si="77"/>
        <v>17.431854781713245</v>
      </c>
      <c r="AH267" s="28">
        <f t="shared" si="81"/>
        <v>0.7245421221459859</v>
      </c>
      <c r="AI267" s="28">
        <f t="shared" si="81"/>
        <v>0.79870712303369917</v>
      </c>
      <c r="AJ267" s="28">
        <f t="shared" si="81"/>
        <v>1.1035436392010167</v>
      </c>
      <c r="AK267" s="28">
        <f t="shared" si="81"/>
        <v>1.1978508378787087</v>
      </c>
      <c r="AL267" s="28">
        <f t="shared" si="81"/>
        <v>0</v>
      </c>
      <c r="AM267" s="29" t="e">
        <f t="shared" si="81"/>
        <v>#VALUE!</v>
      </c>
      <c r="AN267" s="30">
        <f t="shared" si="81"/>
        <v>0.1608226139610483</v>
      </c>
      <c r="AO267" s="31">
        <f t="shared" si="81"/>
        <v>0</v>
      </c>
      <c r="AP267" s="31">
        <f t="shared" si="81"/>
        <v>0</v>
      </c>
      <c r="AQ267" s="32">
        <f t="shared" si="81"/>
        <v>0</v>
      </c>
      <c r="AR267" s="32">
        <f t="shared" si="81"/>
        <v>0</v>
      </c>
      <c r="AS267" s="32">
        <f t="shared" si="81"/>
        <v>0</v>
      </c>
      <c r="AT267" s="33">
        <f t="shared" si="81"/>
        <v>0</v>
      </c>
      <c r="AU267" s="33">
        <f t="shared" si="81"/>
        <v>0</v>
      </c>
      <c r="AV267" s="34" t="e">
        <f t="shared" si="79"/>
        <v>#VALUE!</v>
      </c>
      <c r="AW267" s="34" t="e">
        <f t="shared" si="79"/>
        <v>#VALUE!</v>
      </c>
      <c r="AX267" s="35" t="e">
        <f t="shared" si="80"/>
        <v>#VALUE!</v>
      </c>
      <c r="AY267" s="35" t="e">
        <f t="shared" si="80"/>
        <v>#VALUE!</v>
      </c>
    </row>
    <row r="268" spans="6:51" x14ac:dyDescent="0.3">
      <c r="F268">
        <v>26</v>
      </c>
      <c r="G268" s="28"/>
      <c r="H268" s="28"/>
      <c r="I268" s="28"/>
      <c r="J268" s="28"/>
      <c r="K268" s="28"/>
      <c r="L268" s="29"/>
      <c r="M268" s="30"/>
      <c r="N268" s="31"/>
      <c r="O268" s="31"/>
      <c r="P268" s="32"/>
      <c r="Q268" s="32"/>
      <c r="R268" s="32"/>
      <c r="S268" s="33"/>
      <c r="T268" s="33"/>
      <c r="U268" s="34"/>
      <c r="V268" s="34"/>
      <c r="W268" s="35"/>
      <c r="X268" s="35"/>
      <c r="AG268">
        <f t="shared" si="77"/>
        <v>18.332753468067196</v>
      </c>
      <c r="AH268" s="28">
        <f t="shared" si="81"/>
        <v>0.73400080724522188</v>
      </c>
      <c r="AI268" s="28">
        <f t="shared" si="81"/>
        <v>0.79913088137659916</v>
      </c>
      <c r="AJ268" s="28">
        <f t="shared" si="81"/>
        <v>1.1201651780545898</v>
      </c>
      <c r="AK268" s="28">
        <f t="shared" si="81"/>
        <v>1.1985540000223893</v>
      </c>
      <c r="AL268" s="28">
        <f t="shared" si="81"/>
        <v>0</v>
      </c>
      <c r="AM268" s="29" t="e">
        <f t="shared" si="81"/>
        <v>#VALUE!</v>
      </c>
      <c r="AN268" s="30">
        <f t="shared" si="81"/>
        <v>0.20415923680168968</v>
      </c>
      <c r="AO268" s="31">
        <f t="shared" si="81"/>
        <v>0</v>
      </c>
      <c r="AP268" s="31">
        <f t="shared" si="81"/>
        <v>0</v>
      </c>
      <c r="AQ268" s="32">
        <f t="shared" si="81"/>
        <v>0</v>
      </c>
      <c r="AR268" s="32">
        <f t="shared" si="81"/>
        <v>0</v>
      </c>
      <c r="AS268" s="32">
        <f t="shared" si="81"/>
        <v>0</v>
      </c>
      <c r="AT268" s="33">
        <f t="shared" si="81"/>
        <v>0</v>
      </c>
      <c r="AU268" s="33">
        <f t="shared" si="81"/>
        <v>0</v>
      </c>
      <c r="AV268" s="34" t="e">
        <f t="shared" si="79"/>
        <v>#VALUE!</v>
      </c>
      <c r="AW268" s="34" t="e">
        <f t="shared" si="79"/>
        <v>#VALUE!</v>
      </c>
      <c r="AX268" s="35" t="e">
        <f t="shared" si="80"/>
        <v>#VALUE!</v>
      </c>
      <c r="AY268" s="35" t="e">
        <f t="shared" si="80"/>
        <v>#VALUE!</v>
      </c>
    </row>
    <row r="269" spans="6:51" x14ac:dyDescent="0.3">
      <c r="F269">
        <v>27</v>
      </c>
      <c r="G269" s="28"/>
      <c r="H269" s="28"/>
      <c r="I269" s="28"/>
      <c r="J269" s="28"/>
      <c r="K269" s="28"/>
      <c r="L269" s="29"/>
      <c r="M269" s="30"/>
      <c r="N269" s="31"/>
      <c r="O269" s="31"/>
      <c r="P269" s="32"/>
      <c r="Q269" s="32"/>
      <c r="R269" s="32"/>
      <c r="S269" s="33"/>
      <c r="T269" s="33"/>
      <c r="U269" s="34"/>
      <c r="V269" s="34"/>
      <c r="W269" s="35"/>
      <c r="X269" s="35"/>
      <c r="AG269">
        <f t="shared" si="77"/>
        <v>19.280211654442091</v>
      </c>
      <c r="AH269" s="28">
        <f t="shared" si="81"/>
        <v>0.74033721141885023</v>
      </c>
      <c r="AI269" s="28">
        <f t="shared" si="81"/>
        <v>0.79942598890343308</v>
      </c>
      <c r="AJ269" s="28">
        <f t="shared" si="81"/>
        <v>1.131485820153705</v>
      </c>
      <c r="AK269" s="28">
        <f t="shared" si="81"/>
        <v>1.1990436345624111</v>
      </c>
      <c r="AL269" s="28">
        <f t="shared" si="81"/>
        <v>0</v>
      </c>
      <c r="AM269" s="29" t="e">
        <f t="shared" si="81"/>
        <v>#VALUE!</v>
      </c>
      <c r="AN269" s="30">
        <f t="shared" si="81"/>
        <v>0.24412357962731468</v>
      </c>
      <c r="AO269" s="31">
        <f t="shared" si="81"/>
        <v>0</v>
      </c>
      <c r="AP269" s="31">
        <f t="shared" si="81"/>
        <v>0</v>
      </c>
      <c r="AQ269" s="32">
        <f t="shared" si="81"/>
        <v>0</v>
      </c>
      <c r="AR269" s="32">
        <f t="shared" si="81"/>
        <v>0</v>
      </c>
      <c r="AS269" s="32">
        <f t="shared" si="81"/>
        <v>0</v>
      </c>
      <c r="AT269" s="33">
        <f t="shared" si="81"/>
        <v>0</v>
      </c>
      <c r="AU269" s="33">
        <f t="shared" si="81"/>
        <v>0</v>
      </c>
      <c r="AV269" s="34" t="e">
        <f t="shared" si="79"/>
        <v>#VALUE!</v>
      </c>
      <c r="AW269" s="34" t="e">
        <f t="shared" si="79"/>
        <v>#VALUE!</v>
      </c>
      <c r="AX269" s="35" t="e">
        <f t="shared" si="80"/>
        <v>#VALUE!</v>
      </c>
      <c r="AY269" s="35" t="e">
        <f t="shared" si="80"/>
        <v>#VALUE!</v>
      </c>
    </row>
    <row r="270" spans="6:51" x14ac:dyDescent="0.3">
      <c r="F270">
        <v>28</v>
      </c>
      <c r="G270" s="28"/>
      <c r="H270" s="28"/>
      <c r="I270" s="28"/>
      <c r="J270" s="28"/>
      <c r="K270" s="28"/>
      <c r="L270" s="29"/>
      <c r="M270" s="30"/>
      <c r="N270" s="31"/>
      <c r="O270" s="31"/>
      <c r="P270" s="32"/>
      <c r="Q270" s="32"/>
      <c r="R270" s="32"/>
      <c r="S270" s="33"/>
      <c r="T270" s="33"/>
      <c r="U270" s="34"/>
      <c r="V270" s="34"/>
      <c r="W270" s="35"/>
      <c r="X270" s="35"/>
      <c r="AG270">
        <f t="shared" si="77"/>
        <v>20.276635590369683</v>
      </c>
      <c r="AH270" s="28">
        <f t="shared" si="81"/>
        <v>0.74439110365651096</v>
      </c>
      <c r="AI270" s="28">
        <f t="shared" si="81"/>
        <v>0.79962757031403697</v>
      </c>
      <c r="AJ270" s="28">
        <f t="shared" si="81"/>
        <v>1.1389069565831123</v>
      </c>
      <c r="AK270" s="28">
        <f t="shared" si="81"/>
        <v>1.1993782305031637</v>
      </c>
      <c r="AL270" s="28">
        <f t="shared" si="81"/>
        <v>0</v>
      </c>
      <c r="AM270" s="29" t="e">
        <f t="shared" si="81"/>
        <v>#VALUE!</v>
      </c>
      <c r="AN270" s="30">
        <f t="shared" si="81"/>
        <v>0.28059072642575111</v>
      </c>
      <c r="AO270" s="31">
        <f t="shared" si="81"/>
        <v>0</v>
      </c>
      <c r="AP270" s="31">
        <f t="shared" si="81"/>
        <v>0</v>
      </c>
      <c r="AQ270" s="32">
        <f t="shared" si="81"/>
        <v>0</v>
      </c>
      <c r="AR270" s="32">
        <f t="shared" si="81"/>
        <v>0</v>
      </c>
      <c r="AS270" s="32">
        <f t="shared" si="81"/>
        <v>0</v>
      </c>
      <c r="AT270" s="33">
        <f t="shared" si="81"/>
        <v>0</v>
      </c>
      <c r="AU270" s="33">
        <f t="shared" si="81"/>
        <v>0</v>
      </c>
      <c r="AV270" s="34" t="e">
        <f t="shared" si="79"/>
        <v>#VALUE!</v>
      </c>
      <c r="AW270" s="34" t="e">
        <f t="shared" si="79"/>
        <v>#VALUE!</v>
      </c>
      <c r="AX270" s="35" t="e">
        <f t="shared" si="80"/>
        <v>#VALUE!</v>
      </c>
      <c r="AY270" s="35" t="e">
        <f t="shared" si="80"/>
        <v>#VALUE!</v>
      </c>
    </row>
    <row r="271" spans="6:51" x14ac:dyDescent="0.3">
      <c r="F271">
        <v>29</v>
      </c>
      <c r="G271" s="28"/>
      <c r="H271" s="28"/>
      <c r="I271" s="28"/>
      <c r="J271" s="28"/>
      <c r="K271" s="28"/>
      <c r="L271" s="29"/>
      <c r="M271" s="30"/>
      <c r="N271" s="31"/>
      <c r="O271" s="31"/>
      <c r="P271" s="32"/>
      <c r="Q271" s="32"/>
      <c r="R271" s="32"/>
      <c r="S271" s="33"/>
      <c r="T271" s="33"/>
      <c r="U271" s="34"/>
      <c r="V271" s="34"/>
      <c r="W271" s="35"/>
      <c r="X271" s="35"/>
      <c r="AG271">
        <f t="shared" si="77"/>
        <v>21.324555883177815</v>
      </c>
      <c r="AH271" s="28">
        <f t="shared" si="81"/>
        <v>0.74686848032887188</v>
      </c>
      <c r="AI271" s="28">
        <f t="shared" si="81"/>
        <v>0.79976261444932284</v>
      </c>
      <c r="AJ271" s="28">
        <f t="shared" si="81"/>
        <v>1.1435856418511541</v>
      </c>
      <c r="AK271" s="28">
        <f t="shared" si="81"/>
        <v>1.1996026072017498</v>
      </c>
      <c r="AL271" s="28">
        <f t="shared" si="81"/>
        <v>0</v>
      </c>
      <c r="AM271" s="29" t="e">
        <f t="shared" si="81"/>
        <v>#VALUE!</v>
      </c>
      <c r="AN271" s="30">
        <f t="shared" si="81"/>
        <v>0.31350768187124523</v>
      </c>
      <c r="AO271" s="31">
        <f t="shared" si="81"/>
        <v>0</v>
      </c>
      <c r="AP271" s="31">
        <f t="shared" si="81"/>
        <v>0</v>
      </c>
      <c r="AQ271" s="32">
        <f t="shared" si="81"/>
        <v>0</v>
      </c>
      <c r="AR271" s="32">
        <f t="shared" si="81"/>
        <v>0</v>
      </c>
      <c r="AS271" s="32">
        <f t="shared" si="81"/>
        <v>0</v>
      </c>
      <c r="AT271" s="33">
        <f t="shared" si="81"/>
        <v>0</v>
      </c>
      <c r="AU271" s="33">
        <f t="shared" si="81"/>
        <v>0</v>
      </c>
      <c r="AV271" s="34" t="e">
        <f t="shared" si="79"/>
        <v>#VALUE!</v>
      </c>
      <c r="AW271" s="34" t="e">
        <f t="shared" si="79"/>
        <v>#VALUE!</v>
      </c>
      <c r="AX271" s="35" t="e">
        <f t="shared" si="80"/>
        <v>#VALUE!</v>
      </c>
      <c r="AY271" s="35" t="e">
        <f t="shared" si="80"/>
        <v>#VALUE!</v>
      </c>
    </row>
    <row r="272" spans="6:51" x14ac:dyDescent="0.3">
      <c r="F272">
        <v>30</v>
      </c>
      <c r="G272" s="28"/>
      <c r="H272" s="28"/>
      <c r="I272" s="28"/>
      <c r="J272" s="28"/>
      <c r="K272" s="28"/>
      <c r="L272" s="29"/>
      <c r="M272" s="30"/>
      <c r="N272" s="31"/>
      <c r="O272" s="31"/>
      <c r="P272" s="32"/>
      <c r="Q272" s="32"/>
      <c r="R272" s="32"/>
      <c r="S272" s="33"/>
      <c r="T272" s="33"/>
      <c r="U272" s="34"/>
      <c r="V272" s="34"/>
      <c r="W272" s="35"/>
      <c r="X272" s="35"/>
      <c r="AG272">
        <f t="shared" si="77"/>
        <v>22.426633924947051</v>
      </c>
      <c r="AH272" s="28">
        <f t="shared" si="81"/>
        <v>0.74831583020521342</v>
      </c>
      <c r="AI272" s="28">
        <f t="shared" si="81"/>
        <v>0.79985133880066406</v>
      </c>
      <c r="AJ272" s="28">
        <f t="shared" si="81"/>
        <v>1.1464210785024784</v>
      </c>
      <c r="AK272" s="28">
        <f t="shared" si="81"/>
        <v>1.1997502666695108</v>
      </c>
      <c r="AL272" s="28">
        <f t="shared" si="81"/>
        <v>0</v>
      </c>
      <c r="AM272" s="29" t="e">
        <f t="shared" si="81"/>
        <v>#VALUE!</v>
      </c>
      <c r="AN272" s="30">
        <f t="shared" si="81"/>
        <v>0.34289233242694606</v>
      </c>
      <c r="AO272" s="31">
        <f t="shared" si="81"/>
        <v>0</v>
      </c>
      <c r="AP272" s="31">
        <f t="shared" si="81"/>
        <v>0</v>
      </c>
      <c r="AQ272" s="32">
        <f t="shared" si="81"/>
        <v>0</v>
      </c>
      <c r="AR272" s="32">
        <f t="shared" si="81"/>
        <v>0</v>
      </c>
      <c r="AS272" s="32">
        <f t="shared" si="81"/>
        <v>0</v>
      </c>
      <c r="AT272" s="33">
        <f t="shared" si="81"/>
        <v>0</v>
      </c>
      <c r="AU272" s="33">
        <f t="shared" si="81"/>
        <v>0</v>
      </c>
      <c r="AV272" s="34" t="e">
        <f t="shared" si="79"/>
        <v>#VALUE!</v>
      </c>
      <c r="AW272" s="34" t="e">
        <f t="shared" si="79"/>
        <v>#VALUE!</v>
      </c>
      <c r="AX272" s="35" t="e">
        <f t="shared" si="80"/>
        <v>#VALUE!</v>
      </c>
      <c r="AY272" s="35" t="e">
        <f t="shared" si="80"/>
        <v>#VALUE!</v>
      </c>
    </row>
    <row r="273" spans="6:51" x14ac:dyDescent="0.3">
      <c r="F273">
        <v>31</v>
      </c>
      <c r="G273" s="28"/>
      <c r="H273" s="28"/>
      <c r="I273" s="28"/>
      <c r="J273" s="28"/>
      <c r="K273" s="28"/>
      <c r="L273" s="29"/>
      <c r="M273" s="30"/>
      <c r="N273" s="31"/>
      <c r="O273" s="31"/>
      <c r="P273" s="32"/>
      <c r="Q273" s="32"/>
      <c r="R273" s="32"/>
      <c r="S273" s="33"/>
      <c r="T273" s="33"/>
      <c r="U273" s="34"/>
      <c r="V273" s="34"/>
      <c r="W273" s="35"/>
      <c r="X273" s="35"/>
      <c r="AG273">
        <f t="shared" si="77"/>
        <v>23.585668651620018</v>
      </c>
      <c r="AH273" s="28">
        <f t="shared" si="81"/>
        <v>0.74912550386530674</v>
      </c>
      <c r="AI273" s="28">
        <f t="shared" si="81"/>
        <v>0.79990851071702984</v>
      </c>
      <c r="AJ273" s="28">
        <f t="shared" si="81"/>
        <v>1.1480726657024152</v>
      </c>
      <c r="AK273" s="28">
        <f t="shared" si="81"/>
        <v>1.1998456417599623</v>
      </c>
      <c r="AL273" s="28">
        <f t="shared" si="81"/>
        <v>0</v>
      </c>
      <c r="AM273" s="29" t="e">
        <f t="shared" si="81"/>
        <v>#VALUE!</v>
      </c>
      <c r="AN273" s="30">
        <f t="shared" si="81"/>
        <v>0.36882925959629909</v>
      </c>
      <c r="AO273" s="31">
        <f t="shared" si="81"/>
        <v>0</v>
      </c>
      <c r="AP273" s="31">
        <f t="shared" si="81"/>
        <v>0</v>
      </c>
      <c r="AQ273" s="32">
        <f t="shared" si="81"/>
        <v>0</v>
      </c>
      <c r="AR273" s="32">
        <f t="shared" si="81"/>
        <v>0</v>
      </c>
      <c r="AS273" s="32">
        <f t="shared" si="81"/>
        <v>0</v>
      </c>
      <c r="AT273" s="33">
        <f t="shared" si="81"/>
        <v>0</v>
      </c>
      <c r="AU273" s="33">
        <f t="shared" si="81"/>
        <v>0</v>
      </c>
      <c r="AV273" s="34" t="e">
        <f t="shared" si="79"/>
        <v>#VALUE!</v>
      </c>
      <c r="AW273" s="34" t="e">
        <f t="shared" si="79"/>
        <v>#VALUE!</v>
      </c>
      <c r="AX273" s="35" t="e">
        <f t="shared" si="80"/>
        <v>#VALUE!</v>
      </c>
      <c r="AY273" s="35" t="e">
        <f t="shared" si="80"/>
        <v>#VALUE!</v>
      </c>
    </row>
    <row r="274" spans="6:51" x14ac:dyDescent="0.3">
      <c r="F274">
        <v>32</v>
      </c>
      <c r="G274" s="28"/>
      <c r="H274" s="28"/>
      <c r="I274" s="28"/>
      <c r="J274" s="28"/>
      <c r="K274" s="28"/>
      <c r="L274" s="29"/>
      <c r="M274" s="30"/>
      <c r="N274" s="31"/>
      <c r="O274" s="31"/>
      <c r="P274" s="32"/>
      <c r="Q274" s="32"/>
      <c r="R274" s="32"/>
      <c r="S274" s="33"/>
      <c r="T274" s="33"/>
      <c r="U274" s="34"/>
      <c r="V274" s="34"/>
      <c r="W274" s="35"/>
      <c r="X274" s="35"/>
      <c r="AG274">
        <f t="shared" si="77"/>
        <v>24.804603651429346</v>
      </c>
      <c r="AH274" s="28">
        <f t="shared" si="81"/>
        <v>0.74956024769062812</v>
      </c>
      <c r="AI274" s="28">
        <f t="shared" si="81"/>
        <v>0.79994464960653155</v>
      </c>
      <c r="AJ274" s="28">
        <f t="shared" si="81"/>
        <v>1.1489975439904825</v>
      </c>
      <c r="AK274" s="28">
        <f t="shared" si="81"/>
        <v>1.1999061217995419</v>
      </c>
      <c r="AL274" s="28">
        <f t="shared" si="81"/>
        <v>0</v>
      </c>
      <c r="AM274" s="29" t="e">
        <f t="shared" si="81"/>
        <v>#VALUE!</v>
      </c>
      <c r="AN274" s="30">
        <f t="shared" si="81"/>
        <v>0.39146270455917842</v>
      </c>
      <c r="AO274" s="31">
        <f t="shared" si="81"/>
        <v>0</v>
      </c>
      <c r="AP274" s="31">
        <f t="shared" si="81"/>
        <v>0</v>
      </c>
      <c r="AQ274" s="32">
        <f t="shared" si="81"/>
        <v>0</v>
      </c>
      <c r="AR274" s="32">
        <f t="shared" si="81"/>
        <v>0</v>
      </c>
      <c r="AS274" s="32">
        <f t="shared" si="81"/>
        <v>0</v>
      </c>
      <c r="AT274" s="33">
        <f t="shared" si="81"/>
        <v>0</v>
      </c>
      <c r="AU274" s="33">
        <f t="shared" si="81"/>
        <v>0</v>
      </c>
      <c r="AV274" s="34" t="e">
        <f t="shared" ref="AV274:AW289" si="82">$C$5/100*AV$163*AV202</f>
        <v>#VALUE!</v>
      </c>
      <c r="AW274" s="34" t="e">
        <f t="shared" si="82"/>
        <v>#VALUE!</v>
      </c>
      <c r="AX274" s="35" t="e">
        <f t="shared" ref="AX274:AY289" si="83">AX202*AX$163</f>
        <v>#VALUE!</v>
      </c>
      <c r="AY274" s="35" t="e">
        <f t="shared" si="83"/>
        <v>#VALUE!</v>
      </c>
    </row>
    <row r="275" spans="6:51" x14ac:dyDescent="0.3">
      <c r="F275">
        <v>33</v>
      </c>
      <c r="G275" s="28"/>
      <c r="H275" s="28"/>
      <c r="I275" s="28"/>
      <c r="J275" s="28"/>
      <c r="K275" s="28"/>
      <c r="L275" s="29"/>
      <c r="M275" s="30"/>
      <c r="N275" s="31"/>
      <c r="O275" s="31"/>
      <c r="P275" s="32"/>
      <c r="Q275" s="32"/>
      <c r="R275" s="32"/>
      <c r="S275" s="33"/>
      <c r="T275" s="33"/>
      <c r="U275" s="34"/>
      <c r="V275" s="34"/>
      <c r="W275" s="35"/>
      <c r="X275" s="35"/>
      <c r="AG275">
        <f t="shared" si="77"/>
        <v>26.08653464069765</v>
      </c>
      <c r="AH275" s="28">
        <f t="shared" ref="AH275:AU290" si="84">AH203*AH$163</f>
        <v>0.74978500851591301</v>
      </c>
      <c r="AI275" s="28">
        <f t="shared" si="84"/>
        <v>0.79996706522858418</v>
      </c>
      <c r="AJ275" s="28">
        <f t="shared" si="84"/>
        <v>1.1494958272935427</v>
      </c>
      <c r="AK275" s="28">
        <f t="shared" si="84"/>
        <v>1.199943788659855</v>
      </c>
      <c r="AL275" s="28">
        <f t="shared" si="84"/>
        <v>0</v>
      </c>
      <c r="AM275" s="29" t="e">
        <f t="shared" si="84"/>
        <v>#VALUE!</v>
      </c>
      <c r="AN275" s="30">
        <f t="shared" si="84"/>
        <v>0.41098720395920152</v>
      </c>
      <c r="AO275" s="31">
        <f t="shared" si="84"/>
        <v>0</v>
      </c>
      <c r="AP275" s="31">
        <f t="shared" si="84"/>
        <v>0</v>
      </c>
      <c r="AQ275" s="32">
        <f t="shared" si="84"/>
        <v>0</v>
      </c>
      <c r="AR275" s="32">
        <f t="shared" si="84"/>
        <v>0</v>
      </c>
      <c r="AS275" s="32">
        <f t="shared" si="84"/>
        <v>0</v>
      </c>
      <c r="AT275" s="33">
        <f t="shared" si="84"/>
        <v>0</v>
      </c>
      <c r="AU275" s="33">
        <f t="shared" si="84"/>
        <v>0</v>
      </c>
      <c r="AV275" s="34" t="e">
        <f t="shared" si="82"/>
        <v>#VALUE!</v>
      </c>
      <c r="AW275" s="34" t="e">
        <f t="shared" si="82"/>
        <v>#VALUE!</v>
      </c>
      <c r="AX275" s="35" t="e">
        <f t="shared" si="83"/>
        <v>#VALUE!</v>
      </c>
      <c r="AY275" s="35" t="e">
        <f t="shared" si="83"/>
        <v>#VALUE!</v>
      </c>
    </row>
    <row r="276" spans="6:51" x14ac:dyDescent="0.3">
      <c r="F276">
        <v>34</v>
      </c>
      <c r="G276" s="28"/>
      <c r="H276" s="28"/>
      <c r="I276" s="28"/>
      <c r="J276" s="28"/>
      <c r="K276" s="28"/>
      <c r="L276" s="29"/>
      <c r="M276" s="30"/>
      <c r="N276" s="31"/>
      <c r="O276" s="31"/>
      <c r="P276" s="32"/>
      <c r="Q276" s="32"/>
      <c r="R276" s="32"/>
      <c r="S276" s="33"/>
      <c r="T276" s="33"/>
      <c r="U276" s="34"/>
      <c r="V276" s="34"/>
      <c r="W276" s="35"/>
      <c r="X276" s="35"/>
      <c r="AG276">
        <f t="shared" si="77"/>
        <v>27.434717325995447</v>
      </c>
      <c r="AH276" s="28">
        <f t="shared" si="84"/>
        <v>0.74989733652589763</v>
      </c>
      <c r="AI276" s="28">
        <f t="shared" si="84"/>
        <v>0.79998071416849781</v>
      </c>
      <c r="AJ276" s="28">
        <f t="shared" si="84"/>
        <v>1.1497544046364145</v>
      </c>
      <c r="AK276" s="28">
        <f t="shared" si="84"/>
        <v>1.1999668402504566</v>
      </c>
      <c r="AL276" s="28">
        <f t="shared" si="84"/>
        <v>0</v>
      </c>
      <c r="AM276" s="29" t="e">
        <f t="shared" si="84"/>
        <v>#VALUE!</v>
      </c>
      <c r="AN276" s="30">
        <f t="shared" si="84"/>
        <v>0.42763658732477128</v>
      </c>
      <c r="AO276" s="31">
        <f t="shared" si="84"/>
        <v>0</v>
      </c>
      <c r="AP276" s="31">
        <f t="shared" si="84"/>
        <v>0</v>
      </c>
      <c r="AQ276" s="32">
        <f t="shared" si="84"/>
        <v>0</v>
      </c>
      <c r="AR276" s="32">
        <f t="shared" si="84"/>
        <v>0</v>
      </c>
      <c r="AS276" s="32">
        <f t="shared" si="84"/>
        <v>0</v>
      </c>
      <c r="AT276" s="33">
        <f t="shared" si="84"/>
        <v>0</v>
      </c>
      <c r="AU276" s="33">
        <f t="shared" si="84"/>
        <v>0</v>
      </c>
      <c r="AV276" s="34" t="e">
        <f t="shared" si="82"/>
        <v>#VALUE!</v>
      </c>
      <c r="AW276" s="34" t="e">
        <f t="shared" si="82"/>
        <v>#VALUE!</v>
      </c>
      <c r="AX276" s="35" t="e">
        <f t="shared" si="83"/>
        <v>#VALUE!</v>
      </c>
      <c r="AY276" s="35" t="e">
        <f t="shared" si="83"/>
        <v>#VALUE!</v>
      </c>
    </row>
    <row r="277" spans="6:51" x14ac:dyDescent="0.3">
      <c r="F277">
        <v>35</v>
      </c>
      <c r="G277" s="28"/>
      <c r="H277" s="28"/>
      <c r="I277" s="28"/>
      <c r="J277" s="28"/>
      <c r="K277" s="28"/>
      <c r="L277" s="29"/>
      <c r="M277" s="30"/>
      <c r="N277" s="31"/>
      <c r="O277" s="31"/>
      <c r="P277" s="32"/>
      <c r="Q277" s="32"/>
      <c r="R277" s="32"/>
      <c r="S277" s="33"/>
      <c r="T277" s="33"/>
      <c r="U277" s="34"/>
      <c r="V277" s="34"/>
      <c r="W277" s="35"/>
      <c r="X277" s="35"/>
      <c r="AG277">
        <f t="shared" si="77"/>
        <v>28.852575672624699</v>
      </c>
      <c r="AH277" s="28">
        <f t="shared" si="84"/>
        <v>0.74995185875040349</v>
      </c>
      <c r="AI277" s="28">
        <f t="shared" si="84"/>
        <v>0.7999888774992151</v>
      </c>
      <c r="AJ277" s="28">
        <f t="shared" si="84"/>
        <v>1.1498838717820421</v>
      </c>
      <c r="AK277" s="28">
        <f t="shared" si="84"/>
        <v>1.1999807116610623</v>
      </c>
      <c r="AL277" s="28">
        <f t="shared" si="84"/>
        <v>3.4435678206139017E-3</v>
      </c>
      <c r="AM277" s="29" t="e">
        <f t="shared" si="84"/>
        <v>#VALUE!</v>
      </c>
      <c r="AN277" s="30">
        <f t="shared" si="84"/>
        <v>0.44167212689767527</v>
      </c>
      <c r="AO277" s="31">
        <f t="shared" si="84"/>
        <v>0</v>
      </c>
      <c r="AP277" s="31">
        <f t="shared" si="84"/>
        <v>0</v>
      </c>
      <c r="AQ277" s="32">
        <f t="shared" si="84"/>
        <v>0</v>
      </c>
      <c r="AR277" s="32">
        <f t="shared" si="84"/>
        <v>0</v>
      </c>
      <c r="AS277" s="32">
        <f t="shared" si="84"/>
        <v>0</v>
      </c>
      <c r="AT277" s="33">
        <f t="shared" si="84"/>
        <v>0</v>
      </c>
      <c r="AU277" s="33">
        <f t="shared" si="84"/>
        <v>0</v>
      </c>
      <c r="AV277" s="34" t="e">
        <f t="shared" si="82"/>
        <v>#VALUE!</v>
      </c>
      <c r="AW277" s="34" t="e">
        <f t="shared" si="82"/>
        <v>#VALUE!</v>
      </c>
      <c r="AX277" s="35" t="e">
        <f t="shared" si="83"/>
        <v>#VALUE!</v>
      </c>
      <c r="AY277" s="35" t="e">
        <f t="shared" si="83"/>
        <v>#VALUE!</v>
      </c>
    </row>
    <row r="278" spans="6:51" x14ac:dyDescent="0.3">
      <c r="F278">
        <v>36</v>
      </c>
      <c r="G278" s="28"/>
      <c r="H278" s="28"/>
      <c r="I278" s="28"/>
      <c r="J278" s="28"/>
      <c r="K278" s="28"/>
      <c r="L278" s="29"/>
      <c r="M278" s="30"/>
      <c r="N278" s="31"/>
      <c r="O278" s="31"/>
      <c r="P278" s="32"/>
      <c r="Q278" s="32"/>
      <c r="R278" s="32"/>
      <c r="S278" s="33"/>
      <c r="T278" s="33"/>
      <c r="U278" s="34"/>
      <c r="V278" s="34"/>
      <c r="W278" s="35"/>
      <c r="X278" s="35"/>
      <c r="AG278">
        <f t="shared" si="77"/>
        <v>30.343710600427304</v>
      </c>
      <c r="AH278" s="28">
        <f t="shared" si="84"/>
        <v>0.74997769945194137</v>
      </c>
      <c r="AI278" s="28">
        <f t="shared" si="84"/>
        <v>0.79999367668582566</v>
      </c>
      <c r="AJ278" s="28">
        <f t="shared" si="84"/>
        <v>1.1499465538653384</v>
      </c>
      <c r="AK278" s="28">
        <f t="shared" si="84"/>
        <v>1.1999889258695164</v>
      </c>
      <c r="AL278" s="28">
        <f t="shared" si="84"/>
        <v>0.27868017024453723</v>
      </c>
      <c r="AM278" s="29" t="e">
        <f t="shared" si="84"/>
        <v>#VALUE!</v>
      </c>
      <c r="AN278" s="30">
        <f t="shared" si="84"/>
        <v>0.45337064945726557</v>
      </c>
      <c r="AO278" s="31">
        <f t="shared" si="84"/>
        <v>0</v>
      </c>
      <c r="AP278" s="31">
        <f t="shared" si="84"/>
        <v>0</v>
      </c>
      <c r="AQ278" s="32">
        <f t="shared" si="84"/>
        <v>0</v>
      </c>
      <c r="AR278" s="32">
        <f t="shared" si="84"/>
        <v>0</v>
      </c>
      <c r="AS278" s="32">
        <f t="shared" si="84"/>
        <v>0</v>
      </c>
      <c r="AT278" s="33">
        <f t="shared" si="84"/>
        <v>0</v>
      </c>
      <c r="AU278" s="33">
        <f t="shared" si="84"/>
        <v>0</v>
      </c>
      <c r="AV278" s="34" t="e">
        <f t="shared" si="82"/>
        <v>#VALUE!</v>
      </c>
      <c r="AW278" s="34" t="e">
        <f t="shared" si="82"/>
        <v>#VALUE!</v>
      </c>
      <c r="AX278" s="35" t="e">
        <f t="shared" si="83"/>
        <v>#VALUE!</v>
      </c>
      <c r="AY278" s="35" t="e">
        <f t="shared" si="83"/>
        <v>#VALUE!</v>
      </c>
    </row>
    <row r="279" spans="6:51" x14ac:dyDescent="0.3">
      <c r="F279">
        <v>37</v>
      </c>
      <c r="G279" s="28"/>
      <c r="H279" s="28"/>
      <c r="I279" s="28"/>
      <c r="J279" s="28"/>
      <c r="K279" s="28"/>
      <c r="L279" s="29"/>
      <c r="M279" s="30"/>
      <c r="N279" s="31"/>
      <c r="O279" s="31"/>
      <c r="P279" s="32"/>
      <c r="Q279" s="32"/>
      <c r="R279" s="32"/>
      <c r="S279" s="33"/>
      <c r="T279" s="33"/>
      <c r="U279" s="34"/>
      <c r="V279" s="34"/>
      <c r="W279" s="35"/>
      <c r="X279" s="35"/>
      <c r="AG279">
        <f t="shared" si="77"/>
        <v>31.911909129003085</v>
      </c>
      <c r="AH279" s="28">
        <f t="shared" si="84"/>
        <v>0.7499897290501546</v>
      </c>
      <c r="AI279" s="28">
        <f t="shared" si="84"/>
        <v>0.79999645241442285</v>
      </c>
      <c r="AJ279" s="28">
        <f t="shared" si="84"/>
        <v>1.1499759799436167</v>
      </c>
      <c r="AK279" s="28">
        <f t="shared" si="84"/>
        <v>1.199993717114429</v>
      </c>
      <c r="AL279" s="28">
        <f t="shared" si="84"/>
        <v>0.48832935884725998</v>
      </c>
      <c r="AM279" s="29" t="e">
        <f t="shared" si="84"/>
        <v>#VALUE!</v>
      </c>
      <c r="AN279" s="30">
        <f t="shared" si="84"/>
        <v>0.46301335756664763</v>
      </c>
      <c r="AO279" s="31">
        <f t="shared" si="84"/>
        <v>0</v>
      </c>
      <c r="AP279" s="31">
        <f t="shared" si="84"/>
        <v>0</v>
      </c>
      <c r="AQ279" s="32">
        <f t="shared" si="84"/>
        <v>0</v>
      </c>
      <c r="AR279" s="32">
        <f t="shared" si="84"/>
        <v>0</v>
      </c>
      <c r="AS279" s="32">
        <f t="shared" si="84"/>
        <v>0</v>
      </c>
      <c r="AT279" s="33">
        <f t="shared" si="84"/>
        <v>0</v>
      </c>
      <c r="AU279" s="33">
        <f t="shared" si="84"/>
        <v>0</v>
      </c>
      <c r="AV279" s="34" t="e">
        <f t="shared" si="82"/>
        <v>#VALUE!</v>
      </c>
      <c r="AW279" s="34" t="e">
        <f t="shared" si="82"/>
        <v>#VALUE!</v>
      </c>
      <c r="AX279" s="35" t="e">
        <f t="shared" si="83"/>
        <v>#VALUE!</v>
      </c>
      <c r="AY279" s="35" t="e">
        <f t="shared" si="83"/>
        <v>#VALUE!</v>
      </c>
    </row>
    <row r="280" spans="6:51" x14ac:dyDescent="0.3">
      <c r="F280">
        <v>38</v>
      </c>
      <c r="G280" s="28"/>
      <c r="H280" s="28"/>
      <c r="I280" s="28"/>
      <c r="J280" s="28"/>
      <c r="K280" s="28"/>
      <c r="L280" s="29"/>
      <c r="M280" s="30"/>
      <c r="N280" s="31"/>
      <c r="O280" s="31"/>
      <c r="P280" s="32"/>
      <c r="Q280" s="32"/>
      <c r="R280" s="32"/>
      <c r="S280" s="33"/>
      <c r="T280" s="33"/>
      <c r="U280" s="34"/>
      <c r="V280" s="34"/>
      <c r="W280" s="35"/>
      <c r="X280" s="35"/>
      <c r="AG280">
        <f t="shared" si="77"/>
        <v>33.561153995563402</v>
      </c>
      <c r="AH280" s="28">
        <f t="shared" si="84"/>
        <v>0.74999526471672751</v>
      </c>
      <c r="AI280" s="28">
        <f t="shared" si="84"/>
        <v>0.79999803344672149</v>
      </c>
      <c r="AJ280" s="28">
        <f t="shared" si="84"/>
        <v>1.1499894182684292</v>
      </c>
      <c r="AK280" s="28">
        <f t="shared" si="84"/>
        <v>1.1999964729114672</v>
      </c>
      <c r="AL280" s="28">
        <f t="shared" si="84"/>
        <v>0.64732559487370334</v>
      </c>
      <c r="AM280" s="29" t="e">
        <f t="shared" si="84"/>
        <v>#VALUE!</v>
      </c>
      <c r="AN280" s="30">
        <f t="shared" si="84"/>
        <v>0.47087597644063839</v>
      </c>
      <c r="AO280" s="31">
        <f t="shared" si="84"/>
        <v>0</v>
      </c>
      <c r="AP280" s="31">
        <f t="shared" si="84"/>
        <v>0</v>
      </c>
      <c r="AQ280" s="32">
        <f t="shared" si="84"/>
        <v>0</v>
      </c>
      <c r="AR280" s="32">
        <f t="shared" si="84"/>
        <v>0</v>
      </c>
      <c r="AS280" s="32">
        <f t="shared" si="84"/>
        <v>0</v>
      </c>
      <c r="AT280" s="33">
        <f t="shared" si="84"/>
        <v>0</v>
      </c>
      <c r="AU280" s="33">
        <f t="shared" si="84"/>
        <v>0</v>
      </c>
      <c r="AV280" s="34" t="e">
        <f t="shared" si="82"/>
        <v>#VALUE!</v>
      </c>
      <c r="AW280" s="34" t="e">
        <f t="shared" si="82"/>
        <v>#VALUE!</v>
      </c>
      <c r="AX280" s="35" t="e">
        <f t="shared" si="83"/>
        <v>#VALUE!</v>
      </c>
      <c r="AY280" s="35" t="e">
        <f t="shared" si="83"/>
        <v>#VALUE!</v>
      </c>
    </row>
    <row r="281" spans="6:51" x14ac:dyDescent="0.3">
      <c r="F281">
        <v>39</v>
      </c>
      <c r="G281" s="28"/>
      <c r="H281" s="28"/>
      <c r="I281" s="28"/>
      <c r="J281" s="28"/>
      <c r="K281" s="28"/>
      <c r="L281" s="29"/>
      <c r="M281" s="30"/>
      <c r="N281" s="31"/>
      <c r="O281" s="31"/>
      <c r="P281" s="32"/>
      <c r="Q281" s="32"/>
      <c r="R281" s="32"/>
      <c r="S281" s="33"/>
      <c r="T281" s="33"/>
      <c r="U281" s="34"/>
      <c r="V281" s="34"/>
      <c r="W281" s="35"/>
      <c r="X281" s="35"/>
      <c r="AG281">
        <f t="shared" si="77"/>
        <v>35.295633769846724</v>
      </c>
      <c r="AH281" s="28">
        <f t="shared" si="84"/>
        <v>0.74999779944646194</v>
      </c>
      <c r="AI281" s="28">
        <f t="shared" si="84"/>
        <v>0.79999892136555451</v>
      </c>
      <c r="AJ281" s="28">
        <f t="shared" si="84"/>
        <v>1.1499954109322923</v>
      </c>
      <c r="AK281" s="28">
        <f t="shared" si="84"/>
        <v>1.1999980378881858</v>
      </c>
      <c r="AL281" s="28">
        <f t="shared" si="84"/>
        <v>0.76760686728449001</v>
      </c>
      <c r="AM281" s="29" t="e">
        <f t="shared" si="84"/>
        <v>#VALUE!</v>
      </c>
      <c r="AN281" s="30">
        <f t="shared" si="84"/>
        <v>0.47722066336121999</v>
      </c>
      <c r="AO281" s="31">
        <f t="shared" si="84"/>
        <v>0</v>
      </c>
      <c r="AP281" s="31">
        <f t="shared" si="84"/>
        <v>0</v>
      </c>
      <c r="AQ281" s="32">
        <f t="shared" si="84"/>
        <v>0</v>
      </c>
      <c r="AR281" s="32">
        <f t="shared" si="84"/>
        <v>0</v>
      </c>
      <c r="AS281" s="32">
        <f t="shared" si="84"/>
        <v>0</v>
      </c>
      <c r="AT281" s="33">
        <f t="shared" si="84"/>
        <v>0</v>
      </c>
      <c r="AU281" s="33">
        <f t="shared" si="84"/>
        <v>0</v>
      </c>
      <c r="AV281" s="34" t="e">
        <f t="shared" si="82"/>
        <v>#VALUE!</v>
      </c>
      <c r="AW281" s="34" t="e">
        <f t="shared" si="82"/>
        <v>#VALUE!</v>
      </c>
      <c r="AX281" s="35" t="e">
        <f t="shared" si="83"/>
        <v>#VALUE!</v>
      </c>
      <c r="AY281" s="35" t="e">
        <f t="shared" si="83"/>
        <v>#VALUE!</v>
      </c>
    </row>
    <row r="282" spans="6:51" x14ac:dyDescent="0.3">
      <c r="F282">
        <v>40</v>
      </c>
      <c r="G282" s="28"/>
      <c r="H282" s="28"/>
      <c r="I282" s="28"/>
      <c r="J282" s="28"/>
      <c r="K282" s="28"/>
      <c r="L282" s="29"/>
      <c r="M282" s="30"/>
      <c r="N282" s="31"/>
      <c r="O282" s="31"/>
      <c r="P282" s="32"/>
      <c r="Q282" s="32"/>
      <c r="R282" s="32"/>
      <c r="S282" s="33"/>
      <c r="T282" s="33"/>
      <c r="U282" s="34"/>
      <c r="V282" s="34"/>
      <c r="W282" s="35"/>
      <c r="X282" s="35"/>
      <c r="AG282">
        <f t="shared" si="77"/>
        <v>37.119753491784877</v>
      </c>
      <c r="AH282" s="28">
        <f t="shared" si="84"/>
        <v>0.74999896208192718</v>
      </c>
      <c r="AI282" s="28">
        <f t="shared" si="84"/>
        <v>0.79999941369792549</v>
      </c>
      <c r="AJ282" s="28">
        <f t="shared" si="84"/>
        <v>1.1499980315211622</v>
      </c>
      <c r="AK282" s="28">
        <f t="shared" si="84"/>
        <v>1.1999989165916245</v>
      </c>
      <c r="AL282" s="28">
        <f t="shared" si="84"/>
        <v>0.85853384857939175</v>
      </c>
      <c r="AM282" s="29" t="e">
        <f t="shared" si="84"/>
        <v>#VALUE!</v>
      </c>
      <c r="AN282" s="30">
        <f t="shared" si="84"/>
        <v>0.4822899154137279</v>
      </c>
      <c r="AO282" s="31">
        <f t="shared" si="84"/>
        <v>0</v>
      </c>
      <c r="AP282" s="31">
        <f t="shared" si="84"/>
        <v>0</v>
      </c>
      <c r="AQ282" s="32">
        <f t="shared" si="84"/>
        <v>0</v>
      </c>
      <c r="AR282" s="32">
        <f t="shared" si="84"/>
        <v>0</v>
      </c>
      <c r="AS282" s="32">
        <f t="shared" si="84"/>
        <v>0</v>
      </c>
      <c r="AT282" s="33">
        <f t="shared" si="84"/>
        <v>0</v>
      </c>
      <c r="AU282" s="33">
        <f t="shared" si="84"/>
        <v>0</v>
      </c>
      <c r="AV282" s="34" t="e">
        <f t="shared" si="82"/>
        <v>#VALUE!</v>
      </c>
      <c r="AW282" s="34" t="e">
        <f t="shared" si="82"/>
        <v>#VALUE!</v>
      </c>
      <c r="AX282" s="35" t="e">
        <f t="shared" si="83"/>
        <v>#VALUE!</v>
      </c>
      <c r="AY282" s="35" t="e">
        <f t="shared" si="83"/>
        <v>#VALUE!</v>
      </c>
    </row>
    <row r="283" spans="6:51" x14ac:dyDescent="0.3">
      <c r="F283">
        <v>41</v>
      </c>
      <c r="G283" s="28"/>
      <c r="H283" s="28"/>
      <c r="I283" s="28"/>
      <c r="J283" s="28"/>
      <c r="K283" s="28"/>
      <c r="L283" s="29"/>
      <c r="M283" s="30"/>
      <c r="N283" s="31"/>
      <c r="O283" s="31"/>
      <c r="P283" s="32"/>
      <c r="Q283" s="32"/>
      <c r="R283" s="32"/>
      <c r="S283" s="33"/>
      <c r="T283" s="33"/>
      <c r="U283" s="34"/>
      <c r="V283" s="34"/>
      <c r="W283" s="35"/>
      <c r="X283" s="35"/>
      <c r="AG283">
        <f t="shared" si="77"/>
        <v>38.85778775562828</v>
      </c>
      <c r="AH283" s="28">
        <f t="shared" si="84"/>
        <v>0.74999946567680298</v>
      </c>
      <c r="AI283" s="28">
        <f t="shared" si="84"/>
        <v>0.79999966508642784</v>
      </c>
      <c r="AJ283" s="28">
        <f t="shared" si="84"/>
        <v>1.149999092066484</v>
      </c>
      <c r="AK283" s="28">
        <f t="shared" si="84"/>
        <v>1.1999993713496204</v>
      </c>
      <c r="AL283" s="28">
        <f t="shared" si="84"/>
        <v>0.92177486931284802</v>
      </c>
      <c r="AM283" s="29" t="e">
        <f t="shared" si="84"/>
        <v>#VALUE!</v>
      </c>
      <c r="AN283" s="30">
        <f t="shared" si="84"/>
        <v>0.48597254276210772</v>
      </c>
      <c r="AO283" s="31">
        <f t="shared" si="84"/>
        <v>0</v>
      </c>
      <c r="AP283" s="31">
        <f t="shared" si="84"/>
        <v>0</v>
      </c>
      <c r="AQ283" s="32">
        <f t="shared" si="84"/>
        <v>0</v>
      </c>
      <c r="AR283" s="32">
        <f t="shared" si="84"/>
        <v>0</v>
      </c>
      <c r="AS283" s="32">
        <f t="shared" si="84"/>
        <v>0</v>
      </c>
      <c r="AT283" s="33">
        <f t="shared" si="84"/>
        <v>0</v>
      </c>
      <c r="AU283" s="33">
        <f t="shared" si="84"/>
        <v>0</v>
      </c>
      <c r="AV283" s="34" t="e">
        <f t="shared" si="82"/>
        <v>#VALUE!</v>
      </c>
      <c r="AW283" s="34" t="e">
        <f t="shared" si="82"/>
        <v>#VALUE!</v>
      </c>
      <c r="AX283" s="35" t="e">
        <f t="shared" si="83"/>
        <v>#VALUE!</v>
      </c>
      <c r="AY283" s="35" t="e">
        <f t="shared" si="83"/>
        <v>#VALUE!</v>
      </c>
    </row>
    <row r="284" spans="6:51" x14ac:dyDescent="0.3">
      <c r="F284">
        <v>42</v>
      </c>
      <c r="G284" s="28"/>
      <c r="H284" s="28"/>
      <c r="I284" s="28"/>
      <c r="J284" s="28"/>
      <c r="K284" s="28"/>
      <c r="L284" s="29"/>
      <c r="M284" s="30"/>
      <c r="N284" s="31"/>
      <c r="O284" s="31"/>
      <c r="P284" s="32"/>
      <c r="Q284" s="32"/>
      <c r="R284" s="32"/>
      <c r="S284" s="33"/>
      <c r="T284" s="33"/>
      <c r="U284" s="34"/>
      <c r="V284" s="34"/>
      <c r="W284" s="35"/>
      <c r="X284" s="35"/>
      <c r="AG284">
        <f t="shared" si="77"/>
        <v>40.467341024247702</v>
      </c>
      <c r="AH284" s="28">
        <f t="shared" si="84"/>
        <v>0.74999969791382326</v>
      </c>
      <c r="AI284" s="28">
        <f t="shared" si="84"/>
        <v>0.79999979698005785</v>
      </c>
      <c r="AJ284" s="28">
        <f t="shared" si="84"/>
        <v>1.1499995433078409</v>
      </c>
      <c r="AK284" s="28">
        <f t="shared" si="84"/>
        <v>1.1999996131432071</v>
      </c>
      <c r="AL284" s="28">
        <f t="shared" si="84"/>
        <v>0.96599235743325385</v>
      </c>
      <c r="AM284" s="29" t="e">
        <f t="shared" si="84"/>
        <v>#VALUE!</v>
      </c>
      <c r="AN284" s="30">
        <f t="shared" si="84"/>
        <v>0.48862745953373055</v>
      </c>
      <c r="AO284" s="31">
        <f t="shared" si="84"/>
        <v>0</v>
      </c>
      <c r="AP284" s="31">
        <f t="shared" si="84"/>
        <v>0</v>
      </c>
      <c r="AQ284" s="32">
        <f t="shared" si="84"/>
        <v>0</v>
      </c>
      <c r="AR284" s="32">
        <f t="shared" si="84"/>
        <v>0</v>
      </c>
      <c r="AS284" s="32">
        <f t="shared" si="84"/>
        <v>0</v>
      </c>
      <c r="AT284" s="33">
        <f t="shared" si="84"/>
        <v>0</v>
      </c>
      <c r="AU284" s="33">
        <f t="shared" si="84"/>
        <v>0</v>
      </c>
      <c r="AV284" s="34" t="e">
        <f t="shared" si="82"/>
        <v>#VALUE!</v>
      </c>
      <c r="AW284" s="34" t="e">
        <f t="shared" si="82"/>
        <v>#VALUE!</v>
      </c>
      <c r="AX284" s="35" t="e">
        <f t="shared" si="83"/>
        <v>#VALUE!</v>
      </c>
      <c r="AY284" s="35" t="e">
        <f t="shared" si="83"/>
        <v>#VALUE!</v>
      </c>
    </row>
    <row r="285" spans="6:51" x14ac:dyDescent="0.3">
      <c r="F285">
        <v>43</v>
      </c>
      <c r="G285" s="28"/>
      <c r="H285" s="28"/>
      <c r="I285" s="28"/>
      <c r="J285" s="28"/>
      <c r="K285" s="28"/>
      <c r="L285" s="29"/>
      <c r="M285" s="30"/>
      <c r="N285" s="31"/>
      <c r="O285" s="31"/>
      <c r="P285" s="32"/>
      <c r="Q285" s="32"/>
      <c r="R285" s="32"/>
      <c r="S285" s="33"/>
      <c r="T285" s="33"/>
      <c r="U285" s="34"/>
      <c r="V285" s="34"/>
      <c r="W285" s="35"/>
      <c r="X285" s="35"/>
      <c r="AG285">
        <f t="shared" si="77"/>
        <v>41.95047391357199</v>
      </c>
      <c r="AH285" s="28">
        <f t="shared" si="84"/>
        <v>0.74999981466794319</v>
      </c>
      <c r="AI285" s="28">
        <f t="shared" si="84"/>
        <v>0.79999987004553097</v>
      </c>
      <c r="AJ285" s="28">
        <f t="shared" si="84"/>
        <v>1.1499997512550892</v>
      </c>
      <c r="AK285" s="28">
        <f t="shared" si="84"/>
        <v>1.1999997488132494</v>
      </c>
      <c r="AL285" s="28">
        <f t="shared" si="84"/>
        <v>0.99781252096999562</v>
      </c>
      <c r="AM285" s="29" t="e">
        <f t="shared" si="84"/>
        <v>#VALUE!</v>
      </c>
      <c r="AN285" s="30">
        <f t="shared" si="84"/>
        <v>0.49057694443798411</v>
      </c>
      <c r="AO285" s="31">
        <f t="shared" si="84"/>
        <v>0</v>
      </c>
      <c r="AP285" s="31">
        <f t="shared" si="84"/>
        <v>0</v>
      </c>
      <c r="AQ285" s="32">
        <f t="shared" si="84"/>
        <v>0</v>
      </c>
      <c r="AR285" s="32">
        <f t="shared" si="84"/>
        <v>0</v>
      </c>
      <c r="AS285" s="32">
        <f t="shared" si="84"/>
        <v>0</v>
      </c>
      <c r="AT285" s="33">
        <f t="shared" si="84"/>
        <v>0</v>
      </c>
      <c r="AU285" s="33">
        <f t="shared" si="84"/>
        <v>0</v>
      </c>
      <c r="AV285" s="34" t="e">
        <f t="shared" si="82"/>
        <v>#VALUE!</v>
      </c>
      <c r="AW285" s="34" t="e">
        <f t="shared" si="82"/>
        <v>#VALUE!</v>
      </c>
      <c r="AX285" s="35" t="e">
        <f t="shared" si="83"/>
        <v>#VALUE!</v>
      </c>
      <c r="AY285" s="35" t="e">
        <f t="shared" si="83"/>
        <v>#VALUE!</v>
      </c>
    </row>
    <row r="286" spans="6:51" x14ac:dyDescent="0.3">
      <c r="F286">
        <v>44</v>
      </c>
      <c r="G286" s="28"/>
      <c r="H286" s="28"/>
      <c r="I286" s="28"/>
      <c r="J286" s="28"/>
      <c r="K286" s="28"/>
      <c r="L286" s="29"/>
      <c r="M286" s="30"/>
      <c r="N286" s="31"/>
      <c r="O286" s="31"/>
      <c r="P286" s="32"/>
      <c r="Q286" s="32"/>
      <c r="R286" s="32"/>
      <c r="S286" s="33"/>
      <c r="T286" s="33"/>
      <c r="U286" s="34"/>
      <c r="V286" s="34"/>
      <c r="W286" s="35"/>
      <c r="X286" s="35"/>
      <c r="AG286">
        <f t="shared" si="77"/>
        <v>43.317115956604354</v>
      </c>
      <c r="AH286" s="28">
        <f t="shared" si="84"/>
        <v>0.74999987821599867</v>
      </c>
      <c r="AI286" s="28">
        <f t="shared" si="84"/>
        <v>0.79999991275064697</v>
      </c>
      <c r="AJ286" s="28">
        <f t="shared" si="84"/>
        <v>1.1499998547443895</v>
      </c>
      <c r="AK286" s="28">
        <f t="shared" si="84"/>
        <v>1.1999998290763281</v>
      </c>
      <c r="AL286" s="28">
        <f t="shared" si="84"/>
        <v>1.0213969780874672</v>
      </c>
      <c r="AM286" s="29" t="e">
        <f t="shared" si="84"/>
        <v>#VALUE!</v>
      </c>
      <c r="AN286" s="30">
        <f t="shared" si="84"/>
        <v>0.4920398464008825</v>
      </c>
      <c r="AO286" s="31">
        <f t="shared" si="84"/>
        <v>0</v>
      </c>
      <c r="AP286" s="31">
        <f t="shared" si="84"/>
        <v>0</v>
      </c>
      <c r="AQ286" s="32">
        <f t="shared" si="84"/>
        <v>0</v>
      </c>
      <c r="AR286" s="32">
        <f t="shared" si="84"/>
        <v>0</v>
      </c>
      <c r="AS286" s="32">
        <f t="shared" si="84"/>
        <v>0</v>
      </c>
      <c r="AT286" s="33">
        <f t="shared" si="84"/>
        <v>0</v>
      </c>
      <c r="AU286" s="33">
        <f t="shared" si="84"/>
        <v>0</v>
      </c>
      <c r="AV286" s="34" t="e">
        <f t="shared" si="82"/>
        <v>#VALUE!</v>
      </c>
      <c r="AW286" s="34" t="e">
        <f t="shared" si="82"/>
        <v>#VALUE!</v>
      </c>
      <c r="AX286" s="35" t="e">
        <f t="shared" si="83"/>
        <v>#VALUE!</v>
      </c>
      <c r="AY286" s="35" t="e">
        <f t="shared" si="83"/>
        <v>#VALUE!</v>
      </c>
    </row>
    <row r="287" spans="6:51" x14ac:dyDescent="0.3">
      <c r="F287">
        <v>45</v>
      </c>
      <c r="G287" s="28"/>
      <c r="H287" s="28"/>
      <c r="I287" s="28"/>
      <c r="J287" s="28"/>
      <c r="K287" s="28"/>
      <c r="L287" s="29"/>
      <c r="M287" s="30"/>
      <c r="N287" s="31"/>
      <c r="O287" s="31"/>
      <c r="P287" s="32"/>
      <c r="Q287" s="32"/>
      <c r="R287" s="32"/>
      <c r="S287" s="33"/>
      <c r="T287" s="33"/>
      <c r="U287" s="34"/>
      <c r="V287" s="34"/>
      <c r="W287" s="35"/>
      <c r="X287" s="35"/>
      <c r="AG287">
        <f t="shared" si="77"/>
        <v>44.576416783406593</v>
      </c>
      <c r="AH287" s="28">
        <f t="shared" si="84"/>
        <v>0.7499999152187341</v>
      </c>
      <c r="AI287" s="28">
        <f t="shared" si="84"/>
        <v>0.79999993891647359</v>
      </c>
      <c r="AJ287" s="28">
        <f t="shared" si="84"/>
        <v>1.1499999098531233</v>
      </c>
      <c r="AK287" s="28">
        <f t="shared" si="84"/>
        <v>1.1999998788191804</v>
      </c>
      <c r="AL287" s="28">
        <f t="shared" si="84"/>
        <v>1.0393240136382942</v>
      </c>
      <c r="AM287" s="29" t="e">
        <f t="shared" si="84"/>
        <v>#VALUE!</v>
      </c>
      <c r="AN287" s="30">
        <f t="shared" si="84"/>
        <v>0.49315926843077496</v>
      </c>
      <c r="AO287" s="31">
        <f t="shared" si="84"/>
        <v>0</v>
      </c>
      <c r="AP287" s="31">
        <f t="shared" si="84"/>
        <v>0</v>
      </c>
      <c r="AQ287" s="32">
        <f t="shared" si="84"/>
        <v>0</v>
      </c>
      <c r="AR287" s="32">
        <f t="shared" si="84"/>
        <v>0</v>
      </c>
      <c r="AS287" s="32">
        <f t="shared" si="84"/>
        <v>0</v>
      </c>
      <c r="AT287" s="33">
        <f t="shared" si="84"/>
        <v>0</v>
      </c>
      <c r="AU287" s="33">
        <f t="shared" si="84"/>
        <v>0</v>
      </c>
      <c r="AV287" s="34" t="e">
        <f t="shared" si="82"/>
        <v>#VALUE!</v>
      </c>
      <c r="AW287" s="34" t="e">
        <f t="shared" si="82"/>
        <v>#VALUE!</v>
      </c>
      <c r="AX287" s="35" t="e">
        <f t="shared" si="83"/>
        <v>#VALUE!</v>
      </c>
      <c r="AY287" s="35" t="e">
        <f t="shared" si="83"/>
        <v>#VALUE!</v>
      </c>
    </row>
    <row r="288" spans="6:51" x14ac:dyDescent="0.3">
      <c r="F288">
        <v>46</v>
      </c>
      <c r="G288" s="28"/>
      <c r="H288" s="28"/>
      <c r="I288" s="28"/>
      <c r="J288" s="28"/>
      <c r="K288" s="28"/>
      <c r="L288" s="29"/>
      <c r="M288" s="30"/>
      <c r="N288" s="31"/>
      <c r="O288" s="31"/>
      <c r="P288" s="32"/>
      <c r="Q288" s="32"/>
      <c r="R288" s="32"/>
      <c r="S288" s="33"/>
      <c r="T288" s="33"/>
      <c r="U288" s="34"/>
      <c r="V288" s="34"/>
      <c r="W288" s="35"/>
      <c r="X288" s="35"/>
      <c r="AG288">
        <f t="shared" si="77"/>
        <v>45.736807377615186</v>
      </c>
      <c r="AH288" s="28">
        <f t="shared" si="84"/>
        <v>0.74999993803770848</v>
      </c>
      <c r="AI288" s="28">
        <f t="shared" si="84"/>
        <v>0.79999995562953874</v>
      </c>
      <c r="AJ288" s="28">
        <f t="shared" si="84"/>
        <v>1.1499999409966284</v>
      </c>
      <c r="AK288" s="28">
        <f t="shared" si="84"/>
        <v>1.1999999109338486</v>
      </c>
      <c r="AL288" s="28">
        <f t="shared" si="84"/>
        <v>1.053249205324257</v>
      </c>
      <c r="AM288" s="29" t="e">
        <f t="shared" si="84"/>
        <v>#VALUE!</v>
      </c>
      <c r="AN288" s="30">
        <f t="shared" si="84"/>
        <v>0.49403102833197332</v>
      </c>
      <c r="AO288" s="31">
        <f t="shared" si="84"/>
        <v>0</v>
      </c>
      <c r="AP288" s="31">
        <f t="shared" si="84"/>
        <v>0</v>
      </c>
      <c r="AQ288" s="32">
        <f t="shared" si="84"/>
        <v>0</v>
      </c>
      <c r="AR288" s="32">
        <f t="shared" si="84"/>
        <v>0</v>
      </c>
      <c r="AS288" s="32">
        <f t="shared" si="84"/>
        <v>0</v>
      </c>
      <c r="AT288" s="33">
        <f t="shared" si="84"/>
        <v>0</v>
      </c>
      <c r="AU288" s="33">
        <f t="shared" si="84"/>
        <v>0</v>
      </c>
      <c r="AV288" s="34" t="e">
        <f t="shared" si="82"/>
        <v>#VALUE!</v>
      </c>
      <c r="AW288" s="34" t="e">
        <f t="shared" si="82"/>
        <v>#VALUE!</v>
      </c>
      <c r="AX288" s="35" t="e">
        <f t="shared" si="83"/>
        <v>#VALUE!</v>
      </c>
      <c r="AY288" s="35" t="e">
        <f t="shared" si="83"/>
        <v>#VALUE!</v>
      </c>
    </row>
    <row r="289" spans="6:51" x14ac:dyDescent="0.3">
      <c r="F289">
        <v>47</v>
      </c>
      <c r="G289" s="28"/>
      <c r="H289" s="28"/>
      <c r="I289" s="28"/>
      <c r="J289" s="28"/>
      <c r="K289" s="28"/>
      <c r="L289" s="29"/>
      <c r="M289" s="30"/>
      <c r="N289" s="31"/>
      <c r="O289" s="31"/>
      <c r="P289" s="32"/>
      <c r="Q289" s="32"/>
      <c r="R289" s="32"/>
      <c r="S289" s="33"/>
      <c r="T289" s="33"/>
      <c r="U289" s="34"/>
      <c r="V289" s="34"/>
      <c r="W289" s="35"/>
      <c r="X289" s="35"/>
      <c r="AG289">
        <f t="shared" si="77"/>
        <v>46.806056521639796</v>
      </c>
      <c r="AH289" s="28">
        <f t="shared" si="84"/>
        <v>0.74999995281607168</v>
      </c>
      <c r="AI289" s="28">
        <f t="shared" si="84"/>
        <v>0.79999996670461337</v>
      </c>
      <c r="AJ289" s="28">
        <f t="shared" si="84"/>
        <v>1.1499999595409041</v>
      </c>
      <c r="AK289" s="28">
        <f t="shared" si="84"/>
        <v>1.1999999324289057</v>
      </c>
      <c r="AL289" s="28">
        <f t="shared" si="84"/>
        <v>1.0642699632320962</v>
      </c>
      <c r="AM289" s="29" t="e">
        <f t="shared" si="84"/>
        <v>#VALUE!</v>
      </c>
      <c r="AN289" s="30">
        <f t="shared" si="84"/>
        <v>0.49472071109567017</v>
      </c>
      <c r="AO289" s="31">
        <f t="shared" si="84"/>
        <v>0</v>
      </c>
      <c r="AP289" s="31">
        <f t="shared" si="84"/>
        <v>0</v>
      </c>
      <c r="AQ289" s="32">
        <f t="shared" si="84"/>
        <v>0</v>
      </c>
      <c r="AR289" s="32">
        <f t="shared" si="84"/>
        <v>0</v>
      </c>
      <c r="AS289" s="32">
        <f t="shared" si="84"/>
        <v>0</v>
      </c>
      <c r="AT289" s="33">
        <f t="shared" si="84"/>
        <v>0</v>
      </c>
      <c r="AU289" s="33">
        <f t="shared" si="84"/>
        <v>0</v>
      </c>
      <c r="AV289" s="34" t="e">
        <f t="shared" si="82"/>
        <v>#VALUE!</v>
      </c>
      <c r="AW289" s="34" t="e">
        <f t="shared" si="82"/>
        <v>#VALUE!</v>
      </c>
      <c r="AX289" s="35" t="e">
        <f t="shared" si="83"/>
        <v>#VALUE!</v>
      </c>
      <c r="AY289" s="35" t="e">
        <f t="shared" si="83"/>
        <v>#VALUE!</v>
      </c>
    </row>
    <row r="290" spans="6:51" x14ac:dyDescent="0.3">
      <c r="F290">
        <v>48</v>
      </c>
      <c r="G290" s="28"/>
      <c r="H290" s="28"/>
      <c r="I290" s="28"/>
      <c r="J290" s="28"/>
      <c r="K290" s="28"/>
      <c r="L290" s="29"/>
      <c r="M290" s="30"/>
      <c r="N290" s="31"/>
      <c r="O290" s="31"/>
      <c r="P290" s="32"/>
      <c r="Q290" s="32"/>
      <c r="R290" s="32"/>
      <c r="S290" s="33"/>
      <c r="T290" s="33"/>
      <c r="U290" s="34"/>
      <c r="V290" s="34"/>
      <c r="W290" s="35"/>
      <c r="X290" s="35"/>
      <c r="AG290">
        <f t="shared" si="77"/>
        <v>47.791322808443105</v>
      </c>
      <c r="AH290" s="28">
        <f t="shared" si="84"/>
        <v>0.74999996279676329</v>
      </c>
      <c r="AI290" s="28">
        <f t="shared" si="84"/>
        <v>0.79999997428661929</v>
      </c>
      <c r="AJ290" s="28">
        <f t="shared" si="84"/>
        <v>1.14999997110249</v>
      </c>
      <c r="AK290" s="28">
        <f t="shared" si="84"/>
        <v>1.1999999472821861</v>
      </c>
      <c r="AL290" s="28">
        <f t="shared" si="84"/>
        <v>1.0731345473693601</v>
      </c>
      <c r="AM290" s="29" t="e">
        <f t="shared" si="84"/>
        <v>#VALUE!</v>
      </c>
      <c r="AN290" s="30">
        <f t="shared" si="84"/>
        <v>0.49527413259724484</v>
      </c>
      <c r="AO290" s="31">
        <f t="shared" si="84"/>
        <v>0</v>
      </c>
      <c r="AP290" s="31">
        <f t="shared" si="84"/>
        <v>0</v>
      </c>
      <c r="AQ290" s="32">
        <f t="shared" si="84"/>
        <v>0</v>
      </c>
      <c r="AR290" s="32">
        <f t="shared" si="84"/>
        <v>0</v>
      </c>
      <c r="AS290" s="32">
        <f t="shared" si="84"/>
        <v>0</v>
      </c>
      <c r="AT290" s="33">
        <f t="shared" si="84"/>
        <v>0</v>
      </c>
      <c r="AU290" s="33">
        <f t="shared" si="84"/>
        <v>0</v>
      </c>
      <c r="AV290" s="34" t="e">
        <f t="shared" ref="AV290:AW305" si="85">$C$5/100*AV$163*AV218</f>
        <v>#VALUE!</v>
      </c>
      <c r="AW290" s="34" t="e">
        <f t="shared" si="85"/>
        <v>#VALUE!</v>
      </c>
      <c r="AX290" s="35" t="e">
        <f t="shared" ref="AX290:AY305" si="86">AX218*AX$163</f>
        <v>#VALUE!</v>
      </c>
      <c r="AY290" s="35" t="e">
        <f t="shared" si="86"/>
        <v>#VALUE!</v>
      </c>
    </row>
    <row r="291" spans="6:51" x14ac:dyDescent="0.3">
      <c r="F291">
        <v>49</v>
      </c>
      <c r="G291" s="28"/>
      <c r="H291" s="28"/>
      <c r="I291" s="28"/>
      <c r="J291" s="28"/>
      <c r="K291" s="28"/>
      <c r="L291" s="29"/>
      <c r="M291" s="30"/>
      <c r="N291" s="31"/>
      <c r="O291" s="31"/>
      <c r="P291" s="32"/>
      <c r="Q291" s="32"/>
      <c r="R291" s="32"/>
      <c r="S291" s="33"/>
      <c r="T291" s="33"/>
      <c r="U291" s="34"/>
      <c r="V291" s="34"/>
      <c r="W291" s="35"/>
      <c r="X291" s="35"/>
      <c r="AG291">
        <f t="shared" si="77"/>
        <v>48.699202568119411</v>
      </c>
      <c r="AH291" s="28">
        <f t="shared" ref="AH291:AU306" si="87">AH219*AH$163</f>
        <v>0.74999996978447647</v>
      </c>
      <c r="AI291" s="28">
        <f t="shared" si="87"/>
        <v>0.79999997962959646</v>
      </c>
      <c r="AJ291" s="28">
        <f t="shared" si="87"/>
        <v>1.1499999786085748</v>
      </c>
      <c r="AK291" s="28">
        <f t="shared" si="87"/>
        <v>1.1999999578401777</v>
      </c>
      <c r="AL291" s="28">
        <f t="shared" si="87"/>
        <v>1.08036614852785</v>
      </c>
      <c r="AM291" s="29" t="e">
        <f t="shared" si="87"/>
        <v>#VALUE!</v>
      </c>
      <c r="AN291" s="30">
        <f t="shared" si="87"/>
        <v>0.49572390749417627</v>
      </c>
      <c r="AO291" s="31">
        <f t="shared" si="87"/>
        <v>0</v>
      </c>
      <c r="AP291" s="31">
        <f t="shared" si="87"/>
        <v>0</v>
      </c>
      <c r="AQ291" s="32">
        <f t="shared" si="87"/>
        <v>0</v>
      </c>
      <c r="AR291" s="32">
        <f t="shared" si="87"/>
        <v>0</v>
      </c>
      <c r="AS291" s="32">
        <f t="shared" si="87"/>
        <v>0</v>
      </c>
      <c r="AT291" s="33">
        <f t="shared" si="87"/>
        <v>0</v>
      </c>
      <c r="AU291" s="33">
        <f t="shared" si="87"/>
        <v>0</v>
      </c>
      <c r="AV291" s="34" t="e">
        <f t="shared" si="85"/>
        <v>#VALUE!</v>
      </c>
      <c r="AW291" s="34" t="e">
        <f t="shared" si="85"/>
        <v>#VALUE!</v>
      </c>
      <c r="AX291" s="35" t="e">
        <f t="shared" si="86"/>
        <v>#VALUE!</v>
      </c>
      <c r="AY291" s="35" t="e">
        <f t="shared" si="86"/>
        <v>#VALUE!</v>
      </c>
    </row>
    <row r="292" spans="6:51" x14ac:dyDescent="0.3">
      <c r="F292">
        <v>50</v>
      </c>
      <c r="G292" s="28"/>
      <c r="H292" s="28"/>
      <c r="I292" s="28"/>
      <c r="J292" s="28"/>
      <c r="K292" s="28"/>
      <c r="L292" s="29"/>
      <c r="M292" s="30"/>
      <c r="N292" s="31"/>
      <c r="O292" s="31"/>
      <c r="P292" s="32"/>
      <c r="Q292" s="32"/>
      <c r="R292" s="32"/>
      <c r="S292" s="33"/>
      <c r="T292" s="33"/>
      <c r="U292" s="34"/>
      <c r="V292" s="34"/>
      <c r="W292" s="35"/>
      <c r="X292" s="35"/>
      <c r="AG292">
        <f t="shared" si="77"/>
        <v>49.535774030139265</v>
      </c>
      <c r="AH292" s="28">
        <f t="shared" si="87"/>
        <v>0.74999997483108927</v>
      </c>
      <c r="AI292" s="28">
        <f t="shared" si="87"/>
        <v>0.79999998349292856</v>
      </c>
      <c r="AJ292" s="28">
        <f t="shared" si="87"/>
        <v>1.1499999836590444</v>
      </c>
      <c r="AK292" s="28">
        <f t="shared" si="87"/>
        <v>1.1999999655358589</v>
      </c>
      <c r="AL292" s="28">
        <f t="shared" si="87"/>
        <v>1.0863388998633148</v>
      </c>
      <c r="AM292" s="29" t="e">
        <f t="shared" si="87"/>
        <v>#VALUE!</v>
      </c>
      <c r="AN292" s="30">
        <f t="shared" si="87"/>
        <v>0.49609366086826984</v>
      </c>
      <c r="AO292" s="31">
        <f t="shared" si="87"/>
        <v>0</v>
      </c>
      <c r="AP292" s="31">
        <f t="shared" si="87"/>
        <v>0</v>
      </c>
      <c r="AQ292" s="32">
        <f t="shared" si="87"/>
        <v>0</v>
      </c>
      <c r="AR292" s="32">
        <f t="shared" si="87"/>
        <v>0</v>
      </c>
      <c r="AS292" s="32">
        <f t="shared" si="87"/>
        <v>0</v>
      </c>
      <c r="AT292" s="33">
        <f t="shared" si="87"/>
        <v>0</v>
      </c>
      <c r="AU292" s="33">
        <f t="shared" si="87"/>
        <v>0</v>
      </c>
      <c r="AV292" s="34" t="e">
        <f t="shared" si="85"/>
        <v>#VALUE!</v>
      </c>
      <c r="AW292" s="34" t="e">
        <f t="shared" si="85"/>
        <v>#VALUE!</v>
      </c>
      <c r="AX292" s="35" t="e">
        <f t="shared" si="86"/>
        <v>#VALUE!</v>
      </c>
      <c r="AY292" s="35" t="e">
        <f t="shared" si="86"/>
        <v>#VALUE!</v>
      </c>
    </row>
    <row r="293" spans="6:51" x14ac:dyDescent="0.3">
      <c r="F293">
        <v>51</v>
      </c>
      <c r="G293" s="28"/>
      <c r="H293" s="28"/>
      <c r="I293" s="28"/>
      <c r="J293" s="28"/>
      <c r="K293" s="28"/>
      <c r="L293" s="29"/>
      <c r="M293" s="30"/>
      <c r="N293" s="31"/>
      <c r="O293" s="31"/>
      <c r="P293" s="32"/>
      <c r="Q293" s="32"/>
      <c r="R293" s="32"/>
      <c r="S293" s="33"/>
      <c r="T293" s="33"/>
      <c r="U293" s="34"/>
      <c r="V293" s="34"/>
      <c r="W293" s="35"/>
      <c r="X293" s="35"/>
      <c r="AG293">
        <f t="shared" si="77"/>
        <v>50.306638016924872</v>
      </c>
      <c r="AH293" s="28">
        <f t="shared" si="87"/>
        <v>0.74999997857519296</v>
      </c>
      <c r="AI293" s="28">
        <f t="shared" si="87"/>
        <v>0.79999998635125702</v>
      </c>
      <c r="AJ293" s="28">
        <f t="shared" si="87"/>
        <v>1.1499999871663673</v>
      </c>
      <c r="AK293" s="28">
        <f t="shared" si="87"/>
        <v>1.1999999712720895</v>
      </c>
      <c r="AL293" s="28">
        <f t="shared" si="87"/>
        <v>1.0913257860042962</v>
      </c>
      <c r="AM293" s="29" t="e">
        <f t="shared" si="87"/>
        <v>#VALUE!</v>
      </c>
      <c r="AN293" s="30">
        <f t="shared" si="87"/>
        <v>0.49640078370497026</v>
      </c>
      <c r="AO293" s="31">
        <f t="shared" si="87"/>
        <v>0</v>
      </c>
      <c r="AP293" s="31">
        <f t="shared" si="87"/>
        <v>0</v>
      </c>
      <c r="AQ293" s="32">
        <f t="shared" si="87"/>
        <v>0</v>
      </c>
      <c r="AR293" s="32">
        <f t="shared" si="87"/>
        <v>0</v>
      </c>
      <c r="AS293" s="32">
        <f t="shared" si="87"/>
        <v>0</v>
      </c>
      <c r="AT293" s="33">
        <f t="shared" si="87"/>
        <v>0</v>
      </c>
      <c r="AU293" s="33">
        <f t="shared" si="87"/>
        <v>0</v>
      </c>
      <c r="AV293" s="34" t="e">
        <f t="shared" si="85"/>
        <v>#VALUE!</v>
      </c>
      <c r="AW293" s="34" t="e">
        <f t="shared" si="85"/>
        <v>#VALUE!</v>
      </c>
      <c r="AX293" s="35" t="e">
        <f t="shared" si="86"/>
        <v>#VALUE!</v>
      </c>
      <c r="AY293" s="35" t="e">
        <f t="shared" si="86"/>
        <v>#VALUE!</v>
      </c>
    </row>
    <row r="294" spans="6:51" x14ac:dyDescent="0.3">
      <c r="F294">
        <v>52</v>
      </c>
      <c r="G294" s="28"/>
      <c r="H294" s="28"/>
      <c r="I294" s="28"/>
      <c r="J294" s="28"/>
      <c r="K294" s="28"/>
      <c r="L294" s="29"/>
      <c r="M294" s="30"/>
      <c r="N294" s="31"/>
      <c r="O294" s="31"/>
      <c r="P294" s="32"/>
      <c r="Q294" s="32"/>
      <c r="R294" s="32"/>
      <c r="S294" s="33"/>
      <c r="T294" s="33"/>
      <c r="U294" s="34"/>
      <c r="V294" s="34"/>
      <c r="W294" s="35"/>
      <c r="X294" s="35"/>
      <c r="AG294">
        <f t="shared" si="77"/>
        <v>51.016955441198782</v>
      </c>
      <c r="AH294" s="28">
        <f t="shared" si="87"/>
        <v>0.74999998141869617</v>
      </c>
      <c r="AI294" s="28">
        <f t="shared" si="87"/>
        <v>0.79999998850987064</v>
      </c>
      <c r="AJ294" s="28">
        <f t="shared" si="87"/>
        <v>1.1499999896712203</v>
      </c>
      <c r="AK294" s="28">
        <f t="shared" si="87"/>
        <v>1.1999999756339996</v>
      </c>
      <c r="AL294" s="28">
        <f t="shared" si="87"/>
        <v>1.0955296291596417</v>
      </c>
      <c r="AM294" s="29" t="e">
        <f t="shared" si="87"/>
        <v>#VALUE!</v>
      </c>
      <c r="AN294" s="30">
        <f t="shared" si="87"/>
        <v>0.49665826991156553</v>
      </c>
      <c r="AO294" s="31">
        <f t="shared" si="87"/>
        <v>0</v>
      </c>
      <c r="AP294" s="31">
        <f t="shared" si="87"/>
        <v>0</v>
      </c>
      <c r="AQ294" s="32">
        <f t="shared" si="87"/>
        <v>0</v>
      </c>
      <c r="AR294" s="32">
        <f t="shared" si="87"/>
        <v>0</v>
      </c>
      <c r="AS294" s="32">
        <f t="shared" si="87"/>
        <v>0</v>
      </c>
      <c r="AT294" s="33">
        <f t="shared" si="87"/>
        <v>0</v>
      </c>
      <c r="AU294" s="33">
        <f t="shared" si="87"/>
        <v>0</v>
      </c>
      <c r="AV294" s="34" t="e">
        <f t="shared" si="85"/>
        <v>#VALUE!</v>
      </c>
      <c r="AW294" s="34" t="e">
        <f t="shared" si="85"/>
        <v>#VALUE!</v>
      </c>
      <c r="AX294" s="35" t="e">
        <f t="shared" si="86"/>
        <v>#VALUE!</v>
      </c>
      <c r="AY294" s="35" t="e">
        <f t="shared" si="86"/>
        <v>#VALUE!</v>
      </c>
    </row>
    <row r="295" spans="6:51" x14ac:dyDescent="0.3">
      <c r="F295">
        <v>53</v>
      </c>
      <c r="G295" s="28"/>
      <c r="H295" s="28"/>
      <c r="I295" s="28"/>
      <c r="J295" s="28"/>
      <c r="K295" s="28"/>
      <c r="L295" s="29"/>
      <c r="M295" s="30"/>
      <c r="N295" s="31"/>
      <c r="O295" s="31"/>
      <c r="P295" s="32"/>
      <c r="Q295" s="32"/>
      <c r="R295" s="32"/>
      <c r="S295" s="33"/>
      <c r="T295" s="33"/>
      <c r="U295" s="34"/>
      <c r="V295" s="34"/>
      <c r="W295" s="35"/>
      <c r="X295" s="35"/>
      <c r="AG295">
        <f t="shared" si="77"/>
        <v>51.671481858149477</v>
      </c>
      <c r="AH295" s="28">
        <f t="shared" si="87"/>
        <v>0.74999998362276821</v>
      </c>
      <c r="AI295" s="28">
        <f t="shared" si="87"/>
        <v>0.79999999017029955</v>
      </c>
      <c r="AJ295" s="28">
        <f t="shared" si="87"/>
        <v>1.1499999915051775</v>
      </c>
      <c r="AK295" s="28">
        <f t="shared" si="87"/>
        <v>1.1999999790106259</v>
      </c>
      <c r="AL295" s="28">
        <f t="shared" si="87"/>
        <v>1.0991036054632985</v>
      </c>
      <c r="AM295" s="29" t="e">
        <f t="shared" si="87"/>
        <v>#VALUE!</v>
      </c>
      <c r="AN295" s="30">
        <f t="shared" si="87"/>
        <v>0.4968759627656637</v>
      </c>
      <c r="AO295" s="31">
        <f t="shared" si="87"/>
        <v>0</v>
      </c>
      <c r="AP295" s="31">
        <f t="shared" si="87"/>
        <v>0</v>
      </c>
      <c r="AQ295" s="32">
        <f t="shared" si="87"/>
        <v>0</v>
      </c>
      <c r="AR295" s="32">
        <f t="shared" si="87"/>
        <v>0</v>
      </c>
      <c r="AS295" s="32">
        <f t="shared" si="87"/>
        <v>0</v>
      </c>
      <c r="AT295" s="33">
        <f t="shared" si="87"/>
        <v>0</v>
      </c>
      <c r="AU295" s="33">
        <f t="shared" si="87"/>
        <v>0</v>
      </c>
      <c r="AV295" s="34" t="e">
        <f t="shared" si="85"/>
        <v>#VALUE!</v>
      </c>
      <c r="AW295" s="34" t="e">
        <f t="shared" si="85"/>
        <v>#VALUE!</v>
      </c>
      <c r="AX295" s="35" t="e">
        <f t="shared" si="86"/>
        <v>#VALUE!</v>
      </c>
      <c r="AY295" s="35" t="e">
        <f t="shared" si="86"/>
        <v>#VALUE!</v>
      </c>
    </row>
    <row r="296" spans="6:51" x14ac:dyDescent="0.3">
      <c r="F296">
        <v>54</v>
      </c>
      <c r="G296" s="28"/>
      <c r="H296" s="28"/>
      <c r="I296" s="28"/>
      <c r="J296" s="28"/>
      <c r="K296" s="28"/>
      <c r="L296" s="29"/>
      <c r="M296" s="30"/>
      <c r="N296" s="31"/>
      <c r="O296" s="31"/>
      <c r="P296" s="32"/>
      <c r="Q296" s="32"/>
      <c r="R296" s="32"/>
      <c r="S296" s="33"/>
      <c r="T296" s="33"/>
      <c r="U296" s="34"/>
      <c r="V296" s="34"/>
      <c r="W296" s="35"/>
      <c r="X296" s="35"/>
      <c r="AG296">
        <f t="shared" si="77"/>
        <v>52.274599303739727</v>
      </c>
      <c r="AH296" s="28">
        <f t="shared" si="87"/>
        <v>0.74999998536203216</v>
      </c>
      <c r="AI296" s="28">
        <f t="shared" si="87"/>
        <v>0.79999999146876088</v>
      </c>
      <c r="AJ296" s="28">
        <f t="shared" si="87"/>
        <v>1.1499999928779783</v>
      </c>
      <c r="AK296" s="28">
        <f t="shared" si="87"/>
        <v>1.1999999816667082</v>
      </c>
      <c r="AL296" s="28">
        <f t="shared" si="87"/>
        <v>1.1021651222509037</v>
      </c>
      <c r="AM296" s="29" t="e">
        <f t="shared" si="87"/>
        <v>#VALUE!</v>
      </c>
      <c r="AN296" s="30">
        <f t="shared" si="87"/>
        <v>0.49706141468692439</v>
      </c>
      <c r="AO296" s="31">
        <f t="shared" si="87"/>
        <v>0</v>
      </c>
      <c r="AP296" s="31">
        <f t="shared" si="87"/>
        <v>0</v>
      </c>
      <c r="AQ296" s="32">
        <f t="shared" si="87"/>
        <v>0</v>
      </c>
      <c r="AR296" s="32">
        <f t="shared" si="87"/>
        <v>0</v>
      </c>
      <c r="AS296" s="32">
        <f t="shared" si="87"/>
        <v>0</v>
      </c>
      <c r="AT296" s="33">
        <f t="shared" si="87"/>
        <v>0</v>
      </c>
      <c r="AU296" s="33">
        <f t="shared" si="87"/>
        <v>0</v>
      </c>
      <c r="AV296" s="34" t="e">
        <f t="shared" si="85"/>
        <v>#VALUE!</v>
      </c>
      <c r="AW296" s="34" t="e">
        <f t="shared" si="85"/>
        <v>#VALUE!</v>
      </c>
      <c r="AX296" s="35" t="e">
        <f t="shared" si="86"/>
        <v>#VALUE!</v>
      </c>
      <c r="AY296" s="35" t="e">
        <f t="shared" si="86"/>
        <v>#VALUE!</v>
      </c>
    </row>
    <row r="297" spans="6:51" x14ac:dyDescent="0.3">
      <c r="F297">
        <v>55</v>
      </c>
      <c r="G297" s="28"/>
      <c r="H297" s="28"/>
      <c r="I297" s="28"/>
      <c r="J297" s="28"/>
      <c r="K297" s="28"/>
      <c r="L297" s="29"/>
      <c r="M297" s="30"/>
      <c r="N297" s="31"/>
      <c r="O297" s="31"/>
      <c r="P297" s="32"/>
      <c r="Q297" s="32"/>
      <c r="R297" s="32"/>
      <c r="S297" s="33"/>
      <c r="T297" s="33"/>
      <c r="U297" s="34"/>
      <c r="V297" s="34"/>
      <c r="W297" s="35"/>
      <c r="X297" s="35"/>
      <c r="AG297">
        <f t="shared" si="77"/>
        <v>52.830345632314121</v>
      </c>
      <c r="AH297" s="28">
        <f t="shared" si="87"/>
        <v>0.74999998675626312</v>
      </c>
      <c r="AI297" s="28">
        <f t="shared" si="87"/>
        <v>0.79999999249933151</v>
      </c>
      <c r="AJ297" s="28">
        <f t="shared" si="87"/>
        <v>1.149999993926065</v>
      </c>
      <c r="AK297" s="28">
        <f t="shared" si="87"/>
        <v>1.1999999837862581</v>
      </c>
      <c r="AL297" s="28">
        <f t="shared" si="87"/>
        <v>1.1048053893023433</v>
      </c>
      <c r="AM297" s="29" t="e">
        <f t="shared" si="87"/>
        <v>#VALUE!</v>
      </c>
      <c r="AN297" s="30">
        <f t="shared" si="87"/>
        <v>0.49722048948475006</v>
      </c>
      <c r="AO297" s="31">
        <f t="shared" si="87"/>
        <v>0</v>
      </c>
      <c r="AP297" s="31">
        <f t="shared" si="87"/>
        <v>0</v>
      </c>
      <c r="AQ297" s="32">
        <f t="shared" si="87"/>
        <v>0</v>
      </c>
      <c r="AR297" s="32">
        <f t="shared" si="87"/>
        <v>0</v>
      </c>
      <c r="AS297" s="32">
        <f t="shared" si="87"/>
        <v>0</v>
      </c>
      <c r="AT297" s="33">
        <f t="shared" si="87"/>
        <v>0</v>
      </c>
      <c r="AU297" s="33">
        <f t="shared" si="87"/>
        <v>0</v>
      </c>
      <c r="AV297" s="34" t="e">
        <f t="shared" si="85"/>
        <v>#VALUE!</v>
      </c>
      <c r="AW297" s="34" t="e">
        <f t="shared" si="85"/>
        <v>#VALUE!</v>
      </c>
      <c r="AX297" s="35" t="e">
        <f t="shared" si="86"/>
        <v>#VALUE!</v>
      </c>
      <c r="AY297" s="35" t="e">
        <f t="shared" si="86"/>
        <v>#VALUE!</v>
      </c>
    </row>
    <row r="298" spans="6:51" x14ac:dyDescent="0.3">
      <c r="F298">
        <v>56</v>
      </c>
      <c r="G298" s="28"/>
      <c r="H298" s="28"/>
      <c r="I298" s="28"/>
      <c r="J298" s="28"/>
      <c r="K298" s="28"/>
      <c r="L298" s="29"/>
      <c r="M298" s="30"/>
      <c r="N298" s="31"/>
      <c r="O298" s="31"/>
      <c r="P298" s="32"/>
      <c r="Q298" s="32"/>
      <c r="R298" s="32"/>
      <c r="S298" s="33"/>
      <c r="T298" s="33"/>
      <c r="U298" s="34"/>
      <c r="V298" s="34"/>
      <c r="W298" s="35"/>
      <c r="X298" s="35"/>
      <c r="AG298">
        <f t="shared" si="77"/>
        <v>53.342441549920437</v>
      </c>
      <c r="AH298" s="28">
        <f t="shared" si="87"/>
        <v>0.74999998788952149</v>
      </c>
      <c r="AI298" s="28">
        <f t="shared" si="87"/>
        <v>0.79999999332827754</v>
      </c>
      <c r="AJ298" s="28">
        <f t="shared" si="87"/>
        <v>1.1499999947404811</v>
      </c>
      <c r="AK298" s="28">
        <f t="shared" si="87"/>
        <v>1.1999999854996759</v>
      </c>
      <c r="AL298" s="28">
        <f t="shared" si="87"/>
        <v>1.1070961388565643</v>
      </c>
      <c r="AM298" s="29" t="e">
        <f t="shared" si="87"/>
        <v>#VALUE!</v>
      </c>
      <c r="AN298" s="30">
        <f t="shared" si="87"/>
        <v>0.49735779033257821</v>
      </c>
      <c r="AO298" s="31">
        <f t="shared" si="87"/>
        <v>0</v>
      </c>
      <c r="AP298" s="31">
        <f t="shared" si="87"/>
        <v>0</v>
      </c>
      <c r="AQ298" s="32">
        <f t="shared" si="87"/>
        <v>0</v>
      </c>
      <c r="AR298" s="32">
        <f t="shared" si="87"/>
        <v>0</v>
      </c>
      <c r="AS298" s="32">
        <f t="shared" si="87"/>
        <v>0</v>
      </c>
      <c r="AT298" s="33">
        <f t="shared" si="87"/>
        <v>0</v>
      </c>
      <c r="AU298" s="33">
        <f t="shared" si="87"/>
        <v>0</v>
      </c>
      <c r="AV298" s="34" t="e">
        <f t="shared" si="85"/>
        <v>#VALUE!</v>
      </c>
      <c r="AW298" s="34" t="e">
        <f t="shared" si="85"/>
        <v>#VALUE!</v>
      </c>
      <c r="AX298" s="35" t="e">
        <f t="shared" si="86"/>
        <v>#VALUE!</v>
      </c>
      <c r="AY298" s="35" t="e">
        <f t="shared" si="86"/>
        <v>#VALUE!</v>
      </c>
    </row>
    <row r="299" spans="6:51" x14ac:dyDescent="0.3">
      <c r="F299">
        <v>57</v>
      </c>
      <c r="G299" s="28"/>
      <c r="H299" s="28"/>
      <c r="I299" s="28"/>
      <c r="J299" s="28"/>
      <c r="K299" s="28"/>
      <c r="L299" s="29"/>
      <c r="M299" s="30"/>
      <c r="N299" s="31"/>
      <c r="O299" s="31"/>
      <c r="P299" s="32"/>
      <c r="Q299" s="32"/>
      <c r="R299" s="32"/>
      <c r="S299" s="33"/>
      <c r="T299" s="33"/>
      <c r="U299" s="34"/>
      <c r="V299" s="34"/>
      <c r="W299" s="35"/>
      <c r="X299" s="35"/>
      <c r="AG299">
        <f t="shared" si="77"/>
        <v>53.814315524332059</v>
      </c>
      <c r="AH299" s="28">
        <f t="shared" si="87"/>
        <v>0.74999998882203522</v>
      </c>
      <c r="AI299" s="28">
        <f t="shared" si="87"/>
        <v>0.79999999400312605</v>
      </c>
      <c r="AJ299" s="28">
        <f t="shared" si="87"/>
        <v>1.1499999953833961</v>
      </c>
      <c r="AK299" s="28">
        <f t="shared" si="87"/>
        <v>1.1999999869010223</v>
      </c>
      <c r="AL299" s="28">
        <f t="shared" si="87"/>
        <v>1.1090944214741463</v>
      </c>
      <c r="AM299" s="29" t="e">
        <f t="shared" si="87"/>
        <v>#VALUE!</v>
      </c>
      <c r="AN299" s="30">
        <f t="shared" si="87"/>
        <v>0.49747696802255031</v>
      </c>
      <c r="AO299" s="31">
        <f t="shared" si="87"/>
        <v>0</v>
      </c>
      <c r="AP299" s="31">
        <f t="shared" si="87"/>
        <v>0</v>
      </c>
      <c r="AQ299" s="32">
        <f t="shared" si="87"/>
        <v>0</v>
      </c>
      <c r="AR299" s="32">
        <f t="shared" si="87"/>
        <v>0</v>
      </c>
      <c r="AS299" s="32">
        <f t="shared" si="87"/>
        <v>0</v>
      </c>
      <c r="AT299" s="33">
        <f t="shared" si="87"/>
        <v>0</v>
      </c>
      <c r="AU299" s="33">
        <f t="shared" si="87"/>
        <v>0</v>
      </c>
      <c r="AV299" s="34" t="e">
        <f t="shared" si="85"/>
        <v>#VALUE!</v>
      </c>
      <c r="AW299" s="34" t="e">
        <f t="shared" si="85"/>
        <v>#VALUE!</v>
      </c>
      <c r="AX299" s="35" t="e">
        <f t="shared" si="86"/>
        <v>#VALUE!</v>
      </c>
      <c r="AY299" s="35" t="e">
        <f t="shared" si="86"/>
        <v>#VALUE!</v>
      </c>
    </row>
    <row r="300" spans="6:51" x14ac:dyDescent="0.3">
      <c r="F300">
        <v>58</v>
      </c>
      <c r="G300" s="28"/>
      <c r="H300" s="28"/>
      <c r="I300" s="28"/>
      <c r="J300" s="28"/>
      <c r="K300" s="28"/>
      <c r="L300" s="29"/>
      <c r="M300" s="30"/>
      <c r="N300" s="31"/>
      <c r="O300" s="31"/>
      <c r="P300" s="32"/>
      <c r="Q300" s="32"/>
      <c r="R300" s="32"/>
      <c r="S300" s="33"/>
      <c r="T300" s="33"/>
      <c r="U300" s="34"/>
      <c r="V300" s="34"/>
      <c r="W300" s="35"/>
      <c r="X300" s="35"/>
      <c r="AG300">
        <f t="shared" si="77"/>
        <v>54.249126738543261</v>
      </c>
      <c r="AH300" s="28">
        <f t="shared" si="87"/>
        <v>0.74999998959777281</v>
      </c>
      <c r="AI300" s="28">
        <f t="shared" si="87"/>
        <v>0.79999999455853454</v>
      </c>
      <c r="AJ300" s="28">
        <f t="shared" si="87"/>
        <v>1.1499999958981664</v>
      </c>
      <c r="AK300" s="28">
        <f t="shared" si="87"/>
        <v>1.1999999880592598</v>
      </c>
      <c r="AL300" s="28">
        <f t="shared" si="87"/>
        <v>1.1108460804692266</v>
      </c>
      <c r="AM300" s="29" t="e">
        <f t="shared" si="87"/>
        <v>#VALUE!</v>
      </c>
      <c r="AN300" s="30">
        <f t="shared" si="87"/>
        <v>0.49758094580886236</v>
      </c>
      <c r="AO300" s="31">
        <f t="shared" si="87"/>
        <v>0</v>
      </c>
      <c r="AP300" s="31">
        <f t="shared" si="87"/>
        <v>0</v>
      </c>
      <c r="AQ300" s="32">
        <f t="shared" si="87"/>
        <v>0</v>
      </c>
      <c r="AR300" s="32">
        <f t="shared" si="87"/>
        <v>0</v>
      </c>
      <c r="AS300" s="32">
        <f t="shared" si="87"/>
        <v>0</v>
      </c>
      <c r="AT300" s="33">
        <f t="shared" si="87"/>
        <v>0</v>
      </c>
      <c r="AU300" s="33">
        <f t="shared" si="87"/>
        <v>0</v>
      </c>
      <c r="AV300" s="34" t="e">
        <f t="shared" si="85"/>
        <v>#VALUE!</v>
      </c>
      <c r="AW300" s="34" t="e">
        <f t="shared" si="85"/>
        <v>#VALUE!</v>
      </c>
      <c r="AX300" s="35" t="e">
        <f t="shared" si="86"/>
        <v>#VALUE!</v>
      </c>
      <c r="AY300" s="35" t="e">
        <f t="shared" si="86"/>
        <v>#VALUE!</v>
      </c>
    </row>
    <row r="301" spans="6:51" x14ac:dyDescent="0.3">
      <c r="F301">
        <v>59</v>
      </c>
      <c r="G301" s="28"/>
      <c r="H301" s="28"/>
      <c r="I301" s="28"/>
      <c r="J301" s="28"/>
      <c r="K301" s="28"/>
      <c r="L301" s="29"/>
      <c r="M301" s="30"/>
      <c r="N301" s="31"/>
      <c r="O301" s="31"/>
      <c r="P301" s="32"/>
      <c r="Q301" s="32"/>
      <c r="R301" s="32"/>
      <c r="S301" s="33"/>
      <c r="T301" s="33"/>
      <c r="U301" s="34"/>
      <c r="V301" s="34"/>
      <c r="W301" s="35"/>
      <c r="X301" s="35"/>
      <c r="AG301">
        <f t="shared" si="77"/>
        <v>54.649786241410681</v>
      </c>
      <c r="AH301" s="28">
        <f t="shared" si="87"/>
        <v>0.74999999024938246</v>
      </c>
      <c r="AI301" s="28">
        <f t="shared" si="87"/>
        <v>0.79999999502016517</v>
      </c>
      <c r="AJ301" s="28">
        <f t="shared" si="87"/>
        <v>1.149999996315614</v>
      </c>
      <c r="AK301" s="28">
        <f t="shared" si="87"/>
        <v>1.199999989025714</v>
      </c>
      <c r="AL301" s="28">
        <f t="shared" si="87"/>
        <v>1.1123883040718772</v>
      </c>
      <c r="AM301" s="29" t="e">
        <f t="shared" si="87"/>
        <v>#VALUE!</v>
      </c>
      <c r="AN301" s="30">
        <f t="shared" si="87"/>
        <v>0.49767208536116347</v>
      </c>
      <c r="AO301" s="31">
        <f t="shared" si="87"/>
        <v>0</v>
      </c>
      <c r="AP301" s="31">
        <f t="shared" si="87"/>
        <v>0</v>
      </c>
      <c r="AQ301" s="32">
        <f t="shared" si="87"/>
        <v>0</v>
      </c>
      <c r="AR301" s="32">
        <f t="shared" si="87"/>
        <v>0</v>
      </c>
      <c r="AS301" s="32">
        <f t="shared" si="87"/>
        <v>0</v>
      </c>
      <c r="AT301" s="33">
        <f t="shared" si="87"/>
        <v>0</v>
      </c>
      <c r="AU301" s="33">
        <f t="shared" si="87"/>
        <v>0</v>
      </c>
      <c r="AV301" s="34" t="e">
        <f t="shared" si="85"/>
        <v>#VALUE!</v>
      </c>
      <c r="AW301" s="34" t="e">
        <f t="shared" si="85"/>
        <v>#VALUE!</v>
      </c>
      <c r="AX301" s="35" t="e">
        <f t="shared" si="86"/>
        <v>#VALUE!</v>
      </c>
      <c r="AY301" s="35" t="e">
        <f t="shared" si="86"/>
        <v>#VALUE!</v>
      </c>
    </row>
    <row r="302" spans="6:51" x14ac:dyDescent="0.3">
      <c r="F302">
        <v>60</v>
      </c>
      <c r="G302" s="28"/>
      <c r="H302" s="28"/>
      <c r="I302" s="28"/>
      <c r="J302" s="28"/>
      <c r="K302" s="28"/>
      <c r="L302" s="29"/>
      <c r="M302" s="30"/>
      <c r="N302" s="31"/>
      <c r="O302" s="31"/>
      <c r="P302" s="32"/>
      <c r="Q302" s="32"/>
      <c r="R302" s="32"/>
      <c r="S302" s="33"/>
      <c r="T302" s="33"/>
      <c r="U302" s="34"/>
      <c r="V302" s="34"/>
      <c r="W302" s="35"/>
      <c r="X302" s="35"/>
      <c r="AG302">
        <f t="shared" si="77"/>
        <v>55.01897643704347</v>
      </c>
      <c r="AH302" s="28">
        <f t="shared" si="87"/>
        <v>0.74999999080148583</v>
      </c>
      <c r="AI302" s="28">
        <f t="shared" si="87"/>
        <v>0.79999999540728939</v>
      </c>
      <c r="AJ302" s="28">
        <f t="shared" si="87"/>
        <v>1.1499999966580416</v>
      </c>
      <c r="AK302" s="28">
        <f t="shared" si="87"/>
        <v>1.1999999898391156</v>
      </c>
      <c r="AL302" s="28">
        <f t="shared" si="87"/>
        <v>1.1137515242340912</v>
      </c>
      <c r="AM302" s="29" t="e">
        <f t="shared" si="87"/>
        <v>#VALUE!</v>
      </c>
      <c r="AN302" s="30">
        <f t="shared" si="87"/>
        <v>0.49775231061903957</v>
      </c>
      <c r="AO302" s="31">
        <f t="shared" si="87"/>
        <v>0</v>
      </c>
      <c r="AP302" s="31">
        <f t="shared" si="87"/>
        <v>0</v>
      </c>
      <c r="AQ302" s="32">
        <f t="shared" si="87"/>
        <v>0</v>
      </c>
      <c r="AR302" s="32">
        <f t="shared" si="87"/>
        <v>0</v>
      </c>
      <c r="AS302" s="32">
        <f t="shared" si="87"/>
        <v>0</v>
      </c>
      <c r="AT302" s="33">
        <f t="shared" si="87"/>
        <v>0</v>
      </c>
      <c r="AU302" s="33">
        <f t="shared" si="87"/>
        <v>0</v>
      </c>
      <c r="AV302" s="34" t="e">
        <f t="shared" si="85"/>
        <v>#VALUE!</v>
      </c>
      <c r="AW302" s="34" t="e">
        <f t="shared" si="85"/>
        <v>#VALUE!</v>
      </c>
      <c r="AX302" s="35" t="e">
        <f t="shared" si="86"/>
        <v>#VALUE!</v>
      </c>
      <c r="AY302" s="35" t="e">
        <f t="shared" si="86"/>
        <v>#VALUE!</v>
      </c>
    </row>
    <row r="303" spans="6:51" x14ac:dyDescent="0.3">
      <c r="F303">
        <v>61</v>
      </c>
      <c r="G303" s="28"/>
      <c r="H303" s="28"/>
      <c r="I303" s="28"/>
      <c r="J303" s="28"/>
      <c r="K303" s="28"/>
      <c r="L303" s="29"/>
      <c r="M303" s="30"/>
      <c r="N303" s="31"/>
      <c r="O303" s="31"/>
      <c r="P303" s="32"/>
      <c r="Q303" s="32"/>
      <c r="R303" s="32"/>
      <c r="S303" s="33"/>
      <c r="T303" s="33"/>
      <c r="U303" s="34"/>
      <c r="V303" s="34"/>
      <c r="W303" s="35"/>
      <c r="X303" s="35"/>
      <c r="AG303">
        <f t="shared" si="77"/>
        <v>55.359169043423464</v>
      </c>
      <c r="AH303" s="28">
        <f t="shared" si="87"/>
        <v>0.74999999127291606</v>
      </c>
      <c r="AI303" s="28">
        <f t="shared" si="87"/>
        <v>0.79999999573456948</v>
      </c>
      <c r="AJ303" s="28">
        <f t="shared" si="87"/>
        <v>1.1499999969418486</v>
      </c>
      <c r="AK303" s="28">
        <f t="shared" si="87"/>
        <v>1.1999999905290677</v>
      </c>
      <c r="AL303" s="28">
        <f t="shared" si="87"/>
        <v>1.1149608461432303</v>
      </c>
      <c r="AM303" s="29" t="e">
        <f t="shared" si="87"/>
        <v>#VALUE!</v>
      </c>
      <c r="AN303" s="30">
        <f t="shared" si="87"/>
        <v>0.49782320119593559</v>
      </c>
      <c r="AO303" s="31">
        <f t="shared" si="87"/>
        <v>0</v>
      </c>
      <c r="AP303" s="31">
        <f t="shared" si="87"/>
        <v>0</v>
      </c>
      <c r="AQ303" s="32">
        <f t="shared" si="87"/>
        <v>0</v>
      </c>
      <c r="AR303" s="32">
        <f t="shared" si="87"/>
        <v>0</v>
      </c>
      <c r="AS303" s="32">
        <f t="shared" si="87"/>
        <v>0</v>
      </c>
      <c r="AT303" s="33">
        <f t="shared" si="87"/>
        <v>0</v>
      </c>
      <c r="AU303" s="33">
        <f t="shared" si="87"/>
        <v>0</v>
      </c>
      <c r="AV303" s="34" t="e">
        <f t="shared" si="85"/>
        <v>#VALUE!</v>
      </c>
      <c r="AW303" s="34" t="e">
        <f t="shared" si="85"/>
        <v>#VALUE!</v>
      </c>
      <c r="AX303" s="35" t="e">
        <f t="shared" si="86"/>
        <v>#VALUE!</v>
      </c>
      <c r="AY303" s="35" t="e">
        <f t="shared" si="86"/>
        <v>#VALUE!</v>
      </c>
    </row>
    <row r="304" spans="6:51" x14ac:dyDescent="0.3">
      <c r="F304">
        <v>62</v>
      </c>
      <c r="G304" s="28"/>
      <c r="H304" s="28"/>
      <c r="I304" s="28"/>
      <c r="J304" s="28"/>
      <c r="K304" s="28"/>
      <c r="L304" s="29"/>
      <c r="M304" s="30"/>
      <c r="N304" s="31"/>
      <c r="O304" s="31"/>
      <c r="P304" s="32"/>
      <c r="Q304" s="32"/>
      <c r="R304" s="32"/>
      <c r="S304" s="33"/>
      <c r="T304" s="33"/>
      <c r="U304" s="34"/>
      <c r="V304" s="34"/>
      <c r="W304" s="35"/>
      <c r="X304" s="35"/>
      <c r="AG304">
        <f t="shared" si="77"/>
        <v>55.672641640487548</v>
      </c>
      <c r="AH304" s="28">
        <f t="shared" si="87"/>
        <v>0.74999999167826692</v>
      </c>
      <c r="AI304" s="28">
        <f t="shared" si="87"/>
        <v>0.79999999601329663</v>
      </c>
      <c r="AJ304" s="28">
        <f t="shared" si="87"/>
        <v>1.1499999971792765</v>
      </c>
      <c r="AK304" s="28">
        <f t="shared" si="87"/>
        <v>1.1999999911184676</v>
      </c>
      <c r="AL304" s="28">
        <f t="shared" si="87"/>
        <v>1.116037136301163</v>
      </c>
      <c r="AM304" s="29" t="e">
        <f t="shared" si="87"/>
        <v>#VALUE!</v>
      </c>
      <c r="AN304" s="30">
        <f t="shared" si="87"/>
        <v>0.4978860635131655</v>
      </c>
      <c r="AO304" s="31">
        <f t="shared" si="87"/>
        <v>0</v>
      </c>
      <c r="AP304" s="31">
        <f t="shared" si="87"/>
        <v>0</v>
      </c>
      <c r="AQ304" s="32">
        <f t="shared" si="87"/>
        <v>0</v>
      </c>
      <c r="AR304" s="32">
        <f t="shared" si="87"/>
        <v>0</v>
      </c>
      <c r="AS304" s="32">
        <f t="shared" si="87"/>
        <v>0</v>
      </c>
      <c r="AT304" s="33">
        <f t="shared" si="87"/>
        <v>0</v>
      </c>
      <c r="AU304" s="33">
        <f t="shared" si="87"/>
        <v>0</v>
      </c>
      <c r="AV304" s="34" t="e">
        <f t="shared" si="85"/>
        <v>#VALUE!</v>
      </c>
      <c r="AW304" s="34" t="e">
        <f t="shared" si="85"/>
        <v>#VALUE!</v>
      </c>
      <c r="AX304" s="35" t="e">
        <f t="shared" si="86"/>
        <v>#VALUE!</v>
      </c>
      <c r="AY304" s="35" t="e">
        <f t="shared" si="86"/>
        <v>#VALUE!</v>
      </c>
    </row>
    <row r="305" spans="5:51" x14ac:dyDescent="0.3">
      <c r="F305">
        <v>63</v>
      </c>
      <c r="G305" s="28"/>
      <c r="H305" s="28"/>
      <c r="I305" s="28"/>
      <c r="J305" s="28"/>
      <c r="K305" s="28"/>
      <c r="L305" s="29"/>
      <c r="M305" s="30"/>
      <c r="N305" s="31"/>
      <c r="O305" s="31"/>
      <c r="P305" s="32"/>
      <c r="Q305" s="32"/>
      <c r="R305" s="32"/>
      <c r="S305" s="33"/>
      <c r="T305" s="33"/>
      <c r="U305" s="34"/>
      <c r="V305" s="34"/>
      <c r="W305" s="35"/>
      <c r="X305" s="35"/>
      <c r="AG305">
        <f t="shared" si="77"/>
        <v>55.961492918461353</v>
      </c>
      <c r="AH305" s="28">
        <f t="shared" si="87"/>
        <v>0.7499999920289826</v>
      </c>
      <c r="AI305" s="28">
        <f t="shared" si="87"/>
        <v>0.79999999625226459</v>
      </c>
      <c r="AJ305" s="28">
        <f t="shared" si="87"/>
        <v>1.1499999973795878</v>
      </c>
      <c r="AK305" s="28">
        <f t="shared" si="87"/>
        <v>1.1999999916252209</v>
      </c>
      <c r="AL305" s="28">
        <f t="shared" si="87"/>
        <v>1.1169978592120025</v>
      </c>
      <c r="AM305" s="29" t="e">
        <f t="shared" si="87"/>
        <v>#VALUE!</v>
      </c>
      <c r="AN305" s="30">
        <f t="shared" si="87"/>
        <v>0.49794198547634705</v>
      </c>
      <c r="AO305" s="31">
        <f t="shared" si="87"/>
        <v>0</v>
      </c>
      <c r="AP305" s="31">
        <f t="shared" si="87"/>
        <v>0</v>
      </c>
      <c r="AQ305" s="32">
        <f t="shared" si="87"/>
        <v>0</v>
      </c>
      <c r="AR305" s="32">
        <f t="shared" si="87"/>
        <v>0</v>
      </c>
      <c r="AS305" s="32">
        <f t="shared" si="87"/>
        <v>0</v>
      </c>
      <c r="AT305" s="33">
        <f t="shared" si="87"/>
        <v>0</v>
      </c>
      <c r="AU305" s="33">
        <f t="shared" si="87"/>
        <v>0</v>
      </c>
      <c r="AV305" s="34" t="e">
        <f t="shared" si="85"/>
        <v>#VALUE!</v>
      </c>
      <c r="AW305" s="34" t="e">
        <f t="shared" si="85"/>
        <v>#VALUE!</v>
      </c>
      <c r="AX305" s="35" t="e">
        <f t="shared" si="86"/>
        <v>#VALUE!</v>
      </c>
      <c r="AY305" s="35" t="e">
        <f t="shared" si="86"/>
        <v>#VALUE!</v>
      </c>
    </row>
    <row r="306" spans="5:51" x14ac:dyDescent="0.3">
      <c r="F306">
        <v>64</v>
      </c>
      <c r="G306" s="28"/>
      <c r="H306" s="28"/>
      <c r="I306" s="28"/>
      <c r="J306" s="28"/>
      <c r="K306" s="28"/>
      <c r="L306" s="29"/>
      <c r="M306" s="30"/>
      <c r="N306" s="31"/>
      <c r="O306" s="31"/>
      <c r="P306" s="32"/>
      <c r="Q306" s="32"/>
      <c r="R306" s="32"/>
      <c r="S306" s="33"/>
      <c r="T306" s="33"/>
      <c r="U306" s="34"/>
      <c r="V306" s="34"/>
      <c r="W306" s="35"/>
      <c r="X306" s="35"/>
      <c r="AG306">
        <f t="shared" si="77"/>
        <v>56.227656728531329</v>
      </c>
      <c r="AH306" s="28">
        <f t="shared" si="87"/>
        <v>0.74999999233413706</v>
      </c>
      <c r="AI306" s="28">
        <f t="shared" si="87"/>
        <v>0.7999999964583937</v>
      </c>
      <c r="AJ306" s="28">
        <f t="shared" si="87"/>
        <v>1.1499999975498818</v>
      </c>
      <c r="AK306" s="28">
        <f t="shared" si="87"/>
        <v>1.1999999920634754</v>
      </c>
      <c r="AL306" s="28">
        <f t="shared" si="87"/>
        <v>1.1178577269069894</v>
      </c>
      <c r="AM306" s="29" t="e">
        <f t="shared" si="87"/>
        <v>#VALUE!</v>
      </c>
      <c r="AN306" s="30">
        <f t="shared" si="87"/>
        <v>0.49799187886945984</v>
      </c>
      <c r="AO306" s="31">
        <f t="shared" si="87"/>
        <v>0</v>
      </c>
      <c r="AP306" s="31">
        <f t="shared" si="87"/>
        <v>0</v>
      </c>
      <c r="AQ306" s="32">
        <f t="shared" si="87"/>
        <v>0</v>
      </c>
      <c r="AR306" s="32">
        <f t="shared" si="87"/>
        <v>0</v>
      </c>
      <c r="AS306" s="32">
        <f t="shared" si="87"/>
        <v>0</v>
      </c>
      <c r="AT306" s="33">
        <f t="shared" si="87"/>
        <v>0</v>
      </c>
      <c r="AU306" s="33">
        <f t="shared" si="87"/>
        <v>0</v>
      </c>
      <c r="AV306" s="34" t="e">
        <f t="shared" ref="AV306:AW312" si="88">$C$5/100*AV$163*AV234</f>
        <v>#VALUE!</v>
      </c>
      <c r="AW306" s="34" t="e">
        <f t="shared" si="88"/>
        <v>#VALUE!</v>
      </c>
      <c r="AX306" s="35" t="e">
        <f t="shared" ref="AX306:AY312" si="89">AX234*AX$163</f>
        <v>#VALUE!</v>
      </c>
      <c r="AY306" s="35" t="e">
        <f t="shared" si="89"/>
        <v>#VALUE!</v>
      </c>
    </row>
    <row r="307" spans="5:51" x14ac:dyDescent="0.3">
      <c r="F307">
        <v>65</v>
      </c>
      <c r="G307" s="28"/>
      <c r="H307" s="28"/>
      <c r="I307" s="28"/>
      <c r="J307" s="28"/>
      <c r="K307" s="28"/>
      <c r="L307" s="29"/>
      <c r="M307" s="30"/>
      <c r="N307" s="31"/>
      <c r="O307" s="31"/>
      <c r="P307" s="32"/>
      <c r="Q307" s="32"/>
      <c r="R307" s="32"/>
      <c r="S307" s="33"/>
      <c r="T307" s="33"/>
      <c r="U307" s="34"/>
      <c r="V307" s="34"/>
      <c r="W307" s="35"/>
      <c r="X307" s="35"/>
      <c r="AG307">
        <f t="shared" ref="AG307:AG312" si="90">AE79</f>
        <v>56.472915029924017</v>
      </c>
      <c r="AH307" s="28">
        <f t="shared" ref="AH307:AU312" si="91">AH235*AH$163</f>
        <v>0.74999999260099814</v>
      </c>
      <c r="AI307" s="28">
        <f t="shared" si="91"/>
        <v>0.79999999663718391</v>
      </c>
      <c r="AJ307" s="28">
        <f t="shared" si="91"/>
        <v>1.1499999976956634</v>
      </c>
      <c r="AK307" s="28">
        <f t="shared" si="91"/>
        <v>1.1999999924445159</v>
      </c>
      <c r="AL307" s="28">
        <f t="shared" si="91"/>
        <v>1.1186292076723128</v>
      </c>
      <c r="AM307" s="29" t="e">
        <f t="shared" si="91"/>
        <v>#VALUE!</v>
      </c>
      <c r="AN307" s="30">
        <f t="shared" si="91"/>
        <v>0.49803651249698799</v>
      </c>
      <c r="AO307" s="31">
        <f t="shared" si="91"/>
        <v>0</v>
      </c>
      <c r="AP307" s="31">
        <f t="shared" si="91"/>
        <v>0</v>
      </c>
      <c r="AQ307" s="32">
        <f t="shared" si="91"/>
        <v>0</v>
      </c>
      <c r="AR307" s="32">
        <f t="shared" si="91"/>
        <v>0</v>
      </c>
      <c r="AS307" s="32">
        <f t="shared" si="91"/>
        <v>0</v>
      </c>
      <c r="AT307" s="33">
        <f t="shared" si="91"/>
        <v>0</v>
      </c>
      <c r="AU307" s="33">
        <f t="shared" si="91"/>
        <v>0</v>
      </c>
      <c r="AV307" s="34" t="e">
        <f t="shared" si="88"/>
        <v>#VALUE!</v>
      </c>
      <c r="AW307" s="34" t="e">
        <f t="shared" si="88"/>
        <v>#VALUE!</v>
      </c>
      <c r="AX307" s="35" t="e">
        <f t="shared" si="89"/>
        <v>#VALUE!</v>
      </c>
      <c r="AY307" s="35" t="e">
        <f t="shared" si="89"/>
        <v>#VALUE!</v>
      </c>
    </row>
    <row r="308" spans="5:51" x14ac:dyDescent="0.3">
      <c r="F308">
        <v>66</v>
      </c>
      <c r="G308" s="28"/>
      <c r="H308" s="28"/>
      <c r="I308" s="28"/>
      <c r="J308" s="28"/>
      <c r="K308" s="28"/>
      <c r="L308" s="29"/>
      <c r="M308" s="30"/>
      <c r="N308" s="31"/>
      <c r="O308" s="31"/>
      <c r="P308" s="32"/>
      <c r="Q308" s="32"/>
      <c r="R308" s="32"/>
      <c r="S308" s="33"/>
      <c r="T308" s="33"/>
      <c r="U308" s="34"/>
      <c r="V308" s="34"/>
      <c r="W308" s="35"/>
      <c r="X308" s="35"/>
      <c r="AG308">
        <f t="shared" si="90"/>
        <v>56.698909820073034</v>
      </c>
      <c r="AH308" s="28">
        <f t="shared" si="91"/>
        <v>0.74999999283544216</v>
      </c>
      <c r="AI308" s="28">
        <f t="shared" si="91"/>
        <v>0.79999999679304556</v>
      </c>
      <c r="AJ308" s="28">
        <f t="shared" si="91"/>
        <v>1.1499999978212487</v>
      </c>
      <c r="AK308" s="28">
        <f t="shared" si="91"/>
        <v>1.1999999927774248</v>
      </c>
      <c r="AL308" s="28">
        <f t="shared" si="91"/>
        <v>1.1193229278271688</v>
      </c>
      <c r="AM308" s="29" t="e">
        <f t="shared" si="91"/>
        <v>#VALUE!</v>
      </c>
      <c r="AN308" s="30">
        <f t="shared" si="91"/>
        <v>0.49807653829544246</v>
      </c>
      <c r="AO308" s="31">
        <f t="shared" si="91"/>
        <v>0</v>
      </c>
      <c r="AP308" s="31">
        <f t="shared" si="91"/>
        <v>0</v>
      </c>
      <c r="AQ308" s="32">
        <f t="shared" si="91"/>
        <v>0</v>
      </c>
      <c r="AR308" s="32">
        <f t="shared" si="91"/>
        <v>0</v>
      </c>
      <c r="AS308" s="32">
        <f t="shared" si="91"/>
        <v>0</v>
      </c>
      <c r="AT308" s="33">
        <f t="shared" si="91"/>
        <v>0</v>
      </c>
      <c r="AU308" s="33">
        <f t="shared" si="91"/>
        <v>0</v>
      </c>
      <c r="AV308" s="34" t="e">
        <f t="shared" si="88"/>
        <v>#VALUE!</v>
      </c>
      <c r="AW308" s="34" t="e">
        <f t="shared" si="88"/>
        <v>#VALUE!</v>
      </c>
      <c r="AX308" s="35" t="e">
        <f t="shared" si="89"/>
        <v>#VALUE!</v>
      </c>
      <c r="AY308" s="35" t="e">
        <f t="shared" si="89"/>
        <v>#VALUE!</v>
      </c>
    </row>
    <row r="309" spans="5:51" x14ac:dyDescent="0.3">
      <c r="F309">
        <v>67</v>
      </c>
      <c r="G309" s="28"/>
      <c r="H309" s="28"/>
      <c r="I309" s="28"/>
      <c r="J309" s="28"/>
      <c r="K309" s="28"/>
      <c r="L309" s="29"/>
      <c r="M309" s="30"/>
      <c r="N309" s="31"/>
      <c r="O309" s="31"/>
      <c r="P309" s="32"/>
      <c r="Q309" s="32"/>
      <c r="R309" s="32"/>
      <c r="S309" s="33"/>
      <c r="T309" s="33"/>
      <c r="U309" s="34"/>
      <c r="V309" s="34"/>
      <c r="W309" s="35"/>
      <c r="X309" s="35"/>
      <c r="AG309">
        <f t="shared" si="90"/>
        <v>56.907154127745713</v>
      </c>
      <c r="AH309" s="28">
        <f t="shared" si="91"/>
        <v>0.74999999304226217</v>
      </c>
      <c r="AI309" s="28">
        <f t="shared" si="91"/>
        <v>0.79999999692954638</v>
      </c>
      <c r="AJ309" s="28">
        <f t="shared" si="91"/>
        <v>1.1499999979300564</v>
      </c>
      <c r="AK309" s="28">
        <f t="shared" si="91"/>
        <v>1.1999999930695735</v>
      </c>
      <c r="AL309" s="28">
        <f t="shared" si="91"/>
        <v>1.1199479915210442</v>
      </c>
      <c r="AM309" s="29" t="e">
        <f t="shared" si="91"/>
        <v>#VALUE!</v>
      </c>
      <c r="AN309" s="30">
        <f t="shared" si="91"/>
        <v>0.49811251205766577</v>
      </c>
      <c r="AO309" s="31">
        <f t="shared" si="91"/>
        <v>0</v>
      </c>
      <c r="AP309" s="31">
        <f t="shared" si="91"/>
        <v>0</v>
      </c>
      <c r="AQ309" s="32">
        <f t="shared" si="91"/>
        <v>0</v>
      </c>
      <c r="AR309" s="32">
        <f t="shared" si="91"/>
        <v>0</v>
      </c>
      <c r="AS309" s="32">
        <f t="shared" si="91"/>
        <v>0</v>
      </c>
      <c r="AT309" s="33">
        <f t="shared" si="91"/>
        <v>0</v>
      </c>
      <c r="AU309" s="33">
        <f t="shared" si="91"/>
        <v>0</v>
      </c>
      <c r="AV309" s="34" t="e">
        <f t="shared" si="88"/>
        <v>#VALUE!</v>
      </c>
      <c r="AW309" s="34" t="e">
        <f t="shared" si="88"/>
        <v>#VALUE!</v>
      </c>
      <c r="AX309" s="35" t="e">
        <f t="shared" si="89"/>
        <v>#VALUE!</v>
      </c>
      <c r="AY309" s="35" t="e">
        <f t="shared" si="89"/>
        <v>#VALUE!</v>
      </c>
    </row>
    <row r="310" spans="5:51" x14ac:dyDescent="0.3">
      <c r="F310">
        <v>68</v>
      </c>
      <c r="G310" s="28"/>
      <c r="H310" s="28"/>
      <c r="I310" s="28"/>
      <c r="J310" s="28"/>
      <c r="K310" s="28"/>
      <c r="L310" s="29"/>
      <c r="M310" s="30"/>
      <c r="N310" s="31"/>
      <c r="O310" s="31"/>
      <c r="P310" s="32"/>
      <c r="Q310" s="32"/>
      <c r="R310" s="32"/>
      <c r="S310" s="33"/>
      <c r="T310" s="33"/>
      <c r="U310" s="34"/>
      <c r="V310" s="34"/>
      <c r="W310" s="35"/>
      <c r="X310" s="35"/>
      <c r="AG310">
        <f t="shared" si="90"/>
        <v>57.099042142728173</v>
      </c>
      <c r="AH310" s="28">
        <f t="shared" si="91"/>
        <v>0.74999999322539934</v>
      </c>
      <c r="AI310" s="28">
        <f t="shared" si="91"/>
        <v>0.79999999704959479</v>
      </c>
      <c r="AJ310" s="28">
        <f t="shared" si="91"/>
        <v>1.1499999980248192</v>
      </c>
      <c r="AK310" s="28">
        <f t="shared" si="91"/>
        <v>1.1999999933269916</v>
      </c>
      <c r="AL310" s="28">
        <f t="shared" si="91"/>
        <v>1.120512237151764</v>
      </c>
      <c r="AM310" s="29" t="e">
        <f t="shared" si="91"/>
        <v>#VALUE!</v>
      </c>
      <c r="AN310" s="30">
        <f t="shared" si="91"/>
        <v>0.49814490999655314</v>
      </c>
      <c r="AO310" s="31">
        <f t="shared" si="91"/>
        <v>0</v>
      </c>
      <c r="AP310" s="31">
        <f t="shared" si="91"/>
        <v>0</v>
      </c>
      <c r="AQ310" s="32">
        <f t="shared" si="91"/>
        <v>0</v>
      </c>
      <c r="AR310" s="32">
        <f t="shared" si="91"/>
        <v>0</v>
      </c>
      <c r="AS310" s="32">
        <f t="shared" si="91"/>
        <v>0</v>
      </c>
      <c r="AT310" s="33">
        <f t="shared" si="91"/>
        <v>0</v>
      </c>
      <c r="AU310" s="33">
        <f t="shared" si="91"/>
        <v>0</v>
      </c>
      <c r="AV310" s="34" t="e">
        <f t="shared" si="88"/>
        <v>#VALUE!</v>
      </c>
      <c r="AW310" s="34" t="e">
        <f t="shared" si="88"/>
        <v>#VALUE!</v>
      </c>
      <c r="AX310" s="35" t="e">
        <f t="shared" si="89"/>
        <v>#VALUE!</v>
      </c>
      <c r="AY310" s="35" t="e">
        <f t="shared" si="89"/>
        <v>#VALUE!</v>
      </c>
    </row>
    <row r="311" spans="5:51" x14ac:dyDescent="0.3">
      <c r="F311">
        <v>69</v>
      </c>
      <c r="G311" s="28"/>
      <c r="H311" s="28"/>
      <c r="I311" s="28"/>
      <c r="J311" s="28"/>
      <c r="K311" s="28"/>
      <c r="L311" s="29"/>
      <c r="M311" s="30"/>
      <c r="N311" s="31"/>
      <c r="O311" s="31"/>
      <c r="P311" s="32"/>
      <c r="Q311" s="32"/>
      <c r="R311" s="32"/>
      <c r="S311" s="33"/>
      <c r="T311" s="33"/>
      <c r="U311" s="34"/>
      <c r="V311" s="34"/>
      <c r="W311" s="35"/>
      <c r="X311" s="35"/>
      <c r="AG311">
        <f t="shared" si="90"/>
        <v>57.275858549886756</v>
      </c>
      <c r="AH311" s="28">
        <f t="shared" si="91"/>
        <v>0.74999999338811874</v>
      </c>
      <c r="AI311" s="28">
        <f t="shared" si="91"/>
        <v>0.79999999715558034</v>
      </c>
      <c r="AJ311" s="28">
        <f t="shared" si="91"/>
        <v>1.149999998107742</v>
      </c>
      <c r="AK311" s="28">
        <f t="shared" si="91"/>
        <v>1.1999999935546473</v>
      </c>
      <c r="AL311" s="28">
        <f t="shared" si="91"/>
        <v>1.1210224443908436</v>
      </c>
      <c r="AM311" s="29" t="e">
        <f t="shared" si="91"/>
        <v>#VALUE!</v>
      </c>
      <c r="AN311" s="30">
        <f t="shared" si="91"/>
        <v>0.49817414207144556</v>
      </c>
      <c r="AO311" s="31">
        <f t="shared" si="91"/>
        <v>0</v>
      </c>
      <c r="AP311" s="31">
        <f t="shared" si="91"/>
        <v>0</v>
      </c>
      <c r="AQ311" s="32">
        <f t="shared" si="91"/>
        <v>0</v>
      </c>
      <c r="AR311" s="32">
        <f t="shared" si="91"/>
        <v>0</v>
      </c>
      <c r="AS311" s="32">
        <f t="shared" si="91"/>
        <v>0</v>
      </c>
      <c r="AT311" s="33">
        <f t="shared" si="91"/>
        <v>0</v>
      </c>
      <c r="AU311" s="33">
        <f t="shared" si="91"/>
        <v>0</v>
      </c>
      <c r="AV311" s="34" t="e">
        <f t="shared" si="88"/>
        <v>#VALUE!</v>
      </c>
      <c r="AW311" s="34" t="e">
        <f t="shared" si="88"/>
        <v>#VALUE!</v>
      </c>
      <c r="AX311" s="35" t="e">
        <f t="shared" si="89"/>
        <v>#VALUE!</v>
      </c>
      <c r="AY311" s="35" t="e">
        <f t="shared" si="89"/>
        <v>#VALUE!</v>
      </c>
    </row>
    <row r="312" spans="5:51" x14ac:dyDescent="0.3">
      <c r="F312">
        <v>70</v>
      </c>
      <c r="G312" s="28"/>
      <c r="H312" s="28"/>
      <c r="I312" s="28"/>
      <c r="J312" s="28"/>
      <c r="K312" s="28"/>
      <c r="L312" s="29"/>
      <c r="M312" s="30"/>
      <c r="N312" s="31"/>
      <c r="O312" s="31"/>
      <c r="P312" s="32"/>
      <c r="Q312" s="32"/>
      <c r="R312" s="32"/>
      <c r="S312" s="33"/>
      <c r="T312" s="33"/>
      <c r="U312" s="34"/>
      <c r="V312" s="34"/>
      <c r="W312" s="35"/>
      <c r="X312" s="35"/>
      <c r="AG312">
        <f t="shared" si="90"/>
        <v>57.43878713009709</v>
      </c>
      <c r="AH312" s="28">
        <f t="shared" si="91"/>
        <v>0.74999999353314495</v>
      </c>
      <c r="AI312" s="28">
        <f t="shared" si="91"/>
        <v>0.79999999724947946</v>
      </c>
      <c r="AJ312" s="28">
        <f t="shared" si="91"/>
        <v>1.1499999981806182</v>
      </c>
      <c r="AK312" s="28">
        <f t="shared" si="91"/>
        <v>1.1999999937566621</v>
      </c>
      <c r="AL312" s="28">
        <f t="shared" si="91"/>
        <v>1.1214845024245494</v>
      </c>
      <c r="AM312" s="29" t="e">
        <f t="shared" si="91"/>
        <v>#VALUE!</v>
      </c>
      <c r="AN312" s="30">
        <f t="shared" si="91"/>
        <v>0.49820056277765556</v>
      </c>
      <c r="AO312" s="31">
        <f t="shared" si="91"/>
        <v>0</v>
      </c>
      <c r="AP312" s="31">
        <f t="shared" si="91"/>
        <v>0</v>
      </c>
      <c r="AQ312" s="32">
        <f t="shared" si="91"/>
        <v>0</v>
      </c>
      <c r="AR312" s="32">
        <f t="shared" si="91"/>
        <v>0</v>
      </c>
      <c r="AS312" s="32">
        <f t="shared" si="91"/>
        <v>0</v>
      </c>
      <c r="AT312" s="33">
        <f t="shared" si="91"/>
        <v>0</v>
      </c>
      <c r="AU312" s="33">
        <f t="shared" si="91"/>
        <v>0</v>
      </c>
      <c r="AV312" s="34" t="e">
        <f t="shared" si="88"/>
        <v>#VALUE!</v>
      </c>
      <c r="AW312" s="34" t="e">
        <f t="shared" si="88"/>
        <v>#VALUE!</v>
      </c>
      <c r="AX312" s="35" t="e">
        <f t="shared" si="89"/>
        <v>#VALUE!</v>
      </c>
      <c r="AY312" s="35" t="e">
        <f t="shared" si="89"/>
        <v>#VALUE!</v>
      </c>
    </row>
    <row r="314" spans="5:51" x14ac:dyDescent="0.3">
      <c r="E314" t="s">
        <v>67</v>
      </c>
      <c r="F314">
        <v>0</v>
      </c>
      <c r="G314" s="28"/>
      <c r="H314" s="28"/>
      <c r="I314" s="28"/>
      <c r="J314" s="28"/>
      <c r="K314" s="28"/>
      <c r="L314" s="29"/>
      <c r="M314" s="30"/>
      <c r="N314" s="31"/>
      <c r="O314" s="31"/>
      <c r="P314" s="32"/>
      <c r="Q314" s="32"/>
      <c r="R314" s="32"/>
      <c r="S314" s="33"/>
      <c r="T314" s="33"/>
      <c r="U314" s="34"/>
      <c r="V314" s="34"/>
      <c r="W314" s="35"/>
      <c r="X314" s="35"/>
      <c r="AF314" t="s">
        <v>67</v>
      </c>
      <c r="AG314">
        <f>AE14</f>
        <v>4.9458521066739074</v>
      </c>
      <c r="AH314" s="28">
        <f>AH$160+AH242</f>
        <v>1.4208675108266395</v>
      </c>
      <c r="AI314" s="28">
        <f t="shared" ref="AI314:AY314" si="92">AI$160+AI242</f>
        <v>3.7521522671682437</v>
      </c>
      <c r="AJ314" s="28">
        <f t="shared" si="92"/>
        <v>2.7960141186210832</v>
      </c>
      <c r="AK314" s="28">
        <f t="shared" si="92"/>
        <v>3.528146147777524</v>
      </c>
      <c r="AL314" s="28">
        <f t="shared" si="92"/>
        <v>2.3569848759726133</v>
      </c>
      <c r="AM314" s="29" t="e">
        <f t="shared" si="92"/>
        <v>#VALUE!</v>
      </c>
      <c r="AN314" s="30">
        <f t="shared" si="92"/>
        <v>3.0290926555180899</v>
      </c>
      <c r="AO314" s="31">
        <f t="shared" si="92"/>
        <v>1.2110596148458825</v>
      </c>
      <c r="AP314" s="31">
        <f t="shared" si="92"/>
        <v>1.2110596148458825</v>
      </c>
      <c r="AQ314" s="32">
        <f t="shared" si="92"/>
        <v>7.3908523208725887</v>
      </c>
      <c r="AR314" s="32">
        <f t="shared" si="92"/>
        <v>12.869231101689474</v>
      </c>
      <c r="AS314" s="32">
        <f t="shared" si="92"/>
        <v>26.284888237309154</v>
      </c>
      <c r="AT314" s="33">
        <f t="shared" si="92"/>
        <v>0.35</v>
      </c>
      <c r="AU314" s="33">
        <f t="shared" si="92"/>
        <v>0.35</v>
      </c>
      <c r="AV314" s="34" t="e">
        <f t="shared" si="92"/>
        <v>#VALUE!</v>
      </c>
      <c r="AW314" s="34" t="e">
        <f t="shared" si="92"/>
        <v>#VALUE!</v>
      </c>
      <c r="AX314" s="35" t="e">
        <f t="shared" si="92"/>
        <v>#VALUE!</v>
      </c>
      <c r="AY314" s="35" t="e">
        <f t="shared" si="92"/>
        <v>#VALUE!</v>
      </c>
    </row>
    <row r="315" spans="5:51" x14ac:dyDescent="0.3">
      <c r="F315">
        <v>1</v>
      </c>
      <c r="G315" s="28"/>
      <c r="H315" s="28"/>
      <c r="I315" s="28"/>
      <c r="J315" s="28"/>
      <c r="K315" s="28"/>
      <c r="L315" s="29"/>
      <c r="M315" s="30"/>
      <c r="N315" s="31"/>
      <c r="O315" s="31"/>
      <c r="P315" s="32"/>
      <c r="Q315" s="32"/>
      <c r="R315" s="32"/>
      <c r="S315" s="33"/>
      <c r="T315" s="33"/>
      <c r="U315" s="34"/>
      <c r="V315" s="34"/>
      <c r="W315" s="35"/>
      <c r="X315" s="35"/>
      <c r="AG315">
        <f t="shared" ref="AG315:AG378" si="93">AE15</f>
        <v>5.2014595403979236</v>
      </c>
      <c r="AH315" s="28">
        <f t="shared" ref="AH315:AY329" si="94">AH$160+AH243</f>
        <v>1.4208675108266395</v>
      </c>
      <c r="AI315" s="28">
        <f t="shared" si="94"/>
        <v>3.7764842423621734</v>
      </c>
      <c r="AJ315" s="28">
        <f t="shared" si="94"/>
        <v>2.7960141186210832</v>
      </c>
      <c r="AK315" s="28">
        <f t="shared" si="94"/>
        <v>3.5706483854985573</v>
      </c>
      <c r="AL315" s="28">
        <f t="shared" si="94"/>
        <v>2.3569848759726133</v>
      </c>
      <c r="AM315" s="29" t="e">
        <f t="shared" si="94"/>
        <v>#VALUE!</v>
      </c>
      <c r="AN315" s="30">
        <f t="shared" si="94"/>
        <v>3.0290926555180899</v>
      </c>
      <c r="AO315" s="31">
        <f t="shared" si="94"/>
        <v>1.2110596148458825</v>
      </c>
      <c r="AP315" s="31">
        <f t="shared" si="94"/>
        <v>1.2110596148458825</v>
      </c>
      <c r="AQ315" s="32">
        <f t="shared" si="94"/>
        <v>7.3908523208725887</v>
      </c>
      <c r="AR315" s="32">
        <f t="shared" si="94"/>
        <v>12.869231101689474</v>
      </c>
      <c r="AS315" s="32">
        <f t="shared" si="94"/>
        <v>26.284888237309154</v>
      </c>
      <c r="AT315" s="33">
        <f t="shared" si="94"/>
        <v>0.35</v>
      </c>
      <c r="AU315" s="33">
        <f t="shared" si="94"/>
        <v>0.35</v>
      </c>
      <c r="AV315" s="34" t="e">
        <f t="shared" si="94"/>
        <v>#VALUE!</v>
      </c>
      <c r="AW315" s="34" t="e">
        <f t="shared" si="94"/>
        <v>#VALUE!</v>
      </c>
      <c r="AX315" s="35" t="e">
        <f t="shared" si="94"/>
        <v>#VALUE!</v>
      </c>
      <c r="AY315" s="35" t="e">
        <f t="shared" si="94"/>
        <v>#VALUE!</v>
      </c>
    </row>
    <row r="316" spans="5:51" x14ac:dyDescent="0.3">
      <c r="F316">
        <v>2</v>
      </c>
      <c r="G316" s="28"/>
      <c r="H316" s="28"/>
      <c r="I316" s="28"/>
      <c r="J316" s="28"/>
      <c r="K316" s="28"/>
      <c r="L316" s="29"/>
      <c r="M316" s="30"/>
      <c r="N316" s="31"/>
      <c r="O316" s="31"/>
      <c r="P316" s="32"/>
      <c r="Q316" s="32"/>
      <c r="R316" s="32"/>
      <c r="S316" s="33"/>
      <c r="T316" s="33"/>
      <c r="U316" s="34"/>
      <c r="V316" s="34"/>
      <c r="W316" s="35"/>
      <c r="X316" s="35"/>
      <c r="AG316">
        <f t="shared" si="93"/>
        <v>5.4702770658848543</v>
      </c>
      <c r="AH316" s="28">
        <f t="shared" si="94"/>
        <v>1.4208675108266395</v>
      </c>
      <c r="AI316" s="28">
        <f t="shared" si="94"/>
        <v>3.8000830146683651</v>
      </c>
      <c r="AJ316" s="28">
        <f t="shared" si="94"/>
        <v>2.7960141186210832</v>
      </c>
      <c r="AK316" s="28">
        <f t="shared" si="94"/>
        <v>3.6117954494130862</v>
      </c>
      <c r="AL316" s="28">
        <f t="shared" si="94"/>
        <v>2.3569848759726133</v>
      </c>
      <c r="AM316" s="29" t="e">
        <f t="shared" si="94"/>
        <v>#VALUE!</v>
      </c>
      <c r="AN316" s="30">
        <f t="shared" si="94"/>
        <v>3.0290926555180899</v>
      </c>
      <c r="AO316" s="31">
        <f t="shared" si="94"/>
        <v>1.2110596148458825</v>
      </c>
      <c r="AP316" s="31">
        <f t="shared" si="94"/>
        <v>1.2110596148458825</v>
      </c>
      <c r="AQ316" s="32">
        <f t="shared" si="94"/>
        <v>7.3908523208725887</v>
      </c>
      <c r="AR316" s="32">
        <f t="shared" si="94"/>
        <v>12.869231101689474</v>
      </c>
      <c r="AS316" s="32">
        <f t="shared" si="94"/>
        <v>26.284888237309154</v>
      </c>
      <c r="AT316" s="33">
        <f t="shared" si="94"/>
        <v>0.35</v>
      </c>
      <c r="AU316" s="33">
        <f t="shared" si="94"/>
        <v>0.35</v>
      </c>
      <c r="AV316" s="34" t="e">
        <f t="shared" si="94"/>
        <v>#VALUE!</v>
      </c>
      <c r="AW316" s="34" t="e">
        <f t="shared" si="94"/>
        <v>#VALUE!</v>
      </c>
      <c r="AX316" s="35" t="e">
        <f t="shared" si="94"/>
        <v>#VALUE!</v>
      </c>
      <c r="AY316" s="35" t="e">
        <f t="shared" si="94"/>
        <v>#VALUE!</v>
      </c>
    </row>
    <row r="317" spans="5:51" x14ac:dyDescent="0.3">
      <c r="F317">
        <v>3</v>
      </c>
      <c r="G317" s="28"/>
      <c r="H317" s="28"/>
      <c r="I317" s="28"/>
      <c r="J317" s="28"/>
      <c r="K317" s="28"/>
      <c r="L317" s="29"/>
      <c r="M317" s="30"/>
      <c r="N317" s="31"/>
      <c r="O317" s="31"/>
      <c r="P317" s="32"/>
      <c r="Q317" s="32"/>
      <c r="R317" s="32"/>
      <c r="S317" s="33"/>
      <c r="T317" s="33"/>
      <c r="U317" s="34"/>
      <c r="V317" s="34"/>
      <c r="W317" s="35"/>
      <c r="X317" s="35"/>
      <c r="AG317">
        <f t="shared" si="93"/>
        <v>5.7529873961600746</v>
      </c>
      <c r="AH317" s="28">
        <f t="shared" si="94"/>
        <v>1.4208675108266395</v>
      </c>
      <c r="AI317" s="28">
        <f t="shared" si="94"/>
        <v>3.8228087254384144</v>
      </c>
      <c r="AJ317" s="28">
        <f t="shared" si="94"/>
        <v>2.7960141186210832</v>
      </c>
      <c r="AK317" s="28">
        <f t="shared" si="94"/>
        <v>3.6513455570645172</v>
      </c>
      <c r="AL317" s="28">
        <f t="shared" si="94"/>
        <v>2.3569848759726133</v>
      </c>
      <c r="AM317" s="29" t="e">
        <f t="shared" si="94"/>
        <v>#VALUE!</v>
      </c>
      <c r="AN317" s="30">
        <f t="shared" si="94"/>
        <v>3.0290926555180899</v>
      </c>
      <c r="AO317" s="31">
        <f t="shared" si="94"/>
        <v>1.2110596148458825</v>
      </c>
      <c r="AP317" s="31">
        <f t="shared" si="94"/>
        <v>1.2110596148458825</v>
      </c>
      <c r="AQ317" s="32">
        <f t="shared" si="94"/>
        <v>7.3908523208725887</v>
      </c>
      <c r="AR317" s="32">
        <f t="shared" si="94"/>
        <v>12.869231101689474</v>
      </c>
      <c r="AS317" s="32">
        <f t="shared" si="94"/>
        <v>26.284888237309154</v>
      </c>
      <c r="AT317" s="33">
        <f t="shared" si="94"/>
        <v>0.35</v>
      </c>
      <c r="AU317" s="33">
        <f t="shared" si="94"/>
        <v>0.35</v>
      </c>
      <c r="AV317" s="34" t="e">
        <f t="shared" si="94"/>
        <v>#VALUE!</v>
      </c>
      <c r="AW317" s="34" t="e">
        <f t="shared" si="94"/>
        <v>#VALUE!</v>
      </c>
      <c r="AX317" s="35" t="e">
        <f t="shared" si="94"/>
        <v>#VALUE!</v>
      </c>
      <c r="AY317" s="35" t="e">
        <f t="shared" si="94"/>
        <v>#VALUE!</v>
      </c>
    </row>
    <row r="318" spans="5:51" x14ac:dyDescent="0.3">
      <c r="F318">
        <v>4</v>
      </c>
      <c r="G318" s="28"/>
      <c r="H318" s="28"/>
      <c r="I318" s="28"/>
      <c r="J318" s="28"/>
      <c r="K318" s="28"/>
      <c r="L318" s="29"/>
      <c r="M318" s="30"/>
      <c r="N318" s="31"/>
      <c r="O318" s="31"/>
      <c r="P318" s="32"/>
      <c r="Q318" s="32"/>
      <c r="R318" s="32"/>
      <c r="S318" s="33"/>
      <c r="T318" s="33"/>
      <c r="U318" s="34"/>
      <c r="V318" s="34"/>
      <c r="W318" s="35"/>
      <c r="X318" s="35"/>
      <c r="AG318">
        <f t="shared" si="93"/>
        <v>6.0503085276582826</v>
      </c>
      <c r="AH318" s="28">
        <f t="shared" si="94"/>
        <v>1.4208675108266395</v>
      </c>
      <c r="AI318" s="28">
        <f t="shared" si="94"/>
        <v>3.8445296206336481</v>
      </c>
      <c r="AJ318" s="28">
        <f t="shared" si="94"/>
        <v>2.7960141186210832</v>
      </c>
      <c r="AK318" s="28">
        <f t="shared" si="94"/>
        <v>3.6890727584535217</v>
      </c>
      <c r="AL318" s="28">
        <f t="shared" si="94"/>
        <v>2.3569848759726133</v>
      </c>
      <c r="AM318" s="29" t="e">
        <f t="shared" si="94"/>
        <v>#VALUE!</v>
      </c>
      <c r="AN318" s="30">
        <f t="shared" si="94"/>
        <v>3.0290926555180899</v>
      </c>
      <c r="AO318" s="31">
        <f t="shared" si="94"/>
        <v>1.2110596148458825</v>
      </c>
      <c r="AP318" s="31">
        <f t="shared" si="94"/>
        <v>1.2110596148458825</v>
      </c>
      <c r="AQ318" s="32">
        <f t="shared" si="94"/>
        <v>7.3908523208725887</v>
      </c>
      <c r="AR318" s="32">
        <f t="shared" si="94"/>
        <v>12.869231101689474</v>
      </c>
      <c r="AS318" s="32">
        <f t="shared" si="94"/>
        <v>26.284888237309154</v>
      </c>
      <c r="AT318" s="33">
        <f t="shared" si="94"/>
        <v>0.35</v>
      </c>
      <c r="AU318" s="33">
        <f t="shared" si="94"/>
        <v>0.35</v>
      </c>
      <c r="AV318" s="34" t="e">
        <f t="shared" si="94"/>
        <v>#VALUE!</v>
      </c>
      <c r="AW318" s="34" t="e">
        <f t="shared" si="94"/>
        <v>#VALUE!</v>
      </c>
      <c r="AX318" s="35" t="e">
        <f t="shared" si="94"/>
        <v>#VALUE!</v>
      </c>
      <c r="AY318" s="35" t="e">
        <f t="shared" si="94"/>
        <v>#VALUE!</v>
      </c>
    </row>
    <row r="319" spans="5:51" x14ac:dyDescent="0.3">
      <c r="F319">
        <v>5</v>
      </c>
      <c r="G319" s="28"/>
      <c r="H319" s="28"/>
      <c r="I319" s="28"/>
      <c r="J319" s="28"/>
      <c r="K319" s="28"/>
      <c r="L319" s="29"/>
      <c r="M319" s="30"/>
      <c r="N319" s="31"/>
      <c r="O319" s="31"/>
      <c r="P319" s="32"/>
      <c r="Q319" s="32"/>
      <c r="R319" s="32"/>
      <c r="S319" s="33"/>
      <c r="T319" s="33"/>
      <c r="U319" s="34"/>
      <c r="V319" s="34"/>
      <c r="W319" s="35"/>
      <c r="X319" s="35"/>
      <c r="AG319">
        <f t="shared" si="93"/>
        <v>6.3629955637114666</v>
      </c>
      <c r="AH319" s="28">
        <f t="shared" si="94"/>
        <v>1.4208675108266395</v>
      </c>
      <c r="AI319" s="28">
        <f t="shared" si="94"/>
        <v>3.8651254061185942</v>
      </c>
      <c r="AJ319" s="28">
        <f t="shared" si="94"/>
        <v>2.7960141186210832</v>
      </c>
      <c r="AK319" s="28">
        <f t="shared" si="94"/>
        <v>3.7247727658682868</v>
      </c>
      <c r="AL319" s="28">
        <f t="shared" si="94"/>
        <v>2.3569848759726133</v>
      </c>
      <c r="AM319" s="29" t="e">
        <f t="shared" si="94"/>
        <v>#VALUE!</v>
      </c>
      <c r="AN319" s="30">
        <f t="shared" si="94"/>
        <v>3.0290926555180899</v>
      </c>
      <c r="AO319" s="31">
        <f t="shared" si="94"/>
        <v>1.2110596148458825</v>
      </c>
      <c r="AP319" s="31">
        <f t="shared" si="94"/>
        <v>1.2110596148458825</v>
      </c>
      <c r="AQ319" s="32">
        <f t="shared" si="94"/>
        <v>7.3908523208725887</v>
      </c>
      <c r="AR319" s="32">
        <f t="shared" si="94"/>
        <v>12.869231101689474</v>
      </c>
      <c r="AS319" s="32">
        <f t="shared" si="94"/>
        <v>26.284888237309154</v>
      </c>
      <c r="AT319" s="33">
        <f t="shared" si="94"/>
        <v>0.35</v>
      </c>
      <c r="AU319" s="33">
        <f t="shared" si="94"/>
        <v>0.35</v>
      </c>
      <c r="AV319" s="34" t="e">
        <f t="shared" si="94"/>
        <v>#VALUE!</v>
      </c>
      <c r="AW319" s="34" t="e">
        <f t="shared" si="94"/>
        <v>#VALUE!</v>
      </c>
      <c r="AX319" s="35" t="e">
        <f t="shared" si="94"/>
        <v>#VALUE!</v>
      </c>
      <c r="AY319" s="35" t="e">
        <f t="shared" si="94"/>
        <v>#VALUE!</v>
      </c>
    </row>
    <row r="320" spans="5:51" x14ac:dyDescent="0.3">
      <c r="F320">
        <v>6</v>
      </c>
      <c r="G320" s="28"/>
      <c r="H320" s="28"/>
      <c r="I320" s="28"/>
      <c r="J320" s="28"/>
      <c r="K320" s="28"/>
      <c r="L320" s="29"/>
      <c r="M320" s="30"/>
      <c r="N320" s="31"/>
      <c r="O320" s="31"/>
      <c r="P320" s="32"/>
      <c r="Q320" s="32"/>
      <c r="R320" s="32"/>
      <c r="S320" s="33"/>
      <c r="T320" s="33"/>
      <c r="U320" s="34"/>
      <c r="V320" s="34"/>
      <c r="W320" s="35"/>
      <c r="X320" s="35"/>
      <c r="AG320">
        <f t="shared" si="93"/>
        <v>6.6918426322768392</v>
      </c>
      <c r="AH320" s="28">
        <f t="shared" si="94"/>
        <v>1.4208675108266395</v>
      </c>
      <c r="AI320" s="28">
        <f t="shared" si="94"/>
        <v>3.8844905056310646</v>
      </c>
      <c r="AJ320" s="28">
        <f t="shared" si="94"/>
        <v>2.7960141186210832</v>
      </c>
      <c r="AK320" s="28">
        <f t="shared" si="94"/>
        <v>3.7582685372833842</v>
      </c>
      <c r="AL320" s="28">
        <f t="shared" si="94"/>
        <v>2.3569848759726133</v>
      </c>
      <c r="AM320" s="29" t="e">
        <f t="shared" si="94"/>
        <v>#VALUE!</v>
      </c>
      <c r="AN320" s="30">
        <f t="shared" si="94"/>
        <v>3.0290926555180899</v>
      </c>
      <c r="AO320" s="31">
        <f t="shared" si="94"/>
        <v>1.2110596148458825</v>
      </c>
      <c r="AP320" s="31">
        <f t="shared" si="94"/>
        <v>1.2110596148458825</v>
      </c>
      <c r="AQ320" s="32">
        <f t="shared" si="94"/>
        <v>7.3908523208725887</v>
      </c>
      <c r="AR320" s="32">
        <f t="shared" si="94"/>
        <v>12.869231101689474</v>
      </c>
      <c r="AS320" s="32">
        <f t="shared" si="94"/>
        <v>26.284888237309154</v>
      </c>
      <c r="AT320" s="33">
        <f t="shared" si="94"/>
        <v>0.35</v>
      </c>
      <c r="AU320" s="33">
        <f t="shared" si="94"/>
        <v>0.35</v>
      </c>
      <c r="AV320" s="34" t="e">
        <f t="shared" si="94"/>
        <v>#VALUE!</v>
      </c>
      <c r="AW320" s="34" t="e">
        <f t="shared" si="94"/>
        <v>#VALUE!</v>
      </c>
      <c r="AX320" s="35" t="e">
        <f t="shared" si="94"/>
        <v>#VALUE!</v>
      </c>
      <c r="AY320" s="35" t="e">
        <f t="shared" si="94"/>
        <v>#VALUE!</v>
      </c>
    </row>
    <row r="321" spans="6:51" x14ac:dyDescent="0.3">
      <c r="F321">
        <v>7</v>
      </c>
      <c r="G321" s="28"/>
      <c r="H321" s="28"/>
      <c r="I321" s="28"/>
      <c r="J321" s="28"/>
      <c r="K321" s="28"/>
      <c r="L321" s="29"/>
      <c r="M321" s="30"/>
      <c r="N321" s="31"/>
      <c r="O321" s="31"/>
      <c r="P321" s="32"/>
      <c r="Q321" s="32"/>
      <c r="R321" s="32"/>
      <c r="S321" s="33"/>
      <c r="T321" s="33"/>
      <c r="U321" s="34"/>
      <c r="V321" s="34"/>
      <c r="W321" s="35"/>
      <c r="X321" s="35"/>
      <c r="AG321">
        <f t="shared" si="93"/>
        <v>7.0376849027752071</v>
      </c>
      <c r="AH321" s="28">
        <f t="shared" si="94"/>
        <v>1.4208675108266395</v>
      </c>
      <c r="AI321" s="28">
        <f t="shared" si="94"/>
        <v>3.9025370661602992</v>
      </c>
      <c r="AJ321" s="28">
        <f t="shared" si="94"/>
        <v>2.7960141186210832</v>
      </c>
      <c r="AK321" s="28">
        <f t="shared" si="94"/>
        <v>3.7894153387504943</v>
      </c>
      <c r="AL321" s="28">
        <f t="shared" si="94"/>
        <v>2.3569848759726133</v>
      </c>
      <c r="AM321" s="29" t="e">
        <f t="shared" si="94"/>
        <v>#VALUE!</v>
      </c>
      <c r="AN321" s="30">
        <f t="shared" si="94"/>
        <v>3.0290926555180899</v>
      </c>
      <c r="AO321" s="31">
        <f t="shared" si="94"/>
        <v>1.2110596148458825</v>
      </c>
      <c r="AP321" s="31">
        <f t="shared" si="94"/>
        <v>1.2110596148458825</v>
      </c>
      <c r="AQ321" s="32">
        <f t="shared" si="94"/>
        <v>7.3908523208725887</v>
      </c>
      <c r="AR321" s="32">
        <f t="shared" si="94"/>
        <v>12.869231101689474</v>
      </c>
      <c r="AS321" s="32">
        <f t="shared" si="94"/>
        <v>26.284888237309154</v>
      </c>
      <c r="AT321" s="33">
        <f t="shared" si="94"/>
        <v>0.35</v>
      </c>
      <c r="AU321" s="33">
        <f t="shared" si="94"/>
        <v>0.35</v>
      </c>
      <c r="AV321" s="34" t="e">
        <f t="shared" si="94"/>
        <v>#VALUE!</v>
      </c>
      <c r="AW321" s="34" t="e">
        <f t="shared" si="94"/>
        <v>#VALUE!</v>
      </c>
      <c r="AX321" s="35" t="e">
        <f t="shared" si="94"/>
        <v>#VALUE!</v>
      </c>
      <c r="AY321" s="35" t="e">
        <f t="shared" si="94"/>
        <v>#VALUE!</v>
      </c>
    </row>
    <row r="322" spans="6:51" x14ac:dyDescent="0.3">
      <c r="F322">
        <v>8</v>
      </c>
      <c r="G322" s="28"/>
      <c r="H322" s="28"/>
      <c r="I322" s="28"/>
      <c r="J322" s="28"/>
      <c r="K322" s="28"/>
      <c r="L322" s="29"/>
      <c r="M322" s="30"/>
      <c r="N322" s="31"/>
      <c r="O322" s="31"/>
      <c r="P322" s="32"/>
      <c r="Q322" s="32"/>
      <c r="R322" s="32"/>
      <c r="S322" s="33"/>
      <c r="T322" s="33"/>
      <c r="U322" s="34"/>
      <c r="V322" s="34"/>
      <c r="W322" s="35"/>
      <c r="X322" s="35"/>
      <c r="AG322">
        <f t="shared" si="93"/>
        <v>7.4014007071619208</v>
      </c>
      <c r="AH322" s="28">
        <f t="shared" si="94"/>
        <v>1.4339070753811687</v>
      </c>
      <c r="AI322" s="28">
        <f t="shared" si="94"/>
        <v>3.9191975486667081</v>
      </c>
      <c r="AJ322" s="28">
        <f t="shared" si="94"/>
        <v>2.7960141186210832</v>
      </c>
      <c r="AK322" s="28">
        <f t="shared" si="94"/>
        <v>3.8181050046664318</v>
      </c>
      <c r="AL322" s="28">
        <f t="shared" si="94"/>
        <v>2.3569848759726133</v>
      </c>
      <c r="AM322" s="29" t="e">
        <f t="shared" si="94"/>
        <v>#VALUE!</v>
      </c>
      <c r="AN322" s="30">
        <f t="shared" si="94"/>
        <v>3.0290926555180899</v>
      </c>
      <c r="AO322" s="31">
        <f t="shared" si="94"/>
        <v>1.2110596148458825</v>
      </c>
      <c r="AP322" s="31">
        <f t="shared" si="94"/>
        <v>1.2110596148458825</v>
      </c>
      <c r="AQ322" s="32">
        <f t="shared" si="94"/>
        <v>7.3908523208725887</v>
      </c>
      <c r="AR322" s="32">
        <f t="shared" si="94"/>
        <v>12.869231101689474</v>
      </c>
      <c r="AS322" s="32">
        <f t="shared" si="94"/>
        <v>26.284888237309154</v>
      </c>
      <c r="AT322" s="33">
        <f t="shared" si="94"/>
        <v>0.35</v>
      </c>
      <c r="AU322" s="33">
        <f t="shared" si="94"/>
        <v>0.35</v>
      </c>
      <c r="AV322" s="34" t="e">
        <f t="shared" si="94"/>
        <v>#VALUE!</v>
      </c>
      <c r="AW322" s="34" t="e">
        <f t="shared" si="94"/>
        <v>#VALUE!</v>
      </c>
      <c r="AX322" s="35" t="e">
        <f t="shared" si="94"/>
        <v>#VALUE!</v>
      </c>
      <c r="AY322" s="35" t="e">
        <f t="shared" si="94"/>
        <v>#VALUE!</v>
      </c>
    </row>
    <row r="323" spans="6:51" x14ac:dyDescent="0.3">
      <c r="F323">
        <v>9</v>
      </c>
      <c r="G323" s="28"/>
      <c r="H323" s="28"/>
      <c r="I323" s="28"/>
      <c r="J323" s="28"/>
      <c r="K323" s="28"/>
      <c r="L323" s="29"/>
      <c r="M323" s="30"/>
      <c r="N323" s="31"/>
      <c r="O323" s="31"/>
      <c r="P323" s="32"/>
      <c r="Q323" s="32"/>
      <c r="R323" s="32"/>
      <c r="S323" s="33"/>
      <c r="T323" s="33"/>
      <c r="U323" s="34"/>
      <c r="V323" s="34"/>
      <c r="W323" s="35"/>
      <c r="X323" s="35"/>
      <c r="AG323">
        <f t="shared" si="93"/>
        <v>7.7839137706172403</v>
      </c>
      <c r="AH323" s="28">
        <f t="shared" si="94"/>
        <v>1.4717185988912904</v>
      </c>
      <c r="AI323" s="28">
        <f t="shared" si="94"/>
        <v>3.9344267459734752</v>
      </c>
      <c r="AJ323" s="28">
        <f t="shared" si="94"/>
        <v>2.7960141186210832</v>
      </c>
      <c r="AK323" s="28">
        <f t="shared" si="94"/>
        <v>3.8442691277520034</v>
      </c>
      <c r="AL323" s="28">
        <f t="shared" si="94"/>
        <v>2.3569848759726133</v>
      </c>
      <c r="AM323" s="29" t="e">
        <f t="shared" si="94"/>
        <v>#VALUE!</v>
      </c>
      <c r="AN323" s="30">
        <f t="shared" si="94"/>
        <v>3.0290926555180899</v>
      </c>
      <c r="AO323" s="31">
        <f t="shared" si="94"/>
        <v>1.2110596148458825</v>
      </c>
      <c r="AP323" s="31">
        <f t="shared" si="94"/>
        <v>1.2110596148458825</v>
      </c>
      <c r="AQ323" s="32">
        <f t="shared" si="94"/>
        <v>7.3908523208725887</v>
      </c>
      <c r="AR323" s="32">
        <f t="shared" si="94"/>
        <v>12.869231101689474</v>
      </c>
      <c r="AS323" s="32">
        <f t="shared" si="94"/>
        <v>26.284888237309154</v>
      </c>
      <c r="AT323" s="33">
        <f t="shared" si="94"/>
        <v>0.35</v>
      </c>
      <c r="AU323" s="33">
        <f t="shared" si="94"/>
        <v>0.35</v>
      </c>
      <c r="AV323" s="34" t="e">
        <f t="shared" si="94"/>
        <v>#VALUE!</v>
      </c>
      <c r="AW323" s="34" t="e">
        <f t="shared" si="94"/>
        <v>#VALUE!</v>
      </c>
      <c r="AX323" s="35" t="e">
        <f t="shared" si="94"/>
        <v>#VALUE!</v>
      </c>
      <c r="AY323" s="35" t="e">
        <f t="shared" si="94"/>
        <v>#VALUE!</v>
      </c>
    </row>
    <row r="324" spans="6:51" x14ac:dyDescent="0.3">
      <c r="F324">
        <v>10</v>
      </c>
      <c r="G324" s="28"/>
      <c r="H324" s="28"/>
      <c r="I324" s="28"/>
      <c r="J324" s="28"/>
      <c r="K324" s="28"/>
      <c r="L324" s="29"/>
      <c r="M324" s="30"/>
      <c r="N324" s="31"/>
      <c r="O324" s="31"/>
      <c r="P324" s="32"/>
      <c r="Q324" s="32"/>
      <c r="R324" s="32"/>
      <c r="S324" s="33"/>
      <c r="T324" s="33"/>
      <c r="U324" s="34"/>
      <c r="V324" s="34"/>
      <c r="W324" s="35"/>
      <c r="X324" s="35"/>
      <c r="AG324">
        <f t="shared" si="93"/>
        <v>8.1861955575214029</v>
      </c>
      <c r="AH324" s="28">
        <f t="shared" si="94"/>
        <v>1.5136416956437349</v>
      </c>
      <c r="AI324" s="28">
        <f t="shared" si="94"/>
        <v>3.9482030859620298</v>
      </c>
      <c r="AJ324" s="28">
        <f t="shared" si="94"/>
        <v>2.7960141186210832</v>
      </c>
      <c r="AK324" s="28">
        <f t="shared" si="94"/>
        <v>3.8678809455001488</v>
      </c>
      <c r="AL324" s="28">
        <f t="shared" si="94"/>
        <v>2.3569848759726133</v>
      </c>
      <c r="AM324" s="29" t="e">
        <f t="shared" si="94"/>
        <v>#VALUE!</v>
      </c>
      <c r="AN324" s="30">
        <f t="shared" si="94"/>
        <v>3.0290926555180899</v>
      </c>
      <c r="AO324" s="31">
        <f t="shared" si="94"/>
        <v>1.2110596148458825</v>
      </c>
      <c r="AP324" s="31">
        <f t="shared" si="94"/>
        <v>1.2110596148458825</v>
      </c>
      <c r="AQ324" s="32">
        <f t="shared" si="94"/>
        <v>7.3908523208725887</v>
      </c>
      <c r="AR324" s="32">
        <f t="shared" si="94"/>
        <v>12.869231101689474</v>
      </c>
      <c r="AS324" s="32">
        <f t="shared" si="94"/>
        <v>26.284888237309154</v>
      </c>
      <c r="AT324" s="33">
        <f t="shared" si="94"/>
        <v>0.35</v>
      </c>
      <c r="AU324" s="33">
        <f t="shared" si="94"/>
        <v>0.35</v>
      </c>
      <c r="AV324" s="34" t="e">
        <f t="shared" si="94"/>
        <v>#VALUE!</v>
      </c>
      <c r="AW324" s="34" t="e">
        <f t="shared" si="94"/>
        <v>#VALUE!</v>
      </c>
      <c r="AX324" s="35" t="e">
        <f t="shared" si="94"/>
        <v>#VALUE!</v>
      </c>
      <c r="AY324" s="35" t="e">
        <f t="shared" si="94"/>
        <v>#VALUE!</v>
      </c>
    </row>
    <row r="325" spans="6:51" x14ac:dyDescent="0.3">
      <c r="F325">
        <v>11</v>
      </c>
      <c r="G325" s="28"/>
      <c r="H325" s="28"/>
      <c r="I325" s="28"/>
      <c r="J325" s="28"/>
      <c r="K325" s="28"/>
      <c r="L325" s="29"/>
      <c r="M325" s="30"/>
      <c r="N325" s="31"/>
      <c r="O325" s="31"/>
      <c r="P325" s="32"/>
      <c r="Q325" s="32"/>
      <c r="R325" s="32"/>
      <c r="S325" s="33"/>
      <c r="T325" s="33"/>
      <c r="U325" s="34"/>
      <c r="V325" s="34"/>
      <c r="W325" s="35"/>
      <c r="X325" s="35"/>
      <c r="AG325">
        <f t="shared" si="93"/>
        <v>8.6092677386724414</v>
      </c>
      <c r="AH325" s="28">
        <f t="shared" si="94"/>
        <v>1.559520518331404</v>
      </c>
      <c r="AI325" s="28">
        <f t="shared" si="94"/>
        <v>3.9605291076562588</v>
      </c>
      <c r="AJ325" s="28">
        <f t="shared" si="94"/>
        <v>2.7960141186210832</v>
      </c>
      <c r="AK325" s="28">
        <f t="shared" si="94"/>
        <v>3.8889557474009813</v>
      </c>
      <c r="AL325" s="28">
        <f t="shared" si="94"/>
        <v>2.3569848759726133</v>
      </c>
      <c r="AM325" s="29" t="e">
        <f t="shared" si="94"/>
        <v>#VALUE!</v>
      </c>
      <c r="AN325" s="30">
        <f t="shared" si="94"/>
        <v>3.0290926555180899</v>
      </c>
      <c r="AO325" s="31">
        <f t="shared" si="94"/>
        <v>1.2110596148458825</v>
      </c>
      <c r="AP325" s="31">
        <f t="shared" si="94"/>
        <v>1.2110596148458825</v>
      </c>
      <c r="AQ325" s="32">
        <f t="shared" si="94"/>
        <v>7.3908523208725887</v>
      </c>
      <c r="AR325" s="32">
        <f t="shared" si="94"/>
        <v>12.869231101689474</v>
      </c>
      <c r="AS325" s="32">
        <f t="shared" si="94"/>
        <v>26.284888237309154</v>
      </c>
      <c r="AT325" s="33">
        <f t="shared" si="94"/>
        <v>0.35</v>
      </c>
      <c r="AU325" s="33">
        <f t="shared" si="94"/>
        <v>0.35</v>
      </c>
      <c r="AV325" s="34" t="e">
        <f t="shared" si="94"/>
        <v>#VALUE!</v>
      </c>
      <c r="AW325" s="34" t="e">
        <f t="shared" si="94"/>
        <v>#VALUE!</v>
      </c>
      <c r="AX325" s="35" t="e">
        <f t="shared" si="94"/>
        <v>#VALUE!</v>
      </c>
      <c r="AY325" s="35" t="e">
        <f t="shared" si="94"/>
        <v>#VALUE!</v>
      </c>
    </row>
    <row r="326" spans="6:51" x14ac:dyDescent="0.3">
      <c r="F326">
        <v>12</v>
      </c>
      <c r="G326" s="28"/>
      <c r="H326" s="28"/>
      <c r="I326" s="28"/>
      <c r="J326" s="28"/>
      <c r="K326" s="28"/>
      <c r="L326" s="29"/>
      <c r="M326" s="30"/>
      <c r="N326" s="31"/>
      <c r="O326" s="31"/>
      <c r="P326" s="32"/>
      <c r="Q326" s="32"/>
      <c r="R326" s="32"/>
      <c r="S326" s="33"/>
      <c r="T326" s="33"/>
      <c r="U326" s="34"/>
      <c r="V326" s="34"/>
      <c r="W326" s="35"/>
      <c r="X326" s="35"/>
      <c r="AG326">
        <f t="shared" si="93"/>
        <v>9.0542047860126846</v>
      </c>
      <c r="AH326" s="28">
        <f t="shared" si="94"/>
        <v>1.6089990542872843</v>
      </c>
      <c r="AI326" s="28">
        <f t="shared" si="94"/>
        <v>3.9714310398334529</v>
      </c>
      <c r="AJ326" s="28">
        <f t="shared" si="94"/>
        <v>2.7960141186210832</v>
      </c>
      <c r="AK326" s="28">
        <f t="shared" si="94"/>
        <v>3.9075497057042572</v>
      </c>
      <c r="AL326" s="28">
        <f t="shared" si="94"/>
        <v>2.3569848759726133</v>
      </c>
      <c r="AM326" s="29" t="e">
        <f t="shared" si="94"/>
        <v>#VALUE!</v>
      </c>
      <c r="AN326" s="30">
        <f t="shared" si="94"/>
        <v>3.0290926555180899</v>
      </c>
      <c r="AO326" s="31">
        <f t="shared" si="94"/>
        <v>1.2110596148458825</v>
      </c>
      <c r="AP326" s="31">
        <f t="shared" si="94"/>
        <v>1.2110596148458825</v>
      </c>
      <c r="AQ326" s="32">
        <f t="shared" si="94"/>
        <v>7.3908523208725887</v>
      </c>
      <c r="AR326" s="32">
        <f t="shared" si="94"/>
        <v>12.869231101689474</v>
      </c>
      <c r="AS326" s="32">
        <f t="shared" si="94"/>
        <v>26.284888237309154</v>
      </c>
      <c r="AT326" s="33">
        <f t="shared" si="94"/>
        <v>0.35</v>
      </c>
      <c r="AU326" s="33">
        <f t="shared" si="94"/>
        <v>0.35</v>
      </c>
      <c r="AV326" s="34" t="e">
        <f t="shared" si="94"/>
        <v>#VALUE!</v>
      </c>
      <c r="AW326" s="34" t="e">
        <f t="shared" si="94"/>
        <v>#VALUE!</v>
      </c>
      <c r="AX326" s="35" t="e">
        <f t="shared" si="94"/>
        <v>#VALUE!</v>
      </c>
      <c r="AY326" s="35" t="e">
        <f t="shared" si="94"/>
        <v>#VALUE!</v>
      </c>
    </row>
    <row r="327" spans="6:51" x14ac:dyDescent="0.3">
      <c r="F327">
        <v>13</v>
      </c>
      <c r="G327" s="28"/>
      <c r="H327" s="28"/>
      <c r="I327" s="28"/>
      <c r="J327" s="28"/>
      <c r="K327" s="28"/>
      <c r="L327" s="29"/>
      <c r="M327" s="30"/>
      <c r="N327" s="31"/>
      <c r="O327" s="31"/>
      <c r="P327" s="32"/>
      <c r="Q327" s="32"/>
      <c r="R327" s="32"/>
      <c r="S327" s="33"/>
      <c r="T327" s="33"/>
      <c r="U327" s="34"/>
      <c r="V327" s="34"/>
      <c r="W327" s="35"/>
      <c r="X327" s="35"/>
      <c r="AG327">
        <f t="shared" si="93"/>
        <v>9.5221367014538032</v>
      </c>
      <c r="AH327" s="28">
        <f t="shared" si="94"/>
        <v>1.6614939825472521</v>
      </c>
      <c r="AI327" s="28">
        <f t="shared" si="94"/>
        <v>3.9809574643771262</v>
      </c>
      <c r="AJ327" s="28">
        <f t="shared" si="94"/>
        <v>2.8731602265135425</v>
      </c>
      <c r="AK327" s="28">
        <f t="shared" si="94"/>
        <v>3.9237571274395657</v>
      </c>
      <c r="AL327" s="28">
        <f t="shared" si="94"/>
        <v>2.3569848759726133</v>
      </c>
      <c r="AM327" s="29" t="e">
        <f t="shared" si="94"/>
        <v>#VALUE!</v>
      </c>
      <c r="AN327" s="30">
        <f t="shared" si="94"/>
        <v>3.0290926555180899</v>
      </c>
      <c r="AO327" s="31">
        <f t="shared" si="94"/>
        <v>1.2110596148458825</v>
      </c>
      <c r="AP327" s="31">
        <f t="shared" si="94"/>
        <v>1.2110596148458825</v>
      </c>
      <c r="AQ327" s="32">
        <f t="shared" si="94"/>
        <v>7.3908523208725887</v>
      </c>
      <c r="AR327" s="32">
        <f t="shared" si="94"/>
        <v>12.869231101689474</v>
      </c>
      <c r="AS327" s="32">
        <f t="shared" si="94"/>
        <v>26.284888237309154</v>
      </c>
      <c r="AT327" s="33">
        <f t="shared" si="94"/>
        <v>0.35</v>
      </c>
      <c r="AU327" s="33">
        <f t="shared" si="94"/>
        <v>0.35</v>
      </c>
      <c r="AV327" s="34" t="e">
        <f t="shared" si="94"/>
        <v>#VALUE!</v>
      </c>
      <c r="AW327" s="34" t="e">
        <f t="shared" si="94"/>
        <v>#VALUE!</v>
      </c>
      <c r="AX327" s="35" t="e">
        <f t="shared" si="94"/>
        <v>#VALUE!</v>
      </c>
      <c r="AY327" s="35" t="e">
        <f t="shared" si="94"/>
        <v>#VALUE!</v>
      </c>
    </row>
    <row r="328" spans="6:51" x14ac:dyDescent="0.3">
      <c r="F328">
        <v>14</v>
      </c>
      <c r="G328" s="28"/>
      <c r="H328" s="28"/>
      <c r="I328" s="28"/>
      <c r="J328" s="28"/>
      <c r="K328" s="28"/>
      <c r="L328" s="29"/>
      <c r="M328" s="30"/>
      <c r="N328" s="31"/>
      <c r="O328" s="31"/>
      <c r="P328" s="32"/>
      <c r="Q328" s="32"/>
      <c r="R328" s="32"/>
      <c r="S328" s="33"/>
      <c r="T328" s="33"/>
      <c r="U328" s="34"/>
      <c r="V328" s="34"/>
      <c r="W328" s="35"/>
      <c r="X328" s="35"/>
      <c r="AG328">
        <f t="shared" si="93"/>
        <v>10.014251886730682</v>
      </c>
      <c r="AH328" s="28">
        <f t="shared" si="94"/>
        <v>1.7161827645239356</v>
      </c>
      <c r="AI328" s="28">
        <f t="shared" si="94"/>
        <v>3.9891771060317347</v>
      </c>
      <c r="AJ328" s="28">
        <f t="shared" si="94"/>
        <v>3.0161600674934781</v>
      </c>
      <c r="AK328" s="28">
        <f t="shared" si="94"/>
        <v>3.9377062298305203</v>
      </c>
      <c r="AL328" s="28">
        <f t="shared" si="94"/>
        <v>2.3569848759726133</v>
      </c>
      <c r="AM328" s="29" t="e">
        <f t="shared" si="94"/>
        <v>#VALUE!</v>
      </c>
      <c r="AN328" s="30">
        <f t="shared" si="94"/>
        <v>3.0290926555180899</v>
      </c>
      <c r="AO328" s="31">
        <f t="shared" si="94"/>
        <v>1.2110596148458825</v>
      </c>
      <c r="AP328" s="31">
        <f t="shared" si="94"/>
        <v>1.2110596148458825</v>
      </c>
      <c r="AQ328" s="32">
        <f t="shared" si="94"/>
        <v>7.3908523208725887</v>
      </c>
      <c r="AR328" s="32">
        <f t="shared" si="94"/>
        <v>12.869231101689474</v>
      </c>
      <c r="AS328" s="32">
        <f t="shared" si="94"/>
        <v>26.284888237309154</v>
      </c>
      <c r="AT328" s="33">
        <f t="shared" si="94"/>
        <v>0.35</v>
      </c>
      <c r="AU328" s="33">
        <f t="shared" si="94"/>
        <v>0.35</v>
      </c>
      <c r="AV328" s="34" t="e">
        <f t="shared" si="94"/>
        <v>#VALUE!</v>
      </c>
      <c r="AW328" s="34" t="e">
        <f t="shared" si="94"/>
        <v>#VALUE!</v>
      </c>
      <c r="AX328" s="35" t="e">
        <f t="shared" si="94"/>
        <v>#VALUE!</v>
      </c>
      <c r="AY328" s="35" t="e">
        <f t="shared" si="94"/>
        <v>#VALUE!</v>
      </c>
    </row>
    <row r="329" spans="6:51" x14ac:dyDescent="0.3">
      <c r="F329">
        <v>15</v>
      </c>
      <c r="G329" s="28"/>
      <c r="H329" s="28"/>
      <c r="I329" s="28"/>
      <c r="J329" s="28"/>
      <c r="K329" s="28"/>
      <c r="L329" s="29"/>
      <c r="M329" s="30"/>
      <c r="N329" s="31"/>
      <c r="O329" s="31"/>
      <c r="P329" s="32"/>
      <c r="Q329" s="32"/>
      <c r="R329" s="32"/>
      <c r="S329" s="33"/>
      <c r="T329" s="33"/>
      <c r="U329" s="34"/>
      <c r="V329" s="34"/>
      <c r="W329" s="35"/>
      <c r="X329" s="35"/>
      <c r="AG329">
        <f t="shared" si="93"/>
        <v>10.531800161572754</v>
      </c>
      <c r="AH329" s="28">
        <f t="shared" si="94"/>
        <v>1.7720143408181657</v>
      </c>
      <c r="AI329" s="28">
        <f t="shared" si="94"/>
        <v>3.9961758514742183</v>
      </c>
      <c r="AJ329" s="28">
        <f t="shared" si="94"/>
        <v>3.1531394806136483</v>
      </c>
      <c r="AK329" s="28">
        <f t="shared" ref="AK329:AY329" si="95">AK$160+AK257</f>
        <v>3.9495536458487006</v>
      </c>
      <c r="AL329" s="28">
        <f t="shared" si="95"/>
        <v>2.3569848759726133</v>
      </c>
      <c r="AM329" s="29" t="e">
        <f t="shared" si="95"/>
        <v>#VALUE!</v>
      </c>
      <c r="AN329" s="30">
        <f t="shared" si="95"/>
        <v>3.0290926555180899</v>
      </c>
      <c r="AO329" s="31">
        <f t="shared" si="95"/>
        <v>1.2110596148458825</v>
      </c>
      <c r="AP329" s="31">
        <f t="shared" si="95"/>
        <v>1.2110596148458825</v>
      </c>
      <c r="AQ329" s="32">
        <f t="shared" si="95"/>
        <v>7.3908523208725887</v>
      </c>
      <c r="AR329" s="32">
        <f t="shared" si="95"/>
        <v>12.869231101689474</v>
      </c>
      <c r="AS329" s="32">
        <f t="shared" si="95"/>
        <v>26.284888237309154</v>
      </c>
      <c r="AT329" s="33">
        <f t="shared" si="95"/>
        <v>0.35</v>
      </c>
      <c r="AU329" s="33">
        <f t="shared" si="95"/>
        <v>0.35</v>
      </c>
      <c r="AV329" s="34" t="e">
        <f t="shared" si="95"/>
        <v>#VALUE!</v>
      </c>
      <c r="AW329" s="34" t="e">
        <f t="shared" si="95"/>
        <v>#VALUE!</v>
      </c>
      <c r="AX329" s="35" t="e">
        <f t="shared" si="95"/>
        <v>#VALUE!</v>
      </c>
      <c r="AY329" s="35" t="e">
        <f t="shared" si="95"/>
        <v>#VALUE!</v>
      </c>
    </row>
    <row r="330" spans="6:51" x14ac:dyDescent="0.3">
      <c r="F330">
        <v>16</v>
      </c>
      <c r="G330" s="28"/>
      <c r="H330" s="28"/>
      <c r="I330" s="28"/>
      <c r="J330" s="28"/>
      <c r="K330" s="28"/>
      <c r="L330" s="29"/>
      <c r="M330" s="30"/>
      <c r="N330" s="31"/>
      <c r="O330" s="31"/>
      <c r="P330" s="32"/>
      <c r="Q330" s="32"/>
      <c r="R330" s="32"/>
      <c r="S330" s="33"/>
      <c r="T330" s="33"/>
      <c r="U330" s="34"/>
      <c r="V330" s="34"/>
      <c r="W330" s="35"/>
      <c r="X330" s="35"/>
      <c r="AG330">
        <f t="shared" si="93"/>
        <v>11.076095937857938</v>
      </c>
      <c r="AH330" s="28">
        <f t="shared" ref="AH330:AY344" si="96">AH$160+AH258</f>
        <v>1.8277486101908202</v>
      </c>
      <c r="AI330" s="28">
        <f t="shared" si="96"/>
        <v>4.0020531576630107</v>
      </c>
      <c r="AJ330" s="28">
        <f t="shared" si="96"/>
        <v>3.2818630279336514</v>
      </c>
      <c r="AK330" s="28">
        <f t="shared" si="96"/>
        <v>3.9594779608675186</v>
      </c>
      <c r="AL330" s="28">
        <f t="shared" si="96"/>
        <v>2.3569848759726133</v>
      </c>
      <c r="AM330" s="29" t="e">
        <f t="shared" si="96"/>
        <v>#VALUE!</v>
      </c>
      <c r="AN330" s="30">
        <f t="shared" si="96"/>
        <v>3.0290926555180899</v>
      </c>
      <c r="AO330" s="31">
        <f t="shared" si="96"/>
        <v>1.2110596148458825</v>
      </c>
      <c r="AP330" s="31">
        <f t="shared" si="96"/>
        <v>1.2110596148458825</v>
      </c>
      <c r="AQ330" s="32">
        <f t="shared" si="96"/>
        <v>7.3908523208725887</v>
      </c>
      <c r="AR330" s="32">
        <f t="shared" si="96"/>
        <v>12.869231101689474</v>
      </c>
      <c r="AS330" s="32">
        <f t="shared" si="96"/>
        <v>26.284888237309154</v>
      </c>
      <c r="AT330" s="33">
        <f t="shared" si="96"/>
        <v>0.35</v>
      </c>
      <c r="AU330" s="33">
        <f t="shared" si="96"/>
        <v>0.35</v>
      </c>
      <c r="AV330" s="34" t="e">
        <f t="shared" si="96"/>
        <v>#VALUE!</v>
      </c>
      <c r="AW330" s="34" t="e">
        <f t="shared" si="96"/>
        <v>#VALUE!</v>
      </c>
      <c r="AX330" s="35" t="e">
        <f t="shared" si="96"/>
        <v>#VALUE!</v>
      </c>
      <c r="AY330" s="35" t="e">
        <f t="shared" si="96"/>
        <v>#VALUE!</v>
      </c>
    </row>
    <row r="331" spans="6:51" x14ac:dyDescent="0.3">
      <c r="F331">
        <v>17</v>
      </c>
      <c r="G331" s="28"/>
      <c r="H331" s="28"/>
      <c r="I331" s="28"/>
      <c r="J331" s="28"/>
      <c r="K331" s="28"/>
      <c r="L331" s="29"/>
      <c r="M331" s="30"/>
      <c r="N331" s="31"/>
      <c r="O331" s="31"/>
      <c r="P331" s="32"/>
      <c r="Q331" s="32"/>
      <c r="R331" s="32"/>
      <c r="S331" s="33"/>
      <c r="T331" s="33"/>
      <c r="U331" s="34"/>
      <c r="V331" s="34"/>
      <c r="W331" s="35"/>
      <c r="X331" s="35"/>
      <c r="AG331">
        <f t="shared" si="93"/>
        <v>11.648521557810575</v>
      </c>
      <c r="AH331" s="28">
        <f t="shared" si="96"/>
        <v>1.8820275956692645</v>
      </c>
      <c r="AI331" s="28">
        <f t="shared" si="96"/>
        <v>4.0069180559680682</v>
      </c>
      <c r="AJ331" s="28">
        <f t="shared" si="96"/>
        <v>3.4003432770414168</v>
      </c>
      <c r="AK331" s="28">
        <f t="shared" si="96"/>
        <v>3.9676726545586285</v>
      </c>
      <c r="AL331" s="28">
        <f t="shared" si="96"/>
        <v>2.3569848759726133</v>
      </c>
      <c r="AM331" s="29" t="e">
        <f t="shared" si="96"/>
        <v>#VALUE!</v>
      </c>
      <c r="AN331" s="30">
        <f t="shared" si="96"/>
        <v>3.0290926555180899</v>
      </c>
      <c r="AO331" s="31">
        <f t="shared" si="96"/>
        <v>1.2110596148458825</v>
      </c>
      <c r="AP331" s="31">
        <f t="shared" si="96"/>
        <v>1.2110596148458825</v>
      </c>
      <c r="AQ331" s="32">
        <f t="shared" si="96"/>
        <v>7.3908523208725887</v>
      </c>
      <c r="AR331" s="32">
        <f t="shared" si="96"/>
        <v>12.869231101689474</v>
      </c>
      <c r="AS331" s="32">
        <f t="shared" si="96"/>
        <v>26.284888237309154</v>
      </c>
      <c r="AT331" s="33">
        <f t="shared" si="96"/>
        <v>0.35</v>
      </c>
      <c r="AU331" s="33">
        <f t="shared" si="96"/>
        <v>0.35</v>
      </c>
      <c r="AV331" s="34" t="e">
        <f t="shared" si="96"/>
        <v>#VALUE!</v>
      </c>
      <c r="AW331" s="34" t="e">
        <f t="shared" si="96"/>
        <v>#VALUE!</v>
      </c>
      <c r="AX331" s="35" t="e">
        <f t="shared" si="96"/>
        <v>#VALUE!</v>
      </c>
      <c r="AY331" s="35" t="e">
        <f t="shared" si="96"/>
        <v>#VALUE!</v>
      </c>
    </row>
    <row r="332" spans="6:51" x14ac:dyDescent="0.3">
      <c r="F332">
        <v>18</v>
      </c>
      <c r="G332" s="28"/>
      <c r="H332" s="28"/>
      <c r="I332" s="28"/>
      <c r="J332" s="28"/>
      <c r="K332" s="28"/>
      <c r="L332" s="29"/>
      <c r="M332" s="30"/>
      <c r="N332" s="31"/>
      <c r="O332" s="31"/>
      <c r="P332" s="32"/>
      <c r="Q332" s="32"/>
      <c r="R332" s="32"/>
      <c r="S332" s="33"/>
      <c r="T332" s="33"/>
      <c r="U332" s="34"/>
      <c r="V332" s="34"/>
      <c r="W332" s="35"/>
      <c r="X332" s="35"/>
      <c r="AG332">
        <f t="shared" si="93"/>
        <v>12.250530804721352</v>
      </c>
      <c r="AH332" s="28">
        <f t="shared" si="96"/>
        <v>1.9334757617388094</v>
      </c>
      <c r="AI332" s="28">
        <f t="shared" si="96"/>
        <v>4.0108849889179812</v>
      </c>
      <c r="AJ332" s="28">
        <f t="shared" si="96"/>
        <v>3.5069768767113918</v>
      </c>
      <c r="AK332" s="28">
        <f t="shared" si="96"/>
        <v>3.9743388651539222</v>
      </c>
      <c r="AL332" s="28">
        <f t="shared" si="96"/>
        <v>2.3569848759726133</v>
      </c>
      <c r="AM332" s="29" t="e">
        <f t="shared" si="96"/>
        <v>#VALUE!</v>
      </c>
      <c r="AN332" s="30">
        <f t="shared" si="96"/>
        <v>3.0290926555180899</v>
      </c>
      <c r="AO332" s="31">
        <f t="shared" si="96"/>
        <v>1.2110596148458825</v>
      </c>
      <c r="AP332" s="31">
        <f t="shared" si="96"/>
        <v>1.2110596148458825</v>
      </c>
      <c r="AQ332" s="32">
        <f t="shared" si="96"/>
        <v>7.3908523208725887</v>
      </c>
      <c r="AR332" s="32">
        <f t="shared" si="96"/>
        <v>12.869231101689474</v>
      </c>
      <c r="AS332" s="32">
        <f t="shared" si="96"/>
        <v>26.284888237309154</v>
      </c>
      <c r="AT332" s="33">
        <f t="shared" si="96"/>
        <v>0.35</v>
      </c>
      <c r="AU332" s="33">
        <f t="shared" si="96"/>
        <v>0.35</v>
      </c>
      <c r="AV332" s="34" t="e">
        <f t="shared" si="96"/>
        <v>#VALUE!</v>
      </c>
      <c r="AW332" s="34" t="e">
        <f t="shared" si="96"/>
        <v>#VALUE!</v>
      </c>
      <c r="AX332" s="35" t="e">
        <f t="shared" si="96"/>
        <v>#VALUE!</v>
      </c>
      <c r="AY332" s="35" t="e">
        <f t="shared" si="96"/>
        <v>#VALUE!</v>
      </c>
    </row>
    <row r="333" spans="6:51" x14ac:dyDescent="0.3">
      <c r="F333">
        <v>19</v>
      </c>
      <c r="G333" s="28"/>
      <c r="H333" s="28"/>
      <c r="I333" s="28"/>
      <c r="J333" s="28"/>
      <c r="K333" s="28"/>
      <c r="L333" s="29"/>
      <c r="M333" s="30"/>
      <c r="N333" s="31"/>
      <c r="O333" s="31"/>
      <c r="P333" s="32"/>
      <c r="Q333" s="32"/>
      <c r="R333" s="32"/>
      <c r="S333" s="33"/>
      <c r="T333" s="33"/>
      <c r="U333" s="34"/>
      <c r="V333" s="34"/>
      <c r="W333" s="35"/>
      <c r="X333" s="35"/>
      <c r="AG333">
        <f t="shared" si="93"/>
        <v>12.883652595105344</v>
      </c>
      <c r="AH333" s="28">
        <f t="shared" si="96"/>
        <v>1.980819982936781</v>
      </c>
      <c r="AI333" s="28">
        <f t="shared" si="96"/>
        <v>4.0140697263107201</v>
      </c>
      <c r="AJ333" s="28">
        <f t="shared" si="96"/>
        <v>3.6006586310365511</v>
      </c>
      <c r="AK333" s="28">
        <f t="shared" si="96"/>
        <v>3.9796783997871086</v>
      </c>
      <c r="AL333" s="28">
        <f t="shared" si="96"/>
        <v>2.3569848759726133</v>
      </c>
      <c r="AM333" s="29" t="e">
        <f t="shared" si="96"/>
        <v>#VALUE!</v>
      </c>
      <c r="AN333" s="30">
        <f t="shared" si="96"/>
        <v>3.0290926555180899</v>
      </c>
      <c r="AO333" s="31">
        <f t="shared" si="96"/>
        <v>1.2110596148458825</v>
      </c>
      <c r="AP333" s="31">
        <f t="shared" si="96"/>
        <v>1.2110596148458825</v>
      </c>
      <c r="AQ333" s="32">
        <f t="shared" si="96"/>
        <v>7.3908523208725887</v>
      </c>
      <c r="AR333" s="32">
        <f t="shared" si="96"/>
        <v>12.869231101689474</v>
      </c>
      <c r="AS333" s="32">
        <f t="shared" si="96"/>
        <v>26.284888237309154</v>
      </c>
      <c r="AT333" s="33">
        <f t="shared" si="96"/>
        <v>0.35</v>
      </c>
      <c r="AU333" s="33">
        <f t="shared" si="96"/>
        <v>0.35</v>
      </c>
      <c r="AV333" s="34" t="e">
        <f t="shared" si="96"/>
        <v>#VALUE!</v>
      </c>
      <c r="AW333" s="34" t="e">
        <f t="shared" si="96"/>
        <v>#VALUE!</v>
      </c>
      <c r="AX333" s="35" t="e">
        <f t="shared" si="96"/>
        <v>#VALUE!</v>
      </c>
      <c r="AY333" s="35" t="e">
        <f t="shared" si="96"/>
        <v>#VALUE!</v>
      </c>
    </row>
    <row r="334" spans="6:51" x14ac:dyDescent="0.3">
      <c r="F334">
        <v>20</v>
      </c>
      <c r="G334" s="28"/>
      <c r="H334" s="28"/>
      <c r="I334" s="28"/>
      <c r="J334" s="28"/>
      <c r="K334" s="28"/>
      <c r="L334" s="29"/>
      <c r="M334" s="30"/>
      <c r="N334" s="31"/>
      <c r="O334" s="31"/>
      <c r="P334" s="32"/>
      <c r="Q334" s="32"/>
      <c r="R334" s="32"/>
      <c r="S334" s="33"/>
      <c r="T334" s="33"/>
      <c r="U334" s="34"/>
      <c r="V334" s="34"/>
      <c r="W334" s="35"/>
      <c r="X334" s="35"/>
      <c r="AG334">
        <f t="shared" si="93"/>
        <v>13.549494861675118</v>
      </c>
      <c r="AH334" s="28">
        <f t="shared" si="96"/>
        <v>2.0230127362535346</v>
      </c>
      <c r="AI334" s="28">
        <f t="shared" si="96"/>
        <v>4.0165855949991265</v>
      </c>
      <c r="AJ334" s="28">
        <f t="shared" si="96"/>
        <v>3.68085705996489</v>
      </c>
      <c r="AK334" s="28">
        <f t="shared" si="96"/>
        <v>3.9838873828526498</v>
      </c>
      <c r="AL334" s="28">
        <f t="shared" si="96"/>
        <v>2.3569848759726133</v>
      </c>
      <c r="AM334" s="29" t="e">
        <f t="shared" si="96"/>
        <v>#VALUE!</v>
      </c>
      <c r="AN334" s="30">
        <f t="shared" si="96"/>
        <v>3.0290926555180899</v>
      </c>
      <c r="AO334" s="31">
        <f t="shared" si="96"/>
        <v>1.2110596148458825</v>
      </c>
      <c r="AP334" s="31">
        <f t="shared" si="96"/>
        <v>1.2110596148458825</v>
      </c>
      <c r="AQ334" s="32">
        <f t="shared" si="96"/>
        <v>7.3908523208725887</v>
      </c>
      <c r="AR334" s="32">
        <f t="shared" si="96"/>
        <v>12.869231101689474</v>
      </c>
      <c r="AS334" s="32">
        <f t="shared" si="96"/>
        <v>26.284888237309154</v>
      </c>
      <c r="AT334" s="33">
        <f t="shared" si="96"/>
        <v>0.35</v>
      </c>
      <c r="AU334" s="33">
        <f t="shared" si="96"/>
        <v>0.35</v>
      </c>
      <c r="AV334" s="34" t="e">
        <f t="shared" si="96"/>
        <v>#VALUE!</v>
      </c>
      <c r="AW334" s="34" t="e">
        <f t="shared" si="96"/>
        <v>#VALUE!</v>
      </c>
      <c r="AX334" s="35" t="e">
        <f t="shared" si="96"/>
        <v>#VALUE!</v>
      </c>
      <c r="AY334" s="35" t="e">
        <f t="shared" si="96"/>
        <v>#VALUE!</v>
      </c>
    </row>
    <row r="335" spans="6:51" x14ac:dyDescent="0.3">
      <c r="F335">
        <v>21</v>
      </c>
      <c r="G335" s="28"/>
      <c r="H335" s="28"/>
      <c r="I335" s="28"/>
      <c r="J335" s="28"/>
      <c r="K335" s="28"/>
      <c r="L335" s="29"/>
      <c r="M335" s="30"/>
      <c r="N335" s="31"/>
      <c r="O335" s="31"/>
      <c r="P335" s="32"/>
      <c r="Q335" s="32"/>
      <c r="R335" s="32"/>
      <c r="S335" s="33"/>
      <c r="T335" s="33"/>
      <c r="U335" s="34"/>
      <c r="V335" s="34"/>
      <c r="W335" s="35"/>
      <c r="X335" s="35"/>
      <c r="AG335">
        <f t="shared" si="93"/>
        <v>14.249748636990411</v>
      </c>
      <c r="AH335" s="28">
        <f t="shared" si="96"/>
        <v>2.0593374762212466</v>
      </c>
      <c r="AI335" s="28">
        <f t="shared" si="96"/>
        <v>4.0185402227468598</v>
      </c>
      <c r="AJ335" s="28">
        <f t="shared" si="96"/>
        <v>3.7476385589667842</v>
      </c>
      <c r="AK335" s="28">
        <f t="shared" si="96"/>
        <v>3.987150867061751</v>
      </c>
      <c r="AL335" s="28">
        <f t="shared" si="96"/>
        <v>2.3569848759726133</v>
      </c>
      <c r="AM335" s="29" t="e">
        <f t="shared" si="96"/>
        <v>#VALUE!</v>
      </c>
      <c r="AN335" s="30">
        <f t="shared" si="96"/>
        <v>3.0290926555180899</v>
      </c>
      <c r="AO335" s="31">
        <f t="shared" si="96"/>
        <v>1.2110596148458825</v>
      </c>
      <c r="AP335" s="31">
        <f t="shared" si="96"/>
        <v>1.2110596148458825</v>
      </c>
      <c r="AQ335" s="32">
        <f t="shared" si="96"/>
        <v>7.3908523208725887</v>
      </c>
      <c r="AR335" s="32">
        <f t="shared" si="96"/>
        <v>12.869231101689474</v>
      </c>
      <c r="AS335" s="32">
        <f t="shared" si="96"/>
        <v>26.284888237309154</v>
      </c>
      <c r="AT335" s="33">
        <f t="shared" si="96"/>
        <v>0.35</v>
      </c>
      <c r="AU335" s="33">
        <f t="shared" si="96"/>
        <v>0.35</v>
      </c>
      <c r="AV335" s="34" t="e">
        <f t="shared" si="96"/>
        <v>#VALUE!</v>
      </c>
      <c r="AW335" s="34" t="e">
        <f t="shared" si="96"/>
        <v>#VALUE!</v>
      </c>
      <c r="AX335" s="35" t="e">
        <f t="shared" si="96"/>
        <v>#VALUE!</v>
      </c>
      <c r="AY335" s="35" t="e">
        <f t="shared" si="96"/>
        <v>#VALUE!</v>
      </c>
    </row>
    <row r="336" spans="6:51" x14ac:dyDescent="0.3">
      <c r="F336">
        <v>22</v>
      </c>
      <c r="G336" s="28"/>
      <c r="H336" s="28"/>
      <c r="I336" s="28"/>
      <c r="J336" s="28"/>
      <c r="K336" s="28"/>
      <c r="L336" s="29"/>
      <c r="M336" s="30"/>
      <c r="N336" s="31"/>
      <c r="O336" s="31"/>
      <c r="P336" s="32"/>
      <c r="Q336" s="32"/>
      <c r="R336" s="32"/>
      <c r="S336" s="33"/>
      <c r="T336" s="33"/>
      <c r="U336" s="34"/>
      <c r="V336" s="34"/>
      <c r="W336" s="35"/>
      <c r="X336" s="35"/>
      <c r="AG336">
        <f t="shared" si="93"/>
        <v>14.986192348155662</v>
      </c>
      <c r="AH336" s="28">
        <f t="shared" si="96"/>
        <v>2.0894751734974939</v>
      </c>
      <c r="AI336" s="28">
        <f t="shared" si="96"/>
        <v>4.0200329448805316</v>
      </c>
      <c r="AJ336" s="28">
        <f t="shared" si="96"/>
        <v>3.8016340718237061</v>
      </c>
      <c r="AK336" s="28">
        <f t="shared" si="96"/>
        <v>3.9896386367591443</v>
      </c>
      <c r="AL336" s="28">
        <f t="shared" si="96"/>
        <v>2.3569848759726133</v>
      </c>
      <c r="AM336" s="29" t="e">
        <f t="shared" si="96"/>
        <v>#VALUE!</v>
      </c>
      <c r="AN336" s="30">
        <f t="shared" si="96"/>
        <v>3.0419334935622651</v>
      </c>
      <c r="AO336" s="31">
        <f t="shared" si="96"/>
        <v>1.2110596148458825</v>
      </c>
      <c r="AP336" s="31">
        <f t="shared" si="96"/>
        <v>1.2110596148458825</v>
      </c>
      <c r="AQ336" s="32">
        <f t="shared" si="96"/>
        <v>7.3908523208725887</v>
      </c>
      <c r="AR336" s="32">
        <f t="shared" si="96"/>
        <v>12.869231101689474</v>
      </c>
      <c r="AS336" s="32">
        <f t="shared" si="96"/>
        <v>26.284888237309154</v>
      </c>
      <c r="AT336" s="33">
        <f t="shared" si="96"/>
        <v>0.35</v>
      </c>
      <c r="AU336" s="33">
        <f t="shared" si="96"/>
        <v>0.35</v>
      </c>
      <c r="AV336" s="34" t="e">
        <f t="shared" si="96"/>
        <v>#VALUE!</v>
      </c>
      <c r="AW336" s="34" t="e">
        <f t="shared" si="96"/>
        <v>#VALUE!</v>
      </c>
      <c r="AX336" s="35" t="e">
        <f t="shared" si="96"/>
        <v>#VALUE!</v>
      </c>
      <c r="AY336" s="35" t="e">
        <f t="shared" si="96"/>
        <v>#VALUE!</v>
      </c>
    </row>
    <row r="337" spans="6:51" x14ac:dyDescent="0.3">
      <c r="F337">
        <v>23</v>
      </c>
      <c r="G337" s="28"/>
      <c r="H337" s="28"/>
      <c r="I337" s="28"/>
      <c r="J337" s="28"/>
      <c r="K337" s="28"/>
      <c r="L337" s="29"/>
      <c r="M337" s="30"/>
      <c r="N337" s="31"/>
      <c r="O337" s="31"/>
      <c r="P337" s="32"/>
      <c r="Q337" s="32"/>
      <c r="R337" s="32"/>
      <c r="S337" s="33"/>
      <c r="T337" s="33"/>
      <c r="U337" s="34"/>
      <c r="V337" s="34"/>
      <c r="W337" s="35"/>
      <c r="X337" s="35"/>
      <c r="AG337">
        <f t="shared" si="93"/>
        <v>15.760696333472486</v>
      </c>
      <c r="AH337" s="28">
        <f t="shared" si="96"/>
        <v>2.1135169642451128</v>
      </c>
      <c r="AI337" s="28">
        <f t="shared" si="96"/>
        <v>4.0211529591960335</v>
      </c>
      <c r="AJ337" s="28">
        <f t="shared" si="96"/>
        <v>3.8439511518458565</v>
      </c>
      <c r="AK337" s="28">
        <f t="shared" si="96"/>
        <v>3.9915023214855756</v>
      </c>
      <c r="AL337" s="28">
        <f t="shared" si="96"/>
        <v>2.3569848759726133</v>
      </c>
      <c r="AM337" s="29" t="e">
        <f t="shared" si="96"/>
        <v>#VALUE!</v>
      </c>
      <c r="AN337" s="30">
        <f t="shared" si="96"/>
        <v>3.0939684451823499</v>
      </c>
      <c r="AO337" s="31">
        <f t="shared" si="96"/>
        <v>1.2110596148458825</v>
      </c>
      <c r="AP337" s="31">
        <f t="shared" si="96"/>
        <v>1.2110596148458825</v>
      </c>
      <c r="AQ337" s="32">
        <f t="shared" si="96"/>
        <v>7.3908523208725887</v>
      </c>
      <c r="AR337" s="32">
        <f t="shared" si="96"/>
        <v>12.869231101689474</v>
      </c>
      <c r="AS337" s="32">
        <f t="shared" si="96"/>
        <v>26.284888237309154</v>
      </c>
      <c r="AT337" s="33">
        <f t="shared" si="96"/>
        <v>0.35</v>
      </c>
      <c r="AU337" s="33">
        <f t="shared" si="96"/>
        <v>0.35</v>
      </c>
      <c r="AV337" s="34" t="e">
        <f t="shared" si="96"/>
        <v>#VALUE!</v>
      </c>
      <c r="AW337" s="34" t="e">
        <f t="shared" si="96"/>
        <v>#VALUE!</v>
      </c>
      <c r="AX337" s="35" t="e">
        <f t="shared" si="96"/>
        <v>#VALUE!</v>
      </c>
      <c r="AY337" s="35" t="e">
        <f t="shared" si="96"/>
        <v>#VALUE!</v>
      </c>
    </row>
    <row r="338" spans="6:51" x14ac:dyDescent="0.3">
      <c r="F338">
        <v>24</v>
      </c>
      <c r="G338" s="28"/>
      <c r="H338" s="28"/>
      <c r="I338" s="28"/>
      <c r="J338" s="28"/>
      <c r="K338" s="28"/>
      <c r="L338" s="29"/>
      <c r="M338" s="30"/>
      <c r="N338" s="31"/>
      <c r="O338" s="31"/>
      <c r="P338" s="32"/>
      <c r="Q338" s="32"/>
      <c r="R338" s="32"/>
      <c r="S338" s="33"/>
      <c r="T338" s="33"/>
      <c r="U338" s="34"/>
      <c r="V338" s="34"/>
      <c r="W338" s="35"/>
      <c r="X338" s="35"/>
      <c r="AG338">
        <f t="shared" si="93"/>
        <v>16.575227592518086</v>
      </c>
      <c r="AH338" s="28">
        <f t="shared" si="96"/>
        <v>2.1319190724575763</v>
      </c>
      <c r="AI338" s="28">
        <f t="shared" si="96"/>
        <v>4.0219782474093524</v>
      </c>
      <c r="AJ338" s="28">
        <f t="shared" si="96"/>
        <v>3.8760435493657663</v>
      </c>
      <c r="AK338" s="28">
        <f t="shared" si="96"/>
        <v>3.9928738232049557</v>
      </c>
      <c r="AL338" s="28">
        <f t="shared" si="96"/>
        <v>2.3569848759726133</v>
      </c>
      <c r="AM338" s="29" t="e">
        <f t="shared" si="96"/>
        <v>#VALUE!</v>
      </c>
      <c r="AN338" s="30">
        <f t="shared" si="96"/>
        <v>3.1434010389330722</v>
      </c>
      <c r="AO338" s="31">
        <f t="shared" si="96"/>
        <v>1.2110596148458825</v>
      </c>
      <c r="AP338" s="31">
        <f t="shared" si="96"/>
        <v>1.2110596148458825</v>
      </c>
      <c r="AQ338" s="32">
        <f t="shared" si="96"/>
        <v>7.3908523208725887</v>
      </c>
      <c r="AR338" s="32">
        <f t="shared" si="96"/>
        <v>12.869231101689474</v>
      </c>
      <c r="AS338" s="32">
        <f t="shared" si="96"/>
        <v>26.284888237309154</v>
      </c>
      <c r="AT338" s="33">
        <f t="shared" si="96"/>
        <v>0.35</v>
      </c>
      <c r="AU338" s="33">
        <f t="shared" si="96"/>
        <v>0.35</v>
      </c>
      <c r="AV338" s="34" t="e">
        <f t="shared" si="96"/>
        <v>#VALUE!</v>
      </c>
      <c r="AW338" s="34" t="e">
        <f t="shared" si="96"/>
        <v>#VALUE!</v>
      </c>
      <c r="AX338" s="35" t="e">
        <f t="shared" si="96"/>
        <v>#VALUE!</v>
      </c>
      <c r="AY338" s="35" t="e">
        <f t="shared" si="96"/>
        <v>#VALUE!</v>
      </c>
    </row>
    <row r="339" spans="6:51" x14ac:dyDescent="0.3">
      <c r="F339">
        <v>25</v>
      </c>
      <c r="G339" s="28"/>
      <c r="H339" s="28"/>
      <c r="I339" s="28"/>
      <c r="J339" s="28"/>
      <c r="K339" s="28"/>
      <c r="L339" s="29"/>
      <c r="M339" s="30"/>
      <c r="N339" s="31"/>
      <c r="O339" s="31"/>
      <c r="P339" s="32"/>
      <c r="Q339" s="32"/>
      <c r="R339" s="32"/>
      <c r="S339" s="33"/>
      <c r="T339" s="33"/>
      <c r="U339" s="34"/>
      <c r="V339" s="34"/>
      <c r="W339" s="35"/>
      <c r="X339" s="35"/>
      <c r="AG339">
        <f t="shared" si="93"/>
        <v>17.431854781713245</v>
      </c>
      <c r="AH339" s="28">
        <f t="shared" si="96"/>
        <v>2.1454096329726253</v>
      </c>
      <c r="AI339" s="28">
        <f t="shared" si="96"/>
        <v>4.0225752184089414</v>
      </c>
      <c r="AJ339" s="28">
        <f t="shared" si="96"/>
        <v>3.8995577578220999</v>
      </c>
      <c r="AK339" s="28">
        <f t="shared" si="96"/>
        <v>3.9938649564997917</v>
      </c>
      <c r="AL339" s="28">
        <f t="shared" si="96"/>
        <v>2.3569848759726133</v>
      </c>
      <c r="AM339" s="29" t="e">
        <f t="shared" si="96"/>
        <v>#VALUE!</v>
      </c>
      <c r="AN339" s="30">
        <f t="shared" si="96"/>
        <v>3.1899152694791382</v>
      </c>
      <c r="AO339" s="31">
        <f t="shared" si="96"/>
        <v>1.2110596148458825</v>
      </c>
      <c r="AP339" s="31">
        <f t="shared" si="96"/>
        <v>1.2110596148458825</v>
      </c>
      <c r="AQ339" s="32">
        <f t="shared" si="96"/>
        <v>7.3908523208725887</v>
      </c>
      <c r="AR339" s="32">
        <f t="shared" si="96"/>
        <v>12.869231101689474</v>
      </c>
      <c r="AS339" s="32">
        <f t="shared" si="96"/>
        <v>26.284888237309154</v>
      </c>
      <c r="AT339" s="33">
        <f t="shared" si="96"/>
        <v>0.35</v>
      </c>
      <c r="AU339" s="33">
        <f t="shared" si="96"/>
        <v>0.35</v>
      </c>
      <c r="AV339" s="34" t="e">
        <f t="shared" si="96"/>
        <v>#VALUE!</v>
      </c>
      <c r="AW339" s="34" t="e">
        <f t="shared" si="96"/>
        <v>#VALUE!</v>
      </c>
      <c r="AX339" s="35" t="e">
        <f t="shared" si="96"/>
        <v>#VALUE!</v>
      </c>
      <c r="AY339" s="35" t="e">
        <f t="shared" si="96"/>
        <v>#VALUE!</v>
      </c>
    </row>
    <row r="340" spans="6:51" x14ac:dyDescent="0.3">
      <c r="F340">
        <v>26</v>
      </c>
      <c r="G340" s="28"/>
      <c r="H340" s="28"/>
      <c r="I340" s="28"/>
      <c r="J340" s="28"/>
      <c r="K340" s="28"/>
      <c r="L340" s="29"/>
      <c r="M340" s="30"/>
      <c r="N340" s="31"/>
      <c r="O340" s="31"/>
      <c r="P340" s="32"/>
      <c r="Q340" s="32"/>
      <c r="R340" s="32"/>
      <c r="S340" s="33"/>
      <c r="T340" s="33"/>
      <c r="U340" s="34"/>
      <c r="V340" s="34"/>
      <c r="W340" s="35"/>
      <c r="X340" s="35"/>
      <c r="AG340">
        <f t="shared" si="93"/>
        <v>18.332753468067196</v>
      </c>
      <c r="AH340" s="28">
        <f t="shared" si="96"/>
        <v>2.1548683180718613</v>
      </c>
      <c r="AI340" s="28">
        <f t="shared" si="96"/>
        <v>4.0229989767518415</v>
      </c>
      <c r="AJ340" s="28">
        <f t="shared" si="96"/>
        <v>3.916179296675673</v>
      </c>
      <c r="AK340" s="28">
        <f t="shared" si="96"/>
        <v>3.9945681186434725</v>
      </c>
      <c r="AL340" s="28">
        <f t="shared" si="96"/>
        <v>2.3569848759726133</v>
      </c>
      <c r="AM340" s="29" t="e">
        <f t="shared" si="96"/>
        <v>#VALUE!</v>
      </c>
      <c r="AN340" s="30">
        <f t="shared" si="96"/>
        <v>3.2332518923197795</v>
      </c>
      <c r="AO340" s="31">
        <f t="shared" si="96"/>
        <v>1.2110596148458825</v>
      </c>
      <c r="AP340" s="31">
        <f t="shared" si="96"/>
        <v>1.2110596148458825</v>
      </c>
      <c r="AQ340" s="32">
        <f t="shared" si="96"/>
        <v>7.3908523208725887</v>
      </c>
      <c r="AR340" s="32">
        <f t="shared" si="96"/>
        <v>12.869231101689474</v>
      </c>
      <c r="AS340" s="32">
        <f t="shared" si="96"/>
        <v>26.284888237309154</v>
      </c>
      <c r="AT340" s="33">
        <f t="shared" si="96"/>
        <v>0.35</v>
      </c>
      <c r="AU340" s="33">
        <f t="shared" si="96"/>
        <v>0.35</v>
      </c>
      <c r="AV340" s="34" t="e">
        <f t="shared" si="96"/>
        <v>#VALUE!</v>
      </c>
      <c r="AW340" s="34" t="e">
        <f t="shared" si="96"/>
        <v>#VALUE!</v>
      </c>
      <c r="AX340" s="35" t="e">
        <f t="shared" si="96"/>
        <v>#VALUE!</v>
      </c>
      <c r="AY340" s="35" t="e">
        <f t="shared" si="96"/>
        <v>#VALUE!</v>
      </c>
    </row>
    <row r="341" spans="6:51" x14ac:dyDescent="0.3">
      <c r="F341">
        <v>27</v>
      </c>
      <c r="G341" s="28"/>
      <c r="H341" s="28"/>
      <c r="I341" s="28"/>
      <c r="J341" s="28"/>
      <c r="K341" s="28"/>
      <c r="L341" s="29"/>
      <c r="M341" s="30"/>
      <c r="N341" s="31"/>
      <c r="O341" s="31"/>
      <c r="P341" s="32"/>
      <c r="Q341" s="32"/>
      <c r="R341" s="32"/>
      <c r="S341" s="33"/>
      <c r="T341" s="33"/>
      <c r="U341" s="34"/>
      <c r="V341" s="34"/>
      <c r="W341" s="35"/>
      <c r="X341" s="35"/>
      <c r="AG341">
        <f t="shared" si="93"/>
        <v>19.280211654442091</v>
      </c>
      <c r="AH341" s="28">
        <f t="shared" si="96"/>
        <v>2.1612047222454898</v>
      </c>
      <c r="AI341" s="28">
        <f t="shared" si="96"/>
        <v>4.0232940842786755</v>
      </c>
      <c r="AJ341" s="28">
        <f t="shared" si="96"/>
        <v>3.9274999387747882</v>
      </c>
      <c r="AK341" s="28">
        <f t="shared" si="96"/>
        <v>3.9950577531834943</v>
      </c>
      <c r="AL341" s="28">
        <f t="shared" si="96"/>
        <v>2.3569848759726133</v>
      </c>
      <c r="AM341" s="29" t="e">
        <f t="shared" si="96"/>
        <v>#VALUE!</v>
      </c>
      <c r="AN341" s="30">
        <f t="shared" si="96"/>
        <v>3.2732162351454046</v>
      </c>
      <c r="AO341" s="31">
        <f t="shared" si="96"/>
        <v>1.2110596148458825</v>
      </c>
      <c r="AP341" s="31">
        <f t="shared" si="96"/>
        <v>1.2110596148458825</v>
      </c>
      <c r="AQ341" s="32">
        <f t="shared" si="96"/>
        <v>7.3908523208725887</v>
      </c>
      <c r="AR341" s="32">
        <f t="shared" si="96"/>
        <v>12.869231101689474</v>
      </c>
      <c r="AS341" s="32">
        <f t="shared" si="96"/>
        <v>26.284888237309154</v>
      </c>
      <c r="AT341" s="33">
        <f t="shared" si="96"/>
        <v>0.35</v>
      </c>
      <c r="AU341" s="33">
        <f t="shared" si="96"/>
        <v>0.35</v>
      </c>
      <c r="AV341" s="34" t="e">
        <f t="shared" si="96"/>
        <v>#VALUE!</v>
      </c>
      <c r="AW341" s="34" t="e">
        <f t="shared" si="96"/>
        <v>#VALUE!</v>
      </c>
      <c r="AX341" s="35" t="e">
        <f t="shared" si="96"/>
        <v>#VALUE!</v>
      </c>
      <c r="AY341" s="35" t="e">
        <f t="shared" si="96"/>
        <v>#VALUE!</v>
      </c>
    </row>
    <row r="342" spans="6:51" x14ac:dyDescent="0.3">
      <c r="F342">
        <v>28</v>
      </c>
      <c r="G342" s="28"/>
      <c r="H342" s="28"/>
      <c r="I342" s="28"/>
      <c r="J342" s="28"/>
      <c r="K342" s="28"/>
      <c r="L342" s="29"/>
      <c r="M342" s="30"/>
      <c r="N342" s="31"/>
      <c r="O342" s="31"/>
      <c r="P342" s="32"/>
      <c r="Q342" s="32"/>
      <c r="R342" s="32"/>
      <c r="S342" s="33"/>
      <c r="T342" s="33"/>
      <c r="U342" s="34"/>
      <c r="V342" s="34"/>
      <c r="W342" s="35"/>
      <c r="X342" s="35"/>
      <c r="AG342">
        <f t="shared" si="93"/>
        <v>20.276635590369683</v>
      </c>
      <c r="AH342" s="28">
        <f t="shared" si="96"/>
        <v>2.1652586144831503</v>
      </c>
      <c r="AI342" s="28">
        <f t="shared" si="96"/>
        <v>4.0234956656892793</v>
      </c>
      <c r="AJ342" s="28">
        <f t="shared" si="96"/>
        <v>3.9349210752041954</v>
      </c>
      <c r="AK342" s="28">
        <f t="shared" si="96"/>
        <v>3.9953923491242467</v>
      </c>
      <c r="AL342" s="28">
        <f t="shared" si="96"/>
        <v>2.3569848759726133</v>
      </c>
      <c r="AM342" s="29" t="e">
        <f t="shared" si="96"/>
        <v>#VALUE!</v>
      </c>
      <c r="AN342" s="30">
        <f t="shared" si="96"/>
        <v>3.3096833819438412</v>
      </c>
      <c r="AO342" s="31">
        <f t="shared" si="96"/>
        <v>1.2110596148458825</v>
      </c>
      <c r="AP342" s="31">
        <f t="shared" si="96"/>
        <v>1.2110596148458825</v>
      </c>
      <c r="AQ342" s="32">
        <f t="shared" si="96"/>
        <v>7.3908523208725887</v>
      </c>
      <c r="AR342" s="32">
        <f t="shared" si="96"/>
        <v>12.869231101689474</v>
      </c>
      <c r="AS342" s="32">
        <f t="shared" si="96"/>
        <v>26.284888237309154</v>
      </c>
      <c r="AT342" s="33">
        <f t="shared" si="96"/>
        <v>0.35</v>
      </c>
      <c r="AU342" s="33">
        <f t="shared" si="96"/>
        <v>0.35</v>
      </c>
      <c r="AV342" s="34" t="e">
        <f t="shared" si="96"/>
        <v>#VALUE!</v>
      </c>
      <c r="AW342" s="34" t="e">
        <f t="shared" si="96"/>
        <v>#VALUE!</v>
      </c>
      <c r="AX342" s="35" t="e">
        <f t="shared" si="96"/>
        <v>#VALUE!</v>
      </c>
      <c r="AY342" s="35" t="e">
        <f t="shared" si="96"/>
        <v>#VALUE!</v>
      </c>
    </row>
    <row r="343" spans="6:51" x14ac:dyDescent="0.3">
      <c r="F343">
        <v>29</v>
      </c>
      <c r="G343" s="28"/>
      <c r="H343" s="28"/>
      <c r="I343" s="28"/>
      <c r="J343" s="28"/>
      <c r="K343" s="28"/>
      <c r="L343" s="29"/>
      <c r="M343" s="30"/>
      <c r="N343" s="31"/>
      <c r="O343" s="31"/>
      <c r="P343" s="32"/>
      <c r="Q343" s="32"/>
      <c r="R343" s="32"/>
      <c r="S343" s="33"/>
      <c r="T343" s="33"/>
      <c r="U343" s="34"/>
      <c r="V343" s="34"/>
      <c r="W343" s="35"/>
      <c r="X343" s="35"/>
      <c r="AG343">
        <f t="shared" si="93"/>
        <v>21.324555883177815</v>
      </c>
      <c r="AH343" s="28">
        <f t="shared" si="96"/>
        <v>2.1677359911555114</v>
      </c>
      <c r="AI343" s="28">
        <f t="shared" si="96"/>
        <v>4.0236307098245652</v>
      </c>
      <c r="AJ343" s="28">
        <f t="shared" si="96"/>
        <v>3.9395997604722375</v>
      </c>
      <c r="AK343" s="28">
        <f t="shared" si="96"/>
        <v>3.995616725822833</v>
      </c>
      <c r="AL343" s="28">
        <f t="shared" si="96"/>
        <v>2.3569848759726133</v>
      </c>
      <c r="AM343" s="29" t="e">
        <f t="shared" si="96"/>
        <v>#VALUE!</v>
      </c>
      <c r="AN343" s="30">
        <f t="shared" si="96"/>
        <v>3.3426003373893352</v>
      </c>
      <c r="AO343" s="31">
        <f t="shared" si="96"/>
        <v>1.2110596148458825</v>
      </c>
      <c r="AP343" s="31">
        <f t="shared" si="96"/>
        <v>1.2110596148458825</v>
      </c>
      <c r="AQ343" s="32">
        <f t="shared" si="96"/>
        <v>7.3908523208725887</v>
      </c>
      <c r="AR343" s="32">
        <f t="shared" si="96"/>
        <v>12.869231101689474</v>
      </c>
      <c r="AS343" s="32">
        <f t="shared" si="96"/>
        <v>26.284888237309154</v>
      </c>
      <c r="AT343" s="33">
        <f t="shared" si="96"/>
        <v>0.35</v>
      </c>
      <c r="AU343" s="33">
        <f t="shared" si="96"/>
        <v>0.35</v>
      </c>
      <c r="AV343" s="34" t="e">
        <f t="shared" si="96"/>
        <v>#VALUE!</v>
      </c>
      <c r="AW343" s="34" t="e">
        <f t="shared" si="96"/>
        <v>#VALUE!</v>
      </c>
      <c r="AX343" s="35" t="e">
        <f t="shared" si="96"/>
        <v>#VALUE!</v>
      </c>
      <c r="AY343" s="35" t="e">
        <f t="shared" si="96"/>
        <v>#VALUE!</v>
      </c>
    </row>
    <row r="344" spans="6:51" x14ac:dyDescent="0.3">
      <c r="F344">
        <v>30</v>
      </c>
      <c r="G344" s="28"/>
      <c r="H344" s="28"/>
      <c r="I344" s="28"/>
      <c r="J344" s="28"/>
      <c r="K344" s="28"/>
      <c r="L344" s="29"/>
      <c r="M344" s="30"/>
      <c r="N344" s="31"/>
      <c r="O344" s="31"/>
      <c r="P344" s="32"/>
      <c r="Q344" s="32"/>
      <c r="R344" s="32"/>
      <c r="S344" s="33"/>
      <c r="T344" s="33"/>
      <c r="U344" s="34"/>
      <c r="V344" s="34"/>
      <c r="W344" s="35"/>
      <c r="X344" s="35"/>
      <c r="AG344">
        <f t="shared" si="93"/>
        <v>22.426633924947051</v>
      </c>
      <c r="AH344" s="28">
        <f t="shared" si="96"/>
        <v>2.1691833410318528</v>
      </c>
      <c r="AI344" s="28">
        <f t="shared" si="96"/>
        <v>4.0237194341759066</v>
      </c>
      <c r="AJ344" s="28">
        <f t="shared" si="96"/>
        <v>3.9424351971235616</v>
      </c>
      <c r="AK344" s="28">
        <f t="shared" ref="AK344:AY344" si="97">AK$160+AK272</f>
        <v>3.995764385290594</v>
      </c>
      <c r="AL344" s="28">
        <f t="shared" si="97"/>
        <v>2.3569848759726133</v>
      </c>
      <c r="AM344" s="29" t="e">
        <f t="shared" si="97"/>
        <v>#VALUE!</v>
      </c>
      <c r="AN344" s="30">
        <f t="shared" si="97"/>
        <v>3.3719849879450359</v>
      </c>
      <c r="AO344" s="31">
        <f t="shared" si="97"/>
        <v>1.2110596148458825</v>
      </c>
      <c r="AP344" s="31">
        <f t="shared" si="97"/>
        <v>1.2110596148458825</v>
      </c>
      <c r="AQ344" s="32">
        <f t="shared" si="97"/>
        <v>7.3908523208725887</v>
      </c>
      <c r="AR344" s="32">
        <f t="shared" si="97"/>
        <v>12.869231101689474</v>
      </c>
      <c r="AS344" s="32">
        <f t="shared" si="97"/>
        <v>26.284888237309154</v>
      </c>
      <c r="AT344" s="33">
        <f t="shared" si="97"/>
        <v>0.35</v>
      </c>
      <c r="AU344" s="33">
        <f t="shared" si="97"/>
        <v>0.35</v>
      </c>
      <c r="AV344" s="34" t="e">
        <f t="shared" si="97"/>
        <v>#VALUE!</v>
      </c>
      <c r="AW344" s="34" t="e">
        <f t="shared" si="97"/>
        <v>#VALUE!</v>
      </c>
      <c r="AX344" s="35" t="e">
        <f t="shared" si="97"/>
        <v>#VALUE!</v>
      </c>
      <c r="AY344" s="35" t="e">
        <f t="shared" si="97"/>
        <v>#VALUE!</v>
      </c>
    </row>
    <row r="345" spans="6:51" x14ac:dyDescent="0.3">
      <c r="F345">
        <v>31</v>
      </c>
      <c r="G345" s="28"/>
      <c r="H345" s="28"/>
      <c r="I345" s="28"/>
      <c r="J345" s="28"/>
      <c r="K345" s="28"/>
      <c r="L345" s="29"/>
      <c r="M345" s="30"/>
      <c r="N345" s="31"/>
      <c r="O345" s="31"/>
      <c r="P345" s="32"/>
      <c r="Q345" s="32"/>
      <c r="R345" s="32"/>
      <c r="S345" s="33"/>
      <c r="T345" s="33"/>
      <c r="U345" s="34"/>
      <c r="V345" s="34"/>
      <c r="W345" s="35"/>
      <c r="X345" s="35"/>
      <c r="AG345">
        <f t="shared" si="93"/>
        <v>23.585668651620018</v>
      </c>
      <c r="AH345" s="28">
        <f t="shared" ref="AH345:AY359" si="98">AH$160+AH273</f>
        <v>2.1699930146919462</v>
      </c>
      <c r="AI345" s="28">
        <f t="shared" si="98"/>
        <v>4.0237766060922722</v>
      </c>
      <c r="AJ345" s="28">
        <f t="shared" si="98"/>
        <v>3.9440867843234981</v>
      </c>
      <c r="AK345" s="28">
        <f t="shared" si="98"/>
        <v>3.9958597603810455</v>
      </c>
      <c r="AL345" s="28">
        <f t="shared" si="98"/>
        <v>2.3569848759726133</v>
      </c>
      <c r="AM345" s="29" t="e">
        <f t="shared" si="98"/>
        <v>#VALUE!</v>
      </c>
      <c r="AN345" s="30">
        <f t="shared" si="98"/>
        <v>3.3979219151143889</v>
      </c>
      <c r="AO345" s="31">
        <f t="shared" si="98"/>
        <v>1.2110596148458825</v>
      </c>
      <c r="AP345" s="31">
        <f t="shared" si="98"/>
        <v>1.2110596148458825</v>
      </c>
      <c r="AQ345" s="32">
        <f t="shared" si="98"/>
        <v>7.3908523208725887</v>
      </c>
      <c r="AR345" s="32">
        <f t="shared" si="98"/>
        <v>12.869231101689474</v>
      </c>
      <c r="AS345" s="32">
        <f t="shared" si="98"/>
        <v>26.284888237309154</v>
      </c>
      <c r="AT345" s="33">
        <f t="shared" si="98"/>
        <v>0.35</v>
      </c>
      <c r="AU345" s="33">
        <f t="shared" si="98"/>
        <v>0.35</v>
      </c>
      <c r="AV345" s="34" t="e">
        <f t="shared" si="98"/>
        <v>#VALUE!</v>
      </c>
      <c r="AW345" s="34" t="e">
        <f t="shared" si="98"/>
        <v>#VALUE!</v>
      </c>
      <c r="AX345" s="35" t="e">
        <f t="shared" si="98"/>
        <v>#VALUE!</v>
      </c>
      <c r="AY345" s="35" t="e">
        <f t="shared" si="98"/>
        <v>#VALUE!</v>
      </c>
    </row>
    <row r="346" spans="6:51" x14ac:dyDescent="0.3">
      <c r="F346">
        <v>32</v>
      </c>
      <c r="G346" s="28"/>
      <c r="H346" s="28"/>
      <c r="I346" s="28"/>
      <c r="J346" s="28"/>
      <c r="K346" s="28"/>
      <c r="L346" s="29"/>
      <c r="M346" s="30"/>
      <c r="N346" s="31"/>
      <c r="O346" s="31"/>
      <c r="P346" s="32"/>
      <c r="Q346" s="32"/>
      <c r="R346" s="32"/>
      <c r="S346" s="33"/>
      <c r="T346" s="33"/>
      <c r="U346" s="34"/>
      <c r="V346" s="34"/>
      <c r="W346" s="35"/>
      <c r="X346" s="35"/>
      <c r="AG346">
        <f t="shared" si="93"/>
        <v>24.804603651429346</v>
      </c>
      <c r="AH346" s="28">
        <f t="shared" si="98"/>
        <v>2.1704277585172678</v>
      </c>
      <c r="AI346" s="28">
        <f t="shared" si="98"/>
        <v>4.0238127449817735</v>
      </c>
      <c r="AJ346" s="28">
        <f t="shared" si="98"/>
        <v>3.9450116626115657</v>
      </c>
      <c r="AK346" s="28">
        <f t="shared" si="98"/>
        <v>3.9959202404206251</v>
      </c>
      <c r="AL346" s="28">
        <f t="shared" si="98"/>
        <v>2.3569848759726133</v>
      </c>
      <c r="AM346" s="29" t="e">
        <f t="shared" si="98"/>
        <v>#VALUE!</v>
      </c>
      <c r="AN346" s="30">
        <f t="shared" si="98"/>
        <v>3.4205553600772682</v>
      </c>
      <c r="AO346" s="31">
        <f t="shared" si="98"/>
        <v>1.2110596148458825</v>
      </c>
      <c r="AP346" s="31">
        <f t="shared" si="98"/>
        <v>1.2110596148458825</v>
      </c>
      <c r="AQ346" s="32">
        <f t="shared" si="98"/>
        <v>7.3908523208725887</v>
      </c>
      <c r="AR346" s="32">
        <f t="shared" si="98"/>
        <v>12.869231101689474</v>
      </c>
      <c r="AS346" s="32">
        <f t="shared" si="98"/>
        <v>26.284888237309154</v>
      </c>
      <c r="AT346" s="33">
        <f t="shared" si="98"/>
        <v>0.35</v>
      </c>
      <c r="AU346" s="33">
        <f t="shared" si="98"/>
        <v>0.35</v>
      </c>
      <c r="AV346" s="34" t="e">
        <f t="shared" si="98"/>
        <v>#VALUE!</v>
      </c>
      <c r="AW346" s="34" t="e">
        <f t="shared" si="98"/>
        <v>#VALUE!</v>
      </c>
      <c r="AX346" s="35" t="e">
        <f t="shared" si="98"/>
        <v>#VALUE!</v>
      </c>
      <c r="AY346" s="35" t="e">
        <f t="shared" si="98"/>
        <v>#VALUE!</v>
      </c>
    </row>
    <row r="347" spans="6:51" x14ac:dyDescent="0.3">
      <c r="F347">
        <v>33</v>
      </c>
      <c r="G347" s="28"/>
      <c r="H347" s="28"/>
      <c r="I347" s="28"/>
      <c r="J347" s="28"/>
      <c r="K347" s="28"/>
      <c r="L347" s="29"/>
      <c r="M347" s="30"/>
      <c r="N347" s="31"/>
      <c r="O347" s="31"/>
      <c r="P347" s="32"/>
      <c r="Q347" s="32"/>
      <c r="R347" s="32"/>
      <c r="S347" s="33"/>
      <c r="T347" s="33"/>
      <c r="U347" s="34"/>
      <c r="V347" s="34"/>
      <c r="W347" s="35"/>
      <c r="X347" s="35"/>
      <c r="AG347">
        <f t="shared" si="93"/>
        <v>26.08653464069765</v>
      </c>
      <c r="AH347" s="28">
        <f t="shared" si="98"/>
        <v>2.1706525193425525</v>
      </c>
      <c r="AI347" s="28">
        <f t="shared" si="98"/>
        <v>4.0238351606038263</v>
      </c>
      <c r="AJ347" s="28">
        <f t="shared" si="98"/>
        <v>3.9455099459146261</v>
      </c>
      <c r="AK347" s="28">
        <f t="shared" si="98"/>
        <v>3.9959579072809381</v>
      </c>
      <c r="AL347" s="28">
        <f t="shared" si="98"/>
        <v>2.3569848759726133</v>
      </c>
      <c r="AM347" s="29" t="e">
        <f t="shared" si="98"/>
        <v>#VALUE!</v>
      </c>
      <c r="AN347" s="30">
        <f t="shared" si="98"/>
        <v>3.4400798594772914</v>
      </c>
      <c r="AO347" s="31">
        <f t="shared" si="98"/>
        <v>1.2110596148458825</v>
      </c>
      <c r="AP347" s="31">
        <f t="shared" si="98"/>
        <v>1.2110596148458825</v>
      </c>
      <c r="AQ347" s="32">
        <f t="shared" si="98"/>
        <v>7.3908523208725887</v>
      </c>
      <c r="AR347" s="32">
        <f t="shared" si="98"/>
        <v>12.869231101689474</v>
      </c>
      <c r="AS347" s="32">
        <f t="shared" si="98"/>
        <v>26.284888237309154</v>
      </c>
      <c r="AT347" s="33">
        <f t="shared" si="98"/>
        <v>0.35</v>
      </c>
      <c r="AU347" s="33">
        <f t="shared" si="98"/>
        <v>0.35</v>
      </c>
      <c r="AV347" s="34" t="e">
        <f t="shared" si="98"/>
        <v>#VALUE!</v>
      </c>
      <c r="AW347" s="34" t="e">
        <f t="shared" si="98"/>
        <v>#VALUE!</v>
      </c>
      <c r="AX347" s="35" t="e">
        <f t="shared" si="98"/>
        <v>#VALUE!</v>
      </c>
      <c r="AY347" s="35" t="e">
        <f t="shared" si="98"/>
        <v>#VALUE!</v>
      </c>
    </row>
    <row r="348" spans="6:51" x14ac:dyDescent="0.3">
      <c r="F348">
        <v>34</v>
      </c>
      <c r="G348" s="28"/>
      <c r="H348" s="28"/>
      <c r="I348" s="28"/>
      <c r="J348" s="28"/>
      <c r="K348" s="28"/>
      <c r="L348" s="29"/>
      <c r="M348" s="30"/>
      <c r="N348" s="31"/>
      <c r="O348" s="31"/>
      <c r="P348" s="32"/>
      <c r="Q348" s="32"/>
      <c r="R348" s="32"/>
      <c r="S348" s="33"/>
      <c r="T348" s="33"/>
      <c r="U348" s="34"/>
      <c r="V348" s="34"/>
      <c r="W348" s="35"/>
      <c r="X348" s="35"/>
      <c r="AG348">
        <f t="shared" si="93"/>
        <v>27.434717325995447</v>
      </c>
      <c r="AH348" s="28">
        <f t="shared" si="98"/>
        <v>2.1707648473525372</v>
      </c>
      <c r="AI348" s="28">
        <f t="shared" si="98"/>
        <v>4.0238488095437397</v>
      </c>
      <c r="AJ348" s="28">
        <f t="shared" si="98"/>
        <v>3.9457685232574979</v>
      </c>
      <c r="AK348" s="28">
        <f t="shared" si="98"/>
        <v>3.9959809588715398</v>
      </c>
      <c r="AL348" s="28">
        <f t="shared" si="98"/>
        <v>2.3569848759726133</v>
      </c>
      <c r="AM348" s="29" t="e">
        <f t="shared" si="98"/>
        <v>#VALUE!</v>
      </c>
      <c r="AN348" s="30">
        <f t="shared" si="98"/>
        <v>3.4567292428428611</v>
      </c>
      <c r="AO348" s="31">
        <f t="shared" si="98"/>
        <v>1.2110596148458825</v>
      </c>
      <c r="AP348" s="31">
        <f t="shared" si="98"/>
        <v>1.2110596148458825</v>
      </c>
      <c r="AQ348" s="32">
        <f t="shared" si="98"/>
        <v>7.3908523208725887</v>
      </c>
      <c r="AR348" s="32">
        <f t="shared" si="98"/>
        <v>12.869231101689474</v>
      </c>
      <c r="AS348" s="32">
        <f t="shared" si="98"/>
        <v>26.284888237309154</v>
      </c>
      <c r="AT348" s="33">
        <f t="shared" si="98"/>
        <v>0.35</v>
      </c>
      <c r="AU348" s="33">
        <f t="shared" si="98"/>
        <v>0.35</v>
      </c>
      <c r="AV348" s="34" t="e">
        <f t="shared" si="98"/>
        <v>#VALUE!</v>
      </c>
      <c r="AW348" s="34" t="e">
        <f t="shared" si="98"/>
        <v>#VALUE!</v>
      </c>
      <c r="AX348" s="35" t="e">
        <f t="shared" si="98"/>
        <v>#VALUE!</v>
      </c>
      <c r="AY348" s="35" t="e">
        <f t="shared" si="98"/>
        <v>#VALUE!</v>
      </c>
    </row>
    <row r="349" spans="6:51" x14ac:dyDescent="0.3">
      <c r="F349">
        <v>35</v>
      </c>
      <c r="G349" s="28"/>
      <c r="H349" s="28"/>
      <c r="I349" s="28"/>
      <c r="J349" s="28"/>
      <c r="K349" s="28"/>
      <c r="L349" s="29"/>
      <c r="M349" s="30"/>
      <c r="N349" s="31"/>
      <c r="O349" s="31"/>
      <c r="P349" s="32"/>
      <c r="Q349" s="32"/>
      <c r="R349" s="32"/>
      <c r="S349" s="33"/>
      <c r="T349" s="33"/>
      <c r="U349" s="34"/>
      <c r="V349" s="34"/>
      <c r="W349" s="35"/>
      <c r="X349" s="35"/>
      <c r="AG349">
        <f t="shared" si="93"/>
        <v>28.852575672624699</v>
      </c>
      <c r="AH349" s="28">
        <f t="shared" si="98"/>
        <v>2.170819369577043</v>
      </c>
      <c r="AI349" s="28">
        <f t="shared" si="98"/>
        <v>4.0238569728744578</v>
      </c>
      <c r="AJ349" s="28">
        <f t="shared" si="98"/>
        <v>3.9458979904031253</v>
      </c>
      <c r="AK349" s="28">
        <f t="shared" si="98"/>
        <v>3.9959948302821457</v>
      </c>
      <c r="AL349" s="28">
        <f t="shared" si="98"/>
        <v>2.3604284437932272</v>
      </c>
      <c r="AM349" s="29" t="e">
        <f t="shared" si="98"/>
        <v>#VALUE!</v>
      </c>
      <c r="AN349" s="30">
        <f t="shared" si="98"/>
        <v>3.470764782415765</v>
      </c>
      <c r="AO349" s="31">
        <f t="shared" si="98"/>
        <v>1.2110596148458825</v>
      </c>
      <c r="AP349" s="31">
        <f t="shared" si="98"/>
        <v>1.2110596148458825</v>
      </c>
      <c r="AQ349" s="32">
        <f t="shared" si="98"/>
        <v>7.3908523208725887</v>
      </c>
      <c r="AR349" s="32">
        <f t="shared" si="98"/>
        <v>12.869231101689474</v>
      </c>
      <c r="AS349" s="32">
        <f t="shared" si="98"/>
        <v>26.284888237309154</v>
      </c>
      <c r="AT349" s="33">
        <f t="shared" si="98"/>
        <v>0.35</v>
      </c>
      <c r="AU349" s="33">
        <f t="shared" si="98"/>
        <v>0.35</v>
      </c>
      <c r="AV349" s="34" t="e">
        <f t="shared" si="98"/>
        <v>#VALUE!</v>
      </c>
      <c r="AW349" s="34" t="e">
        <f t="shared" si="98"/>
        <v>#VALUE!</v>
      </c>
      <c r="AX349" s="35" t="e">
        <f t="shared" si="98"/>
        <v>#VALUE!</v>
      </c>
      <c r="AY349" s="35" t="e">
        <f t="shared" si="98"/>
        <v>#VALUE!</v>
      </c>
    </row>
    <row r="350" spans="6:51" x14ac:dyDescent="0.3">
      <c r="F350">
        <v>36</v>
      </c>
      <c r="G350" s="28"/>
      <c r="H350" s="28"/>
      <c r="I350" s="28"/>
      <c r="J350" s="28"/>
      <c r="K350" s="28"/>
      <c r="L350" s="29"/>
      <c r="M350" s="30"/>
      <c r="N350" s="31"/>
      <c r="O350" s="31"/>
      <c r="P350" s="32"/>
      <c r="Q350" s="32"/>
      <c r="R350" s="32"/>
      <c r="S350" s="33"/>
      <c r="T350" s="33"/>
      <c r="U350" s="34"/>
      <c r="V350" s="34"/>
      <c r="W350" s="35"/>
      <c r="X350" s="35"/>
      <c r="AG350">
        <f t="shared" si="93"/>
        <v>30.343710600427304</v>
      </c>
      <c r="AH350" s="28">
        <f t="shared" si="98"/>
        <v>2.1708452102785811</v>
      </c>
      <c r="AI350" s="28">
        <f t="shared" si="98"/>
        <v>4.0238617720610677</v>
      </c>
      <c r="AJ350" s="28">
        <f t="shared" si="98"/>
        <v>3.9459606724864216</v>
      </c>
      <c r="AK350" s="28">
        <f t="shared" si="98"/>
        <v>3.9960030444905996</v>
      </c>
      <c r="AL350" s="28">
        <f t="shared" si="98"/>
        <v>2.6356650462171505</v>
      </c>
      <c r="AM350" s="29" t="e">
        <f t="shared" si="98"/>
        <v>#VALUE!</v>
      </c>
      <c r="AN350" s="30">
        <f t="shared" si="98"/>
        <v>3.4824633049753553</v>
      </c>
      <c r="AO350" s="31">
        <f t="shared" si="98"/>
        <v>1.2110596148458825</v>
      </c>
      <c r="AP350" s="31">
        <f t="shared" si="98"/>
        <v>1.2110596148458825</v>
      </c>
      <c r="AQ350" s="32">
        <f t="shared" si="98"/>
        <v>7.3908523208725887</v>
      </c>
      <c r="AR350" s="32">
        <f t="shared" si="98"/>
        <v>12.869231101689474</v>
      </c>
      <c r="AS350" s="32">
        <f t="shared" si="98"/>
        <v>26.284888237309154</v>
      </c>
      <c r="AT350" s="33">
        <f t="shared" si="98"/>
        <v>0.35</v>
      </c>
      <c r="AU350" s="33">
        <f t="shared" si="98"/>
        <v>0.35</v>
      </c>
      <c r="AV350" s="34" t="e">
        <f t="shared" si="98"/>
        <v>#VALUE!</v>
      </c>
      <c r="AW350" s="34" t="e">
        <f t="shared" si="98"/>
        <v>#VALUE!</v>
      </c>
      <c r="AX350" s="35" t="e">
        <f t="shared" si="98"/>
        <v>#VALUE!</v>
      </c>
      <c r="AY350" s="35" t="e">
        <f t="shared" si="98"/>
        <v>#VALUE!</v>
      </c>
    </row>
    <row r="351" spans="6:51" x14ac:dyDescent="0.3">
      <c r="F351">
        <v>37</v>
      </c>
      <c r="G351" s="28"/>
      <c r="H351" s="28"/>
      <c r="I351" s="28"/>
      <c r="J351" s="28"/>
      <c r="K351" s="28"/>
      <c r="L351" s="29"/>
      <c r="M351" s="30"/>
      <c r="N351" s="31"/>
      <c r="O351" s="31"/>
      <c r="P351" s="32"/>
      <c r="Q351" s="32"/>
      <c r="R351" s="32"/>
      <c r="S351" s="33"/>
      <c r="T351" s="33"/>
      <c r="U351" s="34"/>
      <c r="V351" s="34"/>
      <c r="W351" s="35"/>
      <c r="X351" s="35"/>
      <c r="AG351">
        <f t="shared" si="93"/>
        <v>31.911909129003085</v>
      </c>
      <c r="AH351" s="28">
        <f t="shared" si="98"/>
        <v>2.1708572398767942</v>
      </c>
      <c r="AI351" s="28">
        <f t="shared" si="98"/>
        <v>4.0238645477896648</v>
      </c>
      <c r="AJ351" s="28">
        <f t="shared" si="98"/>
        <v>3.9459900985646996</v>
      </c>
      <c r="AK351" s="28">
        <f t="shared" si="98"/>
        <v>3.9960078357355124</v>
      </c>
      <c r="AL351" s="28">
        <f t="shared" si="98"/>
        <v>2.8453142348198734</v>
      </c>
      <c r="AM351" s="29" t="e">
        <f t="shared" si="98"/>
        <v>#VALUE!</v>
      </c>
      <c r="AN351" s="30">
        <f t="shared" si="98"/>
        <v>3.4921060130847374</v>
      </c>
      <c r="AO351" s="31">
        <f t="shared" si="98"/>
        <v>1.2110596148458825</v>
      </c>
      <c r="AP351" s="31">
        <f t="shared" si="98"/>
        <v>1.2110596148458825</v>
      </c>
      <c r="AQ351" s="32">
        <f t="shared" si="98"/>
        <v>7.3908523208725887</v>
      </c>
      <c r="AR351" s="32">
        <f t="shared" si="98"/>
        <v>12.869231101689474</v>
      </c>
      <c r="AS351" s="32">
        <f t="shared" si="98"/>
        <v>26.284888237309154</v>
      </c>
      <c r="AT351" s="33">
        <f t="shared" si="98"/>
        <v>0.35</v>
      </c>
      <c r="AU351" s="33">
        <f t="shared" si="98"/>
        <v>0.35</v>
      </c>
      <c r="AV351" s="34" t="e">
        <f t="shared" si="98"/>
        <v>#VALUE!</v>
      </c>
      <c r="AW351" s="34" t="e">
        <f t="shared" si="98"/>
        <v>#VALUE!</v>
      </c>
      <c r="AX351" s="35" t="e">
        <f t="shared" si="98"/>
        <v>#VALUE!</v>
      </c>
      <c r="AY351" s="35" t="e">
        <f t="shared" si="98"/>
        <v>#VALUE!</v>
      </c>
    </row>
    <row r="352" spans="6:51" x14ac:dyDescent="0.3">
      <c r="F352">
        <v>38</v>
      </c>
      <c r="G352" s="28"/>
      <c r="H352" s="28"/>
      <c r="I352" s="28"/>
      <c r="J352" s="28"/>
      <c r="K352" s="28"/>
      <c r="L352" s="29"/>
      <c r="M352" s="30"/>
      <c r="N352" s="31"/>
      <c r="O352" s="31"/>
      <c r="P352" s="32"/>
      <c r="Q352" s="32"/>
      <c r="R352" s="32"/>
      <c r="S352" s="33"/>
      <c r="T352" s="33"/>
      <c r="U352" s="34"/>
      <c r="V352" s="34"/>
      <c r="W352" s="35"/>
      <c r="X352" s="35"/>
      <c r="AG352">
        <f t="shared" si="93"/>
        <v>33.561153995563402</v>
      </c>
      <c r="AH352" s="28">
        <f t="shared" si="98"/>
        <v>2.1708627755433669</v>
      </c>
      <c r="AI352" s="28">
        <f t="shared" si="98"/>
        <v>4.0238661288219637</v>
      </c>
      <c r="AJ352" s="28">
        <f t="shared" si="98"/>
        <v>3.9460035368895126</v>
      </c>
      <c r="AK352" s="28">
        <f t="shared" si="98"/>
        <v>3.9960105915325501</v>
      </c>
      <c r="AL352" s="28">
        <f t="shared" si="98"/>
        <v>3.0043104708463169</v>
      </c>
      <c r="AM352" s="29" t="e">
        <f t="shared" si="98"/>
        <v>#VALUE!</v>
      </c>
      <c r="AN352" s="30">
        <f t="shared" si="98"/>
        <v>3.4999686319587284</v>
      </c>
      <c r="AO352" s="31">
        <f t="shared" si="98"/>
        <v>1.2110596148458825</v>
      </c>
      <c r="AP352" s="31">
        <f t="shared" si="98"/>
        <v>1.2110596148458825</v>
      </c>
      <c r="AQ352" s="32">
        <f t="shared" si="98"/>
        <v>7.3908523208725887</v>
      </c>
      <c r="AR352" s="32">
        <f t="shared" si="98"/>
        <v>12.869231101689474</v>
      </c>
      <c r="AS352" s="32">
        <f t="shared" si="98"/>
        <v>26.284888237309154</v>
      </c>
      <c r="AT352" s="33">
        <f t="shared" si="98"/>
        <v>0.35</v>
      </c>
      <c r="AU352" s="33">
        <f t="shared" si="98"/>
        <v>0.35</v>
      </c>
      <c r="AV352" s="34" t="e">
        <f t="shared" si="98"/>
        <v>#VALUE!</v>
      </c>
      <c r="AW352" s="34" t="e">
        <f t="shared" si="98"/>
        <v>#VALUE!</v>
      </c>
      <c r="AX352" s="35" t="e">
        <f t="shared" si="98"/>
        <v>#VALUE!</v>
      </c>
      <c r="AY352" s="35" t="e">
        <f t="shared" si="98"/>
        <v>#VALUE!</v>
      </c>
    </row>
    <row r="353" spans="6:51" x14ac:dyDescent="0.3">
      <c r="F353">
        <v>39</v>
      </c>
      <c r="G353" s="28"/>
      <c r="H353" s="28"/>
      <c r="I353" s="28"/>
      <c r="J353" s="28"/>
      <c r="K353" s="28"/>
      <c r="L353" s="29"/>
      <c r="M353" s="30"/>
      <c r="N353" s="31"/>
      <c r="O353" s="31"/>
      <c r="P353" s="32"/>
      <c r="Q353" s="32"/>
      <c r="R353" s="32"/>
      <c r="S353" s="33"/>
      <c r="T353" s="33"/>
      <c r="U353" s="34"/>
      <c r="V353" s="34"/>
      <c r="W353" s="35"/>
      <c r="X353" s="35"/>
      <c r="AG353">
        <f t="shared" si="93"/>
        <v>35.295633769846724</v>
      </c>
      <c r="AH353" s="28">
        <f t="shared" si="98"/>
        <v>2.1708653102731015</v>
      </c>
      <c r="AI353" s="28">
        <f t="shared" si="98"/>
        <v>4.0238670167407964</v>
      </c>
      <c r="AJ353" s="28">
        <f t="shared" si="98"/>
        <v>3.9460095295533755</v>
      </c>
      <c r="AK353" s="28">
        <f t="shared" si="98"/>
        <v>3.996012156509269</v>
      </c>
      <c r="AL353" s="28">
        <f t="shared" si="98"/>
        <v>3.1245917432571035</v>
      </c>
      <c r="AM353" s="29" t="e">
        <f t="shared" si="98"/>
        <v>#VALUE!</v>
      </c>
      <c r="AN353" s="30">
        <f t="shared" si="98"/>
        <v>3.5063133188793101</v>
      </c>
      <c r="AO353" s="31">
        <f t="shared" si="98"/>
        <v>1.2110596148458825</v>
      </c>
      <c r="AP353" s="31">
        <f t="shared" si="98"/>
        <v>1.2110596148458825</v>
      </c>
      <c r="AQ353" s="32">
        <f t="shared" si="98"/>
        <v>7.3908523208725887</v>
      </c>
      <c r="AR353" s="32">
        <f t="shared" si="98"/>
        <v>12.869231101689474</v>
      </c>
      <c r="AS353" s="32">
        <f t="shared" si="98"/>
        <v>26.284888237309154</v>
      </c>
      <c r="AT353" s="33">
        <f t="shared" si="98"/>
        <v>0.35</v>
      </c>
      <c r="AU353" s="33">
        <f t="shared" si="98"/>
        <v>0.35</v>
      </c>
      <c r="AV353" s="34" t="e">
        <f t="shared" si="98"/>
        <v>#VALUE!</v>
      </c>
      <c r="AW353" s="34" t="e">
        <f t="shared" si="98"/>
        <v>#VALUE!</v>
      </c>
      <c r="AX353" s="35" t="e">
        <f t="shared" si="98"/>
        <v>#VALUE!</v>
      </c>
      <c r="AY353" s="35" t="e">
        <f t="shared" si="98"/>
        <v>#VALUE!</v>
      </c>
    </row>
    <row r="354" spans="6:51" x14ac:dyDescent="0.3">
      <c r="F354">
        <v>40</v>
      </c>
      <c r="G354" s="28"/>
      <c r="H354" s="28"/>
      <c r="I354" s="28"/>
      <c r="J354" s="28"/>
      <c r="K354" s="28"/>
      <c r="L354" s="29"/>
      <c r="M354" s="30"/>
      <c r="N354" s="31"/>
      <c r="O354" s="31"/>
      <c r="P354" s="32"/>
      <c r="Q354" s="32"/>
      <c r="R354" s="32"/>
      <c r="S354" s="33"/>
      <c r="T354" s="33"/>
      <c r="U354" s="34"/>
      <c r="V354" s="34"/>
      <c r="W354" s="35"/>
      <c r="X354" s="35"/>
      <c r="AG354">
        <f t="shared" si="93"/>
        <v>37.119753491784877</v>
      </c>
      <c r="AH354" s="28">
        <f t="shared" si="98"/>
        <v>2.1708664729085667</v>
      </c>
      <c r="AI354" s="28">
        <f t="shared" si="98"/>
        <v>4.0238675090731677</v>
      </c>
      <c r="AJ354" s="28">
        <f t="shared" si="98"/>
        <v>3.9460121501422454</v>
      </c>
      <c r="AK354" s="28">
        <f t="shared" si="98"/>
        <v>3.9960130352127079</v>
      </c>
      <c r="AL354" s="28">
        <f t="shared" si="98"/>
        <v>3.2155187245520049</v>
      </c>
      <c r="AM354" s="29" t="e">
        <f t="shared" si="98"/>
        <v>#VALUE!</v>
      </c>
      <c r="AN354" s="30">
        <f t="shared" si="98"/>
        <v>3.5113825709318176</v>
      </c>
      <c r="AO354" s="31">
        <f t="shared" si="98"/>
        <v>1.2110596148458825</v>
      </c>
      <c r="AP354" s="31">
        <f t="shared" si="98"/>
        <v>1.2110596148458825</v>
      </c>
      <c r="AQ354" s="32">
        <f t="shared" si="98"/>
        <v>7.3908523208725887</v>
      </c>
      <c r="AR354" s="32">
        <f t="shared" si="98"/>
        <v>12.869231101689474</v>
      </c>
      <c r="AS354" s="32">
        <f t="shared" si="98"/>
        <v>26.284888237309154</v>
      </c>
      <c r="AT354" s="33">
        <f t="shared" si="98"/>
        <v>0.35</v>
      </c>
      <c r="AU354" s="33">
        <f t="shared" si="98"/>
        <v>0.35</v>
      </c>
      <c r="AV354" s="34" t="e">
        <f t="shared" si="98"/>
        <v>#VALUE!</v>
      </c>
      <c r="AW354" s="34" t="e">
        <f t="shared" si="98"/>
        <v>#VALUE!</v>
      </c>
      <c r="AX354" s="35" t="e">
        <f t="shared" si="98"/>
        <v>#VALUE!</v>
      </c>
      <c r="AY354" s="35" t="e">
        <f t="shared" si="98"/>
        <v>#VALUE!</v>
      </c>
    </row>
    <row r="355" spans="6:51" x14ac:dyDescent="0.3">
      <c r="F355">
        <v>41</v>
      </c>
      <c r="G355" s="28"/>
      <c r="H355" s="28"/>
      <c r="I355" s="28"/>
      <c r="J355" s="28"/>
      <c r="K355" s="28"/>
      <c r="L355" s="29"/>
      <c r="M355" s="30"/>
      <c r="N355" s="31"/>
      <c r="O355" s="31"/>
      <c r="P355" s="32"/>
      <c r="Q355" s="32"/>
      <c r="R355" s="32"/>
      <c r="S355" s="33"/>
      <c r="T355" s="33"/>
      <c r="U355" s="34"/>
      <c r="V355" s="34"/>
      <c r="W355" s="35"/>
      <c r="X355" s="35"/>
      <c r="AG355">
        <f t="shared" si="93"/>
        <v>38.85778775562828</v>
      </c>
      <c r="AH355" s="28">
        <f t="shared" si="98"/>
        <v>2.1708669765034427</v>
      </c>
      <c r="AI355" s="28">
        <f t="shared" si="98"/>
        <v>4.0238677604616697</v>
      </c>
      <c r="AJ355" s="28">
        <f t="shared" si="98"/>
        <v>3.9460132106875672</v>
      </c>
      <c r="AK355" s="28">
        <f t="shared" si="98"/>
        <v>3.9960134899707036</v>
      </c>
      <c r="AL355" s="28">
        <f t="shared" si="98"/>
        <v>3.2787597452854613</v>
      </c>
      <c r="AM355" s="29" t="e">
        <f t="shared" si="98"/>
        <v>#VALUE!</v>
      </c>
      <c r="AN355" s="30">
        <f t="shared" si="98"/>
        <v>3.5150651982801975</v>
      </c>
      <c r="AO355" s="31">
        <f t="shared" si="98"/>
        <v>1.2110596148458825</v>
      </c>
      <c r="AP355" s="31">
        <f t="shared" si="98"/>
        <v>1.2110596148458825</v>
      </c>
      <c r="AQ355" s="32">
        <f t="shared" si="98"/>
        <v>7.3908523208725887</v>
      </c>
      <c r="AR355" s="32">
        <f t="shared" si="98"/>
        <v>12.869231101689474</v>
      </c>
      <c r="AS355" s="32">
        <f t="shared" si="98"/>
        <v>26.284888237309154</v>
      </c>
      <c r="AT355" s="33">
        <f t="shared" si="98"/>
        <v>0.35</v>
      </c>
      <c r="AU355" s="33">
        <f t="shared" si="98"/>
        <v>0.35</v>
      </c>
      <c r="AV355" s="34" t="e">
        <f t="shared" si="98"/>
        <v>#VALUE!</v>
      </c>
      <c r="AW355" s="34" t="e">
        <f t="shared" si="98"/>
        <v>#VALUE!</v>
      </c>
      <c r="AX355" s="35" t="e">
        <f t="shared" si="98"/>
        <v>#VALUE!</v>
      </c>
      <c r="AY355" s="35" t="e">
        <f t="shared" si="98"/>
        <v>#VALUE!</v>
      </c>
    </row>
    <row r="356" spans="6:51" x14ac:dyDescent="0.3">
      <c r="F356">
        <v>42</v>
      </c>
      <c r="G356" s="28"/>
      <c r="H356" s="28"/>
      <c r="I356" s="28"/>
      <c r="J356" s="28"/>
      <c r="K356" s="28"/>
      <c r="L356" s="29"/>
      <c r="M356" s="30"/>
      <c r="N356" s="31"/>
      <c r="O356" s="31"/>
      <c r="P356" s="32"/>
      <c r="Q356" s="32"/>
      <c r="R356" s="32"/>
      <c r="S356" s="33"/>
      <c r="T356" s="33"/>
      <c r="U356" s="34"/>
      <c r="V356" s="34"/>
      <c r="W356" s="35"/>
      <c r="X356" s="35"/>
      <c r="AG356">
        <f t="shared" si="93"/>
        <v>40.467341024247702</v>
      </c>
      <c r="AH356" s="28">
        <f t="shared" si="98"/>
        <v>2.1708672087404626</v>
      </c>
      <c r="AI356" s="28">
        <f t="shared" si="98"/>
        <v>4.0238678923553</v>
      </c>
      <c r="AJ356" s="28">
        <f t="shared" si="98"/>
        <v>3.9460136619289239</v>
      </c>
      <c r="AK356" s="28">
        <f t="shared" si="98"/>
        <v>3.9960137317642905</v>
      </c>
      <c r="AL356" s="28">
        <f t="shared" si="98"/>
        <v>3.3229772334058669</v>
      </c>
      <c r="AM356" s="29" t="e">
        <f t="shared" si="98"/>
        <v>#VALUE!</v>
      </c>
      <c r="AN356" s="30">
        <f t="shared" si="98"/>
        <v>3.5177201150518203</v>
      </c>
      <c r="AO356" s="31">
        <f t="shared" si="98"/>
        <v>1.2110596148458825</v>
      </c>
      <c r="AP356" s="31">
        <f t="shared" si="98"/>
        <v>1.2110596148458825</v>
      </c>
      <c r="AQ356" s="32">
        <f t="shared" si="98"/>
        <v>7.3908523208725887</v>
      </c>
      <c r="AR356" s="32">
        <f t="shared" si="98"/>
        <v>12.869231101689474</v>
      </c>
      <c r="AS356" s="32">
        <f t="shared" si="98"/>
        <v>26.284888237309154</v>
      </c>
      <c r="AT356" s="33">
        <f t="shared" si="98"/>
        <v>0.35</v>
      </c>
      <c r="AU356" s="33">
        <f t="shared" si="98"/>
        <v>0.35</v>
      </c>
      <c r="AV356" s="34" t="e">
        <f t="shared" si="98"/>
        <v>#VALUE!</v>
      </c>
      <c r="AW356" s="34" t="e">
        <f t="shared" si="98"/>
        <v>#VALUE!</v>
      </c>
      <c r="AX356" s="35" t="e">
        <f t="shared" si="98"/>
        <v>#VALUE!</v>
      </c>
      <c r="AY356" s="35" t="e">
        <f t="shared" si="98"/>
        <v>#VALUE!</v>
      </c>
    </row>
    <row r="357" spans="6:51" x14ac:dyDescent="0.3">
      <c r="F357">
        <v>43</v>
      </c>
      <c r="G357" s="28"/>
      <c r="H357" s="28"/>
      <c r="I357" s="28"/>
      <c r="J357" s="28"/>
      <c r="K357" s="28"/>
      <c r="L357" s="29"/>
      <c r="M357" s="30"/>
      <c r="N357" s="31"/>
      <c r="O357" s="31"/>
      <c r="P357" s="32"/>
      <c r="Q357" s="32"/>
      <c r="R357" s="32"/>
      <c r="S357" s="33"/>
      <c r="T357" s="33"/>
      <c r="U357" s="34"/>
      <c r="V357" s="34"/>
      <c r="W357" s="35"/>
      <c r="X357" s="35"/>
      <c r="AG357">
        <f t="shared" si="93"/>
        <v>41.95047391357199</v>
      </c>
      <c r="AH357" s="28">
        <f t="shared" si="98"/>
        <v>2.1708673254945827</v>
      </c>
      <c r="AI357" s="28">
        <f t="shared" si="98"/>
        <v>4.0238679654207736</v>
      </c>
      <c r="AJ357" s="28">
        <f t="shared" si="98"/>
        <v>3.9460138698761726</v>
      </c>
      <c r="AK357" s="28">
        <f t="shared" si="98"/>
        <v>3.9960138674343328</v>
      </c>
      <c r="AL357" s="28">
        <f t="shared" si="98"/>
        <v>3.354797396942609</v>
      </c>
      <c r="AM357" s="29" t="e">
        <f t="shared" si="98"/>
        <v>#VALUE!</v>
      </c>
      <c r="AN357" s="30">
        <f t="shared" si="98"/>
        <v>3.5196695999560741</v>
      </c>
      <c r="AO357" s="31">
        <f t="shared" si="98"/>
        <v>1.2110596148458825</v>
      </c>
      <c r="AP357" s="31">
        <f t="shared" si="98"/>
        <v>1.2110596148458825</v>
      </c>
      <c r="AQ357" s="32">
        <f t="shared" si="98"/>
        <v>7.3908523208725887</v>
      </c>
      <c r="AR357" s="32">
        <f t="shared" si="98"/>
        <v>12.869231101689474</v>
      </c>
      <c r="AS357" s="32">
        <f t="shared" si="98"/>
        <v>26.284888237309154</v>
      </c>
      <c r="AT357" s="33">
        <f t="shared" si="98"/>
        <v>0.35</v>
      </c>
      <c r="AU357" s="33">
        <f t="shared" si="98"/>
        <v>0.35</v>
      </c>
      <c r="AV357" s="34" t="e">
        <f t="shared" si="98"/>
        <v>#VALUE!</v>
      </c>
      <c r="AW357" s="34" t="e">
        <f t="shared" si="98"/>
        <v>#VALUE!</v>
      </c>
      <c r="AX357" s="35" t="e">
        <f t="shared" si="98"/>
        <v>#VALUE!</v>
      </c>
      <c r="AY357" s="35" t="e">
        <f t="shared" si="98"/>
        <v>#VALUE!</v>
      </c>
    </row>
    <row r="358" spans="6:51" x14ac:dyDescent="0.3">
      <c r="F358">
        <v>44</v>
      </c>
      <c r="G358" s="28"/>
      <c r="H358" s="28"/>
      <c r="I358" s="28"/>
      <c r="J358" s="28"/>
      <c r="K358" s="28"/>
      <c r="L358" s="29"/>
      <c r="M358" s="30"/>
      <c r="N358" s="31"/>
      <c r="O358" s="31"/>
      <c r="P358" s="32"/>
      <c r="Q358" s="32"/>
      <c r="R358" s="32"/>
      <c r="S358" s="33"/>
      <c r="T358" s="33"/>
      <c r="U358" s="34"/>
      <c r="V358" s="34"/>
      <c r="W358" s="35"/>
      <c r="X358" s="35"/>
      <c r="AG358">
        <f t="shared" si="93"/>
        <v>43.317115956604354</v>
      </c>
      <c r="AH358" s="28">
        <f t="shared" si="98"/>
        <v>2.1708673890426384</v>
      </c>
      <c r="AI358" s="28">
        <f t="shared" si="98"/>
        <v>4.0238680081258895</v>
      </c>
      <c r="AJ358" s="28">
        <f t="shared" si="98"/>
        <v>3.9460139733654724</v>
      </c>
      <c r="AK358" s="28">
        <f t="shared" si="98"/>
        <v>3.9960139476974113</v>
      </c>
      <c r="AL358" s="28">
        <f t="shared" si="98"/>
        <v>3.3783818540600805</v>
      </c>
      <c r="AM358" s="29" t="e">
        <f t="shared" si="98"/>
        <v>#VALUE!</v>
      </c>
      <c r="AN358" s="30">
        <f t="shared" si="98"/>
        <v>3.5211325019189723</v>
      </c>
      <c r="AO358" s="31">
        <f t="shared" si="98"/>
        <v>1.2110596148458825</v>
      </c>
      <c r="AP358" s="31">
        <f t="shared" si="98"/>
        <v>1.2110596148458825</v>
      </c>
      <c r="AQ358" s="32">
        <f t="shared" si="98"/>
        <v>7.3908523208725887</v>
      </c>
      <c r="AR358" s="32">
        <f t="shared" si="98"/>
        <v>12.869231101689474</v>
      </c>
      <c r="AS358" s="32">
        <f t="shared" si="98"/>
        <v>26.284888237309154</v>
      </c>
      <c r="AT358" s="33">
        <f t="shared" si="98"/>
        <v>0.35</v>
      </c>
      <c r="AU358" s="33">
        <f t="shared" si="98"/>
        <v>0.35</v>
      </c>
      <c r="AV358" s="34" t="e">
        <f t="shared" si="98"/>
        <v>#VALUE!</v>
      </c>
      <c r="AW358" s="34" t="e">
        <f t="shared" si="98"/>
        <v>#VALUE!</v>
      </c>
      <c r="AX358" s="35" t="e">
        <f t="shared" si="98"/>
        <v>#VALUE!</v>
      </c>
      <c r="AY358" s="35" t="e">
        <f t="shared" si="98"/>
        <v>#VALUE!</v>
      </c>
    </row>
    <row r="359" spans="6:51" x14ac:dyDescent="0.3">
      <c r="F359">
        <v>45</v>
      </c>
      <c r="G359" s="28"/>
      <c r="H359" s="28"/>
      <c r="I359" s="28"/>
      <c r="J359" s="28"/>
      <c r="K359" s="28"/>
      <c r="L359" s="29"/>
      <c r="M359" s="30"/>
      <c r="N359" s="31"/>
      <c r="O359" s="31"/>
      <c r="P359" s="32"/>
      <c r="Q359" s="32"/>
      <c r="R359" s="32"/>
      <c r="S359" s="33"/>
      <c r="T359" s="33"/>
      <c r="U359" s="34"/>
      <c r="V359" s="34"/>
      <c r="W359" s="35"/>
      <c r="X359" s="35"/>
      <c r="AG359">
        <f t="shared" si="93"/>
        <v>44.576416783406593</v>
      </c>
      <c r="AH359" s="28">
        <f t="shared" si="98"/>
        <v>2.1708674260453735</v>
      </c>
      <c r="AI359" s="28">
        <f t="shared" si="98"/>
        <v>4.0238680342917164</v>
      </c>
      <c r="AJ359" s="28">
        <f t="shared" si="98"/>
        <v>3.9460140284742065</v>
      </c>
      <c r="AK359" s="28">
        <f t="shared" ref="AK359:AY359" si="99">AK$160+AK287</f>
        <v>3.9960139974402633</v>
      </c>
      <c r="AL359" s="28">
        <f t="shared" si="99"/>
        <v>3.3963088896109075</v>
      </c>
      <c r="AM359" s="29" t="e">
        <f t="shared" si="99"/>
        <v>#VALUE!</v>
      </c>
      <c r="AN359" s="30">
        <f t="shared" si="99"/>
        <v>3.5222519239488648</v>
      </c>
      <c r="AO359" s="31">
        <f t="shared" si="99"/>
        <v>1.2110596148458825</v>
      </c>
      <c r="AP359" s="31">
        <f t="shared" si="99"/>
        <v>1.2110596148458825</v>
      </c>
      <c r="AQ359" s="32">
        <f t="shared" si="99"/>
        <v>7.3908523208725887</v>
      </c>
      <c r="AR359" s="32">
        <f t="shared" si="99"/>
        <v>12.869231101689474</v>
      </c>
      <c r="AS359" s="32">
        <f t="shared" si="99"/>
        <v>26.284888237309154</v>
      </c>
      <c r="AT359" s="33">
        <f t="shared" si="99"/>
        <v>0.35</v>
      </c>
      <c r="AU359" s="33">
        <f t="shared" si="99"/>
        <v>0.35</v>
      </c>
      <c r="AV359" s="34" t="e">
        <f t="shared" si="99"/>
        <v>#VALUE!</v>
      </c>
      <c r="AW359" s="34" t="e">
        <f t="shared" si="99"/>
        <v>#VALUE!</v>
      </c>
      <c r="AX359" s="35" t="e">
        <f t="shared" si="99"/>
        <v>#VALUE!</v>
      </c>
      <c r="AY359" s="35" t="e">
        <f t="shared" si="99"/>
        <v>#VALUE!</v>
      </c>
    </row>
    <row r="360" spans="6:51" x14ac:dyDescent="0.3">
      <c r="F360">
        <v>46</v>
      </c>
      <c r="G360" s="28"/>
      <c r="H360" s="28"/>
      <c r="I360" s="28"/>
      <c r="J360" s="28"/>
      <c r="K360" s="28"/>
      <c r="L360" s="29"/>
      <c r="M360" s="30"/>
      <c r="N360" s="31"/>
      <c r="O360" s="31"/>
      <c r="P360" s="32"/>
      <c r="Q360" s="32"/>
      <c r="R360" s="32"/>
      <c r="S360" s="33"/>
      <c r="T360" s="33"/>
      <c r="U360" s="34"/>
      <c r="V360" s="34"/>
      <c r="W360" s="35"/>
      <c r="X360" s="35"/>
      <c r="AG360">
        <f t="shared" si="93"/>
        <v>45.736807377615186</v>
      </c>
      <c r="AH360" s="28">
        <f t="shared" ref="AH360:AY374" si="100">AH$160+AH288</f>
        <v>2.1708674488643478</v>
      </c>
      <c r="AI360" s="28">
        <f t="shared" si="100"/>
        <v>4.0238680510047811</v>
      </c>
      <c r="AJ360" s="28">
        <f t="shared" si="100"/>
        <v>3.9460140596177116</v>
      </c>
      <c r="AK360" s="28">
        <f t="shared" si="100"/>
        <v>3.9960140295549316</v>
      </c>
      <c r="AL360" s="28">
        <f t="shared" si="100"/>
        <v>3.4102340812968706</v>
      </c>
      <c r="AM360" s="29" t="e">
        <f t="shared" si="100"/>
        <v>#VALUE!</v>
      </c>
      <c r="AN360" s="30">
        <f t="shared" si="100"/>
        <v>3.5231236838500632</v>
      </c>
      <c r="AO360" s="31">
        <f t="shared" si="100"/>
        <v>1.2110596148458825</v>
      </c>
      <c r="AP360" s="31">
        <f t="shared" si="100"/>
        <v>1.2110596148458825</v>
      </c>
      <c r="AQ360" s="32">
        <f t="shared" si="100"/>
        <v>7.3908523208725887</v>
      </c>
      <c r="AR360" s="32">
        <f t="shared" si="100"/>
        <v>12.869231101689474</v>
      </c>
      <c r="AS360" s="32">
        <f t="shared" si="100"/>
        <v>26.284888237309154</v>
      </c>
      <c r="AT360" s="33">
        <f t="shared" si="100"/>
        <v>0.35</v>
      </c>
      <c r="AU360" s="33">
        <f t="shared" si="100"/>
        <v>0.35</v>
      </c>
      <c r="AV360" s="34" t="e">
        <f t="shared" si="100"/>
        <v>#VALUE!</v>
      </c>
      <c r="AW360" s="34" t="e">
        <f t="shared" si="100"/>
        <v>#VALUE!</v>
      </c>
      <c r="AX360" s="35" t="e">
        <f t="shared" si="100"/>
        <v>#VALUE!</v>
      </c>
      <c r="AY360" s="35" t="e">
        <f t="shared" si="100"/>
        <v>#VALUE!</v>
      </c>
    </row>
    <row r="361" spans="6:51" x14ac:dyDescent="0.3">
      <c r="F361">
        <v>47</v>
      </c>
      <c r="G361" s="28"/>
      <c r="H361" s="28"/>
      <c r="I361" s="28"/>
      <c r="J361" s="28"/>
      <c r="K361" s="28"/>
      <c r="L361" s="29"/>
      <c r="M361" s="30"/>
      <c r="N361" s="31"/>
      <c r="O361" s="31"/>
      <c r="P361" s="32"/>
      <c r="Q361" s="32"/>
      <c r="R361" s="32"/>
      <c r="S361" s="33"/>
      <c r="T361" s="33"/>
      <c r="U361" s="34"/>
      <c r="V361" s="34"/>
      <c r="W361" s="35"/>
      <c r="X361" s="35"/>
      <c r="AG361">
        <f t="shared" si="93"/>
        <v>46.806056521639796</v>
      </c>
      <c r="AH361" s="28">
        <f t="shared" si="100"/>
        <v>2.1708674636427112</v>
      </c>
      <c r="AI361" s="28">
        <f t="shared" si="100"/>
        <v>4.0238680620798561</v>
      </c>
      <c r="AJ361" s="28">
        <f t="shared" si="100"/>
        <v>3.946014078161987</v>
      </c>
      <c r="AK361" s="28">
        <f t="shared" si="100"/>
        <v>3.9960140510499889</v>
      </c>
      <c r="AL361" s="28">
        <f t="shared" si="100"/>
        <v>3.4212548392047095</v>
      </c>
      <c r="AM361" s="29" t="e">
        <f t="shared" si="100"/>
        <v>#VALUE!</v>
      </c>
      <c r="AN361" s="30">
        <f t="shared" si="100"/>
        <v>3.5238133666137603</v>
      </c>
      <c r="AO361" s="31">
        <f t="shared" si="100"/>
        <v>1.2110596148458825</v>
      </c>
      <c r="AP361" s="31">
        <f t="shared" si="100"/>
        <v>1.2110596148458825</v>
      </c>
      <c r="AQ361" s="32">
        <f t="shared" si="100"/>
        <v>7.3908523208725887</v>
      </c>
      <c r="AR361" s="32">
        <f t="shared" si="100"/>
        <v>12.869231101689474</v>
      </c>
      <c r="AS361" s="32">
        <f t="shared" si="100"/>
        <v>26.284888237309154</v>
      </c>
      <c r="AT361" s="33">
        <f t="shared" si="100"/>
        <v>0.35</v>
      </c>
      <c r="AU361" s="33">
        <f t="shared" si="100"/>
        <v>0.35</v>
      </c>
      <c r="AV361" s="34" t="e">
        <f t="shared" si="100"/>
        <v>#VALUE!</v>
      </c>
      <c r="AW361" s="34" t="e">
        <f t="shared" si="100"/>
        <v>#VALUE!</v>
      </c>
      <c r="AX361" s="35" t="e">
        <f t="shared" si="100"/>
        <v>#VALUE!</v>
      </c>
      <c r="AY361" s="35" t="e">
        <f t="shared" si="100"/>
        <v>#VALUE!</v>
      </c>
    </row>
    <row r="362" spans="6:51" x14ac:dyDescent="0.3">
      <c r="F362">
        <v>48</v>
      </c>
      <c r="G362" s="28"/>
      <c r="H362" s="28"/>
      <c r="I362" s="28"/>
      <c r="J362" s="28"/>
      <c r="K362" s="28"/>
      <c r="L362" s="29"/>
      <c r="M362" s="30"/>
      <c r="N362" s="31"/>
      <c r="O362" s="31"/>
      <c r="P362" s="32"/>
      <c r="Q362" s="32"/>
      <c r="R362" s="32"/>
      <c r="S362" s="33"/>
      <c r="T362" s="33"/>
      <c r="U362" s="34"/>
      <c r="V362" s="34"/>
      <c r="W362" s="35"/>
      <c r="X362" s="35"/>
      <c r="AG362">
        <f t="shared" si="93"/>
        <v>47.791322808443105</v>
      </c>
      <c r="AH362" s="28">
        <f t="shared" si="100"/>
        <v>2.170867473623403</v>
      </c>
      <c r="AI362" s="28">
        <f t="shared" si="100"/>
        <v>4.0238680696618614</v>
      </c>
      <c r="AJ362" s="28">
        <f t="shared" si="100"/>
        <v>3.9460140897235734</v>
      </c>
      <c r="AK362" s="28">
        <f t="shared" si="100"/>
        <v>3.9960140659032692</v>
      </c>
      <c r="AL362" s="28">
        <f t="shared" si="100"/>
        <v>3.4301194233419734</v>
      </c>
      <c r="AM362" s="29" t="e">
        <f t="shared" si="100"/>
        <v>#VALUE!</v>
      </c>
      <c r="AN362" s="30">
        <f t="shared" si="100"/>
        <v>3.5243667881153349</v>
      </c>
      <c r="AO362" s="31">
        <f t="shared" si="100"/>
        <v>1.2110596148458825</v>
      </c>
      <c r="AP362" s="31">
        <f t="shared" si="100"/>
        <v>1.2110596148458825</v>
      </c>
      <c r="AQ362" s="32">
        <f t="shared" si="100"/>
        <v>7.3908523208725887</v>
      </c>
      <c r="AR362" s="32">
        <f t="shared" si="100"/>
        <v>12.869231101689474</v>
      </c>
      <c r="AS362" s="32">
        <f t="shared" si="100"/>
        <v>26.284888237309154</v>
      </c>
      <c r="AT362" s="33">
        <f t="shared" si="100"/>
        <v>0.35</v>
      </c>
      <c r="AU362" s="33">
        <f t="shared" si="100"/>
        <v>0.35</v>
      </c>
      <c r="AV362" s="34" t="e">
        <f t="shared" si="100"/>
        <v>#VALUE!</v>
      </c>
      <c r="AW362" s="34" t="e">
        <f t="shared" si="100"/>
        <v>#VALUE!</v>
      </c>
      <c r="AX362" s="35" t="e">
        <f t="shared" si="100"/>
        <v>#VALUE!</v>
      </c>
      <c r="AY362" s="35" t="e">
        <f t="shared" si="100"/>
        <v>#VALUE!</v>
      </c>
    </row>
    <row r="363" spans="6:51" x14ac:dyDescent="0.3">
      <c r="F363">
        <v>49</v>
      </c>
      <c r="G363" s="28"/>
      <c r="H363" s="28"/>
      <c r="I363" s="28"/>
      <c r="J363" s="28"/>
      <c r="K363" s="28"/>
      <c r="L363" s="29"/>
      <c r="M363" s="30"/>
      <c r="N363" s="31"/>
      <c r="O363" s="31"/>
      <c r="P363" s="32"/>
      <c r="Q363" s="32"/>
      <c r="R363" s="32"/>
      <c r="S363" s="33"/>
      <c r="T363" s="33"/>
      <c r="U363" s="34"/>
      <c r="V363" s="34"/>
      <c r="W363" s="35"/>
      <c r="X363" s="35"/>
      <c r="AG363">
        <f t="shared" si="93"/>
        <v>48.699202568119411</v>
      </c>
      <c r="AH363" s="28">
        <f t="shared" si="100"/>
        <v>2.1708674806111161</v>
      </c>
      <c r="AI363" s="28">
        <f t="shared" si="100"/>
        <v>4.023868075004839</v>
      </c>
      <c r="AJ363" s="28">
        <f t="shared" si="100"/>
        <v>3.946014097229658</v>
      </c>
      <c r="AK363" s="28">
        <f t="shared" si="100"/>
        <v>3.9960140764612611</v>
      </c>
      <c r="AL363" s="28">
        <f t="shared" si="100"/>
        <v>3.4373510245004635</v>
      </c>
      <c r="AM363" s="29" t="e">
        <f t="shared" si="100"/>
        <v>#VALUE!</v>
      </c>
      <c r="AN363" s="30">
        <f t="shared" si="100"/>
        <v>3.5248165630122661</v>
      </c>
      <c r="AO363" s="31">
        <f t="shared" si="100"/>
        <v>1.2110596148458825</v>
      </c>
      <c r="AP363" s="31">
        <f t="shared" si="100"/>
        <v>1.2110596148458825</v>
      </c>
      <c r="AQ363" s="32">
        <f t="shared" si="100"/>
        <v>7.3908523208725887</v>
      </c>
      <c r="AR363" s="32">
        <f t="shared" si="100"/>
        <v>12.869231101689474</v>
      </c>
      <c r="AS363" s="32">
        <f t="shared" si="100"/>
        <v>26.284888237309154</v>
      </c>
      <c r="AT363" s="33">
        <f t="shared" si="100"/>
        <v>0.35</v>
      </c>
      <c r="AU363" s="33">
        <f t="shared" si="100"/>
        <v>0.35</v>
      </c>
      <c r="AV363" s="34" t="e">
        <f t="shared" si="100"/>
        <v>#VALUE!</v>
      </c>
      <c r="AW363" s="34" t="e">
        <f t="shared" si="100"/>
        <v>#VALUE!</v>
      </c>
      <c r="AX363" s="35" t="e">
        <f t="shared" si="100"/>
        <v>#VALUE!</v>
      </c>
      <c r="AY363" s="35" t="e">
        <f t="shared" si="100"/>
        <v>#VALUE!</v>
      </c>
    </row>
    <row r="364" spans="6:51" x14ac:dyDescent="0.3">
      <c r="F364">
        <v>50</v>
      </c>
      <c r="G364" s="28"/>
      <c r="H364" s="28"/>
      <c r="I364" s="28"/>
      <c r="J364" s="28"/>
      <c r="K364" s="28"/>
      <c r="L364" s="29"/>
      <c r="M364" s="30"/>
      <c r="N364" s="31"/>
      <c r="O364" s="31"/>
      <c r="P364" s="32"/>
      <c r="Q364" s="32"/>
      <c r="R364" s="32"/>
      <c r="S364" s="33"/>
      <c r="T364" s="33"/>
      <c r="U364" s="34"/>
      <c r="V364" s="34"/>
      <c r="W364" s="35"/>
      <c r="X364" s="35"/>
      <c r="AG364">
        <f t="shared" si="93"/>
        <v>49.535774030139265</v>
      </c>
      <c r="AH364" s="28">
        <f t="shared" si="100"/>
        <v>2.1708674856577286</v>
      </c>
      <c r="AI364" s="28">
        <f t="shared" si="100"/>
        <v>4.0238680788681709</v>
      </c>
      <c r="AJ364" s="28">
        <f t="shared" si="100"/>
        <v>3.9460141022801274</v>
      </c>
      <c r="AK364" s="28">
        <f t="shared" si="100"/>
        <v>3.996014084156942</v>
      </c>
      <c r="AL364" s="28">
        <f t="shared" si="100"/>
        <v>3.4433237758359283</v>
      </c>
      <c r="AM364" s="29" t="e">
        <f t="shared" si="100"/>
        <v>#VALUE!</v>
      </c>
      <c r="AN364" s="30">
        <f t="shared" si="100"/>
        <v>3.5251863163863599</v>
      </c>
      <c r="AO364" s="31">
        <f t="shared" si="100"/>
        <v>1.2110596148458825</v>
      </c>
      <c r="AP364" s="31">
        <f t="shared" si="100"/>
        <v>1.2110596148458825</v>
      </c>
      <c r="AQ364" s="32">
        <f t="shared" si="100"/>
        <v>7.3908523208725887</v>
      </c>
      <c r="AR364" s="32">
        <f t="shared" si="100"/>
        <v>12.869231101689474</v>
      </c>
      <c r="AS364" s="32">
        <f t="shared" si="100"/>
        <v>26.284888237309154</v>
      </c>
      <c r="AT364" s="33">
        <f t="shared" si="100"/>
        <v>0.35</v>
      </c>
      <c r="AU364" s="33">
        <f t="shared" si="100"/>
        <v>0.35</v>
      </c>
      <c r="AV364" s="34" t="e">
        <f t="shared" si="100"/>
        <v>#VALUE!</v>
      </c>
      <c r="AW364" s="34" t="e">
        <f t="shared" si="100"/>
        <v>#VALUE!</v>
      </c>
      <c r="AX364" s="35" t="e">
        <f t="shared" si="100"/>
        <v>#VALUE!</v>
      </c>
      <c r="AY364" s="35" t="e">
        <f t="shared" si="100"/>
        <v>#VALUE!</v>
      </c>
    </row>
    <row r="365" spans="6:51" x14ac:dyDescent="0.3">
      <c r="F365">
        <v>51</v>
      </c>
      <c r="G365" s="28"/>
      <c r="H365" s="28"/>
      <c r="I365" s="28"/>
      <c r="J365" s="28"/>
      <c r="K365" s="28"/>
      <c r="L365" s="29"/>
      <c r="M365" s="30"/>
      <c r="N365" s="31"/>
      <c r="O365" s="31"/>
      <c r="P365" s="32"/>
      <c r="Q365" s="32"/>
      <c r="R365" s="32"/>
      <c r="S365" s="33"/>
      <c r="T365" s="33"/>
      <c r="U365" s="34"/>
      <c r="V365" s="34"/>
      <c r="W365" s="35"/>
      <c r="X365" s="35"/>
      <c r="AG365">
        <f t="shared" si="93"/>
        <v>50.306638016924872</v>
      </c>
      <c r="AH365" s="28">
        <f t="shared" si="100"/>
        <v>2.1708674894018323</v>
      </c>
      <c r="AI365" s="28">
        <f t="shared" si="100"/>
        <v>4.0238680817264996</v>
      </c>
      <c r="AJ365" s="28">
        <f t="shared" si="100"/>
        <v>3.9460141057874507</v>
      </c>
      <c r="AK365" s="28">
        <f t="shared" si="100"/>
        <v>3.9960140898931726</v>
      </c>
      <c r="AL365" s="28">
        <f t="shared" si="100"/>
        <v>3.4483106619769095</v>
      </c>
      <c r="AM365" s="29" t="e">
        <f t="shared" si="100"/>
        <v>#VALUE!</v>
      </c>
      <c r="AN365" s="30">
        <f t="shared" si="100"/>
        <v>3.5254934392230601</v>
      </c>
      <c r="AO365" s="31">
        <f t="shared" si="100"/>
        <v>1.2110596148458825</v>
      </c>
      <c r="AP365" s="31">
        <f t="shared" si="100"/>
        <v>1.2110596148458825</v>
      </c>
      <c r="AQ365" s="32">
        <f t="shared" si="100"/>
        <v>7.3908523208725887</v>
      </c>
      <c r="AR365" s="32">
        <f t="shared" si="100"/>
        <v>12.869231101689474</v>
      </c>
      <c r="AS365" s="32">
        <f t="shared" si="100"/>
        <v>26.284888237309154</v>
      </c>
      <c r="AT365" s="33">
        <f t="shared" si="100"/>
        <v>0.35</v>
      </c>
      <c r="AU365" s="33">
        <f t="shared" si="100"/>
        <v>0.35</v>
      </c>
      <c r="AV365" s="34" t="e">
        <f t="shared" si="100"/>
        <v>#VALUE!</v>
      </c>
      <c r="AW365" s="34" t="e">
        <f t="shared" si="100"/>
        <v>#VALUE!</v>
      </c>
      <c r="AX365" s="35" t="e">
        <f t="shared" si="100"/>
        <v>#VALUE!</v>
      </c>
      <c r="AY365" s="35" t="e">
        <f t="shared" si="100"/>
        <v>#VALUE!</v>
      </c>
    </row>
    <row r="366" spans="6:51" x14ac:dyDescent="0.3">
      <c r="F366">
        <v>52</v>
      </c>
      <c r="G366" s="28"/>
      <c r="H366" s="28"/>
      <c r="I366" s="28"/>
      <c r="J366" s="28"/>
      <c r="K366" s="28"/>
      <c r="L366" s="29"/>
      <c r="M366" s="30"/>
      <c r="N366" s="31"/>
      <c r="O366" s="31"/>
      <c r="P366" s="32"/>
      <c r="Q366" s="32"/>
      <c r="R366" s="32"/>
      <c r="S366" s="33"/>
      <c r="T366" s="33"/>
      <c r="U366" s="34"/>
      <c r="V366" s="34"/>
      <c r="W366" s="35"/>
      <c r="X366" s="35"/>
      <c r="AG366">
        <f t="shared" si="93"/>
        <v>51.016955441198782</v>
      </c>
      <c r="AH366" s="28">
        <f t="shared" si="100"/>
        <v>2.1708674922453355</v>
      </c>
      <c r="AI366" s="28">
        <f t="shared" si="100"/>
        <v>4.0238680838851133</v>
      </c>
      <c r="AJ366" s="28">
        <f t="shared" si="100"/>
        <v>3.9460141082923035</v>
      </c>
      <c r="AK366" s="28">
        <f t="shared" si="100"/>
        <v>3.9960140942550826</v>
      </c>
      <c r="AL366" s="28">
        <f t="shared" si="100"/>
        <v>3.452514505132255</v>
      </c>
      <c r="AM366" s="29" t="e">
        <f t="shared" si="100"/>
        <v>#VALUE!</v>
      </c>
      <c r="AN366" s="30">
        <f t="shared" si="100"/>
        <v>3.5257509254296555</v>
      </c>
      <c r="AO366" s="31">
        <f t="shared" si="100"/>
        <v>1.2110596148458825</v>
      </c>
      <c r="AP366" s="31">
        <f t="shared" si="100"/>
        <v>1.2110596148458825</v>
      </c>
      <c r="AQ366" s="32">
        <f t="shared" si="100"/>
        <v>7.3908523208725887</v>
      </c>
      <c r="AR366" s="32">
        <f t="shared" si="100"/>
        <v>12.869231101689474</v>
      </c>
      <c r="AS366" s="32">
        <f t="shared" si="100"/>
        <v>26.284888237309154</v>
      </c>
      <c r="AT366" s="33">
        <f t="shared" si="100"/>
        <v>0.35</v>
      </c>
      <c r="AU366" s="33">
        <f t="shared" si="100"/>
        <v>0.35</v>
      </c>
      <c r="AV366" s="34" t="e">
        <f t="shared" si="100"/>
        <v>#VALUE!</v>
      </c>
      <c r="AW366" s="34" t="e">
        <f t="shared" si="100"/>
        <v>#VALUE!</v>
      </c>
      <c r="AX366" s="35" t="e">
        <f t="shared" si="100"/>
        <v>#VALUE!</v>
      </c>
      <c r="AY366" s="35" t="e">
        <f t="shared" si="100"/>
        <v>#VALUE!</v>
      </c>
    </row>
    <row r="367" spans="6:51" x14ac:dyDescent="0.3">
      <c r="F367">
        <v>53</v>
      </c>
      <c r="G367" s="28"/>
      <c r="H367" s="28"/>
      <c r="I367" s="28"/>
      <c r="J367" s="28"/>
      <c r="K367" s="28"/>
      <c r="L367" s="29"/>
      <c r="M367" s="30"/>
      <c r="N367" s="31"/>
      <c r="O367" s="31"/>
      <c r="P367" s="32"/>
      <c r="Q367" s="32"/>
      <c r="R367" s="32"/>
      <c r="S367" s="33"/>
      <c r="T367" s="33"/>
      <c r="U367" s="34"/>
      <c r="V367" s="34"/>
      <c r="W367" s="35"/>
      <c r="X367" s="35"/>
      <c r="AG367">
        <f t="shared" si="93"/>
        <v>51.671481858149477</v>
      </c>
      <c r="AH367" s="28">
        <f t="shared" si="100"/>
        <v>2.170867494449408</v>
      </c>
      <c r="AI367" s="28">
        <f t="shared" si="100"/>
        <v>4.0238680855455415</v>
      </c>
      <c r="AJ367" s="28">
        <f t="shared" si="100"/>
        <v>3.9460141101262609</v>
      </c>
      <c r="AK367" s="28">
        <f t="shared" si="100"/>
        <v>3.9960140976317091</v>
      </c>
      <c r="AL367" s="28">
        <f t="shared" si="100"/>
        <v>3.4560884814359119</v>
      </c>
      <c r="AM367" s="29" t="e">
        <f t="shared" si="100"/>
        <v>#VALUE!</v>
      </c>
      <c r="AN367" s="30">
        <f t="shared" si="100"/>
        <v>3.5259686182837537</v>
      </c>
      <c r="AO367" s="31">
        <f t="shared" si="100"/>
        <v>1.2110596148458825</v>
      </c>
      <c r="AP367" s="31">
        <f t="shared" si="100"/>
        <v>1.2110596148458825</v>
      </c>
      <c r="AQ367" s="32">
        <f t="shared" si="100"/>
        <v>7.3908523208725887</v>
      </c>
      <c r="AR367" s="32">
        <f t="shared" si="100"/>
        <v>12.869231101689474</v>
      </c>
      <c r="AS367" s="32">
        <f t="shared" si="100"/>
        <v>26.284888237309154</v>
      </c>
      <c r="AT367" s="33">
        <f t="shared" si="100"/>
        <v>0.35</v>
      </c>
      <c r="AU367" s="33">
        <f t="shared" si="100"/>
        <v>0.35</v>
      </c>
      <c r="AV367" s="34" t="e">
        <f t="shared" si="100"/>
        <v>#VALUE!</v>
      </c>
      <c r="AW367" s="34" t="e">
        <f t="shared" si="100"/>
        <v>#VALUE!</v>
      </c>
      <c r="AX367" s="35" t="e">
        <f t="shared" si="100"/>
        <v>#VALUE!</v>
      </c>
      <c r="AY367" s="35" t="e">
        <f t="shared" si="100"/>
        <v>#VALUE!</v>
      </c>
    </row>
    <row r="368" spans="6:51" x14ac:dyDescent="0.3">
      <c r="F368">
        <v>54</v>
      </c>
      <c r="G368" s="28"/>
      <c r="H368" s="28"/>
      <c r="I368" s="28"/>
      <c r="J368" s="28"/>
      <c r="K368" s="28"/>
      <c r="L368" s="29"/>
      <c r="M368" s="30"/>
      <c r="N368" s="31"/>
      <c r="O368" s="31"/>
      <c r="P368" s="32"/>
      <c r="Q368" s="32"/>
      <c r="R368" s="32"/>
      <c r="S368" s="33"/>
      <c r="T368" s="33"/>
      <c r="U368" s="34"/>
      <c r="V368" s="34"/>
      <c r="W368" s="35"/>
      <c r="X368" s="35"/>
      <c r="AG368">
        <f t="shared" si="93"/>
        <v>52.274599303739727</v>
      </c>
      <c r="AH368" s="28">
        <f t="shared" si="100"/>
        <v>2.1708674961886718</v>
      </c>
      <c r="AI368" s="28">
        <f t="shared" si="100"/>
        <v>4.0238680868440033</v>
      </c>
      <c r="AJ368" s="28">
        <f t="shared" si="100"/>
        <v>3.9460141114990614</v>
      </c>
      <c r="AK368" s="28">
        <f t="shared" si="100"/>
        <v>3.9960141002877911</v>
      </c>
      <c r="AL368" s="28">
        <f t="shared" si="100"/>
        <v>3.4591499982235172</v>
      </c>
      <c r="AM368" s="29" t="e">
        <f t="shared" si="100"/>
        <v>#VALUE!</v>
      </c>
      <c r="AN368" s="30">
        <f t="shared" si="100"/>
        <v>3.5261540702050143</v>
      </c>
      <c r="AO368" s="31">
        <f t="shared" si="100"/>
        <v>1.2110596148458825</v>
      </c>
      <c r="AP368" s="31">
        <f t="shared" si="100"/>
        <v>1.2110596148458825</v>
      </c>
      <c r="AQ368" s="32">
        <f t="shared" si="100"/>
        <v>7.3908523208725887</v>
      </c>
      <c r="AR368" s="32">
        <f t="shared" si="100"/>
        <v>12.869231101689474</v>
      </c>
      <c r="AS368" s="32">
        <f t="shared" si="100"/>
        <v>26.284888237309154</v>
      </c>
      <c r="AT368" s="33">
        <f t="shared" si="100"/>
        <v>0.35</v>
      </c>
      <c r="AU368" s="33">
        <f t="shared" si="100"/>
        <v>0.35</v>
      </c>
      <c r="AV368" s="34" t="e">
        <f t="shared" si="100"/>
        <v>#VALUE!</v>
      </c>
      <c r="AW368" s="34" t="e">
        <f t="shared" si="100"/>
        <v>#VALUE!</v>
      </c>
      <c r="AX368" s="35" t="e">
        <f t="shared" si="100"/>
        <v>#VALUE!</v>
      </c>
      <c r="AY368" s="35" t="e">
        <f t="shared" si="100"/>
        <v>#VALUE!</v>
      </c>
    </row>
    <row r="369" spans="6:51" x14ac:dyDescent="0.3">
      <c r="F369">
        <v>55</v>
      </c>
      <c r="G369" s="28"/>
      <c r="H369" s="28"/>
      <c r="I369" s="28"/>
      <c r="J369" s="28"/>
      <c r="K369" s="28"/>
      <c r="L369" s="29"/>
      <c r="M369" s="30"/>
      <c r="N369" s="31"/>
      <c r="O369" s="31"/>
      <c r="P369" s="32"/>
      <c r="Q369" s="32"/>
      <c r="R369" s="32"/>
      <c r="S369" s="33"/>
      <c r="T369" s="33"/>
      <c r="U369" s="34"/>
      <c r="V369" s="34"/>
      <c r="W369" s="35"/>
      <c r="X369" s="35"/>
      <c r="AG369">
        <f t="shared" si="93"/>
        <v>52.830345632314121</v>
      </c>
      <c r="AH369" s="28">
        <f t="shared" si="100"/>
        <v>2.1708674975829028</v>
      </c>
      <c r="AI369" s="28">
        <f t="shared" si="100"/>
        <v>4.0238680878745736</v>
      </c>
      <c r="AJ369" s="28">
        <f t="shared" si="100"/>
        <v>3.9460141125471484</v>
      </c>
      <c r="AK369" s="28">
        <f t="shared" si="100"/>
        <v>3.996014102407341</v>
      </c>
      <c r="AL369" s="28">
        <f t="shared" si="100"/>
        <v>3.4617902652749564</v>
      </c>
      <c r="AM369" s="29" t="e">
        <f t="shared" si="100"/>
        <v>#VALUE!</v>
      </c>
      <c r="AN369" s="30">
        <f t="shared" si="100"/>
        <v>3.52631314500284</v>
      </c>
      <c r="AO369" s="31">
        <f t="shared" si="100"/>
        <v>1.2110596148458825</v>
      </c>
      <c r="AP369" s="31">
        <f t="shared" si="100"/>
        <v>1.2110596148458825</v>
      </c>
      <c r="AQ369" s="32">
        <f t="shared" si="100"/>
        <v>7.3908523208725887</v>
      </c>
      <c r="AR369" s="32">
        <f t="shared" si="100"/>
        <v>12.869231101689474</v>
      </c>
      <c r="AS369" s="32">
        <f t="shared" si="100"/>
        <v>26.284888237309154</v>
      </c>
      <c r="AT369" s="33">
        <f t="shared" si="100"/>
        <v>0.35</v>
      </c>
      <c r="AU369" s="33">
        <f t="shared" si="100"/>
        <v>0.35</v>
      </c>
      <c r="AV369" s="34" t="e">
        <f t="shared" si="100"/>
        <v>#VALUE!</v>
      </c>
      <c r="AW369" s="34" t="e">
        <f t="shared" si="100"/>
        <v>#VALUE!</v>
      </c>
      <c r="AX369" s="35" t="e">
        <f t="shared" si="100"/>
        <v>#VALUE!</v>
      </c>
      <c r="AY369" s="35" t="e">
        <f t="shared" si="100"/>
        <v>#VALUE!</v>
      </c>
    </row>
    <row r="370" spans="6:51" x14ac:dyDescent="0.3">
      <c r="F370">
        <v>56</v>
      </c>
      <c r="G370" s="28"/>
      <c r="H370" s="28"/>
      <c r="I370" s="28"/>
      <c r="J370" s="28"/>
      <c r="K370" s="28"/>
      <c r="L370" s="29"/>
      <c r="M370" s="30"/>
      <c r="N370" s="31"/>
      <c r="O370" s="31"/>
      <c r="P370" s="32"/>
      <c r="Q370" s="32"/>
      <c r="R370" s="32"/>
      <c r="S370" s="33"/>
      <c r="T370" s="33"/>
      <c r="U370" s="34"/>
      <c r="V370" s="34"/>
      <c r="W370" s="35"/>
      <c r="X370" s="35"/>
      <c r="AG370">
        <f t="shared" si="93"/>
        <v>53.342441549920437</v>
      </c>
      <c r="AH370" s="28">
        <f t="shared" si="100"/>
        <v>2.1708674987161611</v>
      </c>
      <c r="AI370" s="28">
        <f t="shared" si="100"/>
        <v>4.0238680887035194</v>
      </c>
      <c r="AJ370" s="28">
        <f t="shared" si="100"/>
        <v>3.9460141133615645</v>
      </c>
      <c r="AK370" s="28">
        <f t="shared" si="100"/>
        <v>3.9960141041207589</v>
      </c>
      <c r="AL370" s="28">
        <f t="shared" si="100"/>
        <v>3.4640810148291776</v>
      </c>
      <c r="AM370" s="29" t="e">
        <f t="shared" si="100"/>
        <v>#VALUE!</v>
      </c>
      <c r="AN370" s="30">
        <f t="shared" si="100"/>
        <v>3.526450445850668</v>
      </c>
      <c r="AO370" s="31">
        <f t="shared" si="100"/>
        <v>1.2110596148458825</v>
      </c>
      <c r="AP370" s="31">
        <f t="shared" si="100"/>
        <v>1.2110596148458825</v>
      </c>
      <c r="AQ370" s="32">
        <f t="shared" si="100"/>
        <v>7.3908523208725887</v>
      </c>
      <c r="AR370" s="32">
        <f t="shared" si="100"/>
        <v>12.869231101689474</v>
      </c>
      <c r="AS370" s="32">
        <f t="shared" si="100"/>
        <v>26.284888237309154</v>
      </c>
      <c r="AT370" s="33">
        <f t="shared" si="100"/>
        <v>0.35</v>
      </c>
      <c r="AU370" s="33">
        <f t="shared" si="100"/>
        <v>0.35</v>
      </c>
      <c r="AV370" s="34" t="e">
        <f t="shared" si="100"/>
        <v>#VALUE!</v>
      </c>
      <c r="AW370" s="34" t="e">
        <f t="shared" si="100"/>
        <v>#VALUE!</v>
      </c>
      <c r="AX370" s="35" t="e">
        <f t="shared" si="100"/>
        <v>#VALUE!</v>
      </c>
      <c r="AY370" s="35" t="e">
        <f t="shared" si="100"/>
        <v>#VALUE!</v>
      </c>
    </row>
    <row r="371" spans="6:51" x14ac:dyDescent="0.3">
      <c r="F371">
        <v>57</v>
      </c>
      <c r="G371" s="28"/>
      <c r="H371" s="28"/>
      <c r="I371" s="28"/>
      <c r="J371" s="28"/>
      <c r="K371" s="28"/>
      <c r="L371" s="29"/>
      <c r="M371" s="30"/>
      <c r="N371" s="31"/>
      <c r="O371" s="31"/>
      <c r="P371" s="32"/>
      <c r="Q371" s="32"/>
      <c r="R371" s="32"/>
      <c r="S371" s="33"/>
      <c r="T371" s="33"/>
      <c r="U371" s="34"/>
      <c r="V371" s="34"/>
      <c r="W371" s="35"/>
      <c r="X371" s="35"/>
      <c r="AG371">
        <f t="shared" si="93"/>
        <v>53.814315524332059</v>
      </c>
      <c r="AH371" s="28">
        <f t="shared" si="100"/>
        <v>2.1708674996486748</v>
      </c>
      <c r="AI371" s="28">
        <f t="shared" si="100"/>
        <v>4.023868089378368</v>
      </c>
      <c r="AJ371" s="28">
        <f t="shared" si="100"/>
        <v>3.9460141140044795</v>
      </c>
      <c r="AK371" s="28">
        <f t="shared" si="100"/>
        <v>3.9960141055221055</v>
      </c>
      <c r="AL371" s="28">
        <f t="shared" si="100"/>
        <v>3.4660792974467594</v>
      </c>
      <c r="AM371" s="29" t="e">
        <f t="shared" si="100"/>
        <v>#VALUE!</v>
      </c>
      <c r="AN371" s="30">
        <f t="shared" si="100"/>
        <v>3.5265696235406403</v>
      </c>
      <c r="AO371" s="31">
        <f t="shared" si="100"/>
        <v>1.2110596148458825</v>
      </c>
      <c r="AP371" s="31">
        <f t="shared" si="100"/>
        <v>1.2110596148458825</v>
      </c>
      <c r="AQ371" s="32">
        <f t="shared" si="100"/>
        <v>7.3908523208725887</v>
      </c>
      <c r="AR371" s="32">
        <f t="shared" si="100"/>
        <v>12.869231101689474</v>
      </c>
      <c r="AS371" s="32">
        <f t="shared" si="100"/>
        <v>26.284888237309154</v>
      </c>
      <c r="AT371" s="33">
        <f t="shared" si="100"/>
        <v>0.35</v>
      </c>
      <c r="AU371" s="33">
        <f t="shared" si="100"/>
        <v>0.35</v>
      </c>
      <c r="AV371" s="34" t="e">
        <f t="shared" si="100"/>
        <v>#VALUE!</v>
      </c>
      <c r="AW371" s="34" t="e">
        <f t="shared" si="100"/>
        <v>#VALUE!</v>
      </c>
      <c r="AX371" s="35" t="e">
        <f t="shared" si="100"/>
        <v>#VALUE!</v>
      </c>
      <c r="AY371" s="35" t="e">
        <f t="shared" si="100"/>
        <v>#VALUE!</v>
      </c>
    </row>
    <row r="372" spans="6:51" x14ac:dyDescent="0.3">
      <c r="F372">
        <v>58</v>
      </c>
      <c r="G372" s="28"/>
      <c r="H372" s="28"/>
      <c r="I372" s="28"/>
      <c r="J372" s="28"/>
      <c r="K372" s="28"/>
      <c r="L372" s="29"/>
      <c r="M372" s="30"/>
      <c r="N372" s="31"/>
      <c r="O372" s="31"/>
      <c r="P372" s="32"/>
      <c r="Q372" s="32"/>
      <c r="R372" s="32"/>
      <c r="S372" s="33"/>
      <c r="T372" s="33"/>
      <c r="U372" s="34"/>
      <c r="V372" s="34"/>
      <c r="W372" s="35"/>
      <c r="X372" s="35"/>
      <c r="AG372">
        <f t="shared" si="93"/>
        <v>54.249126738543261</v>
      </c>
      <c r="AH372" s="28">
        <f t="shared" si="100"/>
        <v>2.1708675004244125</v>
      </c>
      <c r="AI372" s="28">
        <f t="shared" si="100"/>
        <v>4.0238680899337771</v>
      </c>
      <c r="AJ372" s="28">
        <f t="shared" si="100"/>
        <v>3.9460141145192495</v>
      </c>
      <c r="AK372" s="28">
        <f t="shared" si="100"/>
        <v>3.996014106680343</v>
      </c>
      <c r="AL372" s="28">
        <f t="shared" si="100"/>
        <v>3.4678309564418397</v>
      </c>
      <c r="AM372" s="29" t="e">
        <f t="shared" si="100"/>
        <v>#VALUE!</v>
      </c>
      <c r="AN372" s="30">
        <f t="shared" si="100"/>
        <v>3.5266736013269524</v>
      </c>
      <c r="AO372" s="31">
        <f t="shared" si="100"/>
        <v>1.2110596148458825</v>
      </c>
      <c r="AP372" s="31">
        <f t="shared" si="100"/>
        <v>1.2110596148458825</v>
      </c>
      <c r="AQ372" s="32">
        <f t="shared" si="100"/>
        <v>7.3908523208725887</v>
      </c>
      <c r="AR372" s="32">
        <f t="shared" si="100"/>
        <v>12.869231101689474</v>
      </c>
      <c r="AS372" s="32">
        <f t="shared" si="100"/>
        <v>26.284888237309154</v>
      </c>
      <c r="AT372" s="33">
        <f t="shared" si="100"/>
        <v>0.35</v>
      </c>
      <c r="AU372" s="33">
        <f t="shared" si="100"/>
        <v>0.35</v>
      </c>
      <c r="AV372" s="34" t="e">
        <f t="shared" si="100"/>
        <v>#VALUE!</v>
      </c>
      <c r="AW372" s="34" t="e">
        <f t="shared" si="100"/>
        <v>#VALUE!</v>
      </c>
      <c r="AX372" s="35" t="e">
        <f t="shared" si="100"/>
        <v>#VALUE!</v>
      </c>
      <c r="AY372" s="35" t="e">
        <f t="shared" si="100"/>
        <v>#VALUE!</v>
      </c>
    </row>
    <row r="373" spans="6:51" x14ac:dyDescent="0.3">
      <c r="F373">
        <v>59</v>
      </c>
      <c r="G373" s="28"/>
      <c r="H373" s="28"/>
      <c r="I373" s="28"/>
      <c r="J373" s="28"/>
      <c r="K373" s="28"/>
      <c r="L373" s="29"/>
      <c r="M373" s="30"/>
      <c r="N373" s="31"/>
      <c r="O373" s="31"/>
      <c r="P373" s="32"/>
      <c r="Q373" s="32"/>
      <c r="R373" s="32"/>
      <c r="S373" s="33"/>
      <c r="T373" s="33"/>
      <c r="U373" s="34"/>
      <c r="V373" s="34"/>
      <c r="W373" s="35"/>
      <c r="X373" s="35"/>
      <c r="AG373">
        <f t="shared" si="93"/>
        <v>54.649786241410681</v>
      </c>
      <c r="AH373" s="28">
        <f t="shared" si="100"/>
        <v>2.1708675010760219</v>
      </c>
      <c r="AI373" s="28">
        <f t="shared" si="100"/>
        <v>4.0238680903954078</v>
      </c>
      <c r="AJ373" s="28">
        <f t="shared" si="100"/>
        <v>3.9460141149366974</v>
      </c>
      <c r="AK373" s="28">
        <f t="shared" si="100"/>
        <v>3.996014107646797</v>
      </c>
      <c r="AL373" s="28">
        <f t="shared" si="100"/>
        <v>3.4693731800444905</v>
      </c>
      <c r="AM373" s="29" t="e">
        <f t="shared" si="100"/>
        <v>#VALUE!</v>
      </c>
      <c r="AN373" s="30">
        <f t="shared" si="100"/>
        <v>3.5267647408792535</v>
      </c>
      <c r="AO373" s="31">
        <f t="shared" si="100"/>
        <v>1.2110596148458825</v>
      </c>
      <c r="AP373" s="31">
        <f t="shared" si="100"/>
        <v>1.2110596148458825</v>
      </c>
      <c r="AQ373" s="32">
        <f t="shared" si="100"/>
        <v>7.3908523208725887</v>
      </c>
      <c r="AR373" s="32">
        <f t="shared" si="100"/>
        <v>12.869231101689474</v>
      </c>
      <c r="AS373" s="32">
        <f t="shared" si="100"/>
        <v>26.284888237309154</v>
      </c>
      <c r="AT373" s="33">
        <f t="shared" si="100"/>
        <v>0.35</v>
      </c>
      <c r="AU373" s="33">
        <f t="shared" si="100"/>
        <v>0.35</v>
      </c>
      <c r="AV373" s="34" t="e">
        <f t="shared" si="100"/>
        <v>#VALUE!</v>
      </c>
      <c r="AW373" s="34" t="e">
        <f t="shared" si="100"/>
        <v>#VALUE!</v>
      </c>
      <c r="AX373" s="35" t="e">
        <f t="shared" si="100"/>
        <v>#VALUE!</v>
      </c>
      <c r="AY373" s="35" t="e">
        <f t="shared" si="100"/>
        <v>#VALUE!</v>
      </c>
    </row>
    <row r="374" spans="6:51" x14ac:dyDescent="0.3">
      <c r="F374">
        <v>60</v>
      </c>
      <c r="G374" s="28"/>
      <c r="H374" s="28"/>
      <c r="I374" s="28"/>
      <c r="J374" s="28"/>
      <c r="K374" s="28"/>
      <c r="L374" s="29"/>
      <c r="M374" s="30"/>
      <c r="N374" s="31"/>
      <c r="O374" s="31"/>
      <c r="P374" s="32"/>
      <c r="Q374" s="32"/>
      <c r="R374" s="32"/>
      <c r="S374" s="33"/>
      <c r="T374" s="33"/>
      <c r="U374" s="34"/>
      <c r="V374" s="34"/>
      <c r="W374" s="35"/>
      <c r="X374" s="35"/>
      <c r="AG374">
        <f t="shared" si="93"/>
        <v>55.01897643704347</v>
      </c>
      <c r="AH374" s="28">
        <f t="shared" si="100"/>
        <v>2.1708675016281251</v>
      </c>
      <c r="AI374" s="28">
        <f t="shared" si="100"/>
        <v>4.0238680907825319</v>
      </c>
      <c r="AJ374" s="28">
        <f t="shared" si="100"/>
        <v>3.9460141152791248</v>
      </c>
      <c r="AK374" s="28">
        <f t="shared" ref="AK374:AY374" si="101">AK$160+AK302</f>
        <v>3.9960141084601988</v>
      </c>
      <c r="AL374" s="28">
        <f t="shared" si="101"/>
        <v>3.4707364002067047</v>
      </c>
      <c r="AM374" s="29" t="e">
        <f t="shared" si="101"/>
        <v>#VALUE!</v>
      </c>
      <c r="AN374" s="30">
        <f t="shared" si="101"/>
        <v>3.5268449661371295</v>
      </c>
      <c r="AO374" s="31">
        <f t="shared" si="101"/>
        <v>1.2110596148458825</v>
      </c>
      <c r="AP374" s="31">
        <f t="shared" si="101"/>
        <v>1.2110596148458825</v>
      </c>
      <c r="AQ374" s="32">
        <f t="shared" si="101"/>
        <v>7.3908523208725887</v>
      </c>
      <c r="AR374" s="32">
        <f t="shared" si="101"/>
        <v>12.869231101689474</v>
      </c>
      <c r="AS374" s="32">
        <f t="shared" si="101"/>
        <v>26.284888237309154</v>
      </c>
      <c r="AT374" s="33">
        <f t="shared" si="101"/>
        <v>0.35</v>
      </c>
      <c r="AU374" s="33">
        <f t="shared" si="101"/>
        <v>0.35</v>
      </c>
      <c r="AV374" s="34" t="e">
        <f t="shared" si="101"/>
        <v>#VALUE!</v>
      </c>
      <c r="AW374" s="34" t="e">
        <f t="shared" si="101"/>
        <v>#VALUE!</v>
      </c>
      <c r="AX374" s="35" t="e">
        <f t="shared" si="101"/>
        <v>#VALUE!</v>
      </c>
      <c r="AY374" s="35" t="e">
        <f t="shared" si="101"/>
        <v>#VALUE!</v>
      </c>
    </row>
    <row r="375" spans="6:51" x14ac:dyDescent="0.3">
      <c r="F375">
        <v>61</v>
      </c>
      <c r="G375" s="28"/>
      <c r="H375" s="28"/>
      <c r="I375" s="28"/>
      <c r="J375" s="28"/>
      <c r="K375" s="28"/>
      <c r="L375" s="29"/>
      <c r="M375" s="30"/>
      <c r="N375" s="31"/>
      <c r="O375" s="31"/>
      <c r="P375" s="32"/>
      <c r="Q375" s="32"/>
      <c r="R375" s="32"/>
      <c r="S375" s="33"/>
      <c r="T375" s="33"/>
      <c r="U375" s="34"/>
      <c r="V375" s="34"/>
      <c r="W375" s="35"/>
      <c r="X375" s="35"/>
      <c r="AG375">
        <f t="shared" si="93"/>
        <v>55.359169043423464</v>
      </c>
      <c r="AH375" s="28">
        <f t="shared" ref="AH375:AY384" si="102">AH$160+AH303</f>
        <v>2.1708675020995556</v>
      </c>
      <c r="AI375" s="28">
        <f t="shared" si="102"/>
        <v>4.0238680911098115</v>
      </c>
      <c r="AJ375" s="28">
        <f t="shared" si="102"/>
        <v>3.9460141155629316</v>
      </c>
      <c r="AK375" s="28">
        <f t="shared" si="102"/>
        <v>3.9960141091501509</v>
      </c>
      <c r="AL375" s="28">
        <f t="shared" si="102"/>
        <v>3.4719457221158434</v>
      </c>
      <c r="AM375" s="29" t="e">
        <f t="shared" si="102"/>
        <v>#VALUE!</v>
      </c>
      <c r="AN375" s="30">
        <f t="shared" si="102"/>
        <v>3.5269158567140257</v>
      </c>
      <c r="AO375" s="31">
        <f t="shared" si="102"/>
        <v>1.2110596148458825</v>
      </c>
      <c r="AP375" s="31">
        <f t="shared" si="102"/>
        <v>1.2110596148458825</v>
      </c>
      <c r="AQ375" s="32">
        <f t="shared" si="102"/>
        <v>7.3908523208725887</v>
      </c>
      <c r="AR375" s="32">
        <f t="shared" si="102"/>
        <v>12.869231101689474</v>
      </c>
      <c r="AS375" s="32">
        <f t="shared" si="102"/>
        <v>26.284888237309154</v>
      </c>
      <c r="AT375" s="33">
        <f t="shared" si="102"/>
        <v>0.35</v>
      </c>
      <c r="AU375" s="33">
        <f t="shared" si="102"/>
        <v>0.35</v>
      </c>
      <c r="AV375" s="34" t="e">
        <f t="shared" si="102"/>
        <v>#VALUE!</v>
      </c>
      <c r="AW375" s="34" t="e">
        <f t="shared" si="102"/>
        <v>#VALUE!</v>
      </c>
      <c r="AX375" s="35" t="e">
        <f t="shared" si="102"/>
        <v>#VALUE!</v>
      </c>
      <c r="AY375" s="35" t="e">
        <f t="shared" si="102"/>
        <v>#VALUE!</v>
      </c>
    </row>
    <row r="376" spans="6:51" x14ac:dyDescent="0.3">
      <c r="F376">
        <v>62</v>
      </c>
      <c r="G376" s="28"/>
      <c r="H376" s="28"/>
      <c r="I376" s="28"/>
      <c r="J376" s="28"/>
      <c r="K376" s="28"/>
      <c r="L376" s="29"/>
      <c r="M376" s="30"/>
      <c r="N376" s="31"/>
      <c r="O376" s="31"/>
      <c r="P376" s="32"/>
      <c r="Q376" s="32"/>
      <c r="R376" s="32"/>
      <c r="S376" s="33"/>
      <c r="T376" s="33"/>
      <c r="U376" s="34"/>
      <c r="V376" s="34"/>
      <c r="W376" s="35"/>
      <c r="X376" s="35"/>
      <c r="AG376">
        <f t="shared" si="93"/>
        <v>55.672641640487548</v>
      </c>
      <c r="AH376" s="28">
        <f t="shared" si="102"/>
        <v>2.1708675025049065</v>
      </c>
      <c r="AI376" s="28">
        <f t="shared" si="102"/>
        <v>4.0238680913885387</v>
      </c>
      <c r="AJ376" s="28">
        <f t="shared" si="102"/>
        <v>3.9460141158003594</v>
      </c>
      <c r="AK376" s="28">
        <f t="shared" si="102"/>
        <v>3.9960141097395505</v>
      </c>
      <c r="AL376" s="28">
        <f t="shared" si="102"/>
        <v>3.473022012273776</v>
      </c>
      <c r="AM376" s="29" t="e">
        <f t="shared" si="102"/>
        <v>#VALUE!</v>
      </c>
      <c r="AN376" s="30">
        <f t="shared" si="102"/>
        <v>3.5269787190312556</v>
      </c>
      <c r="AO376" s="31">
        <f t="shared" si="102"/>
        <v>1.2110596148458825</v>
      </c>
      <c r="AP376" s="31">
        <f t="shared" si="102"/>
        <v>1.2110596148458825</v>
      </c>
      <c r="AQ376" s="32">
        <f t="shared" si="102"/>
        <v>7.3908523208725887</v>
      </c>
      <c r="AR376" s="32">
        <f t="shared" si="102"/>
        <v>12.869231101689474</v>
      </c>
      <c r="AS376" s="32">
        <f t="shared" si="102"/>
        <v>26.284888237309154</v>
      </c>
      <c r="AT376" s="33">
        <f t="shared" si="102"/>
        <v>0.35</v>
      </c>
      <c r="AU376" s="33">
        <f t="shared" si="102"/>
        <v>0.35</v>
      </c>
      <c r="AV376" s="34" t="e">
        <f t="shared" si="102"/>
        <v>#VALUE!</v>
      </c>
      <c r="AW376" s="34" t="e">
        <f t="shared" si="102"/>
        <v>#VALUE!</v>
      </c>
      <c r="AX376" s="35" t="e">
        <f t="shared" si="102"/>
        <v>#VALUE!</v>
      </c>
      <c r="AY376" s="35" t="e">
        <f t="shared" si="102"/>
        <v>#VALUE!</v>
      </c>
    </row>
    <row r="377" spans="6:51" x14ac:dyDescent="0.3">
      <c r="F377">
        <v>63</v>
      </c>
      <c r="G377" s="28"/>
      <c r="H377" s="28"/>
      <c r="I377" s="28"/>
      <c r="J377" s="28"/>
      <c r="K377" s="28"/>
      <c r="L377" s="29"/>
      <c r="M377" s="30"/>
      <c r="N377" s="31"/>
      <c r="O377" s="31"/>
      <c r="P377" s="32"/>
      <c r="Q377" s="32"/>
      <c r="R377" s="32"/>
      <c r="S377" s="33"/>
      <c r="T377" s="33"/>
      <c r="U377" s="34"/>
      <c r="V377" s="34"/>
      <c r="W377" s="35"/>
      <c r="X377" s="35"/>
      <c r="AG377">
        <f t="shared" si="93"/>
        <v>55.961492918461353</v>
      </c>
      <c r="AH377" s="28">
        <f t="shared" si="102"/>
        <v>2.1708675028556224</v>
      </c>
      <c r="AI377" s="28">
        <f t="shared" si="102"/>
        <v>4.0238680916275067</v>
      </c>
      <c r="AJ377" s="28">
        <f t="shared" si="102"/>
        <v>3.9460141160006712</v>
      </c>
      <c r="AK377" s="28">
        <f t="shared" si="102"/>
        <v>3.9960141102463043</v>
      </c>
      <c r="AL377" s="28">
        <f t="shared" si="102"/>
        <v>3.4739827351846158</v>
      </c>
      <c r="AM377" s="29" t="e">
        <f t="shared" si="102"/>
        <v>#VALUE!</v>
      </c>
      <c r="AN377" s="30">
        <f t="shared" si="102"/>
        <v>3.5270346409944371</v>
      </c>
      <c r="AO377" s="31">
        <f t="shared" si="102"/>
        <v>1.2110596148458825</v>
      </c>
      <c r="AP377" s="31">
        <f t="shared" si="102"/>
        <v>1.2110596148458825</v>
      </c>
      <c r="AQ377" s="32">
        <f t="shared" si="102"/>
        <v>7.3908523208725887</v>
      </c>
      <c r="AR377" s="32">
        <f t="shared" si="102"/>
        <v>12.869231101689474</v>
      </c>
      <c r="AS377" s="32">
        <f t="shared" si="102"/>
        <v>26.284888237309154</v>
      </c>
      <c r="AT377" s="33">
        <f t="shared" si="102"/>
        <v>0.35</v>
      </c>
      <c r="AU377" s="33">
        <f t="shared" si="102"/>
        <v>0.35</v>
      </c>
      <c r="AV377" s="34" t="e">
        <f t="shared" si="102"/>
        <v>#VALUE!</v>
      </c>
      <c r="AW377" s="34" t="e">
        <f t="shared" si="102"/>
        <v>#VALUE!</v>
      </c>
      <c r="AX377" s="35" t="e">
        <f t="shared" si="102"/>
        <v>#VALUE!</v>
      </c>
      <c r="AY377" s="35" t="e">
        <f t="shared" si="102"/>
        <v>#VALUE!</v>
      </c>
    </row>
    <row r="378" spans="6:51" x14ac:dyDescent="0.3">
      <c r="F378">
        <v>64</v>
      </c>
      <c r="G378" s="28"/>
      <c r="H378" s="28"/>
      <c r="I378" s="28"/>
      <c r="J378" s="28"/>
      <c r="K378" s="28"/>
      <c r="L378" s="29"/>
      <c r="M378" s="30"/>
      <c r="N378" s="31"/>
      <c r="O378" s="31"/>
      <c r="P378" s="32"/>
      <c r="Q378" s="32"/>
      <c r="R378" s="32"/>
      <c r="S378" s="33"/>
      <c r="T378" s="33"/>
      <c r="U378" s="34"/>
      <c r="V378" s="34"/>
      <c r="W378" s="35"/>
      <c r="X378" s="35"/>
      <c r="AG378">
        <f t="shared" si="93"/>
        <v>56.227656728531329</v>
      </c>
      <c r="AH378" s="28">
        <f t="shared" si="102"/>
        <v>2.1708675031607765</v>
      </c>
      <c r="AI378" s="28">
        <f t="shared" si="102"/>
        <v>4.023868091833636</v>
      </c>
      <c r="AJ378" s="28">
        <f t="shared" si="102"/>
        <v>3.9460141161709652</v>
      </c>
      <c r="AK378" s="28">
        <f t="shared" si="102"/>
        <v>3.9960141106845586</v>
      </c>
      <c r="AL378" s="28">
        <f t="shared" si="102"/>
        <v>3.4748426028796029</v>
      </c>
      <c r="AM378" s="29" t="e">
        <f t="shared" si="102"/>
        <v>#VALUE!</v>
      </c>
      <c r="AN378" s="30">
        <f t="shared" si="102"/>
        <v>3.5270845343875497</v>
      </c>
      <c r="AO378" s="31">
        <f t="shared" si="102"/>
        <v>1.2110596148458825</v>
      </c>
      <c r="AP378" s="31">
        <f t="shared" si="102"/>
        <v>1.2110596148458825</v>
      </c>
      <c r="AQ378" s="32">
        <f t="shared" si="102"/>
        <v>7.3908523208725887</v>
      </c>
      <c r="AR378" s="32">
        <f t="shared" si="102"/>
        <v>12.869231101689474</v>
      </c>
      <c r="AS378" s="32">
        <f t="shared" si="102"/>
        <v>26.284888237309154</v>
      </c>
      <c r="AT378" s="33">
        <f t="shared" si="102"/>
        <v>0.35</v>
      </c>
      <c r="AU378" s="33">
        <f t="shared" si="102"/>
        <v>0.35</v>
      </c>
      <c r="AV378" s="34" t="e">
        <f t="shared" si="102"/>
        <v>#VALUE!</v>
      </c>
      <c r="AW378" s="34" t="e">
        <f t="shared" si="102"/>
        <v>#VALUE!</v>
      </c>
      <c r="AX378" s="35" t="e">
        <f t="shared" si="102"/>
        <v>#VALUE!</v>
      </c>
      <c r="AY378" s="35" t="e">
        <f t="shared" si="102"/>
        <v>#VALUE!</v>
      </c>
    </row>
    <row r="379" spans="6:51" x14ac:dyDescent="0.3">
      <c r="F379">
        <v>65</v>
      </c>
      <c r="G379" s="28"/>
      <c r="H379" s="28"/>
      <c r="I379" s="28"/>
      <c r="J379" s="28"/>
      <c r="K379" s="28"/>
      <c r="L379" s="29"/>
      <c r="M379" s="30"/>
      <c r="N379" s="31"/>
      <c r="O379" s="31"/>
      <c r="P379" s="32"/>
      <c r="Q379" s="32"/>
      <c r="R379" s="32"/>
      <c r="S379" s="33"/>
      <c r="T379" s="33"/>
      <c r="U379" s="34"/>
      <c r="V379" s="34"/>
      <c r="W379" s="35"/>
      <c r="X379" s="35"/>
      <c r="AG379">
        <f t="shared" ref="AG379:AG384" si="103">AE79</f>
        <v>56.472915029924017</v>
      </c>
      <c r="AH379" s="28">
        <f t="shared" si="102"/>
        <v>2.1708675034276377</v>
      </c>
      <c r="AI379" s="28">
        <f t="shared" si="102"/>
        <v>4.0238680920124263</v>
      </c>
      <c r="AJ379" s="28">
        <f t="shared" si="102"/>
        <v>3.9460141163167464</v>
      </c>
      <c r="AK379" s="28">
        <f t="shared" si="102"/>
        <v>3.9960141110655991</v>
      </c>
      <c r="AL379" s="28">
        <f t="shared" si="102"/>
        <v>3.4756140836449259</v>
      </c>
      <c r="AM379" s="29" t="e">
        <f t="shared" si="102"/>
        <v>#VALUE!</v>
      </c>
      <c r="AN379" s="30">
        <f t="shared" si="102"/>
        <v>3.5271291680150778</v>
      </c>
      <c r="AO379" s="31">
        <f t="shared" si="102"/>
        <v>1.2110596148458825</v>
      </c>
      <c r="AP379" s="31">
        <f t="shared" si="102"/>
        <v>1.2110596148458825</v>
      </c>
      <c r="AQ379" s="32">
        <f t="shared" si="102"/>
        <v>7.3908523208725887</v>
      </c>
      <c r="AR379" s="32">
        <f t="shared" si="102"/>
        <v>12.869231101689474</v>
      </c>
      <c r="AS379" s="32">
        <f t="shared" si="102"/>
        <v>26.284888237309154</v>
      </c>
      <c r="AT379" s="33">
        <f t="shared" si="102"/>
        <v>0.35</v>
      </c>
      <c r="AU379" s="33">
        <f t="shared" si="102"/>
        <v>0.35</v>
      </c>
      <c r="AV379" s="34" t="e">
        <f t="shared" si="102"/>
        <v>#VALUE!</v>
      </c>
      <c r="AW379" s="34" t="e">
        <f t="shared" si="102"/>
        <v>#VALUE!</v>
      </c>
      <c r="AX379" s="35" t="e">
        <f t="shared" si="102"/>
        <v>#VALUE!</v>
      </c>
      <c r="AY379" s="35" t="e">
        <f t="shared" si="102"/>
        <v>#VALUE!</v>
      </c>
    </row>
    <row r="380" spans="6:51" x14ac:dyDescent="0.3">
      <c r="F380">
        <v>66</v>
      </c>
      <c r="G380" s="28"/>
      <c r="H380" s="28"/>
      <c r="I380" s="28"/>
      <c r="J380" s="28"/>
      <c r="K380" s="28"/>
      <c r="L380" s="29"/>
      <c r="M380" s="30"/>
      <c r="N380" s="31"/>
      <c r="O380" s="31"/>
      <c r="P380" s="32"/>
      <c r="Q380" s="32"/>
      <c r="R380" s="32"/>
      <c r="S380" s="33"/>
      <c r="T380" s="33"/>
      <c r="U380" s="34"/>
      <c r="V380" s="34"/>
      <c r="W380" s="35"/>
      <c r="X380" s="35"/>
      <c r="AG380">
        <f t="shared" si="103"/>
        <v>56.698909820073034</v>
      </c>
      <c r="AH380" s="28">
        <f t="shared" si="102"/>
        <v>2.1708675036620817</v>
      </c>
      <c r="AI380" s="28">
        <f t="shared" si="102"/>
        <v>4.0238680921682874</v>
      </c>
      <c r="AJ380" s="28">
        <f t="shared" si="102"/>
        <v>3.9460141164423321</v>
      </c>
      <c r="AK380" s="28">
        <f t="shared" si="102"/>
        <v>3.9960141113985079</v>
      </c>
      <c r="AL380" s="28">
        <f t="shared" si="102"/>
        <v>3.4763078037997821</v>
      </c>
      <c r="AM380" s="29" t="e">
        <f t="shared" si="102"/>
        <v>#VALUE!</v>
      </c>
      <c r="AN380" s="30">
        <f t="shared" si="102"/>
        <v>3.5271691938135326</v>
      </c>
      <c r="AO380" s="31">
        <f t="shared" si="102"/>
        <v>1.2110596148458825</v>
      </c>
      <c r="AP380" s="31">
        <f t="shared" si="102"/>
        <v>1.2110596148458825</v>
      </c>
      <c r="AQ380" s="32">
        <f t="shared" si="102"/>
        <v>7.3908523208725887</v>
      </c>
      <c r="AR380" s="32">
        <f t="shared" si="102"/>
        <v>12.869231101689474</v>
      </c>
      <c r="AS380" s="32">
        <f t="shared" si="102"/>
        <v>26.284888237309154</v>
      </c>
      <c r="AT380" s="33">
        <f t="shared" si="102"/>
        <v>0.35</v>
      </c>
      <c r="AU380" s="33">
        <f t="shared" si="102"/>
        <v>0.35</v>
      </c>
      <c r="AV380" s="34" t="e">
        <f t="shared" si="102"/>
        <v>#VALUE!</v>
      </c>
      <c r="AW380" s="34" t="e">
        <f t="shared" si="102"/>
        <v>#VALUE!</v>
      </c>
      <c r="AX380" s="35" t="e">
        <f t="shared" si="102"/>
        <v>#VALUE!</v>
      </c>
      <c r="AY380" s="35" t="e">
        <f t="shared" si="102"/>
        <v>#VALUE!</v>
      </c>
    </row>
    <row r="381" spans="6:51" x14ac:dyDescent="0.3">
      <c r="F381">
        <v>67</v>
      </c>
      <c r="G381" s="28"/>
      <c r="H381" s="28"/>
      <c r="I381" s="28"/>
      <c r="J381" s="28"/>
      <c r="K381" s="28"/>
      <c r="L381" s="29"/>
      <c r="M381" s="30"/>
      <c r="N381" s="31"/>
      <c r="O381" s="31"/>
      <c r="P381" s="32"/>
      <c r="Q381" s="32"/>
      <c r="R381" s="32"/>
      <c r="S381" s="33"/>
      <c r="T381" s="33"/>
      <c r="U381" s="34"/>
      <c r="V381" s="34"/>
      <c r="W381" s="35"/>
      <c r="X381" s="35"/>
      <c r="AG381">
        <f t="shared" si="103"/>
        <v>56.907154127745713</v>
      </c>
      <c r="AH381" s="28">
        <f t="shared" si="102"/>
        <v>2.1708675038689016</v>
      </c>
      <c r="AI381" s="28">
        <f t="shared" si="102"/>
        <v>4.0238680923047889</v>
      </c>
      <c r="AJ381" s="28">
        <f t="shared" si="102"/>
        <v>3.9460141165511393</v>
      </c>
      <c r="AK381" s="28">
        <f t="shared" si="102"/>
        <v>3.9960141116906565</v>
      </c>
      <c r="AL381" s="28">
        <f t="shared" si="102"/>
        <v>3.4769328674936575</v>
      </c>
      <c r="AM381" s="29" t="e">
        <f t="shared" si="102"/>
        <v>#VALUE!</v>
      </c>
      <c r="AN381" s="30">
        <f t="shared" si="102"/>
        <v>3.5272051675757559</v>
      </c>
      <c r="AO381" s="31">
        <f t="shared" si="102"/>
        <v>1.2110596148458825</v>
      </c>
      <c r="AP381" s="31">
        <f t="shared" si="102"/>
        <v>1.2110596148458825</v>
      </c>
      <c r="AQ381" s="32">
        <f t="shared" si="102"/>
        <v>7.3908523208725887</v>
      </c>
      <c r="AR381" s="32">
        <f t="shared" si="102"/>
        <v>12.869231101689474</v>
      </c>
      <c r="AS381" s="32">
        <f t="shared" si="102"/>
        <v>26.284888237309154</v>
      </c>
      <c r="AT381" s="33">
        <f t="shared" si="102"/>
        <v>0.35</v>
      </c>
      <c r="AU381" s="33">
        <f t="shared" si="102"/>
        <v>0.35</v>
      </c>
      <c r="AV381" s="34" t="e">
        <f t="shared" si="102"/>
        <v>#VALUE!</v>
      </c>
      <c r="AW381" s="34" t="e">
        <f t="shared" si="102"/>
        <v>#VALUE!</v>
      </c>
      <c r="AX381" s="35" t="e">
        <f t="shared" si="102"/>
        <v>#VALUE!</v>
      </c>
      <c r="AY381" s="35" t="e">
        <f t="shared" si="102"/>
        <v>#VALUE!</v>
      </c>
    </row>
    <row r="382" spans="6:51" x14ac:dyDescent="0.3">
      <c r="F382">
        <v>68</v>
      </c>
      <c r="G382" s="28"/>
      <c r="H382" s="28"/>
      <c r="I382" s="28"/>
      <c r="J382" s="28"/>
      <c r="K382" s="28"/>
      <c r="L382" s="29"/>
      <c r="M382" s="30"/>
      <c r="N382" s="31"/>
      <c r="O382" s="31"/>
      <c r="P382" s="32"/>
      <c r="Q382" s="32"/>
      <c r="R382" s="32"/>
      <c r="S382" s="33"/>
      <c r="T382" s="33"/>
      <c r="U382" s="34"/>
      <c r="V382" s="34"/>
      <c r="W382" s="35"/>
      <c r="X382" s="35"/>
      <c r="AG382">
        <f t="shared" si="103"/>
        <v>57.099042142728173</v>
      </c>
      <c r="AH382" s="28">
        <f t="shared" si="102"/>
        <v>2.1708675040520387</v>
      </c>
      <c r="AI382" s="28">
        <f t="shared" si="102"/>
        <v>4.0238680924248369</v>
      </c>
      <c r="AJ382" s="28">
        <f t="shared" si="102"/>
        <v>3.9460141166459026</v>
      </c>
      <c r="AK382" s="28">
        <f t="shared" si="102"/>
        <v>3.9960141119480745</v>
      </c>
      <c r="AL382" s="28">
        <f t="shared" si="102"/>
        <v>3.477497113124377</v>
      </c>
      <c r="AM382" s="29" t="e">
        <f t="shared" si="102"/>
        <v>#VALUE!</v>
      </c>
      <c r="AN382" s="30">
        <f t="shared" si="102"/>
        <v>3.5272375655146431</v>
      </c>
      <c r="AO382" s="31">
        <f t="shared" si="102"/>
        <v>1.2110596148458825</v>
      </c>
      <c r="AP382" s="31">
        <f t="shared" si="102"/>
        <v>1.2110596148458825</v>
      </c>
      <c r="AQ382" s="32">
        <f t="shared" si="102"/>
        <v>7.3908523208725887</v>
      </c>
      <c r="AR382" s="32">
        <f t="shared" si="102"/>
        <v>12.869231101689474</v>
      </c>
      <c r="AS382" s="32">
        <f t="shared" si="102"/>
        <v>26.284888237309154</v>
      </c>
      <c r="AT382" s="33">
        <f t="shared" si="102"/>
        <v>0.35</v>
      </c>
      <c r="AU382" s="33">
        <f t="shared" si="102"/>
        <v>0.35</v>
      </c>
      <c r="AV382" s="34" t="e">
        <f t="shared" si="102"/>
        <v>#VALUE!</v>
      </c>
      <c r="AW382" s="34" t="e">
        <f t="shared" si="102"/>
        <v>#VALUE!</v>
      </c>
      <c r="AX382" s="35" t="e">
        <f t="shared" si="102"/>
        <v>#VALUE!</v>
      </c>
      <c r="AY382" s="35" t="e">
        <f t="shared" si="102"/>
        <v>#VALUE!</v>
      </c>
    </row>
    <row r="383" spans="6:51" x14ac:dyDescent="0.3">
      <c r="F383">
        <v>69</v>
      </c>
      <c r="G383" s="28"/>
      <c r="H383" s="28"/>
      <c r="I383" s="28"/>
      <c r="J383" s="28"/>
      <c r="K383" s="28"/>
      <c r="L383" s="29"/>
      <c r="M383" s="30"/>
      <c r="N383" s="31"/>
      <c r="O383" s="31"/>
      <c r="P383" s="32"/>
      <c r="Q383" s="32"/>
      <c r="R383" s="32"/>
      <c r="S383" s="33"/>
      <c r="T383" s="33"/>
      <c r="U383" s="34"/>
      <c r="V383" s="34"/>
      <c r="W383" s="35"/>
      <c r="X383" s="35"/>
      <c r="AG383">
        <f t="shared" si="103"/>
        <v>57.275858549886756</v>
      </c>
      <c r="AH383" s="28">
        <f t="shared" si="102"/>
        <v>2.1708675042147583</v>
      </c>
      <c r="AI383" s="28">
        <f t="shared" si="102"/>
        <v>4.0238680925308223</v>
      </c>
      <c r="AJ383" s="28">
        <f t="shared" si="102"/>
        <v>3.9460141167288252</v>
      </c>
      <c r="AK383" s="28">
        <f t="shared" si="102"/>
        <v>3.9960141121757307</v>
      </c>
      <c r="AL383" s="28">
        <f t="shared" si="102"/>
        <v>3.4780073203634569</v>
      </c>
      <c r="AM383" s="29" t="e">
        <f t="shared" si="102"/>
        <v>#VALUE!</v>
      </c>
      <c r="AN383" s="30">
        <f t="shared" si="102"/>
        <v>3.5272667975895353</v>
      </c>
      <c r="AO383" s="31">
        <f t="shared" si="102"/>
        <v>1.2110596148458825</v>
      </c>
      <c r="AP383" s="31">
        <f t="shared" si="102"/>
        <v>1.2110596148458825</v>
      </c>
      <c r="AQ383" s="32">
        <f t="shared" si="102"/>
        <v>7.3908523208725887</v>
      </c>
      <c r="AR383" s="32">
        <f t="shared" si="102"/>
        <v>12.869231101689474</v>
      </c>
      <c r="AS383" s="32">
        <f t="shared" si="102"/>
        <v>26.284888237309154</v>
      </c>
      <c r="AT383" s="33">
        <f t="shared" si="102"/>
        <v>0.35</v>
      </c>
      <c r="AU383" s="33">
        <f t="shared" si="102"/>
        <v>0.35</v>
      </c>
      <c r="AV383" s="34" t="e">
        <f t="shared" si="102"/>
        <v>#VALUE!</v>
      </c>
      <c r="AW383" s="34" t="e">
        <f t="shared" si="102"/>
        <v>#VALUE!</v>
      </c>
      <c r="AX383" s="35" t="e">
        <f t="shared" si="102"/>
        <v>#VALUE!</v>
      </c>
      <c r="AY383" s="35" t="e">
        <f t="shared" si="102"/>
        <v>#VALUE!</v>
      </c>
    </row>
    <row r="384" spans="6:51" x14ac:dyDescent="0.3">
      <c r="F384">
        <v>70</v>
      </c>
      <c r="G384" s="28"/>
      <c r="H384" s="28"/>
      <c r="I384" s="28"/>
      <c r="J384" s="28"/>
      <c r="K384" s="28"/>
      <c r="L384" s="29"/>
      <c r="M384" s="30"/>
      <c r="N384" s="31"/>
      <c r="O384" s="31"/>
      <c r="P384" s="32"/>
      <c r="Q384" s="32"/>
      <c r="R384" s="32"/>
      <c r="S384" s="33"/>
      <c r="T384" s="33"/>
      <c r="U384" s="34"/>
      <c r="V384" s="34"/>
      <c r="W384" s="35"/>
      <c r="X384" s="35"/>
      <c r="AG384">
        <f t="shared" si="103"/>
        <v>57.43878713009709</v>
      </c>
      <c r="AH384" s="28">
        <f t="shared" si="102"/>
        <v>2.1708675043597845</v>
      </c>
      <c r="AI384" s="28">
        <f t="shared" si="102"/>
        <v>4.0238680926247214</v>
      </c>
      <c r="AJ384" s="28">
        <f t="shared" si="102"/>
        <v>3.9460141168017016</v>
      </c>
      <c r="AK384" s="28">
        <f t="shared" si="102"/>
        <v>3.9960141123777451</v>
      </c>
      <c r="AL384" s="28">
        <f t="shared" si="102"/>
        <v>3.478469378397163</v>
      </c>
      <c r="AM384" s="29" t="e">
        <f t="shared" si="102"/>
        <v>#VALUE!</v>
      </c>
      <c r="AN384" s="30">
        <f t="shared" si="102"/>
        <v>3.5272932182957453</v>
      </c>
      <c r="AO384" s="31">
        <f t="shared" si="102"/>
        <v>1.2110596148458825</v>
      </c>
      <c r="AP384" s="31">
        <f t="shared" si="102"/>
        <v>1.2110596148458825</v>
      </c>
      <c r="AQ384" s="32">
        <f t="shared" si="102"/>
        <v>7.3908523208725887</v>
      </c>
      <c r="AR384" s="32">
        <f t="shared" si="102"/>
        <v>12.869231101689474</v>
      </c>
      <c r="AS384" s="32">
        <f t="shared" si="102"/>
        <v>26.284888237309154</v>
      </c>
      <c r="AT384" s="33">
        <f t="shared" si="102"/>
        <v>0.35</v>
      </c>
      <c r="AU384" s="33">
        <f t="shared" si="102"/>
        <v>0.35</v>
      </c>
      <c r="AV384" s="34" t="e">
        <f t="shared" si="102"/>
        <v>#VALUE!</v>
      </c>
      <c r="AW384" s="34" t="e">
        <f t="shared" si="102"/>
        <v>#VALUE!</v>
      </c>
      <c r="AX384" s="35" t="e">
        <f t="shared" si="102"/>
        <v>#VALUE!</v>
      </c>
      <c r="AY384" s="35" t="e">
        <f t="shared" si="102"/>
        <v>#VALUE!</v>
      </c>
    </row>
    <row r="386" spans="3:52" x14ac:dyDescent="0.3">
      <c r="C386" t="s">
        <v>31</v>
      </c>
      <c r="D386">
        <v>1</v>
      </c>
      <c r="E386" t="s">
        <v>68</v>
      </c>
      <c r="F386">
        <v>0</v>
      </c>
      <c r="G386" s="28"/>
      <c r="H386" s="28"/>
      <c r="I386" s="28"/>
      <c r="J386" s="28"/>
      <c r="K386" s="28"/>
      <c r="L386" s="29"/>
      <c r="M386" s="30"/>
      <c r="N386" s="31"/>
      <c r="O386" s="31"/>
      <c r="P386" s="32"/>
      <c r="Q386" s="32"/>
      <c r="R386" s="32"/>
      <c r="S386" s="33"/>
      <c r="T386" s="33"/>
      <c r="U386" s="34"/>
      <c r="V386" s="34"/>
      <c r="W386" s="35"/>
      <c r="X386" s="35"/>
      <c r="AD386" t="s">
        <v>31</v>
      </c>
      <c r="AE386">
        <v>1</v>
      </c>
      <c r="AF386" t="s">
        <v>68</v>
      </c>
      <c r="AG386">
        <f>AE14</f>
        <v>4.9458521066739074</v>
      </c>
      <c r="AH386" s="28">
        <f>300*AH314*AH86</f>
        <v>115.92741655643253</v>
      </c>
      <c r="AI386" s="28">
        <f t="shared" ref="AI386:AY386" si="104">300*AI314*AI86</f>
        <v>6303.6038110297668</v>
      </c>
      <c r="AJ386" s="28">
        <f t="shared" si="104"/>
        <v>760.03767557550782</v>
      </c>
      <c r="AK386" s="28">
        <f t="shared" si="104"/>
        <v>6034.8985866692828</v>
      </c>
      <c r="AL386" s="28">
        <f t="shared" si="104"/>
        <v>165.32968817172303</v>
      </c>
      <c r="AM386" s="29" t="e">
        <f t="shared" si="104"/>
        <v>#VALUE!</v>
      </c>
      <c r="AN386" s="30">
        <f t="shared" si="104"/>
        <v>790.89754273369613</v>
      </c>
      <c r="AO386" s="31">
        <f t="shared" si="104"/>
        <v>346.38968236803197</v>
      </c>
      <c r="AP386" s="31">
        <f t="shared" si="104"/>
        <v>69.277936473606403</v>
      </c>
      <c r="AQ386" s="32">
        <f t="shared" si="104"/>
        <v>15559.575940449626</v>
      </c>
      <c r="AR386" s="32">
        <f t="shared" si="104"/>
        <v>10248.769080782173</v>
      </c>
      <c r="AS386" s="32">
        <f t="shared" si="104"/>
        <v>17991.02286171621</v>
      </c>
      <c r="AT386" s="33" t="e">
        <f t="shared" si="104"/>
        <v>#VALUE!</v>
      </c>
      <c r="AU386" s="33" t="e">
        <f t="shared" si="104"/>
        <v>#VALUE!</v>
      </c>
      <c r="AV386" s="34" t="e">
        <f t="shared" si="104"/>
        <v>#VALUE!</v>
      </c>
      <c r="AW386" s="34" t="e">
        <f t="shared" si="104"/>
        <v>#VALUE!</v>
      </c>
      <c r="AX386" s="35" t="e">
        <f t="shared" si="104"/>
        <v>#VALUE!</v>
      </c>
      <c r="AY386" s="35" t="e">
        <f t="shared" si="104"/>
        <v>#VALUE!</v>
      </c>
      <c r="AZ386" t="e">
        <f>NA()</f>
        <v>#N/A</v>
      </c>
    </row>
    <row r="387" spans="3:52" x14ac:dyDescent="0.3">
      <c r="D387">
        <v>2</v>
      </c>
      <c r="F387">
        <v>1</v>
      </c>
      <c r="G387" s="28"/>
      <c r="H387" s="28"/>
      <c r="I387" s="28"/>
      <c r="J387" s="28"/>
      <c r="K387" s="28"/>
      <c r="L387" s="29"/>
      <c r="M387" s="30"/>
      <c r="N387" s="31"/>
      <c r="O387" s="31"/>
      <c r="P387" s="32"/>
      <c r="Q387" s="32"/>
      <c r="R387" s="32"/>
      <c r="S387" s="33"/>
      <c r="T387" s="33"/>
      <c r="U387" s="34"/>
      <c r="V387" s="34"/>
      <c r="W387" s="35"/>
      <c r="X387" s="35"/>
      <c r="AE387">
        <v>2</v>
      </c>
      <c r="AG387">
        <f t="shared" ref="AG387:AG450" si="105">AE15</f>
        <v>5.2014595403979236</v>
      </c>
      <c r="AH387" s="28">
        <f t="shared" ref="AH387:AY401" si="106">300*AH315*AH87</f>
        <v>140.39205585245696</v>
      </c>
      <c r="AI387" s="28">
        <f t="shared" si="106"/>
        <v>6806.6028326944042</v>
      </c>
      <c r="AJ387" s="28">
        <f t="shared" si="106"/>
        <v>869.70420218737968</v>
      </c>
      <c r="AK387" s="28">
        <f t="shared" si="106"/>
        <v>6551.1514703597404</v>
      </c>
      <c r="AL387" s="28">
        <f t="shared" si="106"/>
        <v>195.57924479273868</v>
      </c>
      <c r="AM387" s="29" t="e">
        <f t="shared" si="106"/>
        <v>#VALUE!</v>
      </c>
      <c r="AN387" s="30">
        <f t="shared" si="106"/>
        <v>868.14034692293683</v>
      </c>
      <c r="AO387" s="31">
        <f t="shared" si="106"/>
        <v>373.73140290463277</v>
      </c>
      <c r="AP387" s="31">
        <f t="shared" si="106"/>
        <v>74.746280580926566</v>
      </c>
      <c r="AQ387" s="32">
        <f t="shared" si="106"/>
        <v>16533.235782534033</v>
      </c>
      <c r="AR387" s="32">
        <f t="shared" si="106"/>
        <v>11063.556564539833</v>
      </c>
      <c r="AS387" s="32">
        <f t="shared" si="106"/>
        <v>20482.82724052314</v>
      </c>
      <c r="AT387" s="33" t="e">
        <f t="shared" si="106"/>
        <v>#VALUE!</v>
      </c>
      <c r="AU387" s="33" t="e">
        <f t="shared" si="106"/>
        <v>#VALUE!</v>
      </c>
      <c r="AV387" s="34" t="e">
        <f t="shared" si="106"/>
        <v>#VALUE!</v>
      </c>
      <c r="AW387" s="34" t="e">
        <f t="shared" si="106"/>
        <v>#VALUE!</v>
      </c>
      <c r="AX387" s="35" t="e">
        <f t="shared" si="106"/>
        <v>#VALUE!</v>
      </c>
      <c r="AY387" s="35" t="e">
        <f t="shared" si="106"/>
        <v>#VALUE!</v>
      </c>
      <c r="AZ387" t="e">
        <f>NA()</f>
        <v>#N/A</v>
      </c>
    </row>
    <row r="388" spans="3:52" x14ac:dyDescent="0.3">
      <c r="D388">
        <v>3</v>
      </c>
      <c r="F388">
        <v>2</v>
      </c>
      <c r="G388" s="28"/>
      <c r="H388" s="28"/>
      <c r="I388" s="28"/>
      <c r="J388" s="28"/>
      <c r="K388" s="28"/>
      <c r="L388" s="29"/>
      <c r="M388" s="30"/>
      <c r="N388" s="31"/>
      <c r="O388" s="31"/>
      <c r="P388" s="32"/>
      <c r="Q388" s="32"/>
      <c r="R388" s="32"/>
      <c r="S388" s="33"/>
      <c r="T388" s="33"/>
      <c r="U388" s="34"/>
      <c r="V388" s="34"/>
      <c r="W388" s="35"/>
      <c r="X388" s="35"/>
      <c r="AE388">
        <v>3</v>
      </c>
      <c r="AG388">
        <f t="shared" si="105"/>
        <v>5.4702770658848543</v>
      </c>
      <c r="AH388" s="28">
        <f t="shared" si="106"/>
        <v>169.72863737007555</v>
      </c>
      <c r="AI388" s="28">
        <f t="shared" si="106"/>
        <v>7346.0636774827854</v>
      </c>
      <c r="AJ388" s="28">
        <f t="shared" si="106"/>
        <v>994.38670044780395</v>
      </c>
      <c r="AK388" s="28">
        <f t="shared" si="106"/>
        <v>7105.9341529699686</v>
      </c>
      <c r="AL388" s="28">
        <f t="shared" si="106"/>
        <v>230.98895884008502</v>
      </c>
      <c r="AM388" s="29" t="e">
        <f t="shared" si="106"/>
        <v>#VALUE!</v>
      </c>
      <c r="AN388" s="30">
        <f t="shared" si="106"/>
        <v>952.56347649981888</v>
      </c>
      <c r="AO388" s="31">
        <f t="shared" si="106"/>
        <v>403.13642336362449</v>
      </c>
      <c r="AP388" s="31">
        <f t="shared" si="106"/>
        <v>80.627284672724898</v>
      </c>
      <c r="AQ388" s="32">
        <f t="shared" si="106"/>
        <v>17563.574620865602</v>
      </c>
      <c r="AR388" s="32">
        <f t="shared" si="106"/>
        <v>11937.69351422716</v>
      </c>
      <c r="AS388" s="32">
        <f t="shared" si="106"/>
        <v>23284.7593511462</v>
      </c>
      <c r="AT388" s="33" t="e">
        <f t="shared" si="106"/>
        <v>#VALUE!</v>
      </c>
      <c r="AU388" s="33" t="e">
        <f t="shared" si="106"/>
        <v>#VALUE!</v>
      </c>
      <c r="AV388" s="34" t="e">
        <f t="shared" si="106"/>
        <v>#VALUE!</v>
      </c>
      <c r="AW388" s="34" t="e">
        <f t="shared" si="106"/>
        <v>#VALUE!</v>
      </c>
      <c r="AX388" s="35" t="e">
        <f t="shared" si="106"/>
        <v>#VALUE!</v>
      </c>
      <c r="AY388" s="35" t="e">
        <f t="shared" si="106"/>
        <v>#VALUE!</v>
      </c>
      <c r="AZ388" t="e">
        <f>NA()</f>
        <v>#N/A</v>
      </c>
    </row>
    <row r="389" spans="3:52" x14ac:dyDescent="0.3">
      <c r="D389">
        <v>4</v>
      </c>
      <c r="F389">
        <v>3</v>
      </c>
      <c r="G389" s="28"/>
      <c r="H389" s="28"/>
      <c r="I389" s="28"/>
      <c r="J389" s="28"/>
      <c r="K389" s="28"/>
      <c r="L389" s="29"/>
      <c r="M389" s="30"/>
      <c r="N389" s="31"/>
      <c r="O389" s="31"/>
      <c r="P389" s="32"/>
      <c r="Q389" s="32"/>
      <c r="R389" s="32"/>
      <c r="S389" s="33"/>
      <c r="T389" s="33"/>
      <c r="U389" s="34"/>
      <c r="V389" s="34"/>
      <c r="W389" s="35"/>
      <c r="X389" s="35"/>
      <c r="AE389">
        <v>4</v>
      </c>
      <c r="AG389">
        <f t="shared" si="105"/>
        <v>5.7529873961600746</v>
      </c>
      <c r="AH389" s="28">
        <f t="shared" si="106"/>
        <v>204.82858099372515</v>
      </c>
      <c r="AI389" s="28">
        <f t="shared" si="106"/>
        <v>7923.9549018659754</v>
      </c>
      <c r="AJ389" s="28">
        <f t="shared" si="106"/>
        <v>1135.977421315042</v>
      </c>
      <c r="AK389" s="28">
        <f t="shared" si="106"/>
        <v>7701.1031355410314</v>
      </c>
      <c r="AL389" s="28">
        <f t="shared" si="106"/>
        <v>272.34853559480075</v>
      </c>
      <c r="AM389" s="29" t="e">
        <f t="shared" si="106"/>
        <v>#VALUE!</v>
      </c>
      <c r="AN389" s="30">
        <f t="shared" si="106"/>
        <v>1044.7782386017175</v>
      </c>
      <c r="AO389" s="31">
        <f t="shared" si="106"/>
        <v>434.74764728309049</v>
      </c>
      <c r="AP389" s="31">
        <f t="shared" si="106"/>
        <v>86.949529456618095</v>
      </c>
      <c r="AQ389" s="32">
        <f t="shared" si="106"/>
        <v>18653.390817268246</v>
      </c>
      <c r="AR389" s="32">
        <f t="shared" si="106"/>
        <v>12874.766946771302</v>
      </c>
      <c r="AS389" s="32">
        <f t="shared" si="106"/>
        <v>26428.562273572497</v>
      </c>
      <c r="AT389" s="33" t="e">
        <f t="shared" si="106"/>
        <v>#VALUE!</v>
      </c>
      <c r="AU389" s="33" t="e">
        <f t="shared" si="106"/>
        <v>#VALUE!</v>
      </c>
      <c r="AV389" s="34" t="e">
        <f t="shared" si="106"/>
        <v>#VALUE!</v>
      </c>
      <c r="AW389" s="34" t="e">
        <f t="shared" si="106"/>
        <v>#VALUE!</v>
      </c>
      <c r="AX389" s="35" t="e">
        <f t="shared" si="106"/>
        <v>#VALUE!</v>
      </c>
      <c r="AY389" s="35" t="e">
        <f t="shared" si="106"/>
        <v>#VALUE!</v>
      </c>
      <c r="AZ389" t="e">
        <f>NA()</f>
        <v>#N/A</v>
      </c>
    </row>
    <row r="390" spans="3:52" x14ac:dyDescent="0.3">
      <c r="D390">
        <v>5</v>
      </c>
      <c r="F390">
        <v>4</v>
      </c>
      <c r="G390" s="28"/>
      <c r="H390" s="28"/>
      <c r="I390" s="28"/>
      <c r="J390" s="28"/>
      <c r="K390" s="28"/>
      <c r="L390" s="29"/>
      <c r="M390" s="30"/>
      <c r="N390" s="31"/>
      <c r="O390" s="31"/>
      <c r="P390" s="32"/>
      <c r="Q390" s="32"/>
      <c r="R390" s="32"/>
      <c r="S390" s="33"/>
      <c r="T390" s="33"/>
      <c r="U390" s="34"/>
      <c r="V390" s="34"/>
      <c r="W390" s="35"/>
      <c r="X390" s="35"/>
      <c r="AE390">
        <v>5</v>
      </c>
      <c r="AG390">
        <f t="shared" si="105"/>
        <v>6.0503085276582826</v>
      </c>
      <c r="AH390" s="28">
        <f t="shared" si="106"/>
        <v>246.72562633910871</v>
      </c>
      <c r="AI390" s="28">
        <f t="shared" si="106"/>
        <v>8542.2742564443815</v>
      </c>
      <c r="AJ390" s="28">
        <f t="shared" si="106"/>
        <v>1296.5743191984711</v>
      </c>
      <c r="AK390" s="28">
        <f t="shared" si="106"/>
        <v>8338.4933846884687</v>
      </c>
      <c r="AL390" s="28">
        <f t="shared" si="106"/>
        <v>320.5472037493065</v>
      </c>
      <c r="AM390" s="29" t="e">
        <f t="shared" si="106"/>
        <v>#VALUE!</v>
      </c>
      <c r="AN390" s="30">
        <f t="shared" si="106"/>
        <v>1145.4393312942113</v>
      </c>
      <c r="AO390" s="31">
        <f t="shared" si="106"/>
        <v>468.7161435305029</v>
      </c>
      <c r="AP390" s="31">
        <f t="shared" si="106"/>
        <v>93.743228706100595</v>
      </c>
      <c r="AQ390" s="32">
        <f t="shared" si="106"/>
        <v>19805.560859423607</v>
      </c>
      <c r="AR390" s="32">
        <f t="shared" si="106"/>
        <v>13878.479948823622</v>
      </c>
      <c r="AS390" s="32">
        <f t="shared" si="106"/>
        <v>29947.911843788363</v>
      </c>
      <c r="AT390" s="33" t="e">
        <f t="shared" si="106"/>
        <v>#VALUE!</v>
      </c>
      <c r="AU390" s="33" t="e">
        <f t="shared" si="106"/>
        <v>#VALUE!</v>
      </c>
      <c r="AV390" s="34" t="e">
        <f t="shared" si="106"/>
        <v>#VALUE!</v>
      </c>
      <c r="AW390" s="34" t="e">
        <f t="shared" si="106"/>
        <v>#VALUE!</v>
      </c>
      <c r="AX390" s="35" t="e">
        <f t="shared" si="106"/>
        <v>#VALUE!</v>
      </c>
      <c r="AY390" s="35" t="e">
        <f t="shared" si="106"/>
        <v>#VALUE!</v>
      </c>
      <c r="AZ390" t="e">
        <f>NA()</f>
        <v>#N/A</v>
      </c>
    </row>
    <row r="391" spans="3:52" x14ac:dyDescent="0.3">
      <c r="D391">
        <v>6</v>
      </c>
      <c r="F391">
        <v>5</v>
      </c>
      <c r="G391" s="28"/>
      <c r="H391" s="28"/>
      <c r="I391" s="28"/>
      <c r="J391" s="28"/>
      <c r="K391" s="28"/>
      <c r="L391" s="29"/>
      <c r="M391" s="30"/>
      <c r="N391" s="31"/>
      <c r="O391" s="31"/>
      <c r="P391" s="32"/>
      <c r="Q391" s="32"/>
      <c r="R391" s="32"/>
      <c r="S391" s="33"/>
      <c r="T391" s="33"/>
      <c r="U391" s="34"/>
      <c r="V391" s="34"/>
      <c r="W391" s="35"/>
      <c r="X391" s="35"/>
      <c r="AE391">
        <v>6</v>
      </c>
      <c r="AG391">
        <f t="shared" si="105"/>
        <v>6.3629955637114666</v>
      </c>
      <c r="AH391" s="28">
        <f t="shared" si="106"/>
        <v>296.61319395540215</v>
      </c>
      <c r="AI391" s="28">
        <f t="shared" si="106"/>
        <v>9203.047108094981</v>
      </c>
      <c r="AJ391" s="28">
        <f t="shared" si="106"/>
        <v>1478.4968882385492</v>
      </c>
      <c r="AK391" s="28">
        <f t="shared" si="106"/>
        <v>9019.916777170376</v>
      </c>
      <c r="AL391" s="28">
        <f t="shared" si="106"/>
        <v>376.58130431385968</v>
      </c>
      <c r="AM391" s="29" t="e">
        <f t="shared" si="106"/>
        <v>#VALUE!</v>
      </c>
      <c r="AN391" s="30">
        <f t="shared" si="106"/>
        <v>1255.2465658527335</v>
      </c>
      <c r="AO391" s="31">
        <f t="shared" si="106"/>
        <v>505.20137180423069</v>
      </c>
      <c r="AP391" s="31">
        <f t="shared" si="106"/>
        <v>101.04027436084614</v>
      </c>
      <c r="AQ391" s="32">
        <f t="shared" si="106"/>
        <v>21023.033670933168</v>
      </c>
      <c r="AR391" s="32">
        <f t="shared" si="106"/>
        <v>14952.640409923402</v>
      </c>
      <c r="AS391" s="32">
        <f t="shared" si="106"/>
        <v>33878.27215820452</v>
      </c>
      <c r="AT391" s="33" t="e">
        <f t="shared" si="106"/>
        <v>#VALUE!</v>
      </c>
      <c r="AU391" s="33" t="e">
        <f t="shared" si="106"/>
        <v>#VALUE!</v>
      </c>
      <c r="AV391" s="34" t="e">
        <f t="shared" si="106"/>
        <v>#VALUE!</v>
      </c>
      <c r="AW391" s="34" t="e">
        <f t="shared" si="106"/>
        <v>#VALUE!</v>
      </c>
      <c r="AX391" s="35" t="e">
        <f t="shared" si="106"/>
        <v>#VALUE!</v>
      </c>
      <c r="AY391" s="35" t="e">
        <f t="shared" si="106"/>
        <v>#VALUE!</v>
      </c>
      <c r="AZ391" t="e">
        <f>NA()</f>
        <v>#N/A</v>
      </c>
    </row>
    <row r="392" spans="3:52" x14ac:dyDescent="0.3">
      <c r="D392">
        <v>7</v>
      </c>
      <c r="F392">
        <v>6</v>
      </c>
      <c r="G392" s="28"/>
      <c r="H392" s="28"/>
      <c r="I392" s="28"/>
      <c r="J392" s="28"/>
      <c r="K392" s="28"/>
      <c r="L392" s="29"/>
      <c r="M392" s="30"/>
      <c r="N392" s="31"/>
      <c r="O392" s="31"/>
      <c r="P392" s="32"/>
      <c r="Q392" s="32"/>
      <c r="R392" s="32"/>
      <c r="S392" s="33"/>
      <c r="T392" s="33"/>
      <c r="U392" s="34"/>
      <c r="V392" s="34"/>
      <c r="W392" s="35"/>
      <c r="X392" s="35"/>
      <c r="AE392">
        <v>7</v>
      </c>
      <c r="AG392">
        <f t="shared" si="105"/>
        <v>6.6918426322768392</v>
      </c>
      <c r="AH392" s="28">
        <f t="shared" si="106"/>
        <v>355.86247710744129</v>
      </c>
      <c r="AI392" s="28">
        <f t="shared" si="106"/>
        <v>9908.326644617513</v>
      </c>
      <c r="AJ392" s="28">
        <f t="shared" si="106"/>
        <v>1684.3018644151471</v>
      </c>
      <c r="AK392" s="28">
        <f t="shared" si="106"/>
        <v>9747.164354523813</v>
      </c>
      <c r="AL392" s="28">
        <f t="shared" si="106"/>
        <v>441.5612535430252</v>
      </c>
      <c r="AM392" s="29" t="e">
        <f t="shared" si="106"/>
        <v>#VALUE!</v>
      </c>
      <c r="AN392" s="30">
        <f t="shared" si="106"/>
        <v>1374.9464228799741</v>
      </c>
      <c r="AO392" s="31">
        <f t="shared" si="106"/>
        <v>544.37137647272914</v>
      </c>
      <c r="AP392" s="31">
        <f t="shared" si="106"/>
        <v>108.87427529454582</v>
      </c>
      <c r="AQ392" s="32">
        <f t="shared" si="106"/>
        <v>22308.823618389564</v>
      </c>
      <c r="AR392" s="32">
        <f t="shared" si="106"/>
        <v>16101.14697271283</v>
      </c>
      <c r="AS392" s="32">
        <f t="shared" si="106"/>
        <v>38256.68539070616</v>
      </c>
      <c r="AT392" s="33" t="e">
        <f t="shared" si="106"/>
        <v>#VALUE!</v>
      </c>
      <c r="AU392" s="33" t="e">
        <f t="shared" si="106"/>
        <v>#VALUE!</v>
      </c>
      <c r="AV392" s="34" t="e">
        <f t="shared" si="106"/>
        <v>#VALUE!</v>
      </c>
      <c r="AW392" s="34" t="e">
        <f t="shared" si="106"/>
        <v>#VALUE!</v>
      </c>
      <c r="AX392" s="35" t="e">
        <f t="shared" si="106"/>
        <v>#VALUE!</v>
      </c>
      <c r="AY392" s="35" t="e">
        <f t="shared" si="106"/>
        <v>#VALUE!</v>
      </c>
      <c r="AZ392" t="e">
        <f>NA()</f>
        <v>#N/A</v>
      </c>
    </row>
    <row r="393" spans="3:52" x14ac:dyDescent="0.3">
      <c r="D393">
        <v>8</v>
      </c>
      <c r="F393">
        <v>7</v>
      </c>
      <c r="G393" s="28"/>
      <c r="H393" s="28"/>
      <c r="I393" s="28"/>
      <c r="J393" s="28"/>
      <c r="K393" s="28"/>
      <c r="L393" s="29"/>
      <c r="M393" s="30"/>
      <c r="N393" s="31"/>
      <c r="O393" s="31"/>
      <c r="P393" s="32"/>
      <c r="Q393" s="32"/>
      <c r="R393" s="32"/>
      <c r="S393" s="33"/>
      <c r="T393" s="33"/>
      <c r="U393" s="34"/>
      <c r="V393" s="34"/>
      <c r="W393" s="35"/>
      <c r="X393" s="35"/>
      <c r="AE393">
        <v>8</v>
      </c>
      <c r="AG393">
        <f t="shared" si="105"/>
        <v>7.0376849027752071</v>
      </c>
      <c r="AH393" s="28">
        <f t="shared" si="106"/>
        <v>426.04088831661682</v>
      </c>
      <c r="AI393" s="28">
        <f t="shared" si="106"/>
        <v>10660.196026920637</v>
      </c>
      <c r="AJ393" s="28">
        <f t="shared" si="106"/>
        <v>1916.7984382156048</v>
      </c>
      <c r="AK393" s="28">
        <f t="shared" si="106"/>
        <v>10522.012687362592</v>
      </c>
      <c r="AL393" s="28">
        <f t="shared" si="106"/>
        <v>516.71750347442276</v>
      </c>
      <c r="AM393" s="29" t="e">
        <f t="shared" si="106"/>
        <v>#VALUE!</v>
      </c>
      <c r="AN393" s="30">
        <f t="shared" si="106"/>
        <v>1505.3333903204273</v>
      </c>
      <c r="AO393" s="31">
        <f t="shared" si="106"/>
        <v>586.40294141469315</v>
      </c>
      <c r="AP393" s="31">
        <f t="shared" si="106"/>
        <v>117.28058828293864</v>
      </c>
      <c r="AQ393" s="32">
        <f t="shared" si="106"/>
        <v>23666.00207983236</v>
      </c>
      <c r="AR393" s="32">
        <f t="shared" si="106"/>
        <v>17327.971906208841</v>
      </c>
      <c r="AS393" s="32">
        <f t="shared" si="106"/>
        <v>43121.487013686499</v>
      </c>
      <c r="AT393" s="33" t="e">
        <f t="shared" si="106"/>
        <v>#VALUE!</v>
      </c>
      <c r="AU393" s="33" t="e">
        <f t="shared" si="106"/>
        <v>#VALUE!</v>
      </c>
      <c r="AV393" s="34" t="e">
        <f t="shared" si="106"/>
        <v>#VALUE!</v>
      </c>
      <c r="AW393" s="34" t="e">
        <f t="shared" si="106"/>
        <v>#VALUE!</v>
      </c>
      <c r="AX393" s="35" t="e">
        <f t="shared" si="106"/>
        <v>#VALUE!</v>
      </c>
      <c r="AY393" s="35" t="e">
        <f t="shared" si="106"/>
        <v>#VALUE!</v>
      </c>
      <c r="AZ393" t="e">
        <f>NA()</f>
        <v>#N/A</v>
      </c>
    </row>
    <row r="394" spans="3:52" x14ac:dyDescent="0.3">
      <c r="D394">
        <v>9</v>
      </c>
      <c r="F394">
        <v>8</v>
      </c>
      <c r="G394" s="28"/>
      <c r="H394" s="28"/>
      <c r="I394" s="28"/>
      <c r="J394" s="28"/>
      <c r="K394" s="28"/>
      <c r="L394" s="29"/>
      <c r="M394" s="30"/>
      <c r="N394" s="31"/>
      <c r="O394" s="31"/>
      <c r="P394" s="32"/>
      <c r="Q394" s="32"/>
      <c r="R394" s="32"/>
      <c r="S394" s="33"/>
      <c r="T394" s="33"/>
      <c r="U394" s="34"/>
      <c r="V394" s="34"/>
      <c r="W394" s="35"/>
      <c r="X394" s="35"/>
      <c r="AE394">
        <v>9</v>
      </c>
      <c r="AG394">
        <f t="shared" si="105"/>
        <v>7.4014007071619208</v>
      </c>
      <c r="AH394" s="28">
        <f t="shared" si="106"/>
        <v>513.60090089771825</v>
      </c>
      <c r="AI394" s="28">
        <f t="shared" si="106"/>
        <v>11460.772487674749</v>
      </c>
      <c r="AJ394" s="28">
        <f t="shared" si="106"/>
        <v>2179.0625450689936</v>
      </c>
      <c r="AK394" s="28">
        <f t="shared" si="106"/>
        <v>11346.234346105612</v>
      </c>
      <c r="AL394" s="28">
        <f t="shared" si="106"/>
        <v>603.40505397947504</v>
      </c>
      <c r="AM394" s="29" t="e">
        <f t="shared" si="106"/>
        <v>#VALUE!</v>
      </c>
      <c r="AN394" s="30">
        <f t="shared" si="106"/>
        <v>1647.2510242613441</v>
      </c>
      <c r="AO394" s="31">
        <f t="shared" si="106"/>
        <v>631.4816976494991</v>
      </c>
      <c r="AP394" s="31">
        <f t="shared" si="106"/>
        <v>126.29633952989984</v>
      </c>
      <c r="AQ394" s="32">
        <f t="shared" si="106"/>
        <v>25097.687433051153</v>
      </c>
      <c r="AR394" s="32">
        <f t="shared" si="106"/>
        <v>18637.14060378278</v>
      </c>
      <c r="AS394" s="32">
        <f t="shared" si="106"/>
        <v>48511.937869753376</v>
      </c>
      <c r="AT394" s="33" t="e">
        <f t="shared" si="106"/>
        <v>#VALUE!</v>
      </c>
      <c r="AU394" s="33" t="e">
        <f t="shared" si="106"/>
        <v>#VALUE!</v>
      </c>
      <c r="AV394" s="34" t="e">
        <f t="shared" si="106"/>
        <v>#VALUE!</v>
      </c>
      <c r="AW394" s="34" t="e">
        <f t="shared" si="106"/>
        <v>#VALUE!</v>
      </c>
      <c r="AX394" s="35" t="e">
        <f t="shared" si="106"/>
        <v>#VALUE!</v>
      </c>
      <c r="AY394" s="35" t="e">
        <f t="shared" si="106"/>
        <v>#VALUE!</v>
      </c>
      <c r="AZ394" t="e">
        <f>NA()</f>
        <v>#N/A</v>
      </c>
    </row>
    <row r="395" spans="3:52" x14ac:dyDescent="0.3">
      <c r="D395">
        <v>10</v>
      </c>
      <c r="F395">
        <v>9</v>
      </c>
      <c r="G395" s="28"/>
      <c r="H395" s="28"/>
      <c r="I395" s="28"/>
      <c r="J395" s="28"/>
      <c r="K395" s="28"/>
      <c r="L395" s="29"/>
      <c r="M395" s="30"/>
      <c r="N395" s="31"/>
      <c r="O395" s="31"/>
      <c r="P395" s="32"/>
      <c r="Q395" s="32"/>
      <c r="R395" s="32"/>
      <c r="S395" s="33"/>
      <c r="T395" s="33"/>
      <c r="U395" s="34"/>
      <c r="V395" s="34"/>
      <c r="W395" s="35"/>
      <c r="X395" s="35"/>
      <c r="AE395">
        <v>10</v>
      </c>
      <c r="AG395">
        <f t="shared" si="105"/>
        <v>7.7839137706172403</v>
      </c>
      <c r="AH395" s="28">
        <f t="shared" si="106"/>
        <v>628.25227552964668</v>
      </c>
      <c r="AI395" s="28">
        <f t="shared" si="106"/>
        <v>12312.213166494234</v>
      </c>
      <c r="AJ395" s="28">
        <f t="shared" si="106"/>
        <v>2474.4497155595436</v>
      </c>
      <c r="AK395" s="28">
        <f t="shared" si="106"/>
        <v>12221.61210314567</v>
      </c>
      <c r="AL395" s="28">
        <f t="shared" si="106"/>
        <v>703.10599963127697</v>
      </c>
      <c r="AM395" s="29" t="e">
        <f t="shared" si="106"/>
        <v>#VALUE!</v>
      </c>
      <c r="AN395" s="30">
        <f t="shared" si="106"/>
        <v>1801.5926658149258</v>
      </c>
      <c r="AO395" s="31">
        <f t="shared" si="106"/>
        <v>679.80217462395171</v>
      </c>
      <c r="AP395" s="31">
        <f t="shared" si="106"/>
        <v>135.96043492479038</v>
      </c>
      <c r="AQ395" s="32">
        <f t="shared" si="106"/>
        <v>26607.033317365836</v>
      </c>
      <c r="AR395" s="32">
        <f t="shared" si="106"/>
        <v>20032.707408633785</v>
      </c>
      <c r="AS395" s="32">
        <f t="shared" si="106"/>
        <v>54467.76534224912</v>
      </c>
      <c r="AT395" s="33" t="e">
        <f t="shared" si="106"/>
        <v>#VALUE!</v>
      </c>
      <c r="AU395" s="33" t="e">
        <f t="shared" si="106"/>
        <v>#VALUE!</v>
      </c>
      <c r="AV395" s="34" t="e">
        <f t="shared" si="106"/>
        <v>#VALUE!</v>
      </c>
      <c r="AW395" s="34" t="e">
        <f t="shared" si="106"/>
        <v>#VALUE!</v>
      </c>
      <c r="AX395" s="35" t="e">
        <f t="shared" si="106"/>
        <v>#VALUE!</v>
      </c>
      <c r="AY395" s="35" t="e">
        <f t="shared" si="106"/>
        <v>#VALUE!</v>
      </c>
      <c r="AZ395" t="e">
        <f>NA()</f>
        <v>#N/A</v>
      </c>
    </row>
    <row r="396" spans="3:52" x14ac:dyDescent="0.3">
      <c r="D396">
        <v>11</v>
      </c>
      <c r="F396">
        <v>10</v>
      </c>
      <c r="G396" s="28"/>
      <c r="H396" s="28"/>
      <c r="I396" s="28"/>
      <c r="J396" s="28"/>
      <c r="K396" s="28"/>
      <c r="L396" s="29"/>
      <c r="M396" s="30"/>
      <c r="N396" s="31"/>
      <c r="O396" s="31"/>
      <c r="P396" s="32"/>
      <c r="Q396" s="32"/>
      <c r="R396" s="32"/>
      <c r="S396" s="33"/>
      <c r="T396" s="33"/>
      <c r="U396" s="34"/>
      <c r="V396" s="34"/>
      <c r="W396" s="35"/>
      <c r="X396" s="35"/>
      <c r="AE396">
        <v>11</v>
      </c>
      <c r="AG396">
        <f t="shared" si="105"/>
        <v>8.1861955575214029</v>
      </c>
      <c r="AH396" s="28">
        <f t="shared" si="106"/>
        <v>768.23248500352997</v>
      </c>
      <c r="AI396" s="28">
        <f t="shared" si="106"/>
        <v>13216.722231659371</v>
      </c>
      <c r="AJ396" s="28">
        <f t="shared" si="106"/>
        <v>2806.605875514158</v>
      </c>
      <c r="AK396" s="28">
        <f t="shared" si="106"/>
        <v>13149.956074089991</v>
      </c>
      <c r="AL396" s="28">
        <f t="shared" si="106"/>
        <v>817.42952676089919</v>
      </c>
      <c r="AM396" s="29" t="e">
        <f t="shared" si="106"/>
        <v>#VALUE!</v>
      </c>
      <c r="AN396" s="30">
        <f t="shared" si="106"/>
        <v>1969.3017394447352</v>
      </c>
      <c r="AO396" s="31">
        <f t="shared" si="106"/>
        <v>731.56778505572072</v>
      </c>
      <c r="AP396" s="31">
        <f t="shared" si="106"/>
        <v>146.31355701114416</v>
      </c>
      <c r="AQ396" s="32">
        <f t="shared" si="106"/>
        <v>28197.21501910135</v>
      </c>
      <c r="AR396" s="32">
        <f t="shared" si="106"/>
        <v>21518.727477473705</v>
      </c>
      <c r="AS396" s="32">
        <f t="shared" si="106"/>
        <v>61028.607208228183</v>
      </c>
      <c r="AT396" s="33" t="e">
        <f t="shared" si="106"/>
        <v>#VALUE!</v>
      </c>
      <c r="AU396" s="33" t="e">
        <f t="shared" si="106"/>
        <v>#VALUE!</v>
      </c>
      <c r="AV396" s="34" t="e">
        <f t="shared" si="106"/>
        <v>#VALUE!</v>
      </c>
      <c r="AW396" s="34" t="e">
        <f t="shared" si="106"/>
        <v>#VALUE!</v>
      </c>
      <c r="AX396" s="35" t="e">
        <f t="shared" si="106"/>
        <v>#VALUE!</v>
      </c>
      <c r="AY396" s="35" t="e">
        <f t="shared" si="106"/>
        <v>#VALUE!</v>
      </c>
      <c r="AZ396" t="e">
        <f>NA()</f>
        <v>#N/A</v>
      </c>
    </row>
    <row r="397" spans="3:52" x14ac:dyDescent="0.3">
      <c r="D397">
        <v>12</v>
      </c>
      <c r="F397">
        <v>11</v>
      </c>
      <c r="G397" s="28"/>
      <c r="H397" s="28"/>
      <c r="I397" s="28"/>
      <c r="J397" s="28"/>
      <c r="K397" s="28"/>
      <c r="L397" s="29"/>
      <c r="M397" s="30"/>
      <c r="N397" s="31"/>
      <c r="O397" s="31"/>
      <c r="P397" s="32"/>
      <c r="Q397" s="32"/>
      <c r="R397" s="32"/>
      <c r="S397" s="33"/>
      <c r="T397" s="33"/>
      <c r="U397" s="34"/>
      <c r="V397" s="34"/>
      <c r="W397" s="35"/>
      <c r="X397" s="35"/>
      <c r="AE397">
        <v>12</v>
      </c>
      <c r="AG397">
        <f t="shared" si="105"/>
        <v>8.6092677386724414</v>
      </c>
      <c r="AH397" s="28">
        <f t="shared" si="106"/>
        <v>938.71541919542392</v>
      </c>
      <c r="AI397" s="28">
        <f t="shared" si="106"/>
        <v>14176.558585655654</v>
      </c>
      <c r="AJ397" s="28">
        <f t="shared" si="106"/>
        <v>3179.4753889634826</v>
      </c>
      <c r="AK397" s="28">
        <f t="shared" si="106"/>
        <v>14133.122577691911</v>
      </c>
      <c r="AL397" s="28">
        <f t="shared" si="106"/>
        <v>948.10871544086683</v>
      </c>
      <c r="AM397" s="29" t="e">
        <f t="shared" si="106"/>
        <v>#VALUE!</v>
      </c>
      <c r="AN397" s="30">
        <f t="shared" si="106"/>
        <v>2151.3715499483314</v>
      </c>
      <c r="AO397" s="31">
        <f t="shared" si="106"/>
        <v>786.99073223568655</v>
      </c>
      <c r="AP397" s="31">
        <f t="shared" si="106"/>
        <v>157.39814644713732</v>
      </c>
      <c r="AQ397" s="32">
        <f t="shared" si="106"/>
        <v>29871.413829370031</v>
      </c>
      <c r="AR397" s="32">
        <f t="shared" si="106"/>
        <v>23099.224409311675</v>
      </c>
      <c r="AS397" s="32">
        <f t="shared" si="106"/>
        <v>68233.353711080839</v>
      </c>
      <c r="AT397" s="33" t="e">
        <f t="shared" si="106"/>
        <v>#VALUE!</v>
      </c>
      <c r="AU397" s="33" t="e">
        <f t="shared" si="106"/>
        <v>#VALUE!</v>
      </c>
      <c r="AV397" s="34" t="e">
        <f t="shared" si="106"/>
        <v>#VALUE!</v>
      </c>
      <c r="AW397" s="34" t="e">
        <f t="shared" si="106"/>
        <v>#VALUE!</v>
      </c>
      <c r="AX397" s="35" t="e">
        <f t="shared" si="106"/>
        <v>#VALUE!</v>
      </c>
      <c r="AY397" s="35" t="e">
        <f t="shared" si="106"/>
        <v>#VALUE!</v>
      </c>
      <c r="AZ397" t="e">
        <f>NA()</f>
        <v>#N/A</v>
      </c>
    </row>
    <row r="398" spans="3:52" x14ac:dyDescent="0.3">
      <c r="D398">
        <v>13</v>
      </c>
      <c r="F398">
        <v>12</v>
      </c>
      <c r="G398" s="28"/>
      <c r="H398" s="28"/>
      <c r="I398" s="28"/>
      <c r="J398" s="28"/>
      <c r="K398" s="28"/>
      <c r="L398" s="29"/>
      <c r="M398" s="30"/>
      <c r="N398" s="31"/>
      <c r="O398" s="31"/>
      <c r="P398" s="32"/>
      <c r="Q398" s="32"/>
      <c r="R398" s="32"/>
      <c r="S398" s="33"/>
      <c r="T398" s="33"/>
      <c r="U398" s="34"/>
      <c r="V398" s="34"/>
      <c r="W398" s="35"/>
      <c r="X398" s="35"/>
      <c r="AE398">
        <v>13</v>
      </c>
      <c r="AG398">
        <f t="shared" si="105"/>
        <v>9.0542047860126846</v>
      </c>
      <c r="AH398" s="28">
        <f t="shared" si="106"/>
        <v>1145.6212228187389</v>
      </c>
      <c r="AI398" s="28">
        <f t="shared" si="106"/>
        <v>15194.04321113169</v>
      </c>
      <c r="AJ398" s="28">
        <f t="shared" si="106"/>
        <v>3597.3055369820363</v>
      </c>
      <c r="AK398" s="28">
        <f t="shared" si="106"/>
        <v>15173.033100223012</v>
      </c>
      <c r="AL398" s="28">
        <f t="shared" si="106"/>
        <v>1096.9934535792013</v>
      </c>
      <c r="AM398" s="29" t="e">
        <f t="shared" si="106"/>
        <v>#VALUE!</v>
      </c>
      <c r="AN398" s="30">
        <f t="shared" si="106"/>
        <v>2348.8444870960006</v>
      </c>
      <c r="AO398" s="31">
        <f t="shared" si="106"/>
        <v>846.29182767384202</v>
      </c>
      <c r="AP398" s="31">
        <f t="shared" si="106"/>
        <v>169.25836553476844</v>
      </c>
      <c r="AQ398" s="32">
        <f t="shared" si="106"/>
        <v>31632.799223421982</v>
      </c>
      <c r="AR398" s="32">
        <f t="shared" si="106"/>
        <v>24778.153392201017</v>
      </c>
      <c r="AS398" s="32">
        <f t="shared" si="106"/>
        <v>76119.386034620329</v>
      </c>
      <c r="AT398" s="33" t="e">
        <f t="shared" si="106"/>
        <v>#VALUE!</v>
      </c>
      <c r="AU398" s="33" t="e">
        <f t="shared" si="106"/>
        <v>#VALUE!</v>
      </c>
      <c r="AV398" s="34" t="e">
        <f t="shared" si="106"/>
        <v>#VALUE!</v>
      </c>
      <c r="AW398" s="34" t="e">
        <f t="shared" si="106"/>
        <v>#VALUE!</v>
      </c>
      <c r="AX398" s="35" t="e">
        <f t="shared" si="106"/>
        <v>#VALUE!</v>
      </c>
      <c r="AY398" s="35" t="e">
        <f t="shared" si="106"/>
        <v>#VALUE!</v>
      </c>
      <c r="AZ398" t="e">
        <f>NA()</f>
        <v>#N/A</v>
      </c>
    </row>
    <row r="399" spans="3:52" x14ac:dyDescent="0.3">
      <c r="D399">
        <v>14</v>
      </c>
      <c r="F399">
        <v>13</v>
      </c>
      <c r="G399" s="28"/>
      <c r="H399" s="28"/>
      <c r="I399" s="28"/>
      <c r="J399" s="28"/>
      <c r="K399" s="28"/>
      <c r="L399" s="29"/>
      <c r="M399" s="30"/>
      <c r="N399" s="31"/>
      <c r="O399" s="31"/>
      <c r="P399" s="32"/>
      <c r="Q399" s="32"/>
      <c r="R399" s="32"/>
      <c r="S399" s="33"/>
      <c r="T399" s="33"/>
      <c r="U399" s="34"/>
      <c r="V399" s="34"/>
      <c r="W399" s="35"/>
      <c r="X399" s="35"/>
      <c r="AE399">
        <v>14</v>
      </c>
      <c r="AG399">
        <f t="shared" si="105"/>
        <v>9.5221367014538032</v>
      </c>
      <c r="AH399" s="28">
        <f t="shared" si="106"/>
        <v>1395.5670725661967</v>
      </c>
      <c r="AI399" s="28">
        <f t="shared" si="106"/>
        <v>16271.565014213886</v>
      </c>
      <c r="AJ399" s="28">
        <f t="shared" si="106"/>
        <v>4176.7960521345876</v>
      </c>
      <c r="AK399" s="28">
        <f t="shared" si="106"/>
        <v>16271.691440742014</v>
      </c>
      <c r="AL399" s="28">
        <f t="shared" si="106"/>
        <v>1266.0387427241308</v>
      </c>
      <c r="AM399" s="29" t="e">
        <f t="shared" si="106"/>
        <v>#VALUE!</v>
      </c>
      <c r="AN399" s="30">
        <f t="shared" si="106"/>
        <v>2562.8105388561812</v>
      </c>
      <c r="AO399" s="31">
        <f t="shared" si="106"/>
        <v>909.70020595342407</v>
      </c>
      <c r="AP399" s="31">
        <f t="shared" si="106"/>
        <v>181.94004119068487</v>
      </c>
      <c r="AQ399" s="32">
        <f t="shared" si="106"/>
        <v>33484.508714223652</v>
      </c>
      <c r="AR399" s="32">
        <f t="shared" si="106"/>
        <v>26559.359658252608</v>
      </c>
      <c r="AS399" s="32">
        <f t="shared" si="106"/>
        <v>84721.712749665749</v>
      </c>
      <c r="AT399" s="33" t="e">
        <f t="shared" si="106"/>
        <v>#VALUE!</v>
      </c>
      <c r="AU399" s="33" t="e">
        <f t="shared" si="106"/>
        <v>#VALUE!</v>
      </c>
      <c r="AV399" s="34" t="e">
        <f t="shared" si="106"/>
        <v>#VALUE!</v>
      </c>
      <c r="AW399" s="34" t="e">
        <f t="shared" si="106"/>
        <v>#VALUE!</v>
      </c>
      <c r="AX399" s="35" t="e">
        <f t="shared" si="106"/>
        <v>#VALUE!</v>
      </c>
      <c r="AY399" s="35" t="e">
        <f t="shared" si="106"/>
        <v>#VALUE!</v>
      </c>
      <c r="AZ399" t="e">
        <f>NA()</f>
        <v>#N/A</v>
      </c>
    </row>
    <row r="400" spans="3:52" x14ac:dyDescent="0.3">
      <c r="D400">
        <v>15</v>
      </c>
      <c r="F400">
        <v>14</v>
      </c>
      <c r="G400" s="28"/>
      <c r="H400" s="28"/>
      <c r="I400" s="28"/>
      <c r="J400" s="28"/>
      <c r="K400" s="28"/>
      <c r="L400" s="29"/>
      <c r="M400" s="30"/>
      <c r="N400" s="31"/>
      <c r="O400" s="31"/>
      <c r="P400" s="32"/>
      <c r="Q400" s="32"/>
      <c r="R400" s="32"/>
      <c r="S400" s="33"/>
      <c r="T400" s="33"/>
      <c r="U400" s="34"/>
      <c r="V400" s="34"/>
      <c r="W400" s="35"/>
      <c r="X400" s="35"/>
      <c r="AE400">
        <v>15</v>
      </c>
      <c r="AG400">
        <f t="shared" si="105"/>
        <v>10.014251886730682</v>
      </c>
      <c r="AH400" s="28">
        <f t="shared" si="106"/>
        <v>1695.7454167200231</v>
      </c>
      <c r="AI400" s="28">
        <f t="shared" si="106"/>
        <v>17411.583893332187</v>
      </c>
      <c r="AJ400" s="28">
        <f t="shared" si="106"/>
        <v>4947.4548903103077</v>
      </c>
      <c r="AK400" s="28">
        <f t="shared" si="106"/>
        <v>17431.196938822977</v>
      </c>
      <c r="AL400" s="28">
        <f t="shared" si="106"/>
        <v>1457.28767546268</v>
      </c>
      <c r="AM400" s="29" t="e">
        <f t="shared" si="106"/>
        <v>#VALUE!</v>
      </c>
      <c r="AN400" s="30">
        <f t="shared" si="106"/>
        <v>2794.4050064671278</v>
      </c>
      <c r="AO400" s="31">
        <f t="shared" si="106"/>
        <v>977.45292265704063</v>
      </c>
      <c r="AP400" s="31">
        <f t="shared" si="106"/>
        <v>195.49058453140813</v>
      </c>
      <c r="AQ400" s="32">
        <f t="shared" si="106"/>
        <v>35429.625239628476</v>
      </c>
      <c r="AR400" s="32">
        <f t="shared" si="106"/>
        <v>28446.532087854175</v>
      </c>
      <c r="AS400" s="32">
        <f t="shared" si="106"/>
        <v>94072.009961793738</v>
      </c>
      <c r="AT400" s="33" t="e">
        <f t="shared" si="106"/>
        <v>#VALUE!</v>
      </c>
      <c r="AU400" s="33" t="e">
        <f t="shared" si="106"/>
        <v>#VALUE!</v>
      </c>
      <c r="AV400" s="34" t="e">
        <f t="shared" si="106"/>
        <v>#VALUE!</v>
      </c>
      <c r="AW400" s="34" t="e">
        <f t="shared" si="106"/>
        <v>#VALUE!</v>
      </c>
      <c r="AX400" s="35" t="e">
        <f t="shared" si="106"/>
        <v>#VALUE!</v>
      </c>
      <c r="AY400" s="35" t="e">
        <f t="shared" si="106"/>
        <v>#VALUE!</v>
      </c>
      <c r="AZ400" t="e">
        <f>NA()</f>
        <v>#N/A</v>
      </c>
    </row>
    <row r="401" spans="4:52" x14ac:dyDescent="0.3">
      <c r="D401">
        <v>16</v>
      </c>
      <c r="F401">
        <v>15</v>
      </c>
      <c r="G401" s="28"/>
      <c r="H401" s="28"/>
      <c r="I401" s="28"/>
      <c r="J401" s="28"/>
      <c r="K401" s="28"/>
      <c r="L401" s="29"/>
      <c r="M401" s="30"/>
      <c r="N401" s="31"/>
      <c r="O401" s="31"/>
      <c r="P401" s="32"/>
      <c r="Q401" s="32"/>
      <c r="R401" s="32"/>
      <c r="S401" s="33"/>
      <c r="T401" s="33"/>
      <c r="U401" s="34"/>
      <c r="V401" s="34"/>
      <c r="W401" s="35"/>
      <c r="X401" s="35"/>
      <c r="AE401">
        <v>16</v>
      </c>
      <c r="AG401">
        <f t="shared" si="105"/>
        <v>10.531800161572754</v>
      </c>
      <c r="AH401" s="28">
        <f t="shared" si="106"/>
        <v>2053.7207672152203</v>
      </c>
      <c r="AI401" s="28">
        <f t="shared" si="106"/>
        <v>18616.629730189914</v>
      </c>
      <c r="AJ401" s="28">
        <f t="shared" si="106"/>
        <v>5827.5690430609156</v>
      </c>
      <c r="AK401" s="28">
        <f t="shared" ref="AK401:AY401" si="107">300*AK329*AK101</f>
        <v>18653.751687164568</v>
      </c>
      <c r="AL401" s="28">
        <f t="shared" si="107"/>
        <v>1672.8484010860757</v>
      </c>
      <c r="AM401" s="29" t="e">
        <f t="shared" si="107"/>
        <v>#VALUE!</v>
      </c>
      <c r="AN401" s="30">
        <f t="shared" si="107"/>
        <v>3044.8053076563911</v>
      </c>
      <c r="AO401" s="31">
        <f t="shared" si="107"/>
        <v>1049.7944202732299</v>
      </c>
      <c r="AP401" s="31">
        <f t="shared" si="107"/>
        <v>209.95888405464601</v>
      </c>
      <c r="AQ401" s="32">
        <f t="shared" si="107"/>
        <v>37471.151953125176</v>
      </c>
      <c r="AR401" s="32">
        <f t="shared" si="107"/>
        <v>30443.151869607005</v>
      </c>
      <c r="AS401" s="32">
        <f t="shared" si="107"/>
        <v>104197.57579804491</v>
      </c>
      <c r="AT401" s="33" t="e">
        <f t="shared" si="107"/>
        <v>#VALUE!</v>
      </c>
      <c r="AU401" s="33" t="e">
        <f t="shared" si="107"/>
        <v>#VALUE!</v>
      </c>
      <c r="AV401" s="34" t="e">
        <f t="shared" si="107"/>
        <v>#VALUE!</v>
      </c>
      <c r="AW401" s="34" t="e">
        <f t="shared" si="107"/>
        <v>#VALUE!</v>
      </c>
      <c r="AX401" s="35" t="e">
        <f t="shared" si="107"/>
        <v>#VALUE!</v>
      </c>
      <c r="AY401" s="35" t="e">
        <f t="shared" si="107"/>
        <v>#VALUE!</v>
      </c>
      <c r="AZ401" t="e">
        <f>NA()</f>
        <v>#N/A</v>
      </c>
    </row>
    <row r="402" spans="4:52" x14ac:dyDescent="0.3">
      <c r="D402">
        <v>17</v>
      </c>
      <c r="F402">
        <v>16</v>
      </c>
      <c r="G402" s="28"/>
      <c r="H402" s="28"/>
      <c r="I402" s="28"/>
      <c r="J402" s="28"/>
      <c r="K402" s="28"/>
      <c r="L402" s="29"/>
      <c r="M402" s="30"/>
      <c r="N402" s="31"/>
      <c r="O402" s="31"/>
      <c r="P402" s="32"/>
      <c r="Q402" s="32"/>
      <c r="R402" s="32"/>
      <c r="S402" s="33"/>
      <c r="T402" s="33"/>
      <c r="U402" s="34"/>
      <c r="V402" s="34"/>
      <c r="W402" s="35"/>
      <c r="X402" s="35"/>
      <c r="AE402">
        <v>17</v>
      </c>
      <c r="AG402">
        <f t="shared" si="105"/>
        <v>11.076095937857938</v>
      </c>
      <c r="AH402" s="28">
        <f t="shared" ref="AH402:AY416" si="108">300*AH330*AH102</f>
        <v>2477.1493074954083</v>
      </c>
      <c r="AI402" s="28">
        <f t="shared" si="108"/>
        <v>19889.29608325494</v>
      </c>
      <c r="AJ402" s="28">
        <f t="shared" si="108"/>
        <v>6823.8210563536177</v>
      </c>
      <c r="AK402" s="28">
        <f t="shared" si="108"/>
        <v>19941.659832690417</v>
      </c>
      <c r="AL402" s="28">
        <f t="shared" si="108"/>
        <v>1914.8644784579944</v>
      </c>
      <c r="AM402" s="29" t="e">
        <f t="shared" si="108"/>
        <v>#VALUE!</v>
      </c>
      <c r="AN402" s="30">
        <f t="shared" si="108"/>
        <v>3315.2267484423337</v>
      </c>
      <c r="AO402" s="31">
        <f t="shared" si="108"/>
        <v>1126.9758461144027</v>
      </c>
      <c r="AP402" s="31">
        <f t="shared" si="108"/>
        <v>225.39516922288053</v>
      </c>
      <c r="AQ402" s="32">
        <f t="shared" si="108"/>
        <v>39611.984303346799</v>
      </c>
      <c r="AR402" s="32">
        <f t="shared" si="108"/>
        <v>32552.436204686594</v>
      </c>
      <c r="AS402" s="32">
        <f t="shared" si="108"/>
        <v>115120.21546143392</v>
      </c>
      <c r="AT402" s="33" t="e">
        <f t="shared" si="108"/>
        <v>#VALUE!</v>
      </c>
      <c r="AU402" s="33" t="e">
        <f t="shared" si="108"/>
        <v>#VALUE!</v>
      </c>
      <c r="AV402" s="34" t="e">
        <f t="shared" si="108"/>
        <v>#VALUE!</v>
      </c>
      <c r="AW402" s="34" t="e">
        <f t="shared" si="108"/>
        <v>#VALUE!</v>
      </c>
      <c r="AX402" s="35" t="e">
        <f t="shared" si="108"/>
        <v>#VALUE!</v>
      </c>
      <c r="AY402" s="35" t="e">
        <f t="shared" si="108"/>
        <v>#VALUE!</v>
      </c>
      <c r="AZ402" t="e">
        <f>NA()</f>
        <v>#N/A</v>
      </c>
    </row>
    <row r="403" spans="4:52" x14ac:dyDescent="0.3">
      <c r="D403">
        <v>18</v>
      </c>
      <c r="F403">
        <v>17</v>
      </c>
      <c r="G403" s="28"/>
      <c r="H403" s="28"/>
      <c r="I403" s="28"/>
      <c r="J403" s="28"/>
      <c r="K403" s="28"/>
      <c r="L403" s="29"/>
      <c r="M403" s="30"/>
      <c r="N403" s="31"/>
      <c r="O403" s="31"/>
      <c r="P403" s="32"/>
      <c r="Q403" s="32"/>
      <c r="R403" s="32"/>
      <c r="S403" s="33"/>
      <c r="T403" s="33"/>
      <c r="U403" s="34"/>
      <c r="V403" s="34"/>
      <c r="W403" s="35"/>
      <c r="X403" s="35"/>
      <c r="AE403">
        <v>18</v>
      </c>
      <c r="AG403">
        <f t="shared" si="105"/>
        <v>11.648521557810575</v>
      </c>
      <c r="AH403" s="28">
        <f t="shared" si="108"/>
        <v>2973.4442987090124</v>
      </c>
      <c r="AI403" s="28">
        <f t="shared" si="108"/>
        <v>21232.227568249207</v>
      </c>
      <c r="AJ403" s="28">
        <f t="shared" si="108"/>
        <v>7941.6663374223772</v>
      </c>
      <c r="AK403" s="28">
        <f t="shared" si="108"/>
        <v>21297.317471907496</v>
      </c>
      <c r="AL403" s="28">
        <f t="shared" si="108"/>
        <v>2185.478151445715</v>
      </c>
      <c r="AM403" s="29" t="e">
        <f t="shared" si="108"/>
        <v>#VALUE!</v>
      </c>
      <c r="AN403" s="30">
        <f t="shared" si="108"/>
        <v>3606.9171396226279</v>
      </c>
      <c r="AO403" s="31">
        <f t="shared" si="108"/>
        <v>1209.2542055160302</v>
      </c>
      <c r="AP403" s="31">
        <f t="shared" si="108"/>
        <v>241.85084110320608</v>
      </c>
      <c r="AQ403" s="32">
        <f t="shared" si="108"/>
        <v>41854.879308008203</v>
      </c>
      <c r="AR403" s="32">
        <f t="shared" si="108"/>
        <v>34777.27714470918</v>
      </c>
      <c r="AS403" s="32">
        <f t="shared" si="108"/>
        <v>126855.07922187758</v>
      </c>
      <c r="AT403" s="33" t="e">
        <f t="shared" si="108"/>
        <v>#VALUE!</v>
      </c>
      <c r="AU403" s="33" t="e">
        <f t="shared" si="108"/>
        <v>#VALUE!</v>
      </c>
      <c r="AV403" s="34" t="e">
        <f t="shared" si="108"/>
        <v>#VALUE!</v>
      </c>
      <c r="AW403" s="34" t="e">
        <f t="shared" si="108"/>
        <v>#VALUE!</v>
      </c>
      <c r="AX403" s="35" t="e">
        <f t="shared" si="108"/>
        <v>#VALUE!</v>
      </c>
      <c r="AY403" s="35" t="e">
        <f t="shared" si="108"/>
        <v>#VALUE!</v>
      </c>
      <c r="AZ403" t="e">
        <f>NA()</f>
        <v>#N/A</v>
      </c>
    </row>
    <row r="404" spans="4:52" x14ac:dyDescent="0.3">
      <c r="D404">
        <v>19</v>
      </c>
      <c r="F404">
        <v>18</v>
      </c>
      <c r="G404" s="28"/>
      <c r="H404" s="28"/>
      <c r="I404" s="28"/>
      <c r="J404" s="28"/>
      <c r="K404" s="28"/>
      <c r="L404" s="29"/>
      <c r="M404" s="30"/>
      <c r="N404" s="31"/>
      <c r="O404" s="31"/>
      <c r="P404" s="32"/>
      <c r="Q404" s="32"/>
      <c r="R404" s="32"/>
      <c r="S404" s="33"/>
      <c r="T404" s="33"/>
      <c r="U404" s="34"/>
      <c r="V404" s="34"/>
      <c r="W404" s="35"/>
      <c r="X404" s="35"/>
      <c r="AE404">
        <v>19</v>
      </c>
      <c r="AG404">
        <f t="shared" si="105"/>
        <v>12.250530804721352</v>
      </c>
      <c r="AH404" s="28">
        <f t="shared" si="108"/>
        <v>3549.4310593087293</v>
      </c>
      <c r="AI404" s="28">
        <f t="shared" si="108"/>
        <v>22648.100223608541</v>
      </c>
      <c r="AJ404" s="28">
        <f t="shared" si="108"/>
        <v>9185.3159229896755</v>
      </c>
      <c r="AK404" s="28">
        <f t="shared" si="108"/>
        <v>22723.192221861031</v>
      </c>
      <c r="AL404" s="28">
        <f t="shared" si="108"/>
        <v>2486.7862804567822</v>
      </c>
      <c r="AM404" s="29" t="e">
        <f t="shared" si="108"/>
        <v>#VALUE!</v>
      </c>
      <c r="AN404" s="30">
        <f t="shared" si="108"/>
        <v>3921.1501317819243</v>
      </c>
      <c r="AO404" s="31">
        <f t="shared" si="108"/>
        <v>1296.8913329876989</v>
      </c>
      <c r="AP404" s="31">
        <f t="shared" si="108"/>
        <v>259.37826659753978</v>
      </c>
      <c r="AQ404" s="32">
        <f t="shared" si="108"/>
        <v>44202.4219544523</v>
      </c>
      <c r="AR404" s="32">
        <f t="shared" si="108"/>
        <v>37120.175772054055</v>
      </c>
      <c r="AS404" s="32">
        <f t="shared" si="108"/>
        <v>139409.48219397821</v>
      </c>
      <c r="AT404" s="33" t="e">
        <f t="shared" si="108"/>
        <v>#VALUE!</v>
      </c>
      <c r="AU404" s="33" t="e">
        <f t="shared" si="108"/>
        <v>#VALUE!</v>
      </c>
      <c r="AV404" s="34" t="e">
        <f t="shared" si="108"/>
        <v>#VALUE!</v>
      </c>
      <c r="AW404" s="34" t="e">
        <f t="shared" si="108"/>
        <v>#VALUE!</v>
      </c>
      <c r="AX404" s="35" t="e">
        <f t="shared" si="108"/>
        <v>#VALUE!</v>
      </c>
      <c r="AY404" s="35" t="e">
        <f t="shared" si="108"/>
        <v>#VALUE!</v>
      </c>
      <c r="AZ404" t="e">
        <f>NA()</f>
        <v>#N/A</v>
      </c>
    </row>
    <row r="405" spans="4:52" x14ac:dyDescent="0.3">
      <c r="D405">
        <v>20</v>
      </c>
      <c r="F405">
        <v>19</v>
      </c>
      <c r="G405" s="28"/>
      <c r="H405" s="28"/>
      <c r="I405" s="28"/>
      <c r="J405" s="28"/>
      <c r="K405" s="28"/>
      <c r="L405" s="29"/>
      <c r="M405" s="30"/>
      <c r="N405" s="31"/>
      <c r="O405" s="31"/>
      <c r="P405" s="32"/>
      <c r="Q405" s="32"/>
      <c r="R405" s="32"/>
      <c r="S405" s="33"/>
      <c r="T405" s="33"/>
      <c r="U405" s="34"/>
      <c r="V405" s="34"/>
      <c r="W405" s="35"/>
      <c r="X405" s="35"/>
      <c r="AE405">
        <v>20</v>
      </c>
      <c r="AG405">
        <f t="shared" si="105"/>
        <v>12.883652595105344</v>
      </c>
      <c r="AH405" s="28">
        <f t="shared" si="108"/>
        <v>4211.0515373389899</v>
      </c>
      <c r="AI405" s="28">
        <f t="shared" si="108"/>
        <v>24139.594554046653</v>
      </c>
      <c r="AJ405" s="28">
        <f t="shared" si="108"/>
        <v>10557.892423729165</v>
      </c>
      <c r="AK405" s="28">
        <f t="shared" si="108"/>
        <v>24221.792241531526</v>
      </c>
      <c r="AL405" s="28">
        <f t="shared" si="108"/>
        <v>2820.7889290662642</v>
      </c>
      <c r="AM405" s="29" t="e">
        <f t="shared" si="108"/>
        <v>#VALUE!</v>
      </c>
      <c r="AN405" s="30">
        <f t="shared" si="108"/>
        <v>4259.2171430264098</v>
      </c>
      <c r="AO405" s="31">
        <f t="shared" si="108"/>
        <v>1390.1526636021865</v>
      </c>
      <c r="AP405" s="31">
        <f t="shared" si="108"/>
        <v>278.03053272043735</v>
      </c>
      <c r="AQ405" s="32">
        <f t="shared" si="108"/>
        <v>46656.988692291066</v>
      </c>
      <c r="AR405" s="32">
        <f t="shared" si="108"/>
        <v>39583.172071899273</v>
      </c>
      <c r="AS405" s="32">
        <f t="shared" si="108"/>
        <v>152781.74128955539</v>
      </c>
      <c r="AT405" s="33" t="e">
        <f t="shared" si="108"/>
        <v>#VALUE!</v>
      </c>
      <c r="AU405" s="33" t="e">
        <f t="shared" si="108"/>
        <v>#VALUE!</v>
      </c>
      <c r="AV405" s="34" t="e">
        <f t="shared" si="108"/>
        <v>#VALUE!</v>
      </c>
      <c r="AW405" s="34" t="e">
        <f t="shared" si="108"/>
        <v>#VALUE!</v>
      </c>
      <c r="AX405" s="35" t="e">
        <f t="shared" si="108"/>
        <v>#VALUE!</v>
      </c>
      <c r="AY405" s="35" t="e">
        <f t="shared" si="108"/>
        <v>#VALUE!</v>
      </c>
      <c r="AZ405" t="e">
        <f>NA()</f>
        <v>#N/A</v>
      </c>
    </row>
    <row r="406" spans="4:52" x14ac:dyDescent="0.3">
      <c r="D406">
        <v>21</v>
      </c>
      <c r="F406">
        <v>20</v>
      </c>
      <c r="G406" s="28"/>
      <c r="H406" s="28"/>
      <c r="I406" s="28"/>
      <c r="J406" s="28"/>
      <c r="K406" s="28"/>
      <c r="L406" s="29"/>
      <c r="M406" s="30"/>
      <c r="N406" s="31"/>
      <c r="O406" s="31"/>
      <c r="P406" s="32"/>
      <c r="Q406" s="32"/>
      <c r="R406" s="32"/>
      <c r="S406" s="33"/>
      <c r="T406" s="33"/>
      <c r="U406" s="34"/>
      <c r="V406" s="34"/>
      <c r="W406" s="35"/>
      <c r="X406" s="35"/>
      <c r="AE406">
        <v>21</v>
      </c>
      <c r="AG406">
        <f t="shared" si="105"/>
        <v>13.549494861675118</v>
      </c>
      <c r="AH406" s="28">
        <f t="shared" si="108"/>
        <v>4963.1816269313122</v>
      </c>
      <c r="AI406" s="28">
        <f t="shared" si="108"/>
        <v>25709.361380066137</v>
      </c>
      <c r="AJ406" s="28">
        <f t="shared" si="108"/>
        <v>12061.755994292966</v>
      </c>
      <c r="AK406" s="28">
        <f t="shared" si="108"/>
        <v>25795.625212219078</v>
      </c>
      <c r="AL406" s="28">
        <f t="shared" si="108"/>
        <v>3189.3309396528907</v>
      </c>
      <c r="AM406" s="29" t="e">
        <f t="shared" si="108"/>
        <v>#VALUE!</v>
      </c>
      <c r="AN406" s="30">
        <f t="shared" si="108"/>
        <v>4622.4177573389552</v>
      </c>
      <c r="AO406" s="31">
        <f t="shared" si="108"/>
        <v>1489.3057867995876</v>
      </c>
      <c r="AP406" s="31">
        <f t="shared" si="108"/>
        <v>297.86115735991757</v>
      </c>
      <c r="AQ406" s="32">
        <f t="shared" si="108"/>
        <v>49220.70802449745</v>
      </c>
      <c r="AR406" s="32">
        <f t="shared" si="108"/>
        <v>42167.771006410549</v>
      </c>
      <c r="AS406" s="32">
        <f t="shared" si="108"/>
        <v>166960.07095821694</v>
      </c>
      <c r="AT406" s="33" t="e">
        <f t="shared" si="108"/>
        <v>#VALUE!</v>
      </c>
      <c r="AU406" s="33" t="e">
        <f t="shared" si="108"/>
        <v>#VALUE!</v>
      </c>
      <c r="AV406" s="34" t="e">
        <f t="shared" si="108"/>
        <v>#VALUE!</v>
      </c>
      <c r="AW406" s="34" t="e">
        <f t="shared" si="108"/>
        <v>#VALUE!</v>
      </c>
      <c r="AX406" s="35" t="e">
        <f t="shared" si="108"/>
        <v>#VALUE!</v>
      </c>
      <c r="AY406" s="35" t="e">
        <f t="shared" si="108"/>
        <v>#VALUE!</v>
      </c>
      <c r="AZ406" t="e">
        <f>NA()</f>
        <v>#N/A</v>
      </c>
    </row>
    <row r="407" spans="4:52" x14ac:dyDescent="0.3">
      <c r="D407">
        <v>22</v>
      </c>
      <c r="F407">
        <v>21</v>
      </c>
      <c r="G407" s="28"/>
      <c r="H407" s="28"/>
      <c r="I407" s="28"/>
      <c r="J407" s="28"/>
      <c r="K407" s="28"/>
      <c r="L407" s="29"/>
      <c r="M407" s="30"/>
      <c r="N407" s="31"/>
      <c r="O407" s="31"/>
      <c r="P407" s="32"/>
      <c r="Q407" s="32"/>
      <c r="R407" s="32"/>
      <c r="S407" s="33"/>
      <c r="T407" s="33"/>
      <c r="U407" s="34"/>
      <c r="V407" s="34"/>
      <c r="W407" s="35"/>
      <c r="X407" s="35"/>
      <c r="AE407">
        <v>22</v>
      </c>
      <c r="AG407">
        <f t="shared" si="105"/>
        <v>14.249748636990411</v>
      </c>
      <c r="AH407" s="28">
        <f t="shared" si="108"/>
        <v>5809.6071365693024</v>
      </c>
      <c r="AI407" s="28">
        <f t="shared" si="108"/>
        <v>27359.981044584205</v>
      </c>
      <c r="AJ407" s="28">
        <f t="shared" si="108"/>
        <v>13698.960203449646</v>
      </c>
      <c r="AK407" s="28">
        <f t="shared" si="108"/>
        <v>27447.148470207143</v>
      </c>
      <c r="AL407" s="28">
        <f t="shared" si="108"/>
        <v>3594.0372340669792</v>
      </c>
      <c r="AM407" s="29" t="e">
        <f t="shared" si="108"/>
        <v>#VALUE!</v>
      </c>
      <c r="AN407" s="30">
        <f t="shared" si="108"/>
        <v>5012.0484791712552</v>
      </c>
      <c r="AO407" s="31">
        <f t="shared" si="108"/>
        <v>1594.618765018444</v>
      </c>
      <c r="AP407" s="31">
        <f t="shared" si="108"/>
        <v>318.92375300368883</v>
      </c>
      <c r="AQ407" s="32">
        <f t="shared" si="108"/>
        <v>51895.41825247871</v>
      </c>
      <c r="AR407" s="32">
        <f t="shared" si="108"/>
        <v>44874.865483329508</v>
      </c>
      <c r="AS407" s="32">
        <f t="shared" si="108"/>
        <v>181921.58479894488</v>
      </c>
      <c r="AT407" s="33" t="e">
        <f t="shared" si="108"/>
        <v>#VALUE!</v>
      </c>
      <c r="AU407" s="33" t="e">
        <f t="shared" si="108"/>
        <v>#VALUE!</v>
      </c>
      <c r="AV407" s="34" t="e">
        <f t="shared" si="108"/>
        <v>#VALUE!</v>
      </c>
      <c r="AW407" s="34" t="e">
        <f t="shared" si="108"/>
        <v>#VALUE!</v>
      </c>
      <c r="AX407" s="35" t="e">
        <f t="shared" si="108"/>
        <v>#VALUE!</v>
      </c>
      <c r="AY407" s="35" t="e">
        <f t="shared" si="108"/>
        <v>#VALUE!</v>
      </c>
      <c r="AZ407" t="e">
        <f>NA()</f>
        <v>#N/A</v>
      </c>
    </row>
    <row r="408" spans="4:52" x14ac:dyDescent="0.3">
      <c r="D408">
        <v>23</v>
      </c>
      <c r="F408">
        <v>22</v>
      </c>
      <c r="G408" s="28"/>
      <c r="H408" s="28"/>
      <c r="I408" s="28"/>
      <c r="J408" s="28"/>
      <c r="K408" s="28"/>
      <c r="L408" s="29"/>
      <c r="M408" s="30"/>
      <c r="N408" s="31"/>
      <c r="O408" s="31"/>
      <c r="P408" s="32"/>
      <c r="Q408" s="32"/>
      <c r="R408" s="32"/>
      <c r="S408" s="33"/>
      <c r="T408" s="33"/>
      <c r="U408" s="34"/>
      <c r="V408" s="34"/>
      <c r="W408" s="35"/>
      <c r="X408" s="35"/>
      <c r="AE408">
        <v>23</v>
      </c>
      <c r="AG408">
        <f t="shared" si="105"/>
        <v>14.986192348155662</v>
      </c>
      <c r="AH408" s="28">
        <f t="shared" si="108"/>
        <v>6753.1653592795647</v>
      </c>
      <c r="AI408" s="28">
        <f t="shared" si="108"/>
        <v>29093.916888145879</v>
      </c>
      <c r="AJ408" s="28">
        <f t="shared" si="108"/>
        <v>15471.761509483029</v>
      </c>
      <c r="AK408" s="28">
        <f t="shared" si="108"/>
        <v>29178.712034777207</v>
      </c>
      <c r="AL408" s="28">
        <f t="shared" si="108"/>
        <v>4036.2430364768716</v>
      </c>
      <c r="AM408" s="29" t="e">
        <f t="shared" si="108"/>
        <v>#VALUE!</v>
      </c>
      <c r="AN408" s="30">
        <f t="shared" si="108"/>
        <v>5452.405847344724</v>
      </c>
      <c r="AO408" s="31">
        <f t="shared" si="108"/>
        <v>1706.3582002214002</v>
      </c>
      <c r="AP408" s="31">
        <f t="shared" si="108"/>
        <v>341.2716400442801</v>
      </c>
      <c r="AQ408" s="32">
        <f t="shared" si="108"/>
        <v>54682.622488838992</v>
      </c>
      <c r="AR408" s="32">
        <f t="shared" si="108"/>
        <v>47704.657112517823</v>
      </c>
      <c r="AS408" s="32">
        <f t="shared" si="108"/>
        <v>197631.45433386817</v>
      </c>
      <c r="AT408" s="33" t="e">
        <f t="shared" si="108"/>
        <v>#VALUE!</v>
      </c>
      <c r="AU408" s="33" t="e">
        <f t="shared" si="108"/>
        <v>#VALUE!</v>
      </c>
      <c r="AV408" s="34" t="e">
        <f t="shared" si="108"/>
        <v>#VALUE!</v>
      </c>
      <c r="AW408" s="34" t="e">
        <f t="shared" si="108"/>
        <v>#VALUE!</v>
      </c>
      <c r="AX408" s="35" t="e">
        <f t="shared" si="108"/>
        <v>#VALUE!</v>
      </c>
      <c r="AY408" s="35" t="e">
        <f t="shared" si="108"/>
        <v>#VALUE!</v>
      </c>
      <c r="AZ408" t="e">
        <f>NA()</f>
        <v>#N/A</v>
      </c>
    </row>
    <row r="409" spans="4:52" x14ac:dyDescent="0.3">
      <c r="D409">
        <v>24</v>
      </c>
      <c r="F409">
        <v>23</v>
      </c>
      <c r="G409" s="28"/>
      <c r="H409" s="28"/>
      <c r="I409" s="28"/>
      <c r="J409" s="28"/>
      <c r="K409" s="28"/>
      <c r="L409" s="29"/>
      <c r="M409" s="30"/>
      <c r="N409" s="31"/>
      <c r="O409" s="31"/>
      <c r="P409" s="32"/>
      <c r="Q409" s="32"/>
      <c r="R409" s="32"/>
      <c r="S409" s="33"/>
      <c r="T409" s="33"/>
      <c r="U409" s="34"/>
      <c r="V409" s="34"/>
      <c r="W409" s="35"/>
      <c r="X409" s="35"/>
      <c r="AE409">
        <v>24</v>
      </c>
      <c r="AG409">
        <f t="shared" si="105"/>
        <v>15.760696333472486</v>
      </c>
      <c r="AH409" s="28">
        <f t="shared" si="108"/>
        <v>7796.0069088136506</v>
      </c>
      <c r="AI409" s="28">
        <f t="shared" si="108"/>
        <v>30913.464158334857</v>
      </c>
      <c r="AJ409" s="28">
        <f t="shared" si="108"/>
        <v>17383.081356621515</v>
      </c>
      <c r="AK409" s="28">
        <f t="shared" si="108"/>
        <v>30992.496622045721</v>
      </c>
      <c r="AL409" s="28">
        <f t="shared" si="108"/>
        <v>4516.9207205557141</v>
      </c>
      <c r="AM409" s="29" t="e">
        <f t="shared" si="108"/>
        <v>#VALUE!</v>
      </c>
      <c r="AN409" s="30">
        <f t="shared" si="108"/>
        <v>6001.5340876101445</v>
      </c>
      <c r="AO409" s="31">
        <f t="shared" si="108"/>
        <v>1824.7870325430561</v>
      </c>
      <c r="AP409" s="31">
        <f t="shared" si="108"/>
        <v>364.9574065086112</v>
      </c>
      <c r="AQ409" s="32">
        <f t="shared" si="108"/>
        <v>57583.441119310861</v>
      </c>
      <c r="AR409" s="32">
        <f t="shared" si="108"/>
        <v>50656.575862638965</v>
      </c>
      <c r="AS409" s="32">
        <f t="shared" si="108"/>
        <v>214042.27863805092</v>
      </c>
      <c r="AT409" s="33" t="e">
        <f t="shared" si="108"/>
        <v>#VALUE!</v>
      </c>
      <c r="AU409" s="33" t="e">
        <f t="shared" si="108"/>
        <v>#VALUE!</v>
      </c>
      <c r="AV409" s="34" t="e">
        <f t="shared" si="108"/>
        <v>#VALUE!</v>
      </c>
      <c r="AW409" s="34" t="e">
        <f t="shared" si="108"/>
        <v>#VALUE!</v>
      </c>
      <c r="AX409" s="35" t="e">
        <f t="shared" si="108"/>
        <v>#VALUE!</v>
      </c>
      <c r="AY409" s="35" t="e">
        <f t="shared" si="108"/>
        <v>#VALUE!</v>
      </c>
      <c r="AZ409" t="e">
        <f>NA()</f>
        <v>#N/A</v>
      </c>
    </row>
    <row r="410" spans="4:52" x14ac:dyDescent="0.3">
      <c r="D410">
        <v>25</v>
      </c>
      <c r="F410">
        <v>24</v>
      </c>
      <c r="G410" s="28"/>
      <c r="H410" s="28"/>
      <c r="I410" s="28"/>
      <c r="J410" s="28"/>
      <c r="K410" s="28"/>
      <c r="L410" s="29"/>
      <c r="M410" s="30"/>
      <c r="N410" s="31"/>
      <c r="O410" s="31"/>
      <c r="P410" s="32"/>
      <c r="Q410" s="32"/>
      <c r="R410" s="32"/>
      <c r="S410" s="33"/>
      <c r="T410" s="33"/>
      <c r="U410" s="34"/>
      <c r="V410" s="34"/>
      <c r="W410" s="35"/>
      <c r="X410" s="35"/>
      <c r="AE410">
        <v>25</v>
      </c>
      <c r="AG410">
        <f t="shared" si="105"/>
        <v>16.575227592518086</v>
      </c>
      <c r="AH410" s="28">
        <f t="shared" si="108"/>
        <v>8939.8847958248316</v>
      </c>
      <c r="AI410" s="28">
        <f t="shared" si="108"/>
        <v>32820.695640660153</v>
      </c>
      <c r="AJ410" s="28">
        <f t="shared" si="108"/>
        <v>19436.816444289263</v>
      </c>
      <c r="AK410" s="28">
        <f t="shared" si="108"/>
        <v>32890.448844346349</v>
      </c>
      <c r="AL410" s="28">
        <f t="shared" si="108"/>
        <v>5036.6055091485869</v>
      </c>
      <c r="AM410" s="29" t="e">
        <f t="shared" si="108"/>
        <v>#VALUE!</v>
      </c>
      <c r="AN410" s="30">
        <f t="shared" si="108"/>
        <v>6591.8646996217694</v>
      </c>
      <c r="AO410" s="31">
        <f t="shared" si="108"/>
        <v>1950.1620570435216</v>
      </c>
      <c r="AP410" s="31">
        <f t="shared" si="108"/>
        <v>390.03241140870438</v>
      </c>
      <c r="AQ410" s="32">
        <f t="shared" si="108"/>
        <v>60598.56197316308</v>
      </c>
      <c r="AR410" s="32">
        <f t="shared" si="108"/>
        <v>53729.199962629216</v>
      </c>
      <c r="AS410" s="32">
        <f t="shared" si="108"/>
        <v>231093.71856842461</v>
      </c>
      <c r="AT410" s="33" t="e">
        <f t="shared" si="108"/>
        <v>#VALUE!</v>
      </c>
      <c r="AU410" s="33" t="e">
        <f t="shared" si="108"/>
        <v>#VALUE!</v>
      </c>
      <c r="AV410" s="34" t="e">
        <f t="shared" si="108"/>
        <v>#VALUE!</v>
      </c>
      <c r="AW410" s="34" t="e">
        <f t="shared" si="108"/>
        <v>#VALUE!</v>
      </c>
      <c r="AX410" s="35" t="e">
        <f t="shared" si="108"/>
        <v>#VALUE!</v>
      </c>
      <c r="AY410" s="35" t="e">
        <f t="shared" si="108"/>
        <v>#VALUE!</v>
      </c>
      <c r="AZ410" t="e">
        <f>NA()</f>
        <v>#N/A</v>
      </c>
    </row>
    <row r="411" spans="4:52" x14ac:dyDescent="0.3">
      <c r="D411">
        <v>26</v>
      </c>
      <c r="F411">
        <v>25</v>
      </c>
      <c r="G411" s="28"/>
      <c r="H411" s="28"/>
      <c r="I411" s="28"/>
      <c r="J411" s="28"/>
      <c r="K411" s="28"/>
      <c r="L411" s="29"/>
      <c r="M411" s="30"/>
      <c r="N411" s="31"/>
      <c r="O411" s="31"/>
      <c r="P411" s="32"/>
      <c r="Q411" s="32"/>
      <c r="R411" s="32"/>
      <c r="S411" s="33"/>
      <c r="T411" s="33"/>
      <c r="U411" s="34"/>
      <c r="V411" s="34"/>
      <c r="W411" s="35"/>
      <c r="X411" s="35"/>
      <c r="AE411">
        <v>26</v>
      </c>
      <c r="AG411">
        <f t="shared" si="105"/>
        <v>17.431854781713245</v>
      </c>
      <c r="AH411" s="28">
        <f t="shared" si="108"/>
        <v>10186.355900497529</v>
      </c>
      <c r="AI411" s="28">
        <f t="shared" si="108"/>
        <v>34817.405283387328</v>
      </c>
      <c r="AJ411" s="28">
        <f t="shared" si="108"/>
        <v>21637.915222407581</v>
      </c>
      <c r="AK411" s="28">
        <f t="shared" si="108"/>
        <v>34874.215669224192</v>
      </c>
      <c r="AL411" s="28">
        <f t="shared" si="108"/>
        <v>5595.3227704823503</v>
      </c>
      <c r="AM411" s="29" t="e">
        <f t="shared" si="108"/>
        <v>#VALUE!</v>
      </c>
      <c r="AN411" s="30">
        <f t="shared" si="108"/>
        <v>7224.126818074491</v>
      </c>
      <c r="AO411" s="31">
        <f t="shared" si="108"/>
        <v>2082.7311469986448</v>
      </c>
      <c r="AP411" s="31">
        <f t="shared" si="108"/>
        <v>416.54622939972893</v>
      </c>
      <c r="AQ411" s="32">
        <f t="shared" si="108"/>
        <v>63728.1885495323</v>
      </c>
      <c r="AR411" s="32">
        <f t="shared" si="108"/>
        <v>56920.177633980398</v>
      </c>
      <c r="AS411" s="32">
        <f t="shared" si="108"/>
        <v>248712.44652430862</v>
      </c>
      <c r="AT411" s="33" t="e">
        <f t="shared" si="108"/>
        <v>#VALUE!</v>
      </c>
      <c r="AU411" s="33" t="e">
        <f t="shared" si="108"/>
        <v>#VALUE!</v>
      </c>
      <c r="AV411" s="34" t="e">
        <f t="shared" si="108"/>
        <v>#VALUE!</v>
      </c>
      <c r="AW411" s="34" t="e">
        <f t="shared" si="108"/>
        <v>#VALUE!</v>
      </c>
      <c r="AX411" s="35" t="e">
        <f t="shared" si="108"/>
        <v>#VALUE!</v>
      </c>
      <c r="AY411" s="35" t="e">
        <f t="shared" si="108"/>
        <v>#VALUE!</v>
      </c>
      <c r="AZ411" t="e">
        <f>NA()</f>
        <v>#N/A</v>
      </c>
    </row>
    <row r="412" spans="4:52" x14ac:dyDescent="0.3">
      <c r="D412">
        <v>27</v>
      </c>
      <c r="F412">
        <v>26</v>
      </c>
      <c r="G412" s="28"/>
      <c r="H412" s="28"/>
      <c r="I412" s="28"/>
      <c r="J412" s="28"/>
      <c r="K412" s="28"/>
      <c r="L412" s="29"/>
      <c r="M412" s="30"/>
      <c r="N412" s="31"/>
      <c r="O412" s="31"/>
      <c r="P412" s="32"/>
      <c r="Q412" s="32"/>
      <c r="R412" s="32"/>
      <c r="S412" s="33"/>
      <c r="T412" s="33"/>
      <c r="U412" s="34"/>
      <c r="V412" s="34"/>
      <c r="W412" s="35"/>
      <c r="X412" s="35"/>
      <c r="AE412">
        <v>27</v>
      </c>
      <c r="AG412">
        <f t="shared" si="105"/>
        <v>18.332753468067196</v>
      </c>
      <c r="AH412" s="28">
        <f t="shared" si="108"/>
        <v>11536.798026920405</v>
      </c>
      <c r="AI412" s="28">
        <f t="shared" si="108"/>
        <v>36905.050956903484</v>
      </c>
      <c r="AJ412" s="28">
        <f t="shared" si="108"/>
        <v>23992.183796771482</v>
      </c>
      <c r="AK412" s="28">
        <f t="shared" si="108"/>
        <v>36945.079893428359</v>
      </c>
      <c r="AL412" s="28">
        <f t="shared" si="108"/>
        <v>6192.5201221962689</v>
      </c>
      <c r="AM412" s="29" t="e">
        <f t="shared" si="108"/>
        <v>#VALUE!</v>
      </c>
      <c r="AN412" s="30">
        <f t="shared" si="108"/>
        <v>7898.7810813874848</v>
      </c>
      <c r="AO412" s="31">
        <f t="shared" si="108"/>
        <v>2222.7301753967295</v>
      </c>
      <c r="AP412" s="31">
        <f t="shared" si="108"/>
        <v>444.54603507934598</v>
      </c>
      <c r="AQ412" s="32">
        <f t="shared" si="108"/>
        <v>66971.986745576098</v>
      </c>
      <c r="AR412" s="32">
        <f t="shared" si="108"/>
        <v>60226.152483519116</v>
      </c>
      <c r="AS412" s="32">
        <f t="shared" si="108"/>
        <v>266812.45658959157</v>
      </c>
      <c r="AT412" s="33" t="e">
        <f t="shared" si="108"/>
        <v>#VALUE!</v>
      </c>
      <c r="AU412" s="33" t="e">
        <f t="shared" si="108"/>
        <v>#VALUE!</v>
      </c>
      <c r="AV412" s="34" t="e">
        <f t="shared" si="108"/>
        <v>#VALUE!</v>
      </c>
      <c r="AW412" s="34" t="e">
        <f t="shared" si="108"/>
        <v>#VALUE!</v>
      </c>
      <c r="AX412" s="35" t="e">
        <f t="shared" si="108"/>
        <v>#VALUE!</v>
      </c>
      <c r="AY412" s="35" t="e">
        <f t="shared" si="108"/>
        <v>#VALUE!</v>
      </c>
      <c r="AZ412" t="e">
        <f>NA()</f>
        <v>#N/A</v>
      </c>
    </row>
    <row r="413" spans="4:52" x14ac:dyDescent="0.3">
      <c r="D413">
        <v>28</v>
      </c>
      <c r="F413">
        <v>27</v>
      </c>
      <c r="G413" s="28"/>
      <c r="H413" s="28"/>
      <c r="I413" s="28"/>
      <c r="J413" s="28"/>
      <c r="K413" s="28"/>
      <c r="L413" s="29"/>
      <c r="M413" s="30"/>
      <c r="N413" s="31"/>
      <c r="O413" s="31"/>
      <c r="P413" s="32"/>
      <c r="Q413" s="32"/>
      <c r="R413" s="32"/>
      <c r="S413" s="33"/>
      <c r="T413" s="33"/>
      <c r="U413" s="34"/>
      <c r="V413" s="34"/>
      <c r="W413" s="35"/>
      <c r="X413" s="35"/>
      <c r="AE413">
        <v>28</v>
      </c>
      <c r="AG413">
        <f t="shared" si="105"/>
        <v>19.280211654442091</v>
      </c>
      <c r="AH413" s="28">
        <f t="shared" si="108"/>
        <v>12992.200869418988</v>
      </c>
      <c r="AI413" s="28">
        <f t="shared" si="108"/>
        <v>39084.697278262625</v>
      </c>
      <c r="AJ413" s="28">
        <f t="shared" si="108"/>
        <v>26505.840574747854</v>
      </c>
      <c r="AK413" s="28">
        <f t="shared" si="108"/>
        <v>39103.897947671197</v>
      </c>
      <c r="AL413" s="28">
        <f t="shared" si="108"/>
        <v>6827.0079281175031</v>
      </c>
      <c r="AM413" s="29" t="e">
        <f t="shared" si="108"/>
        <v>#VALUE!</v>
      </c>
      <c r="AN413" s="30">
        <f t="shared" si="108"/>
        <v>8616.0192801537105</v>
      </c>
      <c r="AO413" s="31">
        <f t="shared" si="108"/>
        <v>2370.3796304418761</v>
      </c>
      <c r="AP413" s="31">
        <f t="shared" si="108"/>
        <v>474.07592608837518</v>
      </c>
      <c r="AQ413" s="32">
        <f t="shared" si="108"/>
        <v>70329.030640761615</v>
      </c>
      <c r="AR413" s="32">
        <f t="shared" si="108"/>
        <v>63642.694623910451</v>
      </c>
      <c r="AS413" s="32">
        <f t="shared" si="108"/>
        <v>285295.77029504388</v>
      </c>
      <c r="AT413" s="33" t="e">
        <f t="shared" si="108"/>
        <v>#VALUE!</v>
      </c>
      <c r="AU413" s="33" t="e">
        <f t="shared" si="108"/>
        <v>#VALUE!</v>
      </c>
      <c r="AV413" s="34" t="e">
        <f t="shared" si="108"/>
        <v>#VALUE!</v>
      </c>
      <c r="AW413" s="34" t="e">
        <f t="shared" si="108"/>
        <v>#VALUE!</v>
      </c>
      <c r="AX413" s="35" t="e">
        <f t="shared" si="108"/>
        <v>#VALUE!</v>
      </c>
      <c r="AY413" s="35" t="e">
        <f t="shared" si="108"/>
        <v>#VALUE!</v>
      </c>
      <c r="AZ413" t="e">
        <f>NA()</f>
        <v>#N/A</v>
      </c>
    </row>
    <row r="414" spans="4:52" x14ac:dyDescent="0.3">
      <c r="D414">
        <v>29</v>
      </c>
      <c r="F414">
        <v>28</v>
      </c>
      <c r="G414" s="28"/>
      <c r="H414" s="28"/>
      <c r="I414" s="28"/>
      <c r="J414" s="28"/>
      <c r="K414" s="28"/>
      <c r="L414" s="29"/>
      <c r="M414" s="30"/>
      <c r="N414" s="31"/>
      <c r="O414" s="31"/>
      <c r="P414" s="32"/>
      <c r="Q414" s="32"/>
      <c r="R414" s="32"/>
      <c r="S414" s="33"/>
      <c r="T414" s="33"/>
      <c r="U414" s="34"/>
      <c r="V414" s="34"/>
      <c r="W414" s="35"/>
      <c r="X414" s="35"/>
      <c r="AE414">
        <v>29</v>
      </c>
      <c r="AG414">
        <f t="shared" si="105"/>
        <v>20.276635590369683</v>
      </c>
      <c r="AH414" s="28">
        <f t="shared" si="108"/>
        <v>14552.760793074725</v>
      </c>
      <c r="AI414" s="28">
        <f t="shared" si="108"/>
        <v>41356.959194236362</v>
      </c>
      <c r="AJ414" s="28">
        <f t="shared" si="108"/>
        <v>29184.889752527721</v>
      </c>
      <c r="AK414" s="28">
        <f t="shared" si="108"/>
        <v>41351.040875025377</v>
      </c>
      <c r="AL414" s="28">
        <f t="shared" si="108"/>
        <v>7496.9120042297682</v>
      </c>
      <c r="AM414" s="29" t="e">
        <f t="shared" si="108"/>
        <v>#VALUE!</v>
      </c>
      <c r="AN414" s="30">
        <f t="shared" si="108"/>
        <v>9375.7713653718693</v>
      </c>
      <c r="AO414" s="31">
        <f t="shared" si="108"/>
        <v>2525.88092598297</v>
      </c>
      <c r="AP414" s="31">
        <f t="shared" si="108"/>
        <v>505.17618519659402</v>
      </c>
      <c r="AQ414" s="32">
        <f t="shared" si="108"/>
        <v>73797.748009228264</v>
      </c>
      <c r="AR414" s="32">
        <f t="shared" si="108"/>
        <v>67164.239810238912</v>
      </c>
      <c r="AS414" s="32">
        <f t="shared" si="108"/>
        <v>304053.56005474308</v>
      </c>
      <c r="AT414" s="33" t="e">
        <f t="shared" si="108"/>
        <v>#VALUE!</v>
      </c>
      <c r="AU414" s="33" t="e">
        <f t="shared" si="108"/>
        <v>#VALUE!</v>
      </c>
      <c r="AV414" s="34" t="e">
        <f t="shared" si="108"/>
        <v>#VALUE!</v>
      </c>
      <c r="AW414" s="34" t="e">
        <f t="shared" si="108"/>
        <v>#VALUE!</v>
      </c>
      <c r="AX414" s="35" t="e">
        <f t="shared" si="108"/>
        <v>#VALUE!</v>
      </c>
      <c r="AY414" s="35" t="e">
        <f t="shared" si="108"/>
        <v>#VALUE!</v>
      </c>
      <c r="AZ414" t="e">
        <f>NA()</f>
        <v>#N/A</v>
      </c>
    </row>
    <row r="415" spans="4:52" x14ac:dyDescent="0.3">
      <c r="D415">
        <v>30</v>
      </c>
      <c r="F415">
        <v>29</v>
      </c>
      <c r="G415" s="28"/>
      <c r="H415" s="28"/>
      <c r="I415" s="28"/>
      <c r="J415" s="28"/>
      <c r="K415" s="28"/>
      <c r="L415" s="29"/>
      <c r="M415" s="30"/>
      <c r="N415" s="31"/>
      <c r="O415" s="31"/>
      <c r="P415" s="32"/>
      <c r="Q415" s="32"/>
      <c r="R415" s="32"/>
      <c r="S415" s="33"/>
      <c r="T415" s="33"/>
      <c r="U415" s="34"/>
      <c r="V415" s="34"/>
      <c r="W415" s="35"/>
      <c r="X415" s="35"/>
      <c r="AE415">
        <v>30</v>
      </c>
      <c r="AG415">
        <f t="shared" si="105"/>
        <v>21.324555883177815</v>
      </c>
      <c r="AH415" s="28">
        <f t="shared" si="108"/>
        <v>16217.368218739348</v>
      </c>
      <c r="AI415" s="28">
        <f t="shared" si="108"/>
        <v>43721.946803594881</v>
      </c>
      <c r="AJ415" s="28">
        <f t="shared" si="108"/>
        <v>32034.414130374782</v>
      </c>
      <c r="AK415" s="28">
        <f t="shared" si="108"/>
        <v>43686.338905435783</v>
      </c>
      <c r="AL415" s="28">
        <f t="shared" si="108"/>
        <v>8199.6423911286565</v>
      </c>
      <c r="AM415" s="29" t="e">
        <f t="shared" si="108"/>
        <v>#VALUE!</v>
      </c>
      <c r="AN415" s="30">
        <f t="shared" si="108"/>
        <v>10177.71807185509</v>
      </c>
      <c r="AO415" s="31">
        <f t="shared" si="108"/>
        <v>2689.4124139840778</v>
      </c>
      <c r="AP415" s="31">
        <f t="shared" si="108"/>
        <v>537.88248279681557</v>
      </c>
      <c r="AQ415" s="32">
        <f t="shared" si="108"/>
        <v>77375.866357724022</v>
      </c>
      <c r="AR415" s="32">
        <f t="shared" si="108"/>
        <v>70784.039073535328</v>
      </c>
      <c r="AS415" s="32">
        <f t="shared" si="108"/>
        <v>322967.69579696498</v>
      </c>
      <c r="AT415" s="33" t="e">
        <f t="shared" si="108"/>
        <v>#VALUE!</v>
      </c>
      <c r="AU415" s="33" t="e">
        <f t="shared" si="108"/>
        <v>#VALUE!</v>
      </c>
      <c r="AV415" s="34" t="e">
        <f t="shared" si="108"/>
        <v>#VALUE!</v>
      </c>
      <c r="AW415" s="34" t="e">
        <f t="shared" si="108"/>
        <v>#VALUE!</v>
      </c>
      <c r="AX415" s="35" t="e">
        <f t="shared" si="108"/>
        <v>#VALUE!</v>
      </c>
      <c r="AY415" s="35" t="e">
        <f t="shared" si="108"/>
        <v>#VALUE!</v>
      </c>
      <c r="AZ415" t="e">
        <f>NA()</f>
        <v>#N/A</v>
      </c>
    </row>
    <row r="416" spans="4:52" x14ac:dyDescent="0.3">
      <c r="D416">
        <v>31</v>
      </c>
      <c r="F416">
        <v>30</v>
      </c>
      <c r="G416" s="28"/>
      <c r="H416" s="28"/>
      <c r="I416" s="28"/>
      <c r="J416" s="28"/>
      <c r="K416" s="28"/>
      <c r="L416" s="29"/>
      <c r="M416" s="30"/>
      <c r="N416" s="31"/>
      <c r="O416" s="31"/>
      <c r="P416" s="32"/>
      <c r="Q416" s="32"/>
      <c r="R416" s="32"/>
      <c r="S416" s="33"/>
      <c r="T416" s="33"/>
      <c r="U416" s="34"/>
      <c r="V416" s="34"/>
      <c r="W416" s="35"/>
      <c r="X416" s="35"/>
      <c r="AE416">
        <v>31</v>
      </c>
      <c r="AG416">
        <f t="shared" si="105"/>
        <v>22.426633924947051</v>
      </c>
      <c r="AH416" s="28">
        <f t="shared" si="108"/>
        <v>17983.100416165547</v>
      </c>
      <c r="AI416" s="28">
        <f t="shared" si="108"/>
        <v>46179.211754925789</v>
      </c>
      <c r="AJ416" s="28">
        <f t="shared" si="108"/>
        <v>35057.890165895922</v>
      </c>
      <c r="AK416" s="28">
        <f t="shared" ref="AK416:AY416" si="109">300*AK344*AK116</f>
        <v>46109.029748840214</v>
      </c>
      <c r="AL416" s="28">
        <f t="shared" si="109"/>
        <v>8931.8818566141817</v>
      </c>
      <c r="AM416" s="29" t="e">
        <f t="shared" si="109"/>
        <v>#VALUE!</v>
      </c>
      <c r="AN416" s="30">
        <f t="shared" si="109"/>
        <v>11021.306660565093</v>
      </c>
      <c r="AO416" s="31">
        <f t="shared" si="109"/>
        <v>2861.125113502228</v>
      </c>
      <c r="AP416" s="31">
        <f t="shared" si="109"/>
        <v>572.22502270044561</v>
      </c>
      <c r="AQ416" s="32">
        <f t="shared" si="109"/>
        <v>81060.360418244934</v>
      </c>
      <c r="AR416" s="32">
        <f t="shared" si="109"/>
        <v>74494.121482068847</v>
      </c>
      <c r="AS416" s="32">
        <f t="shared" si="109"/>
        <v>341912.70095781487</v>
      </c>
      <c r="AT416" s="33" t="e">
        <f t="shared" si="109"/>
        <v>#VALUE!</v>
      </c>
      <c r="AU416" s="33" t="e">
        <f t="shared" si="109"/>
        <v>#VALUE!</v>
      </c>
      <c r="AV416" s="34" t="e">
        <f t="shared" si="109"/>
        <v>#VALUE!</v>
      </c>
      <c r="AW416" s="34" t="e">
        <f t="shared" si="109"/>
        <v>#VALUE!</v>
      </c>
      <c r="AX416" s="35" t="e">
        <f t="shared" si="109"/>
        <v>#VALUE!</v>
      </c>
      <c r="AY416" s="35" t="e">
        <f t="shared" si="109"/>
        <v>#VALUE!</v>
      </c>
      <c r="AZ416" t="e">
        <f>NA()</f>
        <v>#N/A</v>
      </c>
    </row>
    <row r="417" spans="4:52" x14ac:dyDescent="0.3">
      <c r="D417">
        <v>32</v>
      </c>
      <c r="F417">
        <v>31</v>
      </c>
      <c r="G417" s="28"/>
      <c r="H417" s="28"/>
      <c r="I417" s="28"/>
      <c r="J417" s="28"/>
      <c r="K417" s="28"/>
      <c r="L417" s="29"/>
      <c r="M417" s="30"/>
      <c r="N417" s="31"/>
      <c r="O417" s="31"/>
      <c r="P417" s="32"/>
      <c r="Q417" s="32"/>
      <c r="R417" s="32"/>
      <c r="S417" s="33"/>
      <c r="T417" s="33"/>
      <c r="U417" s="34"/>
      <c r="V417" s="34"/>
      <c r="W417" s="35"/>
      <c r="X417" s="35"/>
      <c r="AE417">
        <v>32</v>
      </c>
      <c r="AG417">
        <f t="shared" si="105"/>
        <v>23.585668651620018</v>
      </c>
      <c r="AH417" s="28">
        <f t="shared" ref="AH417:AY431" si="110">300*AH345*AH117</f>
        <v>19844.817606543238</v>
      </c>
      <c r="AI417" s="28">
        <f t="shared" si="110"/>
        <v>48727.695507337725</v>
      </c>
      <c r="AJ417" s="28">
        <f t="shared" si="110"/>
        <v>38256.605368197103</v>
      </c>
      <c r="AK417" s="28">
        <f t="shared" si="110"/>
        <v>48617.710588919479</v>
      </c>
      <c r="AL417" s="28">
        <f t="shared" si="110"/>
        <v>9689.5973304264389</v>
      </c>
      <c r="AM417" s="29" t="e">
        <f t="shared" si="110"/>
        <v>#VALUE!</v>
      </c>
      <c r="AN417" s="30">
        <f t="shared" si="110"/>
        <v>11905.766780135556</v>
      </c>
      <c r="AO417" s="31">
        <f t="shared" si="110"/>
        <v>3041.138179197244</v>
      </c>
      <c r="AP417" s="31">
        <f t="shared" si="110"/>
        <v>608.22763583944879</v>
      </c>
      <c r="AQ417" s="32">
        <f t="shared" si="110"/>
        <v>84847.402159644087</v>
      </c>
      <c r="AR417" s="32">
        <f t="shared" si="110"/>
        <v>78285.272753141282</v>
      </c>
      <c r="AS417" s="32">
        <f t="shared" si="110"/>
        <v>360758.08268998575</v>
      </c>
      <c r="AT417" s="33" t="e">
        <f t="shared" si="110"/>
        <v>#VALUE!</v>
      </c>
      <c r="AU417" s="33" t="e">
        <f t="shared" si="110"/>
        <v>#VALUE!</v>
      </c>
      <c r="AV417" s="34" t="e">
        <f t="shared" si="110"/>
        <v>#VALUE!</v>
      </c>
      <c r="AW417" s="34" t="e">
        <f t="shared" si="110"/>
        <v>#VALUE!</v>
      </c>
      <c r="AX417" s="35" t="e">
        <f t="shared" si="110"/>
        <v>#VALUE!</v>
      </c>
      <c r="AY417" s="35" t="e">
        <f t="shared" si="110"/>
        <v>#VALUE!</v>
      </c>
      <c r="AZ417" t="e">
        <f>NA()</f>
        <v>#N/A</v>
      </c>
    </row>
    <row r="418" spans="4:52" x14ac:dyDescent="0.3">
      <c r="D418">
        <v>33</v>
      </c>
      <c r="F418">
        <v>32</v>
      </c>
      <c r="G418" s="28"/>
      <c r="H418" s="28"/>
      <c r="I418" s="28"/>
      <c r="J418" s="28"/>
      <c r="K418" s="28"/>
      <c r="L418" s="29"/>
      <c r="M418" s="30"/>
      <c r="N418" s="31"/>
      <c r="O418" s="31"/>
      <c r="P418" s="32"/>
      <c r="Q418" s="32"/>
      <c r="R418" s="32"/>
      <c r="S418" s="33"/>
      <c r="T418" s="33"/>
      <c r="U418" s="34"/>
      <c r="V418" s="34"/>
      <c r="W418" s="35"/>
      <c r="X418" s="35"/>
      <c r="AE418">
        <v>33</v>
      </c>
      <c r="AG418">
        <f t="shared" si="105"/>
        <v>24.804603651429346</v>
      </c>
      <c r="AH418" s="28">
        <f t="shared" si="110"/>
        <v>21794.920379882711</v>
      </c>
      <c r="AI418" s="28">
        <f t="shared" si="110"/>
        <v>51365.679795577656</v>
      </c>
      <c r="AJ418" s="28">
        <f t="shared" si="110"/>
        <v>41629.221292783608</v>
      </c>
      <c r="AK418" s="28">
        <f t="shared" si="110"/>
        <v>51210.293785093891</v>
      </c>
      <c r="AL418" s="28">
        <f t="shared" si="110"/>
        <v>10468.076726140873</v>
      </c>
      <c r="AM418" s="29" t="e">
        <f t="shared" si="110"/>
        <v>#VALUE!</v>
      </c>
      <c r="AN418" s="30">
        <f t="shared" si="110"/>
        <v>12830.123296635773</v>
      </c>
      <c r="AO418" s="31">
        <f t="shared" si="110"/>
        <v>3229.5341421914659</v>
      </c>
      <c r="AP418" s="31">
        <f t="shared" si="110"/>
        <v>645.90682843829325</v>
      </c>
      <c r="AQ418" s="32">
        <f t="shared" si="110"/>
        <v>88732.314517776991</v>
      </c>
      <c r="AR418" s="32">
        <f t="shared" si="110"/>
        <v>82147.032455455133</v>
      </c>
      <c r="AS418" s="32">
        <f t="shared" si="110"/>
        <v>379370.97902488842</v>
      </c>
      <c r="AT418" s="33" t="e">
        <f t="shared" si="110"/>
        <v>#VALUE!</v>
      </c>
      <c r="AU418" s="33" t="e">
        <f t="shared" si="110"/>
        <v>#VALUE!</v>
      </c>
      <c r="AV418" s="34" t="e">
        <f t="shared" si="110"/>
        <v>#VALUE!</v>
      </c>
      <c r="AW418" s="34" t="e">
        <f t="shared" si="110"/>
        <v>#VALUE!</v>
      </c>
      <c r="AX418" s="35" t="e">
        <f t="shared" si="110"/>
        <v>#VALUE!</v>
      </c>
      <c r="AY418" s="35" t="e">
        <f t="shared" si="110"/>
        <v>#VALUE!</v>
      </c>
      <c r="AZ418" t="e">
        <f>NA()</f>
        <v>#N/A</v>
      </c>
    </row>
    <row r="419" spans="4:52" x14ac:dyDescent="0.3">
      <c r="D419">
        <v>34</v>
      </c>
      <c r="F419">
        <v>33</v>
      </c>
      <c r="G419" s="28"/>
      <c r="H419" s="28"/>
      <c r="I419" s="28"/>
      <c r="J419" s="28"/>
      <c r="K419" s="28"/>
      <c r="L419" s="29"/>
      <c r="M419" s="30"/>
      <c r="N419" s="31"/>
      <c r="O419" s="31"/>
      <c r="P419" s="32"/>
      <c r="Q419" s="32"/>
      <c r="R419" s="32"/>
      <c r="S419" s="33"/>
      <c r="T419" s="33"/>
      <c r="U419" s="34"/>
      <c r="V419" s="34"/>
      <c r="W419" s="35"/>
      <c r="X419" s="35"/>
      <c r="AE419">
        <v>34</v>
      </c>
      <c r="AG419">
        <f t="shared" si="105"/>
        <v>26.08653464069765</v>
      </c>
      <c r="AH419" s="28">
        <f t="shared" si="110"/>
        <v>23823.282981354983</v>
      </c>
      <c r="AI419" s="28">
        <f t="shared" si="110"/>
        <v>54090.739787574814</v>
      </c>
      <c r="AJ419" s="28">
        <f t="shared" si="110"/>
        <v>45171.488688078382</v>
      </c>
      <c r="AK419" s="28">
        <f t="shared" si="110"/>
        <v>53883.966459604657</v>
      </c>
      <c r="AL419" s="28">
        <f t="shared" si="110"/>
        <v>11261.992577264265</v>
      </c>
      <c r="AM419" s="29" t="e">
        <f t="shared" si="110"/>
        <v>#VALUE!</v>
      </c>
      <c r="AN419" s="30">
        <f t="shared" si="110"/>
        <v>13793.203202299017</v>
      </c>
      <c r="AO419" s="31">
        <f t="shared" si="110"/>
        <v>3426.3539671126332</v>
      </c>
      <c r="AP419" s="31">
        <f t="shared" si="110"/>
        <v>685.27079342252671</v>
      </c>
      <c r="AQ419" s="32">
        <f t="shared" si="110"/>
        <v>92709.530175018997</v>
      </c>
      <c r="AR419" s="32">
        <f t="shared" si="110"/>
        <v>86067.712467899371</v>
      </c>
      <c r="AS419" s="32">
        <f t="shared" si="110"/>
        <v>397619.04424141115</v>
      </c>
      <c r="AT419" s="33" t="e">
        <f t="shared" si="110"/>
        <v>#VALUE!</v>
      </c>
      <c r="AU419" s="33" t="e">
        <f t="shared" si="110"/>
        <v>#VALUE!</v>
      </c>
      <c r="AV419" s="34" t="e">
        <f t="shared" si="110"/>
        <v>#VALUE!</v>
      </c>
      <c r="AW419" s="34" t="e">
        <f t="shared" si="110"/>
        <v>#VALUE!</v>
      </c>
      <c r="AX419" s="35" t="e">
        <f t="shared" si="110"/>
        <v>#VALUE!</v>
      </c>
      <c r="AY419" s="35" t="e">
        <f t="shared" si="110"/>
        <v>#VALUE!</v>
      </c>
      <c r="AZ419" t="e">
        <f>NA()</f>
        <v>#N/A</v>
      </c>
    </row>
    <row r="420" spans="4:52" x14ac:dyDescent="0.3">
      <c r="D420">
        <v>35</v>
      </c>
      <c r="F420">
        <v>34</v>
      </c>
      <c r="G420" s="28"/>
      <c r="H420" s="28"/>
      <c r="I420" s="28"/>
      <c r="J420" s="28"/>
      <c r="K420" s="28"/>
      <c r="L420" s="29"/>
      <c r="M420" s="30"/>
      <c r="N420" s="31"/>
      <c r="O420" s="31"/>
      <c r="P420" s="32"/>
      <c r="Q420" s="32"/>
      <c r="R420" s="32"/>
      <c r="S420" s="33"/>
      <c r="T420" s="33"/>
      <c r="U420" s="34"/>
      <c r="V420" s="34"/>
      <c r="W420" s="35"/>
      <c r="X420" s="35"/>
      <c r="AE420">
        <v>35</v>
      </c>
      <c r="AG420">
        <f t="shared" si="105"/>
        <v>27.434717325995447</v>
      </c>
      <c r="AH420" s="28">
        <f t="shared" si="110"/>
        <v>25917.346474123962</v>
      </c>
      <c r="AI420" s="28">
        <f t="shared" si="110"/>
        <v>56899.700636520429</v>
      </c>
      <c r="AJ420" s="28">
        <f t="shared" si="110"/>
        <v>48876.09581807108</v>
      </c>
      <c r="AK420" s="28">
        <f t="shared" si="110"/>
        <v>56635.154416771416</v>
      </c>
      <c r="AL420" s="28">
        <f t="shared" si="110"/>
        <v>12065.492636039335</v>
      </c>
      <c r="AM420" s="29" t="e">
        <f t="shared" si="110"/>
        <v>#VALUE!</v>
      </c>
      <c r="AN420" s="30">
        <f t="shared" si="110"/>
        <v>14793.634388838382</v>
      </c>
      <c r="AO420" s="31">
        <f t="shared" si="110"/>
        <v>3631.5919813292567</v>
      </c>
      <c r="AP420" s="31">
        <f t="shared" si="110"/>
        <v>726.31839626585133</v>
      </c>
      <c r="AQ420" s="32">
        <f t="shared" si="110"/>
        <v>96772.556842110847</v>
      </c>
      <c r="AR420" s="32">
        <f t="shared" si="110"/>
        <v>90034.439178211978</v>
      </c>
      <c r="AS420" s="32">
        <f t="shared" si="110"/>
        <v>415373.47444066074</v>
      </c>
      <c r="AT420" s="33" t="e">
        <f t="shared" si="110"/>
        <v>#VALUE!</v>
      </c>
      <c r="AU420" s="33" t="e">
        <f t="shared" si="110"/>
        <v>#VALUE!</v>
      </c>
      <c r="AV420" s="34" t="e">
        <f t="shared" si="110"/>
        <v>#VALUE!</v>
      </c>
      <c r="AW420" s="34" t="e">
        <f t="shared" si="110"/>
        <v>#VALUE!</v>
      </c>
      <c r="AX420" s="35" t="e">
        <f t="shared" si="110"/>
        <v>#VALUE!</v>
      </c>
      <c r="AY420" s="35" t="e">
        <f t="shared" si="110"/>
        <v>#VALUE!</v>
      </c>
      <c r="AZ420" t="e">
        <f>NA()</f>
        <v>#N/A</v>
      </c>
    </row>
    <row r="421" spans="4:52" x14ac:dyDescent="0.3">
      <c r="D421">
        <v>36</v>
      </c>
      <c r="F421">
        <v>35</v>
      </c>
      <c r="G421" s="28"/>
      <c r="H421" s="28"/>
      <c r="I421" s="28"/>
      <c r="J421" s="28"/>
      <c r="K421" s="28"/>
      <c r="L421" s="29"/>
      <c r="M421" s="30"/>
      <c r="N421" s="31"/>
      <c r="O421" s="31"/>
      <c r="P421" s="32"/>
      <c r="Q421" s="32"/>
      <c r="R421" s="32"/>
      <c r="S421" s="33"/>
      <c r="T421" s="33"/>
      <c r="U421" s="34"/>
      <c r="V421" s="34"/>
      <c r="W421" s="35"/>
      <c r="X421" s="35"/>
      <c r="AE421">
        <v>36</v>
      </c>
      <c r="AG421">
        <f t="shared" si="105"/>
        <v>28.852575672624699</v>
      </c>
      <c r="AH421" s="28">
        <f t="shared" si="110"/>
        <v>28062.343207321039</v>
      </c>
      <c r="AI421" s="28">
        <f t="shared" si="110"/>
        <v>59788.598379336756</v>
      </c>
      <c r="AJ421" s="28">
        <f t="shared" si="110"/>
        <v>52732.620942292138</v>
      </c>
      <c r="AK421" s="28">
        <f t="shared" si="110"/>
        <v>59459.491161319784</v>
      </c>
      <c r="AL421" s="28">
        <f t="shared" si="110"/>
        <v>12891.122637587359</v>
      </c>
      <c r="AM421" s="29" t="e">
        <f t="shared" si="110"/>
        <v>#VALUE!</v>
      </c>
      <c r="AN421" s="30">
        <f t="shared" si="110"/>
        <v>15829.835092819727</v>
      </c>
      <c r="AO421" s="31">
        <f t="shared" si="110"/>
        <v>3845.1907456033014</v>
      </c>
      <c r="AP421" s="31">
        <f t="shared" si="110"/>
        <v>769.03814912066036</v>
      </c>
      <c r="AQ421" s="32">
        <f t="shared" si="110"/>
        <v>100913.95060221451</v>
      </c>
      <c r="AR421" s="32">
        <f t="shared" si="110"/>
        <v>94033.221599349825</v>
      </c>
      <c r="AS421" s="32">
        <f t="shared" si="110"/>
        <v>432512.05995634297</v>
      </c>
      <c r="AT421" s="33" t="e">
        <f t="shared" si="110"/>
        <v>#VALUE!</v>
      </c>
      <c r="AU421" s="33" t="e">
        <f t="shared" si="110"/>
        <v>#VALUE!</v>
      </c>
      <c r="AV421" s="34" t="e">
        <f t="shared" si="110"/>
        <v>#VALUE!</v>
      </c>
      <c r="AW421" s="34" t="e">
        <f t="shared" si="110"/>
        <v>#VALUE!</v>
      </c>
      <c r="AX421" s="35" t="e">
        <f t="shared" si="110"/>
        <v>#VALUE!</v>
      </c>
      <c r="AY421" s="35" t="e">
        <f t="shared" si="110"/>
        <v>#VALUE!</v>
      </c>
      <c r="AZ421" t="e">
        <f>NA()</f>
        <v>#N/A</v>
      </c>
    </row>
    <row r="422" spans="4:52" x14ac:dyDescent="0.3">
      <c r="D422">
        <v>37</v>
      </c>
      <c r="F422">
        <v>36</v>
      </c>
      <c r="G422" s="28"/>
      <c r="H422" s="28"/>
      <c r="I422" s="28"/>
      <c r="J422" s="28"/>
      <c r="K422" s="28"/>
      <c r="L422" s="29"/>
      <c r="M422" s="30"/>
      <c r="N422" s="31"/>
      <c r="O422" s="31"/>
      <c r="P422" s="32"/>
      <c r="Q422" s="32"/>
      <c r="R422" s="32"/>
      <c r="S422" s="33"/>
      <c r="T422" s="33"/>
      <c r="U422" s="34"/>
      <c r="V422" s="34"/>
      <c r="W422" s="35"/>
      <c r="X422" s="35"/>
      <c r="AE422">
        <v>37</v>
      </c>
      <c r="AG422">
        <f t="shared" si="105"/>
        <v>30.343710600427304</v>
      </c>
      <c r="AH422" s="28">
        <f t="shared" si="110"/>
        <v>30241.624815778338</v>
      </c>
      <c r="AI422" s="28">
        <f t="shared" si="110"/>
        <v>62752.646386077293</v>
      </c>
      <c r="AJ422" s="28">
        <f t="shared" si="110"/>
        <v>56727.563049056531</v>
      </c>
      <c r="AK422" s="28">
        <f t="shared" si="110"/>
        <v>62351.793102097014</v>
      </c>
      <c r="AL422" s="28">
        <f t="shared" si="110"/>
        <v>15292.918532537844</v>
      </c>
      <c r="AM422" s="29" t="e">
        <f t="shared" si="110"/>
        <v>#VALUE!</v>
      </c>
      <c r="AN422" s="30">
        <f t="shared" si="110"/>
        <v>16899.994063428738</v>
      </c>
      <c r="AO422" s="31">
        <f t="shared" si="110"/>
        <v>4067.035949445647</v>
      </c>
      <c r="AP422" s="31">
        <f t="shared" si="110"/>
        <v>813.40718988912943</v>
      </c>
      <c r="AQ422" s="32">
        <f t="shared" si="110"/>
        <v>105125.29896180997</v>
      </c>
      <c r="AR422" s="32">
        <f t="shared" si="110"/>
        <v>98049.047140164403</v>
      </c>
      <c r="AS422" s="32">
        <f t="shared" si="110"/>
        <v>448922.1412978337</v>
      </c>
      <c r="AT422" s="33" t="e">
        <f t="shared" si="110"/>
        <v>#VALUE!</v>
      </c>
      <c r="AU422" s="33" t="e">
        <f t="shared" si="110"/>
        <v>#VALUE!</v>
      </c>
      <c r="AV422" s="34" t="e">
        <f t="shared" si="110"/>
        <v>#VALUE!</v>
      </c>
      <c r="AW422" s="34" t="e">
        <f t="shared" si="110"/>
        <v>#VALUE!</v>
      </c>
      <c r="AX422" s="35" t="e">
        <f t="shared" si="110"/>
        <v>#VALUE!</v>
      </c>
      <c r="AY422" s="35" t="e">
        <f t="shared" si="110"/>
        <v>#VALUE!</v>
      </c>
      <c r="AZ422" t="e">
        <f>NA()</f>
        <v>#N/A</v>
      </c>
    </row>
    <row r="423" spans="4:52" x14ac:dyDescent="0.3">
      <c r="D423">
        <v>38</v>
      </c>
      <c r="F423">
        <v>37</v>
      </c>
      <c r="G423" s="28"/>
      <c r="H423" s="28"/>
      <c r="I423" s="28"/>
      <c r="J423" s="28"/>
      <c r="K423" s="28"/>
      <c r="L423" s="29"/>
      <c r="M423" s="30"/>
      <c r="N423" s="31"/>
      <c r="O423" s="31"/>
      <c r="P423" s="32"/>
      <c r="Q423" s="32"/>
      <c r="R423" s="32"/>
      <c r="S423" s="33"/>
      <c r="T423" s="33"/>
      <c r="U423" s="34"/>
      <c r="V423" s="34"/>
      <c r="W423" s="35"/>
      <c r="X423" s="35"/>
      <c r="AE423">
        <v>38</v>
      </c>
      <c r="AG423">
        <f t="shared" si="105"/>
        <v>31.911909129003085</v>
      </c>
      <c r="AH423" s="28">
        <f t="shared" si="110"/>
        <v>32437.072011184031</v>
      </c>
      <c r="AI423" s="28">
        <f t="shared" si="110"/>
        <v>65786.208791953919</v>
      </c>
      <c r="AJ423" s="28">
        <f t="shared" si="110"/>
        <v>60844.435166608957</v>
      </c>
      <c r="AK423" s="28">
        <f t="shared" si="110"/>
        <v>65306.042305618095</v>
      </c>
      <c r="AL423" s="28">
        <f t="shared" si="110"/>
        <v>17467.588685147064</v>
      </c>
      <c r="AM423" s="29" t="e">
        <f t="shared" si="110"/>
        <v>#VALUE!</v>
      </c>
      <c r="AN423" s="30">
        <f t="shared" si="110"/>
        <v>18002.042801263178</v>
      </c>
      <c r="AO423" s="31">
        <f t="shared" si="110"/>
        <v>4296.9514290880743</v>
      </c>
      <c r="AP423" s="31">
        <f t="shared" si="110"/>
        <v>859.39028581761499</v>
      </c>
      <c r="AQ423" s="32">
        <f t="shared" si="110"/>
        <v>109397.21530779489</v>
      </c>
      <c r="AR423" s="32">
        <f t="shared" si="110"/>
        <v>102066.00618204038</v>
      </c>
      <c r="AS423" s="32">
        <f t="shared" si="110"/>
        <v>464503.34211428999</v>
      </c>
      <c r="AT423" s="33" t="e">
        <f t="shared" si="110"/>
        <v>#VALUE!</v>
      </c>
      <c r="AU423" s="33" t="e">
        <f t="shared" si="110"/>
        <v>#VALUE!</v>
      </c>
      <c r="AV423" s="34" t="e">
        <f t="shared" si="110"/>
        <v>#VALUE!</v>
      </c>
      <c r="AW423" s="34" t="e">
        <f t="shared" si="110"/>
        <v>#VALUE!</v>
      </c>
      <c r="AX423" s="35" t="e">
        <f t="shared" si="110"/>
        <v>#VALUE!</v>
      </c>
      <c r="AY423" s="35" t="e">
        <f t="shared" si="110"/>
        <v>#VALUE!</v>
      </c>
      <c r="AZ423" t="e">
        <f>NA()</f>
        <v>#N/A</v>
      </c>
    </row>
    <row r="424" spans="4:52" x14ac:dyDescent="0.3">
      <c r="D424">
        <v>39</v>
      </c>
      <c r="F424">
        <v>38</v>
      </c>
      <c r="G424" s="28"/>
      <c r="H424" s="28"/>
      <c r="I424" s="28"/>
      <c r="J424" s="28"/>
      <c r="K424" s="28"/>
      <c r="L424" s="29"/>
      <c r="M424" s="30"/>
      <c r="N424" s="31"/>
      <c r="O424" s="31"/>
      <c r="P424" s="32"/>
      <c r="Q424" s="32"/>
      <c r="R424" s="32"/>
      <c r="S424" s="33"/>
      <c r="T424" s="33"/>
      <c r="U424" s="34"/>
      <c r="V424" s="34"/>
      <c r="W424" s="35"/>
      <c r="X424" s="35"/>
      <c r="AE424">
        <v>39</v>
      </c>
      <c r="AG424">
        <f t="shared" si="105"/>
        <v>33.561153995563402</v>
      </c>
      <c r="AH424" s="28">
        <f t="shared" si="110"/>
        <v>34629.569327200064</v>
      </c>
      <c r="AI424" s="28">
        <f t="shared" si="110"/>
        <v>68882.782523644972</v>
      </c>
      <c r="AJ424" s="28">
        <f t="shared" si="110"/>
        <v>65063.915681170736</v>
      </c>
      <c r="AK424" s="28">
        <f t="shared" si="110"/>
        <v>68315.378372214705</v>
      </c>
      <c r="AL424" s="28">
        <f t="shared" si="110"/>
        <v>19434.497668900985</v>
      </c>
      <c r="AM424" s="29" t="e">
        <f t="shared" si="110"/>
        <v>#VALUE!</v>
      </c>
      <c r="AN424" s="30">
        <f t="shared" si="110"/>
        <v>19133.62239443199</v>
      </c>
      <c r="AO424" s="31">
        <f t="shared" si="110"/>
        <v>4534.6944208087089</v>
      </c>
      <c r="AP424" s="31">
        <f t="shared" si="110"/>
        <v>906.93888416174161</v>
      </c>
      <c r="AQ424" s="32">
        <f t="shared" si="110"/>
        <v>113719.34648630278</v>
      </c>
      <c r="AR424" s="32">
        <f t="shared" si="110"/>
        <v>106067.44588216755</v>
      </c>
      <c r="AS424" s="32">
        <f t="shared" si="110"/>
        <v>479169.95704226167</v>
      </c>
      <c r="AT424" s="33" t="e">
        <f t="shared" si="110"/>
        <v>#VALUE!</v>
      </c>
      <c r="AU424" s="33" t="e">
        <f t="shared" si="110"/>
        <v>#VALUE!</v>
      </c>
      <c r="AV424" s="34" t="e">
        <f t="shared" si="110"/>
        <v>#VALUE!</v>
      </c>
      <c r="AW424" s="34" t="e">
        <f t="shared" si="110"/>
        <v>#VALUE!</v>
      </c>
      <c r="AX424" s="35" t="e">
        <f t="shared" si="110"/>
        <v>#VALUE!</v>
      </c>
      <c r="AY424" s="35" t="e">
        <f t="shared" si="110"/>
        <v>#VALUE!</v>
      </c>
      <c r="AZ424" t="e">
        <f>NA()</f>
        <v>#N/A</v>
      </c>
    </row>
    <row r="425" spans="4:52" x14ac:dyDescent="0.3">
      <c r="D425">
        <v>40</v>
      </c>
      <c r="F425">
        <v>39</v>
      </c>
      <c r="G425" s="28"/>
      <c r="H425" s="28"/>
      <c r="I425" s="28"/>
      <c r="J425" s="28"/>
      <c r="K425" s="28"/>
      <c r="L425" s="29"/>
      <c r="M425" s="30"/>
      <c r="N425" s="31"/>
      <c r="O425" s="31"/>
      <c r="P425" s="32"/>
      <c r="Q425" s="32"/>
      <c r="R425" s="32"/>
      <c r="S425" s="33"/>
      <c r="T425" s="33"/>
      <c r="U425" s="34"/>
      <c r="V425" s="34"/>
      <c r="W425" s="35"/>
      <c r="X425" s="35"/>
      <c r="AE425">
        <v>40</v>
      </c>
      <c r="AG425">
        <f t="shared" si="105"/>
        <v>35.295633769846724</v>
      </c>
      <c r="AH425" s="28">
        <f t="shared" si="110"/>
        <v>36799.529177757278</v>
      </c>
      <c r="AI425" s="28">
        <f t="shared" si="110"/>
        <v>72034.989649757874</v>
      </c>
      <c r="AJ425" s="28">
        <f t="shared" si="110"/>
        <v>69364.060963310534</v>
      </c>
      <c r="AK425" s="28">
        <f t="shared" si="110"/>
        <v>71372.101129801857</v>
      </c>
      <c r="AL425" s="28">
        <f t="shared" si="110"/>
        <v>21212.860734512215</v>
      </c>
      <c r="AM425" s="29" t="e">
        <f t="shared" si="110"/>
        <v>#VALUE!</v>
      </c>
      <c r="AN425" s="30">
        <f t="shared" si="110"/>
        <v>20292.048380544878</v>
      </c>
      <c r="AO425" s="31">
        <f t="shared" si="110"/>
        <v>4779.9511768892435</v>
      </c>
      <c r="AP425" s="31">
        <f t="shared" si="110"/>
        <v>955.99023537784876</v>
      </c>
      <c r="AQ425" s="32">
        <f t="shared" si="110"/>
        <v>118080.39518725031</v>
      </c>
      <c r="AR425" s="32">
        <f t="shared" si="110"/>
        <v>110036.15275215569</v>
      </c>
      <c r="AS425" s="32">
        <f t="shared" si="110"/>
        <v>492852.88455088256</v>
      </c>
      <c r="AT425" s="33" t="e">
        <f t="shared" si="110"/>
        <v>#VALUE!</v>
      </c>
      <c r="AU425" s="33" t="e">
        <f t="shared" si="110"/>
        <v>#VALUE!</v>
      </c>
      <c r="AV425" s="34" t="e">
        <f t="shared" si="110"/>
        <v>#VALUE!</v>
      </c>
      <c r="AW425" s="34" t="e">
        <f t="shared" si="110"/>
        <v>#VALUE!</v>
      </c>
      <c r="AX425" s="35" t="e">
        <f t="shared" si="110"/>
        <v>#VALUE!</v>
      </c>
      <c r="AY425" s="35" t="e">
        <f t="shared" si="110"/>
        <v>#VALUE!</v>
      </c>
      <c r="AZ425" t="e">
        <f>NA()</f>
        <v>#N/A</v>
      </c>
    </row>
    <row r="426" spans="4:52" x14ac:dyDescent="0.3">
      <c r="D426">
        <v>41</v>
      </c>
      <c r="F426">
        <v>40</v>
      </c>
      <c r="G426" s="28"/>
      <c r="H426" s="28"/>
      <c r="I426" s="28"/>
      <c r="J426" s="28"/>
      <c r="K426" s="28"/>
      <c r="L426" s="29"/>
      <c r="M426" s="30"/>
      <c r="N426" s="31"/>
      <c r="O426" s="31"/>
      <c r="P426" s="32"/>
      <c r="Q426" s="32"/>
      <c r="R426" s="32"/>
      <c r="S426" s="33"/>
      <c r="T426" s="33"/>
      <c r="U426" s="34"/>
      <c r="V426" s="34"/>
      <c r="W426" s="35"/>
      <c r="X426" s="35"/>
      <c r="AE426">
        <v>41</v>
      </c>
      <c r="AG426">
        <f t="shared" si="105"/>
        <v>37.119753491784877</v>
      </c>
      <c r="AH426" s="28">
        <f t="shared" si="110"/>
        <v>38927.447540171524</v>
      </c>
      <c r="AI426" s="28">
        <f t="shared" si="110"/>
        <v>75234.581833017714</v>
      </c>
      <c r="AJ426" s="28">
        <f t="shared" si="110"/>
        <v>73720.585809789874</v>
      </c>
      <c r="AK426" s="28">
        <f t="shared" si="110"/>
        <v>74467.68586966295</v>
      </c>
      <c r="AL426" s="28">
        <f t="shared" si="110"/>
        <v>22820.348183502316</v>
      </c>
      <c r="AM426" s="29" t="e">
        <f t="shared" si="110"/>
        <v>#VALUE!</v>
      </c>
      <c r="AN426" s="30">
        <f t="shared" si="110"/>
        <v>21474.277583738589</v>
      </c>
      <c r="AO426" s="31">
        <f t="shared" si="110"/>
        <v>5032.3330851550936</v>
      </c>
      <c r="AP426" s="31">
        <f t="shared" si="110"/>
        <v>1006.4666170310189</v>
      </c>
      <c r="AQ426" s="32">
        <f t="shared" si="110"/>
        <v>122468.1587301839</v>
      </c>
      <c r="AR426" s="32">
        <f t="shared" si="110"/>
        <v>113954.56256171929</v>
      </c>
      <c r="AS426" s="32">
        <f t="shared" si="110"/>
        <v>505501.01466902532</v>
      </c>
      <c r="AT426" s="33" t="e">
        <f t="shared" si="110"/>
        <v>#VALUE!</v>
      </c>
      <c r="AU426" s="33" t="e">
        <f t="shared" si="110"/>
        <v>#VALUE!</v>
      </c>
      <c r="AV426" s="34" t="e">
        <f t="shared" si="110"/>
        <v>#VALUE!</v>
      </c>
      <c r="AW426" s="34" t="e">
        <f t="shared" si="110"/>
        <v>#VALUE!</v>
      </c>
      <c r="AX426" s="35" t="e">
        <f t="shared" si="110"/>
        <v>#VALUE!</v>
      </c>
      <c r="AY426" s="35" t="e">
        <f t="shared" si="110"/>
        <v>#VALUE!</v>
      </c>
      <c r="AZ426" t="e">
        <f>NA()</f>
        <v>#N/A</v>
      </c>
    </row>
    <row r="427" spans="4:52" x14ac:dyDescent="0.3">
      <c r="D427">
        <v>42</v>
      </c>
      <c r="F427">
        <v>41</v>
      </c>
      <c r="G427" s="28"/>
      <c r="H427" s="28"/>
      <c r="I427" s="28"/>
      <c r="J427" s="28"/>
      <c r="K427" s="28"/>
      <c r="L427" s="29"/>
      <c r="M427" s="30"/>
      <c r="N427" s="31"/>
      <c r="O427" s="31"/>
      <c r="P427" s="32"/>
      <c r="Q427" s="32"/>
      <c r="R427" s="32"/>
      <c r="S427" s="33"/>
      <c r="T427" s="33"/>
      <c r="U427" s="34"/>
      <c r="V427" s="34"/>
      <c r="W427" s="35"/>
      <c r="X427" s="35"/>
      <c r="AE427">
        <v>42</v>
      </c>
      <c r="AG427">
        <f t="shared" si="105"/>
        <v>38.85778775562828</v>
      </c>
      <c r="AH427" s="28">
        <f t="shared" si="110"/>
        <v>40807.534704390069</v>
      </c>
      <c r="AI427" s="28">
        <f t="shared" si="110"/>
        <v>78173.5634066442</v>
      </c>
      <c r="AJ427" s="28">
        <f t="shared" si="110"/>
        <v>77703.566578569676</v>
      </c>
      <c r="AK427" s="28">
        <f t="shared" si="110"/>
        <v>77304.648417988035</v>
      </c>
      <c r="AL427" s="28">
        <f t="shared" si="110"/>
        <v>24145.099280319999</v>
      </c>
      <c r="AM427" s="29" t="e">
        <f t="shared" si="110"/>
        <v>#VALUE!</v>
      </c>
      <c r="AN427" s="30">
        <f t="shared" si="110"/>
        <v>22565.612415961819</v>
      </c>
      <c r="AO427" s="31">
        <f t="shared" si="110"/>
        <v>5267.3041846695878</v>
      </c>
      <c r="AP427" s="31">
        <f t="shared" si="110"/>
        <v>1053.4608369339178</v>
      </c>
      <c r="AQ427" s="32">
        <f t="shared" si="110"/>
        <v>126464.89375597062</v>
      </c>
      <c r="AR427" s="32">
        <f t="shared" si="110"/>
        <v>117454.45108784147</v>
      </c>
      <c r="AS427" s="32">
        <f t="shared" si="110"/>
        <v>516062.75476809428</v>
      </c>
      <c r="AT427" s="33" t="e">
        <f t="shared" si="110"/>
        <v>#VALUE!</v>
      </c>
      <c r="AU427" s="33" t="e">
        <f t="shared" si="110"/>
        <v>#VALUE!</v>
      </c>
      <c r="AV427" s="34" t="e">
        <f t="shared" si="110"/>
        <v>#VALUE!</v>
      </c>
      <c r="AW427" s="34" t="e">
        <f t="shared" si="110"/>
        <v>#VALUE!</v>
      </c>
      <c r="AX427" s="35" t="e">
        <f t="shared" si="110"/>
        <v>#VALUE!</v>
      </c>
      <c r="AY427" s="35" t="e">
        <f t="shared" si="110"/>
        <v>#VALUE!</v>
      </c>
      <c r="AZ427" t="e">
        <f>NA()</f>
        <v>#N/A</v>
      </c>
    </row>
    <row r="428" spans="4:52" x14ac:dyDescent="0.3">
      <c r="D428">
        <v>43</v>
      </c>
      <c r="F428">
        <v>42</v>
      </c>
      <c r="G428" s="28"/>
      <c r="H428" s="28"/>
      <c r="I428" s="28"/>
      <c r="J428" s="28"/>
      <c r="K428" s="28"/>
      <c r="L428" s="29"/>
      <c r="M428" s="30"/>
      <c r="N428" s="31"/>
      <c r="O428" s="31"/>
      <c r="P428" s="32"/>
      <c r="Q428" s="32"/>
      <c r="R428" s="32"/>
      <c r="S428" s="33"/>
      <c r="T428" s="33"/>
      <c r="U428" s="34"/>
      <c r="V428" s="34"/>
      <c r="W428" s="35"/>
      <c r="X428" s="35"/>
      <c r="AE428">
        <v>43</v>
      </c>
      <c r="AG428">
        <f t="shared" si="105"/>
        <v>40.467341024247702</v>
      </c>
      <c r="AH428" s="28">
        <f t="shared" si="110"/>
        <v>42422.348734020423</v>
      </c>
      <c r="AI428" s="28">
        <f t="shared" si="110"/>
        <v>80800.810338801646</v>
      </c>
      <c r="AJ428" s="28">
        <f t="shared" si="110"/>
        <v>81240.378610809872</v>
      </c>
      <c r="AK428" s="28">
        <f t="shared" si="110"/>
        <v>79835.280051230948</v>
      </c>
      <c r="AL428" s="28">
        <f t="shared" si="110"/>
        <v>25220.89113360324</v>
      </c>
      <c r="AM428" s="29" t="e">
        <f t="shared" si="110"/>
        <v>#VALUE!</v>
      </c>
      <c r="AN428" s="30">
        <f t="shared" si="110"/>
        <v>23545.356367535107</v>
      </c>
      <c r="AO428" s="31">
        <f t="shared" si="110"/>
        <v>5479.9840730347887</v>
      </c>
      <c r="AP428" s="31">
        <f t="shared" si="110"/>
        <v>1095.9968146069577</v>
      </c>
      <c r="AQ428" s="32">
        <f t="shared" si="110"/>
        <v>130010.97806107589</v>
      </c>
      <c r="AR428" s="32">
        <f t="shared" si="110"/>
        <v>120501.21505331762</v>
      </c>
      <c r="AS428" s="32">
        <f t="shared" si="110"/>
        <v>524685.1048394274</v>
      </c>
      <c r="AT428" s="33" t="e">
        <f t="shared" si="110"/>
        <v>#VALUE!</v>
      </c>
      <c r="AU428" s="33" t="e">
        <f t="shared" si="110"/>
        <v>#VALUE!</v>
      </c>
      <c r="AV428" s="34" t="e">
        <f t="shared" si="110"/>
        <v>#VALUE!</v>
      </c>
      <c r="AW428" s="34" t="e">
        <f t="shared" si="110"/>
        <v>#VALUE!</v>
      </c>
      <c r="AX428" s="35" t="e">
        <f t="shared" si="110"/>
        <v>#VALUE!</v>
      </c>
      <c r="AY428" s="35" t="e">
        <f t="shared" si="110"/>
        <v>#VALUE!</v>
      </c>
      <c r="AZ428" t="e">
        <f>NA()</f>
        <v>#N/A</v>
      </c>
    </row>
    <row r="429" spans="4:52" x14ac:dyDescent="0.3">
      <c r="D429">
        <v>44</v>
      </c>
      <c r="F429">
        <v>43</v>
      </c>
      <c r="G429" s="28"/>
      <c r="H429" s="28"/>
      <c r="I429" s="28"/>
      <c r="J429" s="28"/>
      <c r="K429" s="28"/>
      <c r="L429" s="29"/>
      <c r="M429" s="30"/>
      <c r="N429" s="31"/>
      <c r="O429" s="31"/>
      <c r="P429" s="32"/>
      <c r="Q429" s="32"/>
      <c r="R429" s="32"/>
      <c r="S429" s="33"/>
      <c r="T429" s="33"/>
      <c r="U429" s="34"/>
      <c r="V429" s="34"/>
      <c r="W429" s="35"/>
      <c r="X429" s="35"/>
      <c r="AE429">
        <v>44</v>
      </c>
      <c r="AG429">
        <f t="shared" si="105"/>
        <v>41.95047391357199</v>
      </c>
      <c r="AH429" s="28">
        <f t="shared" si="110"/>
        <v>43805.750034361437</v>
      </c>
      <c r="AI429" s="28">
        <f t="shared" si="110"/>
        <v>83142.28339913924</v>
      </c>
      <c r="AJ429" s="28">
        <f t="shared" si="110"/>
        <v>84367.590141705718</v>
      </c>
      <c r="AK429" s="28">
        <f t="shared" si="110"/>
        <v>82086.209005522556</v>
      </c>
      <c r="AL429" s="28">
        <f t="shared" si="110"/>
        <v>26101.964547575095</v>
      </c>
      <c r="AM429" s="29" t="e">
        <f t="shared" si="110"/>
        <v>#VALUE!</v>
      </c>
      <c r="AN429" s="30">
        <f t="shared" si="110"/>
        <v>24421.683417405638</v>
      </c>
      <c r="AO429" s="31">
        <f t="shared" si="110"/>
        <v>5671.6901906840903</v>
      </c>
      <c r="AP429" s="31">
        <f t="shared" si="110"/>
        <v>1134.3380381368181</v>
      </c>
      <c r="AQ429" s="32">
        <f t="shared" si="110"/>
        <v>133150.41636975715</v>
      </c>
      <c r="AR429" s="32">
        <f t="shared" si="110"/>
        <v>123150.43103203861</v>
      </c>
      <c r="AS429" s="32">
        <f t="shared" si="110"/>
        <v>531745.78368311725</v>
      </c>
      <c r="AT429" s="33" t="e">
        <f t="shared" si="110"/>
        <v>#VALUE!</v>
      </c>
      <c r="AU429" s="33" t="e">
        <f t="shared" si="110"/>
        <v>#VALUE!</v>
      </c>
      <c r="AV429" s="34" t="e">
        <f t="shared" si="110"/>
        <v>#VALUE!</v>
      </c>
      <c r="AW429" s="34" t="e">
        <f t="shared" si="110"/>
        <v>#VALUE!</v>
      </c>
      <c r="AX429" s="35" t="e">
        <f t="shared" si="110"/>
        <v>#VALUE!</v>
      </c>
      <c r="AY429" s="35" t="e">
        <f t="shared" si="110"/>
        <v>#VALUE!</v>
      </c>
      <c r="AZ429" t="e">
        <f>NA()</f>
        <v>#N/A</v>
      </c>
    </row>
    <row r="430" spans="4:52" x14ac:dyDescent="0.3">
      <c r="D430">
        <v>45</v>
      </c>
      <c r="F430">
        <v>44</v>
      </c>
      <c r="G430" s="28"/>
      <c r="H430" s="28"/>
      <c r="I430" s="28"/>
      <c r="J430" s="28"/>
      <c r="K430" s="28"/>
      <c r="L430" s="29"/>
      <c r="M430" s="30"/>
      <c r="N430" s="31"/>
      <c r="O430" s="31"/>
      <c r="P430" s="32"/>
      <c r="Q430" s="32"/>
      <c r="R430" s="32"/>
      <c r="S430" s="33"/>
      <c r="T430" s="33"/>
      <c r="U430" s="34"/>
      <c r="V430" s="34"/>
      <c r="W430" s="35"/>
      <c r="X430" s="35"/>
      <c r="AE430">
        <v>45</v>
      </c>
      <c r="AG430">
        <f t="shared" si="105"/>
        <v>43.317115956604354</v>
      </c>
      <c r="AH430" s="28">
        <f t="shared" si="110"/>
        <v>44994.726295136104</v>
      </c>
      <c r="AI430" s="28">
        <f t="shared" si="110"/>
        <v>85233.369541131367</v>
      </c>
      <c r="AJ430" s="28">
        <f t="shared" si="110"/>
        <v>87136.319382639034</v>
      </c>
      <c r="AK430" s="28">
        <f t="shared" si="110"/>
        <v>84092.79826163681</v>
      </c>
      <c r="AL430" s="28">
        <f t="shared" si="110"/>
        <v>26832.010986200126</v>
      </c>
      <c r="AM430" s="29" t="e">
        <f t="shared" si="110"/>
        <v>#VALUE!</v>
      </c>
      <c r="AN430" s="30">
        <f t="shared" si="110"/>
        <v>25206.68721922642</v>
      </c>
      <c r="AO430" s="31">
        <f t="shared" si="110"/>
        <v>5844.6694756270863</v>
      </c>
      <c r="AP430" s="31">
        <f t="shared" si="110"/>
        <v>1168.9338951254174</v>
      </c>
      <c r="AQ430" s="32">
        <f t="shared" si="110"/>
        <v>135937.66155262155</v>
      </c>
      <c r="AR430" s="32">
        <f t="shared" si="110"/>
        <v>125462.93554703699</v>
      </c>
      <c r="AS430" s="32">
        <f t="shared" si="110"/>
        <v>537574.88875370054</v>
      </c>
      <c r="AT430" s="33" t="e">
        <f t="shared" si="110"/>
        <v>#VALUE!</v>
      </c>
      <c r="AU430" s="33" t="e">
        <f t="shared" si="110"/>
        <v>#VALUE!</v>
      </c>
      <c r="AV430" s="34" t="e">
        <f t="shared" si="110"/>
        <v>#VALUE!</v>
      </c>
      <c r="AW430" s="34" t="e">
        <f t="shared" si="110"/>
        <v>#VALUE!</v>
      </c>
      <c r="AX430" s="35" t="e">
        <f t="shared" si="110"/>
        <v>#VALUE!</v>
      </c>
      <c r="AY430" s="35" t="e">
        <f t="shared" si="110"/>
        <v>#VALUE!</v>
      </c>
      <c r="AZ430" t="e">
        <f>NA()</f>
        <v>#N/A</v>
      </c>
    </row>
    <row r="431" spans="4:52" x14ac:dyDescent="0.3">
      <c r="D431">
        <v>46</v>
      </c>
      <c r="F431">
        <v>45</v>
      </c>
      <c r="G431" s="28"/>
      <c r="H431" s="28"/>
      <c r="I431" s="28"/>
      <c r="J431" s="28"/>
      <c r="K431" s="28"/>
      <c r="L431" s="29"/>
      <c r="M431" s="30"/>
      <c r="N431" s="31"/>
      <c r="O431" s="31"/>
      <c r="P431" s="32"/>
      <c r="Q431" s="32"/>
      <c r="R431" s="32"/>
      <c r="S431" s="33"/>
      <c r="T431" s="33"/>
      <c r="U431" s="34"/>
      <c r="V431" s="34"/>
      <c r="W431" s="35"/>
      <c r="X431" s="35"/>
      <c r="AE431">
        <v>46</v>
      </c>
      <c r="AG431">
        <f t="shared" si="105"/>
        <v>44.576416783406593</v>
      </c>
      <c r="AH431" s="28">
        <f t="shared" si="110"/>
        <v>46020.247847155129</v>
      </c>
      <c r="AI431" s="28">
        <f t="shared" si="110"/>
        <v>87104.615330958259</v>
      </c>
      <c r="AJ431" s="28">
        <f t="shared" si="110"/>
        <v>89591.709218280448</v>
      </c>
      <c r="AK431" s="28">
        <f t="shared" ref="AK431:AY431" si="111">300*AK359*AK131</f>
        <v>85885.445696621784</v>
      </c>
      <c r="AL431" s="28">
        <f t="shared" si="111"/>
        <v>27442.975526884922</v>
      </c>
      <c r="AM431" s="29" t="e">
        <f t="shared" si="111"/>
        <v>#VALUE!</v>
      </c>
      <c r="AN431" s="30">
        <f t="shared" si="111"/>
        <v>25910.974743010946</v>
      </c>
      <c r="AO431" s="31">
        <f t="shared" si="111"/>
        <v>6000.9229056752774</v>
      </c>
      <c r="AP431" s="31">
        <f t="shared" si="111"/>
        <v>1200.1845811350556</v>
      </c>
      <c r="AQ431" s="32">
        <f t="shared" si="111"/>
        <v>138418.81566308945</v>
      </c>
      <c r="AR431" s="32">
        <f t="shared" si="111"/>
        <v>127489.06335633862</v>
      </c>
      <c r="AS431" s="32">
        <f t="shared" si="111"/>
        <v>542424.85212791723</v>
      </c>
      <c r="AT431" s="33" t="e">
        <f t="shared" si="111"/>
        <v>#VALUE!</v>
      </c>
      <c r="AU431" s="33" t="e">
        <f t="shared" si="111"/>
        <v>#VALUE!</v>
      </c>
      <c r="AV431" s="34" t="e">
        <f t="shared" si="111"/>
        <v>#VALUE!</v>
      </c>
      <c r="AW431" s="34" t="e">
        <f t="shared" si="111"/>
        <v>#VALUE!</v>
      </c>
      <c r="AX431" s="35" t="e">
        <f t="shared" si="111"/>
        <v>#VALUE!</v>
      </c>
      <c r="AY431" s="35" t="e">
        <f t="shared" si="111"/>
        <v>#VALUE!</v>
      </c>
      <c r="AZ431" t="e">
        <f>NA()</f>
        <v>#N/A</v>
      </c>
    </row>
    <row r="432" spans="4:52" x14ac:dyDescent="0.3">
      <c r="D432">
        <v>47</v>
      </c>
      <c r="F432">
        <v>46</v>
      </c>
      <c r="G432" s="28"/>
      <c r="H432" s="28"/>
      <c r="I432" s="28"/>
      <c r="J432" s="28"/>
      <c r="K432" s="28"/>
      <c r="L432" s="29"/>
      <c r="M432" s="30"/>
      <c r="N432" s="31"/>
      <c r="O432" s="31"/>
      <c r="P432" s="32"/>
      <c r="Q432" s="32"/>
      <c r="R432" s="32"/>
      <c r="S432" s="33"/>
      <c r="T432" s="33"/>
      <c r="U432" s="34"/>
      <c r="V432" s="34"/>
      <c r="W432" s="35"/>
      <c r="X432" s="35"/>
      <c r="AE432">
        <v>47</v>
      </c>
      <c r="AG432">
        <f t="shared" si="105"/>
        <v>45.736807377615186</v>
      </c>
      <c r="AH432" s="28">
        <f t="shared" ref="AH432:AY446" si="112">300*AH360*AH132</f>
        <v>46908.081954936977</v>
      </c>
      <c r="AI432" s="28">
        <f t="shared" si="112"/>
        <v>88782.402053139303</v>
      </c>
      <c r="AJ432" s="28">
        <f t="shared" si="112"/>
        <v>91773.233178582348</v>
      </c>
      <c r="AK432" s="28">
        <f t="shared" si="112"/>
        <v>87490.303505104355</v>
      </c>
      <c r="AL432" s="28">
        <f t="shared" si="112"/>
        <v>27958.735064778062</v>
      </c>
      <c r="AM432" s="29" t="e">
        <f t="shared" si="112"/>
        <v>#VALUE!</v>
      </c>
      <c r="AN432" s="30">
        <f t="shared" si="112"/>
        <v>26543.829836774712</v>
      </c>
      <c r="AO432" s="31">
        <f t="shared" si="112"/>
        <v>6142.2267186761346</v>
      </c>
      <c r="AP432" s="31">
        <f t="shared" si="112"/>
        <v>1228.445343735227</v>
      </c>
      <c r="AQ432" s="32">
        <f t="shared" si="112"/>
        <v>140633.03411194918</v>
      </c>
      <c r="AR432" s="32">
        <f t="shared" si="112"/>
        <v>129270.58832156887</v>
      </c>
      <c r="AS432" s="32">
        <f t="shared" si="112"/>
        <v>546490.03807665722</v>
      </c>
      <c r="AT432" s="33" t="e">
        <f t="shared" si="112"/>
        <v>#VALUE!</v>
      </c>
      <c r="AU432" s="33" t="e">
        <f t="shared" si="112"/>
        <v>#VALUE!</v>
      </c>
      <c r="AV432" s="34" t="e">
        <f t="shared" si="112"/>
        <v>#VALUE!</v>
      </c>
      <c r="AW432" s="34" t="e">
        <f t="shared" si="112"/>
        <v>#VALUE!</v>
      </c>
      <c r="AX432" s="35" t="e">
        <f t="shared" si="112"/>
        <v>#VALUE!</v>
      </c>
      <c r="AY432" s="35" t="e">
        <f t="shared" si="112"/>
        <v>#VALUE!</v>
      </c>
      <c r="AZ432" t="e">
        <f>NA()</f>
        <v>#N/A</v>
      </c>
    </row>
    <row r="433" spans="4:52" x14ac:dyDescent="0.3">
      <c r="D433">
        <v>48</v>
      </c>
      <c r="F433">
        <v>47</v>
      </c>
      <c r="G433" s="28"/>
      <c r="H433" s="28"/>
      <c r="I433" s="28"/>
      <c r="J433" s="28"/>
      <c r="K433" s="28"/>
      <c r="L433" s="29"/>
      <c r="M433" s="30"/>
      <c r="N433" s="31"/>
      <c r="O433" s="31"/>
      <c r="P433" s="32"/>
      <c r="Q433" s="32"/>
      <c r="R433" s="32"/>
      <c r="S433" s="33"/>
      <c r="T433" s="33"/>
      <c r="U433" s="34"/>
      <c r="V433" s="34"/>
      <c r="W433" s="35"/>
      <c r="X433" s="35"/>
      <c r="AE433">
        <v>48</v>
      </c>
      <c r="AG433">
        <f t="shared" si="105"/>
        <v>46.806056521639796</v>
      </c>
      <c r="AH433" s="28">
        <f t="shared" si="112"/>
        <v>47679.606686654311</v>
      </c>
      <c r="AI433" s="28">
        <f t="shared" si="112"/>
        <v>90289.542665498258</v>
      </c>
      <c r="AJ433" s="28">
        <f t="shared" si="112"/>
        <v>93715.203176112729</v>
      </c>
      <c r="AK433" s="28">
        <f t="shared" si="112"/>
        <v>88929.906655728526</v>
      </c>
      <c r="AL433" s="28">
        <f t="shared" si="112"/>
        <v>28397.467399649588</v>
      </c>
      <c r="AM433" s="29" t="e">
        <f t="shared" si="112"/>
        <v>#VALUE!</v>
      </c>
      <c r="AN433" s="30">
        <f t="shared" si="112"/>
        <v>27113.372021006016</v>
      </c>
      <c r="AO433" s="31">
        <f t="shared" si="112"/>
        <v>6270.1550114965421</v>
      </c>
      <c r="AP433" s="31">
        <f t="shared" si="112"/>
        <v>1254.0310022993085</v>
      </c>
      <c r="AQ433" s="32">
        <f t="shared" si="112"/>
        <v>142613.685520464</v>
      </c>
      <c r="AR433" s="32">
        <f t="shared" si="112"/>
        <v>130842.30471131467</v>
      </c>
      <c r="AS433" s="32">
        <f t="shared" si="112"/>
        <v>549921.20439126366</v>
      </c>
      <c r="AT433" s="33" t="e">
        <f t="shared" si="112"/>
        <v>#VALUE!</v>
      </c>
      <c r="AU433" s="33" t="e">
        <f t="shared" si="112"/>
        <v>#VALUE!</v>
      </c>
      <c r="AV433" s="34" t="e">
        <f t="shared" si="112"/>
        <v>#VALUE!</v>
      </c>
      <c r="AW433" s="34" t="e">
        <f t="shared" si="112"/>
        <v>#VALUE!</v>
      </c>
      <c r="AX433" s="35" t="e">
        <f t="shared" si="112"/>
        <v>#VALUE!</v>
      </c>
      <c r="AY433" s="35" t="e">
        <f t="shared" si="112"/>
        <v>#VALUE!</v>
      </c>
      <c r="AZ433" t="e">
        <f>NA()</f>
        <v>#N/A</v>
      </c>
    </row>
    <row r="434" spans="4:52" x14ac:dyDescent="0.3">
      <c r="D434">
        <v>49</v>
      </c>
      <c r="F434">
        <v>48</v>
      </c>
      <c r="G434" s="28"/>
      <c r="H434" s="28"/>
      <c r="I434" s="28"/>
      <c r="J434" s="28"/>
      <c r="K434" s="28"/>
      <c r="L434" s="29"/>
      <c r="M434" s="30"/>
      <c r="N434" s="31"/>
      <c r="O434" s="31"/>
      <c r="P434" s="32"/>
      <c r="Q434" s="32"/>
      <c r="R434" s="32"/>
      <c r="S434" s="33"/>
      <c r="T434" s="33"/>
      <c r="U434" s="34"/>
      <c r="V434" s="34"/>
      <c r="W434" s="35"/>
      <c r="X434" s="35"/>
      <c r="AE434">
        <v>49</v>
      </c>
      <c r="AG434">
        <f t="shared" si="105"/>
        <v>47.791322808443105</v>
      </c>
      <c r="AH434" s="28">
        <f t="shared" si="112"/>
        <v>48352.550053841034</v>
      </c>
      <c r="AI434" s="28">
        <f t="shared" si="112"/>
        <v>91645.799850405398</v>
      </c>
      <c r="AJ434" s="28">
        <f t="shared" si="112"/>
        <v>95447.346080096075</v>
      </c>
      <c r="AK434" s="28">
        <f t="shared" si="112"/>
        <v>90223.713149016883</v>
      </c>
      <c r="AL434" s="28">
        <f t="shared" si="112"/>
        <v>28773.228327414396</v>
      </c>
      <c r="AM434" s="29" t="e">
        <f t="shared" si="112"/>
        <v>#VALUE!</v>
      </c>
      <c r="AN434" s="30">
        <f t="shared" si="112"/>
        <v>27626.703357806604</v>
      </c>
      <c r="AO434" s="31">
        <f t="shared" si="112"/>
        <v>6386.1018752440932</v>
      </c>
      <c r="AP434" s="31">
        <f t="shared" si="112"/>
        <v>1277.2203750488188</v>
      </c>
      <c r="AQ434" s="32">
        <f t="shared" si="112"/>
        <v>144389.30723035446</v>
      </c>
      <c r="AR434" s="32">
        <f t="shared" si="112"/>
        <v>132233.30755440827</v>
      </c>
      <c r="AS434" s="32">
        <f t="shared" si="112"/>
        <v>552836.17447946314</v>
      </c>
      <c r="AT434" s="33" t="e">
        <f t="shared" si="112"/>
        <v>#VALUE!</v>
      </c>
      <c r="AU434" s="33" t="e">
        <f t="shared" si="112"/>
        <v>#VALUE!</v>
      </c>
      <c r="AV434" s="34" t="e">
        <f t="shared" si="112"/>
        <v>#VALUE!</v>
      </c>
      <c r="AW434" s="34" t="e">
        <f t="shared" si="112"/>
        <v>#VALUE!</v>
      </c>
      <c r="AX434" s="35" t="e">
        <f t="shared" si="112"/>
        <v>#VALUE!</v>
      </c>
      <c r="AY434" s="35" t="e">
        <f t="shared" si="112"/>
        <v>#VALUE!</v>
      </c>
      <c r="AZ434" t="e">
        <f>NA()</f>
        <v>#N/A</v>
      </c>
    </row>
    <row r="435" spans="4:52" x14ac:dyDescent="0.3">
      <c r="D435">
        <v>50</v>
      </c>
      <c r="F435">
        <v>49</v>
      </c>
      <c r="G435" s="28"/>
      <c r="H435" s="28"/>
      <c r="I435" s="28"/>
      <c r="J435" s="28"/>
      <c r="K435" s="28"/>
      <c r="L435" s="29"/>
      <c r="M435" s="30"/>
      <c r="N435" s="31"/>
      <c r="O435" s="31"/>
      <c r="P435" s="32"/>
      <c r="Q435" s="32"/>
      <c r="R435" s="32"/>
      <c r="S435" s="33"/>
      <c r="T435" s="33"/>
      <c r="U435" s="34"/>
      <c r="V435" s="34"/>
      <c r="W435" s="35"/>
      <c r="X435" s="35"/>
      <c r="AE435">
        <v>50</v>
      </c>
      <c r="AG435">
        <f t="shared" si="105"/>
        <v>48.699202568119411</v>
      </c>
      <c r="AH435" s="28">
        <f t="shared" si="112"/>
        <v>48941.629112251358</v>
      </c>
      <c r="AI435" s="28">
        <f t="shared" si="112"/>
        <v>92868.33051236489</v>
      </c>
      <c r="AJ435" s="28">
        <f t="shared" si="112"/>
        <v>96995.377688445209</v>
      </c>
      <c r="AK435" s="28">
        <f t="shared" si="112"/>
        <v>91388.563999548671</v>
      </c>
      <c r="AL435" s="28">
        <f t="shared" si="112"/>
        <v>29097.032246995608</v>
      </c>
      <c r="AM435" s="29" t="e">
        <f t="shared" si="112"/>
        <v>#VALUE!</v>
      </c>
      <c r="AN435" s="30">
        <f t="shared" si="112"/>
        <v>28090.040570330799</v>
      </c>
      <c r="AO435" s="31">
        <f t="shared" si="112"/>
        <v>6491.3021200284547</v>
      </c>
      <c r="AP435" s="31">
        <f t="shared" si="112"/>
        <v>1298.2604240056912</v>
      </c>
      <c r="AQ435" s="32">
        <f t="shared" si="112"/>
        <v>145984.39199390597</v>
      </c>
      <c r="AR435" s="32">
        <f t="shared" si="112"/>
        <v>133468.02648509433</v>
      </c>
      <c r="AS435" s="32">
        <f t="shared" si="112"/>
        <v>555327.73562047631</v>
      </c>
      <c r="AT435" s="33" t="e">
        <f t="shared" si="112"/>
        <v>#VALUE!</v>
      </c>
      <c r="AU435" s="33" t="e">
        <f t="shared" si="112"/>
        <v>#VALUE!</v>
      </c>
      <c r="AV435" s="34" t="e">
        <f t="shared" si="112"/>
        <v>#VALUE!</v>
      </c>
      <c r="AW435" s="34" t="e">
        <f t="shared" si="112"/>
        <v>#VALUE!</v>
      </c>
      <c r="AX435" s="35" t="e">
        <f t="shared" si="112"/>
        <v>#VALUE!</v>
      </c>
      <c r="AY435" s="35" t="e">
        <f t="shared" si="112"/>
        <v>#VALUE!</v>
      </c>
      <c r="AZ435" t="e">
        <f>NA()</f>
        <v>#N/A</v>
      </c>
    </row>
    <row r="436" spans="4:52" x14ac:dyDescent="0.3">
      <c r="D436">
        <v>51</v>
      </c>
      <c r="F436">
        <v>50</v>
      </c>
      <c r="G436" s="28"/>
      <c r="H436" s="28"/>
      <c r="I436" s="28"/>
      <c r="J436" s="28"/>
      <c r="K436" s="28"/>
      <c r="L436" s="29"/>
      <c r="M436" s="30"/>
      <c r="N436" s="31"/>
      <c r="O436" s="31"/>
      <c r="P436" s="32"/>
      <c r="Q436" s="32"/>
      <c r="R436" s="32"/>
      <c r="S436" s="33"/>
      <c r="T436" s="33"/>
      <c r="U436" s="34"/>
      <c r="V436" s="34"/>
      <c r="W436" s="35"/>
      <c r="X436" s="35"/>
      <c r="AE436">
        <v>51</v>
      </c>
      <c r="AG436">
        <f t="shared" si="105"/>
        <v>49.535774030139265</v>
      </c>
      <c r="AH436" s="28">
        <f t="shared" si="112"/>
        <v>49459.087435288333</v>
      </c>
      <c r="AI436" s="28">
        <f t="shared" si="112"/>
        <v>93972.064562508851</v>
      </c>
      <c r="AJ436" s="28">
        <f t="shared" si="112"/>
        <v>98381.538347879177</v>
      </c>
      <c r="AK436" s="28">
        <f t="shared" si="112"/>
        <v>92439.07265771048</v>
      </c>
      <c r="AL436" s="28">
        <f t="shared" si="112"/>
        <v>29377.611168351414</v>
      </c>
      <c r="AM436" s="29" t="e">
        <f t="shared" si="112"/>
        <v>#VALUE!</v>
      </c>
      <c r="AN436" s="30">
        <f t="shared" si="112"/>
        <v>28508.831872237701</v>
      </c>
      <c r="AO436" s="31">
        <f t="shared" si="112"/>
        <v>6586.8501639702999</v>
      </c>
      <c r="AP436" s="31">
        <f t="shared" si="112"/>
        <v>1317.3700327940601</v>
      </c>
      <c r="AQ436" s="32">
        <f t="shared" si="112"/>
        <v>147420.03614533704</v>
      </c>
      <c r="AR436" s="32">
        <f t="shared" si="112"/>
        <v>134567.06012669625</v>
      </c>
      <c r="AS436" s="32">
        <f t="shared" si="112"/>
        <v>557469.51105675567</v>
      </c>
      <c r="AT436" s="33" t="e">
        <f t="shared" si="112"/>
        <v>#VALUE!</v>
      </c>
      <c r="AU436" s="33" t="e">
        <f t="shared" si="112"/>
        <v>#VALUE!</v>
      </c>
      <c r="AV436" s="34" t="e">
        <f t="shared" si="112"/>
        <v>#VALUE!</v>
      </c>
      <c r="AW436" s="34" t="e">
        <f t="shared" si="112"/>
        <v>#VALUE!</v>
      </c>
      <c r="AX436" s="35" t="e">
        <f t="shared" si="112"/>
        <v>#VALUE!</v>
      </c>
      <c r="AY436" s="35" t="e">
        <f t="shared" si="112"/>
        <v>#VALUE!</v>
      </c>
      <c r="AZ436" t="e">
        <f>NA()</f>
        <v>#N/A</v>
      </c>
    </row>
    <row r="437" spans="4:52" x14ac:dyDescent="0.3">
      <c r="D437">
        <v>52</v>
      </c>
      <c r="F437">
        <v>51</v>
      </c>
      <c r="G437" s="28"/>
      <c r="H437" s="28"/>
      <c r="I437" s="28"/>
      <c r="J437" s="28"/>
      <c r="K437" s="28"/>
      <c r="L437" s="29"/>
      <c r="M437" s="30"/>
      <c r="N437" s="31"/>
      <c r="O437" s="31"/>
      <c r="P437" s="32"/>
      <c r="Q437" s="32"/>
      <c r="R437" s="32"/>
      <c r="S437" s="33"/>
      <c r="T437" s="33"/>
      <c r="U437" s="34"/>
      <c r="V437" s="34"/>
      <c r="W437" s="35"/>
      <c r="X437" s="35"/>
      <c r="AE437">
        <v>52</v>
      </c>
      <c r="AG437">
        <f t="shared" si="105"/>
        <v>50.306638016924872</v>
      </c>
      <c r="AH437" s="28">
        <f t="shared" si="112"/>
        <v>49915.139807690481</v>
      </c>
      <c r="AI437" s="28">
        <f t="shared" si="112"/>
        <v>94970.026437053311</v>
      </c>
      <c r="AJ437" s="28">
        <f t="shared" si="112"/>
        <v>99625.074788528073</v>
      </c>
      <c r="AK437" s="28">
        <f t="shared" si="112"/>
        <v>93387.953681115978</v>
      </c>
      <c r="AL437" s="28">
        <f t="shared" si="112"/>
        <v>29621.959238252592</v>
      </c>
      <c r="AM437" s="29" t="e">
        <f t="shared" si="112"/>
        <v>#VALUE!</v>
      </c>
      <c r="AN437" s="30">
        <f t="shared" si="112"/>
        <v>28887.85914336787</v>
      </c>
      <c r="AO437" s="31">
        <f t="shared" si="112"/>
        <v>6673.7169593960043</v>
      </c>
      <c r="AP437" s="31">
        <f t="shared" si="112"/>
        <v>1334.7433918792012</v>
      </c>
      <c r="AQ437" s="32">
        <f t="shared" si="112"/>
        <v>148714.47451326586</v>
      </c>
      <c r="AR437" s="32">
        <f t="shared" si="112"/>
        <v>135547.85015847115</v>
      </c>
      <c r="AS437" s="32">
        <f t="shared" si="112"/>
        <v>559320.35023160453</v>
      </c>
      <c r="AT437" s="33" t="e">
        <f t="shared" si="112"/>
        <v>#VALUE!</v>
      </c>
      <c r="AU437" s="33" t="e">
        <f t="shared" si="112"/>
        <v>#VALUE!</v>
      </c>
      <c r="AV437" s="34" t="e">
        <f t="shared" si="112"/>
        <v>#VALUE!</v>
      </c>
      <c r="AW437" s="34" t="e">
        <f t="shared" si="112"/>
        <v>#VALUE!</v>
      </c>
      <c r="AX437" s="35" t="e">
        <f t="shared" si="112"/>
        <v>#VALUE!</v>
      </c>
      <c r="AY437" s="35" t="e">
        <f t="shared" si="112"/>
        <v>#VALUE!</v>
      </c>
      <c r="AZ437" t="e">
        <f>NA()</f>
        <v>#N/A</v>
      </c>
    </row>
    <row r="438" spans="4:52" x14ac:dyDescent="0.3">
      <c r="D438">
        <v>53</v>
      </c>
      <c r="F438">
        <v>52</v>
      </c>
      <c r="G438" s="28"/>
      <c r="H438" s="28"/>
      <c r="I438" s="28"/>
      <c r="J438" s="28"/>
      <c r="K438" s="28"/>
      <c r="L438" s="29"/>
      <c r="M438" s="30"/>
      <c r="N438" s="31"/>
      <c r="O438" s="31"/>
      <c r="P438" s="32"/>
      <c r="Q438" s="32"/>
      <c r="R438" s="32"/>
      <c r="S438" s="33"/>
      <c r="T438" s="33"/>
      <c r="U438" s="34"/>
      <c r="V438" s="34"/>
      <c r="W438" s="35"/>
      <c r="X438" s="35"/>
      <c r="AE438">
        <v>53</v>
      </c>
      <c r="AG438">
        <f t="shared" si="105"/>
        <v>51.016955441198782</v>
      </c>
      <c r="AH438" s="28">
        <f t="shared" si="112"/>
        <v>50318.336657891508</v>
      </c>
      <c r="AI438" s="28">
        <f t="shared" si="112"/>
        <v>95873.607466871428</v>
      </c>
      <c r="AJ438" s="28">
        <f t="shared" si="112"/>
        <v>100742.66397428024</v>
      </c>
      <c r="AK438" s="28">
        <f t="shared" si="112"/>
        <v>94246.299762479233</v>
      </c>
      <c r="AL438" s="28">
        <f t="shared" si="112"/>
        <v>29835.730530873971</v>
      </c>
      <c r="AM438" s="29" t="e">
        <f t="shared" si="112"/>
        <v>#VALUE!</v>
      </c>
      <c r="AN438" s="30">
        <f t="shared" si="112"/>
        <v>29231.326649775598</v>
      </c>
      <c r="AO438" s="31">
        <f t="shared" si="112"/>
        <v>6752.7649941399059</v>
      </c>
      <c r="AP438" s="31">
        <f t="shared" si="112"/>
        <v>1350.5529988279811</v>
      </c>
      <c r="AQ438" s="32">
        <f t="shared" si="112"/>
        <v>149883.52285145095</v>
      </c>
      <c r="AR438" s="32">
        <f t="shared" si="112"/>
        <v>136425.2269447865</v>
      </c>
      <c r="AS438" s="32">
        <f t="shared" si="112"/>
        <v>560927.6316184731</v>
      </c>
      <c r="AT438" s="33" t="e">
        <f t="shared" si="112"/>
        <v>#VALUE!</v>
      </c>
      <c r="AU438" s="33" t="e">
        <f t="shared" si="112"/>
        <v>#VALUE!</v>
      </c>
      <c r="AV438" s="34" t="e">
        <f t="shared" si="112"/>
        <v>#VALUE!</v>
      </c>
      <c r="AW438" s="34" t="e">
        <f t="shared" si="112"/>
        <v>#VALUE!</v>
      </c>
      <c r="AX438" s="35" t="e">
        <f t="shared" si="112"/>
        <v>#VALUE!</v>
      </c>
      <c r="AY438" s="35" t="e">
        <f t="shared" si="112"/>
        <v>#VALUE!</v>
      </c>
      <c r="AZ438" t="e">
        <f>NA()</f>
        <v>#N/A</v>
      </c>
    </row>
    <row r="439" spans="4:52" x14ac:dyDescent="0.3">
      <c r="D439">
        <v>54</v>
      </c>
      <c r="F439">
        <v>53</v>
      </c>
      <c r="G439" s="28"/>
      <c r="H439" s="28"/>
      <c r="I439" s="28"/>
      <c r="J439" s="28"/>
      <c r="K439" s="28"/>
      <c r="L439" s="29"/>
      <c r="M439" s="30"/>
      <c r="N439" s="31"/>
      <c r="O439" s="31"/>
      <c r="P439" s="32"/>
      <c r="Q439" s="32"/>
      <c r="R439" s="32"/>
      <c r="S439" s="33"/>
      <c r="T439" s="33"/>
      <c r="U439" s="34"/>
      <c r="V439" s="34"/>
      <c r="W439" s="35"/>
      <c r="X439" s="35"/>
      <c r="AE439">
        <v>54</v>
      </c>
      <c r="AG439">
        <f t="shared" si="105"/>
        <v>51.671481858149477</v>
      </c>
      <c r="AH439" s="28">
        <f t="shared" si="112"/>
        <v>50675.861136952604</v>
      </c>
      <c r="AI439" s="28">
        <f t="shared" si="112"/>
        <v>96692.796464729108</v>
      </c>
      <c r="AJ439" s="28">
        <f t="shared" si="112"/>
        <v>101748.78069311031</v>
      </c>
      <c r="AK439" s="28">
        <f t="shared" si="112"/>
        <v>95023.815198254742</v>
      </c>
      <c r="AL439" s="28">
        <f t="shared" si="112"/>
        <v>30023.534212617218</v>
      </c>
      <c r="AM439" s="29" t="e">
        <f t="shared" si="112"/>
        <v>#VALUE!</v>
      </c>
      <c r="AN439" s="30">
        <f t="shared" si="112"/>
        <v>29542.937724678522</v>
      </c>
      <c r="AO439" s="31">
        <f t="shared" si="112"/>
        <v>6824.7614915679133</v>
      </c>
      <c r="AP439" s="31">
        <f t="shared" si="112"/>
        <v>1364.9522983135828</v>
      </c>
      <c r="AQ439" s="32">
        <f t="shared" si="112"/>
        <v>150940.94474546687</v>
      </c>
      <c r="AR439" s="32">
        <f t="shared" si="112"/>
        <v>137211.85236827494</v>
      </c>
      <c r="AS439" s="32">
        <f t="shared" si="112"/>
        <v>562329.76384856668</v>
      </c>
      <c r="AT439" s="33" t="e">
        <f t="shared" si="112"/>
        <v>#VALUE!</v>
      </c>
      <c r="AU439" s="33" t="e">
        <f t="shared" si="112"/>
        <v>#VALUE!</v>
      </c>
      <c r="AV439" s="34" t="e">
        <f t="shared" si="112"/>
        <v>#VALUE!</v>
      </c>
      <c r="AW439" s="34" t="e">
        <f t="shared" si="112"/>
        <v>#VALUE!</v>
      </c>
      <c r="AX439" s="35" t="e">
        <f t="shared" si="112"/>
        <v>#VALUE!</v>
      </c>
      <c r="AY439" s="35" t="e">
        <f t="shared" si="112"/>
        <v>#VALUE!</v>
      </c>
      <c r="AZ439" t="e">
        <f>NA()</f>
        <v>#N/A</v>
      </c>
    </row>
    <row r="440" spans="4:52" x14ac:dyDescent="0.3">
      <c r="D440">
        <v>55</v>
      </c>
      <c r="F440">
        <v>54</v>
      </c>
      <c r="G440" s="28"/>
      <c r="H440" s="28"/>
      <c r="I440" s="28"/>
      <c r="J440" s="28"/>
      <c r="K440" s="28"/>
      <c r="L440" s="29"/>
      <c r="M440" s="30"/>
      <c r="N440" s="31"/>
      <c r="O440" s="31"/>
      <c r="P440" s="32"/>
      <c r="Q440" s="32"/>
      <c r="R440" s="32"/>
      <c r="S440" s="33"/>
      <c r="T440" s="33"/>
      <c r="U440" s="34"/>
      <c r="V440" s="34"/>
      <c r="W440" s="35"/>
      <c r="X440" s="35"/>
      <c r="AE440">
        <v>55</v>
      </c>
      <c r="AG440">
        <f t="shared" si="105"/>
        <v>52.274599303739727</v>
      </c>
      <c r="AH440" s="28">
        <f t="shared" si="112"/>
        <v>50993.77068643002</v>
      </c>
      <c r="AI440" s="28">
        <f t="shared" si="112"/>
        <v>97436.375000928922</v>
      </c>
      <c r="AJ440" s="28">
        <f t="shared" si="112"/>
        <v>102656.01347035285</v>
      </c>
      <c r="AK440" s="28">
        <f t="shared" si="112"/>
        <v>95729.012788883905</v>
      </c>
      <c r="AL440" s="28">
        <f t="shared" si="112"/>
        <v>30189.156549823227</v>
      </c>
      <c r="AM440" s="29" t="e">
        <f t="shared" si="112"/>
        <v>#VALUE!</v>
      </c>
      <c r="AN440" s="30">
        <f t="shared" si="112"/>
        <v>29825.960856009173</v>
      </c>
      <c r="AO440" s="31">
        <f t="shared" si="112"/>
        <v>6890.3899719071242</v>
      </c>
      <c r="AP440" s="31">
        <f t="shared" si="112"/>
        <v>1378.077994381425</v>
      </c>
      <c r="AQ440" s="32">
        <f t="shared" si="112"/>
        <v>151898.75677665899</v>
      </c>
      <c r="AR440" s="32">
        <f t="shared" si="112"/>
        <v>137918.58034701881</v>
      </c>
      <c r="AS440" s="32">
        <f t="shared" si="112"/>
        <v>563558.09251199337</v>
      </c>
      <c r="AT440" s="33" t="e">
        <f t="shared" si="112"/>
        <v>#VALUE!</v>
      </c>
      <c r="AU440" s="33" t="e">
        <f t="shared" si="112"/>
        <v>#VALUE!</v>
      </c>
      <c r="AV440" s="34" t="e">
        <f t="shared" si="112"/>
        <v>#VALUE!</v>
      </c>
      <c r="AW440" s="34" t="e">
        <f t="shared" si="112"/>
        <v>#VALUE!</v>
      </c>
      <c r="AX440" s="35" t="e">
        <f t="shared" si="112"/>
        <v>#VALUE!</v>
      </c>
      <c r="AY440" s="35" t="e">
        <f t="shared" si="112"/>
        <v>#VALUE!</v>
      </c>
      <c r="AZ440" t="e">
        <f>NA()</f>
        <v>#N/A</v>
      </c>
    </row>
    <row r="441" spans="4:52" x14ac:dyDescent="0.3">
      <c r="D441">
        <v>56</v>
      </c>
      <c r="F441">
        <v>55</v>
      </c>
      <c r="G441" s="28"/>
      <c r="H441" s="28"/>
      <c r="I441" s="28"/>
      <c r="J441" s="28"/>
      <c r="K441" s="28"/>
      <c r="L441" s="29"/>
      <c r="M441" s="30"/>
      <c r="N441" s="31"/>
      <c r="O441" s="31"/>
      <c r="P441" s="32"/>
      <c r="Q441" s="32"/>
      <c r="R441" s="32"/>
      <c r="S441" s="33"/>
      <c r="T441" s="33"/>
      <c r="U441" s="34"/>
      <c r="V441" s="34"/>
      <c r="W441" s="35"/>
      <c r="X441" s="35"/>
      <c r="AE441">
        <v>56</v>
      </c>
      <c r="AG441">
        <f t="shared" si="105"/>
        <v>52.830345632314121</v>
      </c>
      <c r="AH441" s="28">
        <f t="shared" si="112"/>
        <v>51277.193347397901</v>
      </c>
      <c r="AI441" s="28">
        <f t="shared" si="112"/>
        <v>98112.082939058455</v>
      </c>
      <c r="AJ441" s="28">
        <f t="shared" si="112"/>
        <v>103475.3345156537</v>
      </c>
      <c r="AK441" s="28">
        <f t="shared" si="112"/>
        <v>96369.380118776971</v>
      </c>
      <c r="AL441" s="28">
        <f t="shared" si="112"/>
        <v>30335.729897104131</v>
      </c>
      <c r="AM441" s="29" t="e">
        <f t="shared" si="112"/>
        <v>#VALUE!</v>
      </c>
      <c r="AN441" s="30">
        <f t="shared" si="112"/>
        <v>30083.286555380026</v>
      </c>
      <c r="AO441" s="31">
        <f t="shared" si="112"/>
        <v>6950.2603494314089</v>
      </c>
      <c r="AP441" s="31">
        <f t="shared" si="112"/>
        <v>1390.052069886282</v>
      </c>
      <c r="AQ441" s="32">
        <f t="shared" si="112"/>
        <v>152767.48312114831</v>
      </c>
      <c r="AR441" s="32">
        <f t="shared" si="112"/>
        <v>138554.75133402908</v>
      </c>
      <c r="AS441" s="32">
        <f t="shared" si="112"/>
        <v>564638.36371194059</v>
      </c>
      <c r="AT441" s="33" t="e">
        <f t="shared" si="112"/>
        <v>#VALUE!</v>
      </c>
      <c r="AU441" s="33" t="e">
        <f t="shared" si="112"/>
        <v>#VALUE!</v>
      </c>
      <c r="AV441" s="34" t="e">
        <f t="shared" si="112"/>
        <v>#VALUE!</v>
      </c>
      <c r="AW441" s="34" t="e">
        <f t="shared" si="112"/>
        <v>#VALUE!</v>
      </c>
      <c r="AX441" s="35" t="e">
        <f t="shared" si="112"/>
        <v>#VALUE!</v>
      </c>
      <c r="AY441" s="35" t="e">
        <f t="shared" si="112"/>
        <v>#VALUE!</v>
      </c>
      <c r="AZ441" t="e">
        <f>NA()</f>
        <v>#N/A</v>
      </c>
    </row>
    <row r="442" spans="4:52" x14ac:dyDescent="0.3">
      <c r="D442">
        <v>57</v>
      </c>
      <c r="F442">
        <v>56</v>
      </c>
      <c r="G442" s="28"/>
      <c r="H442" s="28"/>
      <c r="I442" s="28"/>
      <c r="J442" s="28"/>
      <c r="K442" s="28"/>
      <c r="L442" s="29"/>
      <c r="M442" s="30"/>
      <c r="N442" s="31"/>
      <c r="O442" s="31"/>
      <c r="P442" s="32"/>
      <c r="Q442" s="32"/>
      <c r="R442" s="32"/>
      <c r="S442" s="33"/>
      <c r="T442" s="33"/>
      <c r="U442" s="34"/>
      <c r="V442" s="34"/>
      <c r="W442" s="35"/>
      <c r="X442" s="35"/>
      <c r="AE442">
        <v>57</v>
      </c>
      <c r="AG442">
        <f t="shared" si="105"/>
        <v>53.342441549920437</v>
      </c>
      <c r="AH442" s="28">
        <f t="shared" si="112"/>
        <v>51530.487400711041</v>
      </c>
      <c r="AI442" s="28">
        <f t="shared" si="112"/>
        <v>98726.75896931524</v>
      </c>
      <c r="AJ442" s="28">
        <f t="shared" si="112"/>
        <v>104216.32959672164</v>
      </c>
      <c r="AK442" s="28">
        <f t="shared" si="112"/>
        <v>96951.520225525703</v>
      </c>
      <c r="AL442" s="28">
        <f t="shared" si="112"/>
        <v>30465.862702313592</v>
      </c>
      <c r="AM442" s="29" t="e">
        <f t="shared" si="112"/>
        <v>#VALUE!</v>
      </c>
      <c r="AN442" s="30">
        <f t="shared" si="112"/>
        <v>30317.476264361652</v>
      </c>
      <c r="AO442" s="31">
        <f t="shared" si="112"/>
        <v>7004.9177369389317</v>
      </c>
      <c r="AP442" s="31">
        <f t="shared" si="112"/>
        <v>1400.9835473877865</v>
      </c>
      <c r="AQ442" s="32">
        <f t="shared" si="112"/>
        <v>153556.36864588517</v>
      </c>
      <c r="AR442" s="32">
        <f t="shared" si="112"/>
        <v>139128.43375144759</v>
      </c>
      <c r="AS442" s="32">
        <f t="shared" si="112"/>
        <v>565591.85496278689</v>
      </c>
      <c r="AT442" s="33" t="e">
        <f t="shared" si="112"/>
        <v>#VALUE!</v>
      </c>
      <c r="AU442" s="33" t="e">
        <f t="shared" si="112"/>
        <v>#VALUE!</v>
      </c>
      <c r="AV442" s="34" t="e">
        <f t="shared" si="112"/>
        <v>#VALUE!</v>
      </c>
      <c r="AW442" s="34" t="e">
        <f t="shared" si="112"/>
        <v>#VALUE!</v>
      </c>
      <c r="AX442" s="35" t="e">
        <f t="shared" si="112"/>
        <v>#VALUE!</v>
      </c>
      <c r="AY442" s="35" t="e">
        <f t="shared" si="112"/>
        <v>#VALUE!</v>
      </c>
      <c r="AZ442" t="e">
        <f>NA()</f>
        <v>#N/A</v>
      </c>
    </row>
    <row r="443" spans="4:52" x14ac:dyDescent="0.3">
      <c r="D443">
        <v>58</v>
      </c>
      <c r="F443">
        <v>57</v>
      </c>
      <c r="G443" s="28"/>
      <c r="H443" s="28"/>
      <c r="I443" s="28"/>
      <c r="J443" s="28"/>
      <c r="K443" s="28"/>
      <c r="L443" s="29"/>
      <c r="M443" s="30"/>
      <c r="N443" s="31"/>
      <c r="O443" s="31"/>
      <c r="P443" s="32"/>
      <c r="Q443" s="32"/>
      <c r="R443" s="32"/>
      <c r="S443" s="33"/>
      <c r="T443" s="33"/>
      <c r="U443" s="34"/>
      <c r="V443" s="34"/>
      <c r="W443" s="35"/>
      <c r="X443" s="35"/>
      <c r="AE443">
        <v>58</v>
      </c>
      <c r="AG443">
        <f t="shared" si="105"/>
        <v>53.814315524332059</v>
      </c>
      <c r="AH443" s="28">
        <f t="shared" si="112"/>
        <v>51757.371396636241</v>
      </c>
      <c r="AI443" s="28">
        <f t="shared" si="112"/>
        <v>99286.460135273825</v>
      </c>
      <c r="AJ443" s="28">
        <f t="shared" si="112"/>
        <v>104887.39342823501</v>
      </c>
      <c r="AK443" s="28">
        <f t="shared" si="112"/>
        <v>97481.2708503389</v>
      </c>
      <c r="AL443" s="28">
        <f t="shared" si="112"/>
        <v>30581.740481808771</v>
      </c>
      <c r="AM443" s="29" t="e">
        <f t="shared" si="112"/>
        <v>#VALUE!</v>
      </c>
      <c r="AN443" s="30">
        <f t="shared" si="112"/>
        <v>30530.804416945681</v>
      </c>
      <c r="AO443" s="31">
        <f t="shared" si="112"/>
        <v>7054.8501179395316</v>
      </c>
      <c r="AP443" s="31">
        <f t="shared" si="112"/>
        <v>1410.9700235879063</v>
      </c>
      <c r="AQ443" s="32">
        <f t="shared" si="112"/>
        <v>154273.55785291153</v>
      </c>
      <c r="AR443" s="32">
        <f t="shared" si="112"/>
        <v>139646.62265432437</v>
      </c>
      <c r="AS443" s="32">
        <f t="shared" si="112"/>
        <v>566436.25482475734</v>
      </c>
      <c r="AT443" s="33" t="e">
        <f t="shared" si="112"/>
        <v>#VALUE!</v>
      </c>
      <c r="AU443" s="33" t="e">
        <f t="shared" si="112"/>
        <v>#VALUE!</v>
      </c>
      <c r="AV443" s="34" t="e">
        <f t="shared" si="112"/>
        <v>#VALUE!</v>
      </c>
      <c r="AW443" s="34" t="e">
        <f t="shared" si="112"/>
        <v>#VALUE!</v>
      </c>
      <c r="AX443" s="35" t="e">
        <f t="shared" si="112"/>
        <v>#VALUE!</v>
      </c>
      <c r="AY443" s="35" t="e">
        <f t="shared" si="112"/>
        <v>#VALUE!</v>
      </c>
      <c r="AZ443" t="e">
        <f>NA()</f>
        <v>#N/A</v>
      </c>
    </row>
    <row r="444" spans="4:52" x14ac:dyDescent="0.3">
      <c r="D444">
        <v>59</v>
      </c>
      <c r="F444">
        <v>58</v>
      </c>
      <c r="G444" s="28"/>
      <c r="H444" s="28"/>
      <c r="I444" s="28"/>
      <c r="J444" s="28"/>
      <c r="K444" s="28"/>
      <c r="L444" s="29"/>
      <c r="M444" s="30"/>
      <c r="N444" s="31"/>
      <c r="O444" s="31"/>
      <c r="P444" s="32"/>
      <c r="Q444" s="32"/>
      <c r="R444" s="32"/>
      <c r="S444" s="33"/>
      <c r="T444" s="33"/>
      <c r="U444" s="34"/>
      <c r="V444" s="34"/>
      <c r="W444" s="35"/>
      <c r="X444" s="35"/>
      <c r="AE444">
        <v>59</v>
      </c>
      <c r="AG444">
        <f t="shared" si="105"/>
        <v>54.249126738543261</v>
      </c>
      <c r="AH444" s="28">
        <f t="shared" si="112"/>
        <v>51961.030304559208</v>
      </c>
      <c r="AI444" s="28">
        <f t="shared" si="112"/>
        <v>99796.563707436799</v>
      </c>
      <c r="AJ444" s="28">
        <f t="shared" si="112"/>
        <v>105495.89563548994</v>
      </c>
      <c r="AK444" s="28">
        <f t="shared" si="112"/>
        <v>97963.805763987431</v>
      </c>
      <c r="AL444" s="28">
        <f t="shared" si="112"/>
        <v>30685.204932550856</v>
      </c>
      <c r="AM444" s="29" t="e">
        <f t="shared" si="112"/>
        <v>#VALUE!</v>
      </c>
      <c r="AN444" s="30">
        <f t="shared" si="112"/>
        <v>30725.294638701245</v>
      </c>
      <c r="AO444" s="31">
        <f t="shared" si="112"/>
        <v>7100.4950323168714</v>
      </c>
      <c r="AP444" s="31">
        <f t="shared" si="112"/>
        <v>1420.0990064633745</v>
      </c>
      <c r="AQ444" s="32">
        <f t="shared" si="112"/>
        <v>154926.2456431482</v>
      </c>
      <c r="AR444" s="32">
        <f t="shared" si="112"/>
        <v>140115.40381620362</v>
      </c>
      <c r="AS444" s="32">
        <f t="shared" si="112"/>
        <v>567186.35152782744</v>
      </c>
      <c r="AT444" s="33" t="e">
        <f t="shared" si="112"/>
        <v>#VALUE!</v>
      </c>
      <c r="AU444" s="33" t="e">
        <f t="shared" si="112"/>
        <v>#VALUE!</v>
      </c>
      <c r="AV444" s="34" t="e">
        <f t="shared" si="112"/>
        <v>#VALUE!</v>
      </c>
      <c r="AW444" s="34" t="e">
        <f t="shared" si="112"/>
        <v>#VALUE!</v>
      </c>
      <c r="AX444" s="35" t="e">
        <f t="shared" si="112"/>
        <v>#VALUE!</v>
      </c>
      <c r="AY444" s="35" t="e">
        <f t="shared" si="112"/>
        <v>#VALUE!</v>
      </c>
      <c r="AZ444" t="e">
        <f>NA()</f>
        <v>#N/A</v>
      </c>
    </row>
    <row r="445" spans="4:52" x14ac:dyDescent="0.3">
      <c r="D445">
        <v>60</v>
      </c>
      <c r="F445">
        <v>59</v>
      </c>
      <c r="G445" s="28"/>
      <c r="H445" s="28"/>
      <c r="I445" s="28"/>
      <c r="J445" s="28"/>
      <c r="K445" s="28"/>
      <c r="L445" s="29"/>
      <c r="M445" s="30"/>
      <c r="N445" s="31"/>
      <c r="O445" s="31"/>
      <c r="P445" s="32"/>
      <c r="Q445" s="32"/>
      <c r="R445" s="32"/>
      <c r="S445" s="33"/>
      <c r="T445" s="33"/>
      <c r="U445" s="34"/>
      <c r="V445" s="34"/>
      <c r="W445" s="35"/>
      <c r="X445" s="35"/>
      <c r="AE445">
        <v>60</v>
      </c>
      <c r="AG445">
        <f t="shared" si="105"/>
        <v>54.649786241410681</v>
      </c>
      <c r="AH445" s="28">
        <f t="shared" si="112"/>
        <v>52144.202402544688</v>
      </c>
      <c r="AI445" s="28">
        <f t="shared" si="112"/>
        <v>100261.85420920805</v>
      </c>
      <c r="AJ445" s="28">
        <f t="shared" si="112"/>
        <v>106048.32174706635</v>
      </c>
      <c r="AK445" s="28">
        <f t="shared" si="112"/>
        <v>98403.721074710731</v>
      </c>
      <c r="AL445" s="28">
        <f t="shared" si="112"/>
        <v>30777.816410525094</v>
      </c>
      <c r="AM445" s="29" t="e">
        <f t="shared" si="112"/>
        <v>#VALUE!</v>
      </c>
      <c r="AN445" s="30">
        <f t="shared" si="112"/>
        <v>30902.750932352592</v>
      </c>
      <c r="AO445" s="31">
        <f t="shared" si="112"/>
        <v>7142.2454054303471</v>
      </c>
      <c r="AP445" s="31">
        <f t="shared" si="112"/>
        <v>1428.4490810860696</v>
      </c>
      <c r="AQ445" s="32">
        <f t="shared" si="112"/>
        <v>155520.80475918716</v>
      </c>
      <c r="AR445" s="32">
        <f t="shared" si="112"/>
        <v>140540.0897680434</v>
      </c>
      <c r="AS445" s="32">
        <f t="shared" si="112"/>
        <v>567854.57545855187</v>
      </c>
      <c r="AT445" s="33" t="e">
        <f t="shared" si="112"/>
        <v>#VALUE!</v>
      </c>
      <c r="AU445" s="33" t="e">
        <f t="shared" si="112"/>
        <v>#VALUE!</v>
      </c>
      <c r="AV445" s="34" t="e">
        <f t="shared" si="112"/>
        <v>#VALUE!</v>
      </c>
      <c r="AW445" s="34" t="e">
        <f t="shared" si="112"/>
        <v>#VALUE!</v>
      </c>
      <c r="AX445" s="35" t="e">
        <f t="shared" si="112"/>
        <v>#VALUE!</v>
      </c>
      <c r="AY445" s="35" t="e">
        <f t="shared" si="112"/>
        <v>#VALUE!</v>
      </c>
      <c r="AZ445" t="e">
        <f>NA()</f>
        <v>#N/A</v>
      </c>
    </row>
    <row r="446" spans="4:52" x14ac:dyDescent="0.3">
      <c r="D446">
        <v>61</v>
      </c>
      <c r="F446">
        <v>60</v>
      </c>
      <c r="G446" s="28"/>
      <c r="H446" s="28"/>
      <c r="I446" s="28"/>
      <c r="J446" s="28"/>
      <c r="K446" s="28"/>
      <c r="L446" s="29"/>
      <c r="M446" s="30"/>
      <c r="N446" s="31"/>
      <c r="O446" s="31"/>
      <c r="P446" s="32"/>
      <c r="Q446" s="32"/>
      <c r="R446" s="32"/>
      <c r="S446" s="33"/>
      <c r="T446" s="33"/>
      <c r="U446" s="34"/>
      <c r="V446" s="34"/>
      <c r="W446" s="35"/>
      <c r="X446" s="35"/>
      <c r="AE446">
        <v>61</v>
      </c>
      <c r="AG446">
        <f t="shared" si="105"/>
        <v>55.01897643704347</v>
      </c>
      <c r="AH446" s="28">
        <f t="shared" si="112"/>
        <v>52309.250615987577</v>
      </c>
      <c r="AI446" s="28">
        <f t="shared" si="112"/>
        <v>100686.59793892875</v>
      </c>
      <c r="AJ446" s="28">
        <f t="shared" si="112"/>
        <v>106550.39306826319</v>
      </c>
      <c r="AK446" s="28">
        <f t="shared" ref="AK446:AY446" si="113">300*AK374*AK146</f>
        <v>98805.10893337024</v>
      </c>
      <c r="AL446" s="28">
        <f t="shared" si="113"/>
        <v>30860.90363727888</v>
      </c>
      <c r="AM446" s="29" t="e">
        <f t="shared" si="113"/>
        <v>#VALUE!</v>
      </c>
      <c r="AN446" s="30">
        <f t="shared" si="113"/>
        <v>31064.784580562016</v>
      </c>
      <c r="AO446" s="31">
        <f t="shared" si="113"/>
        <v>7180.4546350753526</v>
      </c>
      <c r="AP446" s="31">
        <f t="shared" si="113"/>
        <v>1436.0909270150705</v>
      </c>
      <c r="AQ446" s="32">
        <f t="shared" si="113"/>
        <v>156062.89387053013</v>
      </c>
      <c r="AR446" s="32">
        <f t="shared" si="113"/>
        <v>140925.33301054983</v>
      </c>
      <c r="AS446" s="32">
        <f t="shared" si="113"/>
        <v>568451.42913581349</v>
      </c>
      <c r="AT446" s="33" t="e">
        <f t="shared" si="113"/>
        <v>#VALUE!</v>
      </c>
      <c r="AU446" s="33" t="e">
        <f t="shared" si="113"/>
        <v>#VALUE!</v>
      </c>
      <c r="AV446" s="34" t="e">
        <f t="shared" si="113"/>
        <v>#VALUE!</v>
      </c>
      <c r="AW446" s="34" t="e">
        <f t="shared" si="113"/>
        <v>#VALUE!</v>
      </c>
      <c r="AX446" s="35" t="e">
        <f t="shared" si="113"/>
        <v>#VALUE!</v>
      </c>
      <c r="AY446" s="35" t="e">
        <f t="shared" si="113"/>
        <v>#VALUE!</v>
      </c>
      <c r="AZ446" t="e">
        <f>NA()</f>
        <v>#N/A</v>
      </c>
    </row>
    <row r="447" spans="4:52" x14ac:dyDescent="0.3">
      <c r="D447">
        <v>62</v>
      </c>
      <c r="F447">
        <v>61</v>
      </c>
      <c r="G447" s="28"/>
      <c r="H447" s="28"/>
      <c r="I447" s="28"/>
      <c r="J447" s="28"/>
      <c r="K447" s="28"/>
      <c r="L447" s="29"/>
      <c r="M447" s="30"/>
      <c r="N447" s="31"/>
      <c r="O447" s="31"/>
      <c r="P447" s="32"/>
      <c r="Q447" s="32"/>
      <c r="R447" s="32"/>
      <c r="S447" s="33"/>
      <c r="T447" s="33"/>
      <c r="U447" s="34"/>
      <c r="V447" s="34"/>
      <c r="W447" s="35"/>
      <c r="X447" s="35"/>
      <c r="AE447">
        <v>62</v>
      </c>
      <c r="AG447">
        <f t="shared" si="105"/>
        <v>55.359169043423464</v>
      </c>
      <c r="AH447" s="28">
        <f t="shared" ref="AH447:AY456" si="114">300*AH375*AH147</f>
        <v>52458.221277854522</v>
      </c>
      <c r="AI447" s="28">
        <f t="shared" si="114"/>
        <v>101074.60694457454</v>
      </c>
      <c r="AJ447" s="28">
        <f t="shared" si="114"/>
        <v>107007.16872700684</v>
      </c>
      <c r="AK447" s="28">
        <f t="shared" si="114"/>
        <v>99171.620642895359</v>
      </c>
      <c r="AL447" s="28">
        <f t="shared" si="114"/>
        <v>30935.603517099604</v>
      </c>
      <c r="AM447" s="29" t="e">
        <f t="shared" si="114"/>
        <v>#VALUE!</v>
      </c>
      <c r="AN447" s="30">
        <f t="shared" si="114"/>
        <v>31212.837391134824</v>
      </c>
      <c r="AO447" s="31">
        <f t="shared" si="114"/>
        <v>7215.4410361674491</v>
      </c>
      <c r="AP447" s="31">
        <f t="shared" si="114"/>
        <v>1443.0882072334898</v>
      </c>
      <c r="AQ447" s="32">
        <f t="shared" si="114"/>
        <v>156557.54954188954</v>
      </c>
      <c r="AR447" s="32">
        <f t="shared" si="114"/>
        <v>141275.22058346932</v>
      </c>
      <c r="AS447" s="32">
        <f t="shared" si="114"/>
        <v>568985.83002876153</v>
      </c>
      <c r="AT447" s="33" t="e">
        <f t="shared" si="114"/>
        <v>#VALUE!</v>
      </c>
      <c r="AU447" s="33" t="e">
        <f t="shared" si="114"/>
        <v>#VALUE!</v>
      </c>
      <c r="AV447" s="34" t="e">
        <f t="shared" si="114"/>
        <v>#VALUE!</v>
      </c>
      <c r="AW447" s="34" t="e">
        <f t="shared" si="114"/>
        <v>#VALUE!</v>
      </c>
      <c r="AX447" s="35" t="e">
        <f t="shared" si="114"/>
        <v>#VALUE!</v>
      </c>
      <c r="AY447" s="35" t="e">
        <f t="shared" si="114"/>
        <v>#VALUE!</v>
      </c>
      <c r="AZ447" t="e">
        <f>NA()</f>
        <v>#N/A</v>
      </c>
    </row>
    <row r="448" spans="4:52" x14ac:dyDescent="0.3">
      <c r="D448">
        <v>63</v>
      </c>
      <c r="F448">
        <v>62</v>
      </c>
      <c r="G448" s="28"/>
      <c r="H448" s="28"/>
      <c r="I448" s="28"/>
      <c r="J448" s="28"/>
      <c r="K448" s="28"/>
      <c r="L448" s="29"/>
      <c r="M448" s="30"/>
      <c r="N448" s="31"/>
      <c r="O448" s="31"/>
      <c r="P448" s="32"/>
      <c r="Q448" s="32"/>
      <c r="R448" s="32"/>
      <c r="S448" s="33"/>
      <c r="T448" s="33"/>
      <c r="U448" s="34"/>
      <c r="V448" s="34"/>
      <c r="W448" s="35"/>
      <c r="X448" s="35"/>
      <c r="AE448">
        <v>63</v>
      </c>
      <c r="AG448">
        <f t="shared" si="105"/>
        <v>55.672641640487548</v>
      </c>
      <c r="AH448" s="28">
        <f t="shared" si="114"/>
        <v>52592.892691600282</v>
      </c>
      <c r="AI448" s="28">
        <f t="shared" si="114"/>
        <v>101429.29408486359</v>
      </c>
      <c r="AJ448" s="28">
        <f t="shared" si="114"/>
        <v>107423.13268339714</v>
      </c>
      <c r="AK448" s="28">
        <f t="shared" si="114"/>
        <v>99506.520840842757</v>
      </c>
      <c r="AL448" s="28">
        <f t="shared" si="114"/>
        <v>31002.893237361535</v>
      </c>
      <c r="AM448" s="29" t="e">
        <f t="shared" si="114"/>
        <v>#VALUE!</v>
      </c>
      <c r="AN448" s="30">
        <f t="shared" si="114"/>
        <v>31348.201817678684</v>
      </c>
      <c r="AO448" s="31">
        <f t="shared" si="114"/>
        <v>7247.4917298004248</v>
      </c>
      <c r="AP448" s="31">
        <f t="shared" si="114"/>
        <v>1449.4983459600849</v>
      </c>
      <c r="AQ448" s="32">
        <f t="shared" si="114"/>
        <v>157009.26474116751</v>
      </c>
      <c r="AR448" s="32">
        <f t="shared" si="114"/>
        <v>141593.35335478125</v>
      </c>
      <c r="AS448" s="32">
        <f t="shared" si="114"/>
        <v>569465.38545005419</v>
      </c>
      <c r="AT448" s="33" t="e">
        <f t="shared" si="114"/>
        <v>#VALUE!</v>
      </c>
      <c r="AU448" s="33" t="e">
        <f t="shared" si="114"/>
        <v>#VALUE!</v>
      </c>
      <c r="AV448" s="34" t="e">
        <f t="shared" si="114"/>
        <v>#VALUE!</v>
      </c>
      <c r="AW448" s="34" t="e">
        <f t="shared" si="114"/>
        <v>#VALUE!</v>
      </c>
      <c r="AX448" s="35" t="e">
        <f t="shared" si="114"/>
        <v>#VALUE!</v>
      </c>
      <c r="AY448" s="35" t="e">
        <f t="shared" si="114"/>
        <v>#VALUE!</v>
      </c>
      <c r="AZ448" t="e">
        <f>NA()</f>
        <v>#N/A</v>
      </c>
    </row>
    <row r="449" spans="4:52" x14ac:dyDescent="0.3">
      <c r="D449">
        <v>64</v>
      </c>
      <c r="F449">
        <v>63</v>
      </c>
      <c r="G449" s="28"/>
      <c r="H449" s="28"/>
      <c r="I449" s="28"/>
      <c r="J449" s="28"/>
      <c r="K449" s="28"/>
      <c r="L449" s="29"/>
      <c r="M449" s="30"/>
      <c r="N449" s="31"/>
      <c r="O449" s="31"/>
      <c r="P449" s="32"/>
      <c r="Q449" s="32"/>
      <c r="R449" s="32"/>
      <c r="S449" s="33"/>
      <c r="T449" s="33"/>
      <c r="U449" s="34"/>
      <c r="V449" s="34"/>
      <c r="W449" s="35"/>
      <c r="X449" s="35"/>
      <c r="AE449">
        <v>64</v>
      </c>
      <c r="AG449">
        <f t="shared" si="105"/>
        <v>55.961492918461353</v>
      </c>
      <c r="AH449" s="28">
        <f t="shared" si="114"/>
        <v>52714.815405297522</v>
      </c>
      <c r="AI449" s="28">
        <f t="shared" si="114"/>
        <v>101753.72054193716</v>
      </c>
      <c r="AJ449" s="28">
        <f t="shared" si="114"/>
        <v>107802.26805749694</v>
      </c>
      <c r="AK449" s="28">
        <f t="shared" si="114"/>
        <v>99812.734144164919</v>
      </c>
      <c r="AL449" s="28">
        <f t="shared" si="114"/>
        <v>31063.616303999901</v>
      </c>
      <c r="AM449" s="29" t="e">
        <f t="shared" si="114"/>
        <v>#VALUE!</v>
      </c>
      <c r="AN449" s="30">
        <f t="shared" si="114"/>
        <v>31472.038409144479</v>
      </c>
      <c r="AO449" s="31">
        <f t="shared" si="114"/>
        <v>7276.8660515615602</v>
      </c>
      <c r="AP449" s="31">
        <f t="shared" si="114"/>
        <v>1455.3732103123123</v>
      </c>
      <c r="AQ449" s="32">
        <f t="shared" si="114"/>
        <v>157422.05607098728</v>
      </c>
      <c r="AR449" s="32">
        <f t="shared" si="114"/>
        <v>141882.91274168354</v>
      </c>
      <c r="AS449" s="32">
        <f t="shared" si="114"/>
        <v>569896.61420301744</v>
      </c>
      <c r="AT449" s="33" t="e">
        <f t="shared" si="114"/>
        <v>#VALUE!</v>
      </c>
      <c r="AU449" s="33" t="e">
        <f t="shared" si="114"/>
        <v>#VALUE!</v>
      </c>
      <c r="AV449" s="34" t="e">
        <f t="shared" si="114"/>
        <v>#VALUE!</v>
      </c>
      <c r="AW449" s="34" t="e">
        <f t="shared" si="114"/>
        <v>#VALUE!</v>
      </c>
      <c r="AX449" s="35" t="e">
        <f t="shared" si="114"/>
        <v>#VALUE!</v>
      </c>
      <c r="AY449" s="35" t="e">
        <f t="shared" si="114"/>
        <v>#VALUE!</v>
      </c>
      <c r="AZ449" t="e">
        <f>NA()</f>
        <v>#N/A</v>
      </c>
    </row>
    <row r="450" spans="4:52" x14ac:dyDescent="0.3">
      <c r="D450">
        <v>65</v>
      </c>
      <c r="F450">
        <v>64</v>
      </c>
      <c r="G450" s="28"/>
      <c r="H450" s="28"/>
      <c r="I450" s="28"/>
      <c r="J450" s="28"/>
      <c r="K450" s="28"/>
      <c r="L450" s="29"/>
      <c r="M450" s="30"/>
      <c r="N450" s="31"/>
      <c r="O450" s="31"/>
      <c r="P450" s="32"/>
      <c r="Q450" s="32"/>
      <c r="R450" s="32"/>
      <c r="S450" s="33"/>
      <c r="T450" s="33"/>
      <c r="U450" s="34"/>
      <c r="V450" s="34"/>
      <c r="W450" s="35"/>
      <c r="X450" s="35"/>
      <c r="AE450">
        <v>65</v>
      </c>
      <c r="AG450">
        <f t="shared" si="105"/>
        <v>56.227656728531329</v>
      </c>
      <c r="AH450" s="28">
        <f t="shared" si="114"/>
        <v>52825.345728864675</v>
      </c>
      <c r="AI450" s="28">
        <f t="shared" si="114"/>
        <v>102050.63692762867</v>
      </c>
      <c r="AJ450" s="28">
        <f t="shared" si="114"/>
        <v>108148.12075523312</v>
      </c>
      <c r="AK450" s="28">
        <f t="shared" si="114"/>
        <v>100092.88541410337</v>
      </c>
      <c r="AL450" s="28">
        <f t="shared" si="114"/>
        <v>31118.503778482722</v>
      </c>
      <c r="AM450" s="29" t="e">
        <f t="shared" si="114"/>
        <v>#VALUE!</v>
      </c>
      <c r="AN450" s="30">
        <f t="shared" si="114"/>
        <v>31585.390973464164</v>
      </c>
      <c r="AO450" s="31">
        <f t="shared" si="114"/>
        <v>7303.7985436497011</v>
      </c>
      <c r="AP450" s="31">
        <f t="shared" si="114"/>
        <v>1460.7597087299403</v>
      </c>
      <c r="AQ450" s="32">
        <f t="shared" si="114"/>
        <v>157799.52152411375</v>
      </c>
      <c r="AR450" s="32">
        <f t="shared" si="114"/>
        <v>142146.71705741822</v>
      </c>
      <c r="AS450" s="32">
        <f t="shared" si="114"/>
        <v>570285.12625184038</v>
      </c>
      <c r="AT450" s="33" t="e">
        <f t="shared" si="114"/>
        <v>#VALUE!</v>
      </c>
      <c r="AU450" s="33" t="e">
        <f t="shared" si="114"/>
        <v>#VALUE!</v>
      </c>
      <c r="AV450" s="34" t="e">
        <f t="shared" si="114"/>
        <v>#VALUE!</v>
      </c>
      <c r="AW450" s="34" t="e">
        <f t="shared" si="114"/>
        <v>#VALUE!</v>
      </c>
      <c r="AX450" s="35" t="e">
        <f t="shared" si="114"/>
        <v>#VALUE!</v>
      </c>
      <c r="AY450" s="35" t="e">
        <f t="shared" si="114"/>
        <v>#VALUE!</v>
      </c>
      <c r="AZ450" t="e">
        <f>NA()</f>
        <v>#N/A</v>
      </c>
    </row>
    <row r="451" spans="4:52" x14ac:dyDescent="0.3">
      <c r="D451">
        <v>66</v>
      </c>
      <c r="F451">
        <v>65</v>
      </c>
      <c r="G451" s="28"/>
      <c r="H451" s="28"/>
      <c r="I451" s="28"/>
      <c r="J451" s="28"/>
      <c r="K451" s="28"/>
      <c r="L451" s="29"/>
      <c r="M451" s="30"/>
      <c r="N451" s="31"/>
      <c r="O451" s="31"/>
      <c r="P451" s="32"/>
      <c r="Q451" s="32"/>
      <c r="R451" s="32"/>
      <c r="S451" s="33"/>
      <c r="T451" s="33"/>
      <c r="U451" s="34"/>
      <c r="V451" s="34"/>
      <c r="W451" s="35"/>
      <c r="X451" s="35"/>
      <c r="AE451">
        <v>66</v>
      </c>
      <c r="AG451">
        <f t="shared" ref="AG451:AG456" si="115">AE79</f>
        <v>56.472915029924017</v>
      </c>
      <c r="AH451" s="28">
        <f t="shared" si="114"/>
        <v>52925.673726323723</v>
      </c>
      <c r="AI451" s="28">
        <f t="shared" si="114"/>
        <v>102322.51894004481</v>
      </c>
      <c r="AJ451" s="28">
        <f t="shared" si="114"/>
        <v>108463.85405401076</v>
      </c>
      <c r="AK451" s="28">
        <f t="shared" si="114"/>
        <v>100349.33460805532</v>
      </c>
      <c r="AL451" s="28">
        <f t="shared" si="114"/>
        <v>31168.191694385372</v>
      </c>
      <c r="AM451" s="29" t="e">
        <f t="shared" si="114"/>
        <v>#VALUE!</v>
      </c>
      <c r="AN451" s="30">
        <f t="shared" si="114"/>
        <v>31689.199782366006</v>
      </c>
      <c r="AO451" s="31">
        <f t="shared" si="114"/>
        <v>7328.5015863423905</v>
      </c>
      <c r="AP451" s="31">
        <f t="shared" si="114"/>
        <v>1465.7003172684781</v>
      </c>
      <c r="AQ451" s="32">
        <f t="shared" si="114"/>
        <v>158144.89025118653</v>
      </c>
      <c r="AR451" s="32">
        <f t="shared" si="114"/>
        <v>142387.26926493665</v>
      </c>
      <c r="AS451" s="32">
        <f t="shared" si="114"/>
        <v>570635.7691165487</v>
      </c>
      <c r="AT451" s="33" t="e">
        <f t="shared" si="114"/>
        <v>#VALUE!</v>
      </c>
      <c r="AU451" s="33" t="e">
        <f t="shared" si="114"/>
        <v>#VALUE!</v>
      </c>
      <c r="AV451" s="34" t="e">
        <f t="shared" si="114"/>
        <v>#VALUE!</v>
      </c>
      <c r="AW451" s="34" t="e">
        <f t="shared" si="114"/>
        <v>#VALUE!</v>
      </c>
      <c r="AX451" s="35" t="e">
        <f t="shared" si="114"/>
        <v>#VALUE!</v>
      </c>
      <c r="AY451" s="35" t="e">
        <f t="shared" si="114"/>
        <v>#VALUE!</v>
      </c>
      <c r="AZ451" t="e">
        <f>NA()</f>
        <v>#N/A</v>
      </c>
    </row>
    <row r="452" spans="4:52" x14ac:dyDescent="0.3">
      <c r="D452">
        <v>67</v>
      </c>
      <c r="F452">
        <v>66</v>
      </c>
      <c r="G452" s="28"/>
      <c r="H452" s="28"/>
      <c r="I452" s="28"/>
      <c r="J452" s="28"/>
      <c r="K452" s="28"/>
      <c r="L452" s="29"/>
      <c r="M452" s="30"/>
      <c r="N452" s="31"/>
      <c r="O452" s="31"/>
      <c r="P452" s="32"/>
      <c r="Q452" s="32"/>
      <c r="R452" s="32"/>
      <c r="S452" s="33"/>
      <c r="T452" s="33"/>
      <c r="U452" s="34"/>
      <c r="V452" s="34"/>
      <c r="W452" s="35"/>
      <c r="X452" s="35"/>
      <c r="AE452">
        <v>67</v>
      </c>
      <c r="AG452">
        <f t="shared" si="115"/>
        <v>56.698909820073034</v>
      </c>
      <c r="AH452" s="28">
        <f t="shared" si="114"/>
        <v>53016.846676094348</v>
      </c>
      <c r="AI452" s="28">
        <f t="shared" si="114"/>
        <v>102571.59837329318</v>
      </c>
      <c r="AJ452" s="28">
        <f t="shared" si="114"/>
        <v>108752.29554127048</v>
      </c>
      <c r="AK452" s="28">
        <f t="shared" si="114"/>
        <v>100584.20702725087</v>
      </c>
      <c r="AL452" s="28">
        <f t="shared" si="114"/>
        <v>31213.235414324168</v>
      </c>
      <c r="AM452" s="29" t="e">
        <f t="shared" si="114"/>
        <v>#VALUE!</v>
      </c>
      <c r="AN452" s="30">
        <f t="shared" si="114"/>
        <v>31784.313095083598</v>
      </c>
      <c r="AO452" s="31">
        <f t="shared" si="114"/>
        <v>7351.1677165747788</v>
      </c>
      <c r="AP452" s="31">
        <f t="shared" si="114"/>
        <v>1470.2335433149558</v>
      </c>
      <c r="AQ452" s="32">
        <f t="shared" si="114"/>
        <v>158461.06557486916</v>
      </c>
      <c r="AR452" s="32">
        <f t="shared" si="114"/>
        <v>142606.79758796323</v>
      </c>
      <c r="AS452" s="32">
        <f t="shared" si="114"/>
        <v>570952.74774999835</v>
      </c>
      <c r="AT452" s="33" t="e">
        <f t="shared" si="114"/>
        <v>#VALUE!</v>
      </c>
      <c r="AU452" s="33" t="e">
        <f t="shared" si="114"/>
        <v>#VALUE!</v>
      </c>
      <c r="AV452" s="34" t="e">
        <f t="shared" si="114"/>
        <v>#VALUE!</v>
      </c>
      <c r="AW452" s="34" t="e">
        <f t="shared" si="114"/>
        <v>#VALUE!</v>
      </c>
      <c r="AX452" s="35" t="e">
        <f t="shared" si="114"/>
        <v>#VALUE!</v>
      </c>
      <c r="AY452" s="35" t="e">
        <f t="shared" si="114"/>
        <v>#VALUE!</v>
      </c>
      <c r="AZ452" t="e">
        <f>NA()</f>
        <v>#N/A</v>
      </c>
    </row>
    <row r="453" spans="4:52" x14ac:dyDescent="0.3">
      <c r="D453">
        <v>68</v>
      </c>
      <c r="F453">
        <v>67</v>
      </c>
      <c r="G453" s="28"/>
      <c r="H453" s="28"/>
      <c r="I453" s="28"/>
      <c r="J453" s="28"/>
      <c r="K453" s="28"/>
      <c r="L453" s="29"/>
      <c r="M453" s="30"/>
      <c r="N453" s="31"/>
      <c r="O453" s="31"/>
      <c r="P453" s="32"/>
      <c r="Q453" s="32"/>
      <c r="R453" s="32"/>
      <c r="S453" s="33"/>
      <c r="T453" s="33"/>
      <c r="U453" s="34"/>
      <c r="V453" s="34"/>
      <c r="W453" s="35"/>
      <c r="X453" s="35"/>
      <c r="AE453">
        <v>68</v>
      </c>
      <c r="AG453">
        <f t="shared" si="115"/>
        <v>56.907154127745713</v>
      </c>
      <c r="AH453" s="28">
        <f t="shared" si="114"/>
        <v>53099.788801819152</v>
      </c>
      <c r="AI453" s="28">
        <f t="shared" si="114"/>
        <v>102799.89015529843</v>
      </c>
      <c r="AJ453" s="28">
        <f t="shared" si="114"/>
        <v>109015.9775739928</v>
      </c>
      <c r="AK453" s="28">
        <f t="shared" si="114"/>
        <v>100799.41963827063</v>
      </c>
      <c r="AL453" s="28">
        <f t="shared" si="114"/>
        <v>31254.121522832458</v>
      </c>
      <c r="AM453" s="29" t="e">
        <f t="shared" si="114"/>
        <v>#VALUE!</v>
      </c>
      <c r="AN453" s="30">
        <f t="shared" si="114"/>
        <v>31871.497236860421</v>
      </c>
      <c r="AO453" s="31">
        <f t="shared" si="114"/>
        <v>7371.9716746901922</v>
      </c>
      <c r="AP453" s="31">
        <f t="shared" si="114"/>
        <v>1474.3943349380384</v>
      </c>
      <c r="AQ453" s="32">
        <f t="shared" si="114"/>
        <v>158750.66227661553</v>
      </c>
      <c r="AR453" s="32">
        <f t="shared" si="114"/>
        <v>142807.29016484131</v>
      </c>
      <c r="AS453" s="32">
        <f t="shared" si="114"/>
        <v>571239.72317297151</v>
      </c>
      <c r="AT453" s="33" t="e">
        <f t="shared" si="114"/>
        <v>#VALUE!</v>
      </c>
      <c r="AU453" s="33" t="e">
        <f t="shared" si="114"/>
        <v>#VALUE!</v>
      </c>
      <c r="AV453" s="34" t="e">
        <f t="shared" si="114"/>
        <v>#VALUE!</v>
      </c>
      <c r="AW453" s="34" t="e">
        <f t="shared" si="114"/>
        <v>#VALUE!</v>
      </c>
      <c r="AX453" s="35" t="e">
        <f t="shared" si="114"/>
        <v>#VALUE!</v>
      </c>
      <c r="AY453" s="35" t="e">
        <f t="shared" si="114"/>
        <v>#VALUE!</v>
      </c>
      <c r="AZ453" t="e">
        <f>NA()</f>
        <v>#N/A</v>
      </c>
    </row>
    <row r="454" spans="4:52" x14ac:dyDescent="0.3">
      <c r="D454">
        <v>69</v>
      </c>
      <c r="F454">
        <v>68</v>
      </c>
      <c r="G454" s="28"/>
      <c r="H454" s="28"/>
      <c r="I454" s="28"/>
      <c r="J454" s="28"/>
      <c r="K454" s="28"/>
      <c r="L454" s="29"/>
      <c r="M454" s="30"/>
      <c r="N454" s="31"/>
      <c r="O454" s="31"/>
      <c r="P454" s="32"/>
      <c r="Q454" s="32"/>
      <c r="R454" s="32"/>
      <c r="S454" s="33"/>
      <c r="T454" s="33"/>
      <c r="U454" s="34"/>
      <c r="V454" s="34"/>
      <c r="W454" s="35"/>
      <c r="X454" s="35"/>
      <c r="AE454">
        <v>69</v>
      </c>
      <c r="AG454">
        <f t="shared" si="115"/>
        <v>57.099042142728173</v>
      </c>
      <c r="AH454" s="28">
        <f t="shared" si="114"/>
        <v>53175.317924064191</v>
      </c>
      <c r="AI454" s="28">
        <f t="shared" si="114"/>
        <v>103009.2159822539</v>
      </c>
      <c r="AJ454" s="28">
        <f t="shared" si="114"/>
        <v>109257.17223872508</v>
      </c>
      <c r="AK454" s="28">
        <f t="shared" si="114"/>
        <v>100996.70403799898</v>
      </c>
      <c r="AL454" s="28">
        <f t="shared" si="114"/>
        <v>31291.277724321673</v>
      </c>
      <c r="AM454" s="29" t="e">
        <f t="shared" si="114"/>
        <v>#VALUE!</v>
      </c>
      <c r="AN454" s="30">
        <f t="shared" si="114"/>
        <v>31951.445432787092</v>
      </c>
      <c r="AO454" s="31">
        <f t="shared" si="114"/>
        <v>7391.0722146685166</v>
      </c>
      <c r="AP454" s="31">
        <f t="shared" si="114"/>
        <v>1478.2144429337034</v>
      </c>
      <c r="AQ454" s="32">
        <f t="shared" si="114"/>
        <v>159016.03901183262</v>
      </c>
      <c r="AR454" s="32">
        <f t="shared" si="114"/>
        <v>142990.52471707252</v>
      </c>
      <c r="AS454" s="32">
        <f t="shared" si="114"/>
        <v>571499.89400891063</v>
      </c>
      <c r="AT454" s="33" t="e">
        <f t="shared" si="114"/>
        <v>#VALUE!</v>
      </c>
      <c r="AU454" s="33" t="e">
        <f t="shared" si="114"/>
        <v>#VALUE!</v>
      </c>
      <c r="AV454" s="34" t="e">
        <f t="shared" si="114"/>
        <v>#VALUE!</v>
      </c>
      <c r="AW454" s="34" t="e">
        <f t="shared" si="114"/>
        <v>#VALUE!</v>
      </c>
      <c r="AX454" s="35" t="e">
        <f t="shared" si="114"/>
        <v>#VALUE!</v>
      </c>
      <c r="AY454" s="35" t="e">
        <f t="shared" si="114"/>
        <v>#VALUE!</v>
      </c>
      <c r="AZ454" t="e">
        <f>NA()</f>
        <v>#N/A</v>
      </c>
    </row>
    <row r="455" spans="4:52" x14ac:dyDescent="0.3">
      <c r="D455">
        <v>70</v>
      </c>
      <c r="F455">
        <v>69</v>
      </c>
      <c r="G455" s="28"/>
      <c r="H455" s="28"/>
      <c r="I455" s="28"/>
      <c r="J455" s="28"/>
      <c r="K455" s="28"/>
      <c r="L455" s="29"/>
      <c r="M455" s="30"/>
      <c r="N455" s="31"/>
      <c r="O455" s="31"/>
      <c r="P455" s="32"/>
      <c r="Q455" s="32"/>
      <c r="R455" s="32"/>
      <c r="S455" s="33"/>
      <c r="T455" s="33"/>
      <c r="U455" s="34"/>
      <c r="V455" s="34"/>
      <c r="W455" s="35"/>
      <c r="X455" s="35"/>
      <c r="AE455">
        <v>70</v>
      </c>
      <c r="AG455">
        <f t="shared" si="115"/>
        <v>57.275858549886756</v>
      </c>
      <c r="AH455" s="28">
        <f t="shared" si="114"/>
        <v>53244.159561475957</v>
      </c>
      <c r="AI455" s="28">
        <f t="shared" si="114"/>
        <v>103201.22502962845</v>
      </c>
      <c r="AJ455" s="28">
        <f t="shared" si="114"/>
        <v>109477.92163434012</v>
      </c>
      <c r="AK455" s="28">
        <f t="shared" si="114"/>
        <v>101177.6265415838</v>
      </c>
      <c r="AL455" s="28">
        <f t="shared" si="114"/>
        <v>31325.081117814898</v>
      </c>
      <c r="AM455" s="29" t="e">
        <f t="shared" si="114"/>
        <v>#VALUE!</v>
      </c>
      <c r="AN455" s="30">
        <f t="shared" si="114"/>
        <v>32024.785567620736</v>
      </c>
      <c r="AO455" s="31">
        <f t="shared" si="114"/>
        <v>7408.6137082086361</v>
      </c>
      <c r="AP455" s="31">
        <f t="shared" si="114"/>
        <v>1481.7227416417272</v>
      </c>
      <c r="AQ455" s="32">
        <f t="shared" si="114"/>
        <v>159259.32656914383</v>
      </c>
      <c r="AR455" s="32">
        <f t="shared" si="114"/>
        <v>143158.0940320587</v>
      </c>
      <c r="AS455" s="32">
        <f t="shared" si="114"/>
        <v>571736.06418606592</v>
      </c>
      <c r="AT455" s="33" t="e">
        <f t="shared" si="114"/>
        <v>#VALUE!</v>
      </c>
      <c r="AU455" s="33" t="e">
        <f t="shared" si="114"/>
        <v>#VALUE!</v>
      </c>
      <c r="AV455" s="34" t="e">
        <f t="shared" si="114"/>
        <v>#VALUE!</v>
      </c>
      <c r="AW455" s="34" t="e">
        <f t="shared" si="114"/>
        <v>#VALUE!</v>
      </c>
      <c r="AX455" s="35" t="e">
        <f t="shared" si="114"/>
        <v>#VALUE!</v>
      </c>
      <c r="AY455" s="35" t="e">
        <f t="shared" si="114"/>
        <v>#VALUE!</v>
      </c>
      <c r="AZ455" t="e">
        <f>NA()</f>
        <v>#N/A</v>
      </c>
    </row>
    <row r="456" spans="4:52" x14ac:dyDescent="0.3">
      <c r="D456">
        <v>71</v>
      </c>
      <c r="F456">
        <v>70</v>
      </c>
      <c r="G456" s="28"/>
      <c r="H456" s="28"/>
      <c r="I456" s="28"/>
      <c r="J456" s="28"/>
      <c r="K456" s="28"/>
      <c r="L456" s="29"/>
      <c r="M456" s="30"/>
      <c r="N456" s="31"/>
      <c r="O456" s="31"/>
      <c r="P456" s="32"/>
      <c r="Q456" s="32"/>
      <c r="R456" s="32"/>
      <c r="S456" s="33"/>
      <c r="T456" s="33"/>
      <c r="U456" s="34"/>
      <c r="V456" s="34"/>
      <c r="W456" s="35"/>
      <c r="X456" s="35"/>
      <c r="AE456">
        <v>71</v>
      </c>
      <c r="AG456">
        <f t="shared" si="115"/>
        <v>57.43878713009709</v>
      </c>
      <c r="AH456" s="28">
        <f t="shared" si="114"/>
        <v>53306.958912303533</v>
      </c>
      <c r="AI456" s="28">
        <f t="shared" si="114"/>
        <v>103377.41214570822</v>
      </c>
      <c r="AJ456" s="28">
        <f t="shared" si="114"/>
        <v>109680.06416845099</v>
      </c>
      <c r="AK456" s="28">
        <f t="shared" si="114"/>
        <v>101343.60579809465</v>
      </c>
      <c r="AL456" s="28">
        <f t="shared" si="114"/>
        <v>31355.865144545329</v>
      </c>
      <c r="AM456" s="29" t="e">
        <f t="shared" si="114"/>
        <v>#VALUE!</v>
      </c>
      <c r="AN456" s="30">
        <f t="shared" si="114"/>
        <v>32092.087016985457</v>
      </c>
      <c r="AO456" s="31">
        <f t="shared" si="114"/>
        <v>7424.7275688226782</v>
      </c>
      <c r="AP456" s="31">
        <f t="shared" si="114"/>
        <v>1484.9455137645357</v>
      </c>
      <c r="AQ456" s="32">
        <f t="shared" si="114"/>
        <v>159482.4525740078</v>
      </c>
      <c r="AR456" s="32">
        <f t="shared" si="114"/>
        <v>143311.42791987403</v>
      </c>
      <c r="AS456" s="32">
        <f t="shared" si="114"/>
        <v>571950.69939828187</v>
      </c>
      <c r="AT456" s="33" t="e">
        <f t="shared" si="114"/>
        <v>#VALUE!</v>
      </c>
      <c r="AU456" s="33" t="e">
        <f t="shared" si="114"/>
        <v>#VALUE!</v>
      </c>
      <c r="AV456" s="34" t="e">
        <f t="shared" si="114"/>
        <v>#VALUE!</v>
      </c>
      <c r="AW456" s="34" t="e">
        <f t="shared" si="114"/>
        <v>#VALUE!</v>
      </c>
      <c r="AX456" s="35" t="e">
        <f t="shared" si="114"/>
        <v>#VALUE!</v>
      </c>
      <c r="AY456" s="35" t="e">
        <f t="shared" si="114"/>
        <v>#VALUE!</v>
      </c>
      <c r="AZ456" t="e">
        <f>NA()</f>
        <v>#N/A</v>
      </c>
    </row>
  </sheetData>
  <mergeCells count="4">
    <mergeCell ref="BN53:BO53"/>
    <mergeCell ref="BP53:BQ53"/>
    <mergeCell ref="CE53:CF53"/>
    <mergeCell ref="CR53:CS53"/>
  </mergeCells>
  <pageMargins left="0.7" right="0.7" top="0.75" bottom="0.75" header="0.3" footer="0.3"/>
  <headerFooter>
    <oddHeader>&amp;R&amp;"Calibri"&amp;12&amp;K000000 UNCLASSIFIED - NON CLASSIFIÉ&amp;1#_x000D_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P81"/>
  <sheetViews>
    <sheetView workbookViewId="0"/>
  </sheetViews>
  <sheetFormatPr defaultRowHeight="14.4" x14ac:dyDescent="0.3"/>
  <cols>
    <col min="1" max="1" width="19.109375" customWidth="1"/>
    <col min="2" max="2" width="11.6640625" customWidth="1"/>
    <col min="3" max="3" width="8.88671875" customWidth="1"/>
    <col min="4" max="4" width="18.33203125" customWidth="1"/>
  </cols>
  <sheetData>
    <row r="1" spans="1:16" ht="43.2" x14ac:dyDescent="0.3">
      <c r="A1" s="146" t="s">
        <v>401</v>
      </c>
      <c r="B1" s="57"/>
      <c r="D1" t="s">
        <v>388</v>
      </c>
      <c r="F1" s="57" t="s">
        <v>72</v>
      </c>
      <c r="G1" s="56">
        <v>3</v>
      </c>
      <c r="M1" s="56" t="s">
        <v>429</v>
      </c>
    </row>
    <row r="2" spans="1:16" x14ac:dyDescent="0.3">
      <c r="D2" s="147" t="b">
        <v>1</v>
      </c>
      <c r="M2">
        <f>G1</f>
        <v>3</v>
      </c>
    </row>
    <row r="3" spans="1:16" x14ac:dyDescent="0.3">
      <c r="A3" s="1" t="s">
        <v>28</v>
      </c>
      <c r="B3" s="1"/>
      <c r="C3" s="1"/>
      <c r="D3" s="1" t="s">
        <v>28</v>
      </c>
      <c r="E3" s="1" t="s">
        <v>55</v>
      </c>
      <c r="F3" s="1" t="s">
        <v>70</v>
      </c>
      <c r="G3" s="1"/>
      <c r="H3" s="1"/>
      <c r="I3" s="1"/>
      <c r="J3" s="1" t="s">
        <v>73</v>
      </c>
      <c r="K3" s="1" t="s">
        <v>75</v>
      </c>
      <c r="L3" s="1" t="s">
        <v>74</v>
      </c>
      <c r="M3" s="1" t="s">
        <v>71</v>
      </c>
      <c r="N3" s="1" t="s">
        <v>79</v>
      </c>
      <c r="O3" s="1" t="s">
        <v>65</v>
      </c>
      <c r="P3" s="1"/>
    </row>
    <row r="4" spans="1:16" x14ac:dyDescent="0.3">
      <c r="A4">
        <v>1</v>
      </c>
      <c r="D4">
        <v>1</v>
      </c>
      <c r="E4">
        <f>IF(D$2=FALSE, NA(), D4-1)</f>
        <v>0</v>
      </c>
      <c r="F4">
        <f>M4</f>
        <v>0.90609661149867793</v>
      </c>
      <c r="J4" s="15" t="str">
        <f>IF(AND(ROUND(O4, 1)&gt;=0.1, O3&lt;0.1), 10, "")</f>
        <v/>
      </c>
      <c r="K4" s="64" t="str">
        <f>IF(AND(ROUND(O4, 1)&gt;=0.5, O3&lt;0.5), 50, "")</f>
        <v/>
      </c>
      <c r="L4" s="16" t="str">
        <f>IF(AND(ROUND(O4, 1)&gt;=0.9, O3&lt;0.9), 90, "")</f>
        <v/>
      </c>
      <c r="M4">
        <f>INDEX('Calcs-control3'!$AH$86:$AZ$156,  'FBP outputs'!$A4, 'FBP outputs'!M$2)</f>
        <v>0.90609661149867793</v>
      </c>
      <c r="N4">
        <v>0</v>
      </c>
      <c r="O4">
        <f>INDEX('Calcs-control3'!$AH$170:$AY$240, 'FBP outputs'!$A4, 'FBP outputs'!$G$1)</f>
        <v>0</v>
      </c>
    </row>
    <row r="5" spans="1:16" x14ac:dyDescent="0.3">
      <c r="A5">
        <v>2</v>
      </c>
      <c r="D5">
        <v>2</v>
      </c>
      <c r="E5">
        <f t="shared" ref="E5:E68" si="0">IF(D$2=FALSE, NA(), D5-1)</f>
        <v>1</v>
      </c>
      <c r="F5">
        <f t="shared" ref="F5:F68" si="1">M5</f>
        <v>1.0368381146519314</v>
      </c>
      <c r="J5" s="17" t="str">
        <f t="shared" ref="J5:J68" si="2">IF(AND(ROUND(O5, 1)&gt;=0.1, ROUND(O4, 1)&lt;0.1), 10, "")</f>
        <v/>
      </c>
      <c r="K5" t="str">
        <f t="shared" ref="K5:K68" si="3">IF(AND(ROUND(O5, 1)&gt;=0.5, ROUND(O4, 1)&lt;0.5), 50, "")</f>
        <v/>
      </c>
      <c r="L5" s="18" t="str">
        <f t="shared" ref="L5:L68" si="4">IF(AND(ROUND(O5, 1)&gt;=0.9, ROUND(O4, 1)&lt;0.9), 90, "")</f>
        <v/>
      </c>
      <c r="M5">
        <f>INDEX('Calcs-control3'!$AH$86:$AZ$156,  'FBP outputs'!$A5, 'FBP outputs'!M$2)</f>
        <v>1.0368381146519314</v>
      </c>
      <c r="N5">
        <v>1</v>
      </c>
      <c r="O5">
        <f>INDEX('Calcs-control3'!$AH$170:$AY$240, 'FBP outputs'!$A5, 'FBP outputs'!$G$1)</f>
        <v>0</v>
      </c>
    </row>
    <row r="6" spans="1:16" x14ac:dyDescent="0.3">
      <c r="A6">
        <v>3</v>
      </c>
      <c r="D6">
        <v>3</v>
      </c>
      <c r="E6">
        <f t="shared" si="0"/>
        <v>2</v>
      </c>
      <c r="F6">
        <f t="shared" si="1"/>
        <v>1.1854812580348104</v>
      </c>
      <c r="J6" s="17" t="str">
        <f t="shared" si="2"/>
        <v/>
      </c>
      <c r="K6" t="str">
        <f t="shared" si="3"/>
        <v/>
      </c>
      <c r="L6" s="18" t="str">
        <f t="shared" si="4"/>
        <v/>
      </c>
      <c r="M6">
        <f>INDEX('Calcs-control3'!$AH$86:$AZ$156,  'FBP outputs'!$A6, 'FBP outputs'!M$2)</f>
        <v>1.1854812580348104</v>
      </c>
      <c r="N6">
        <v>2</v>
      </c>
      <c r="O6">
        <f>INDEX('Calcs-control3'!$AH$170:$AY$240, 'FBP outputs'!$A6, 'FBP outputs'!$G$1)</f>
        <v>0</v>
      </c>
    </row>
    <row r="7" spans="1:16" x14ac:dyDescent="0.3">
      <c r="A7">
        <v>4</v>
      </c>
      <c r="D7">
        <v>4</v>
      </c>
      <c r="E7">
        <f t="shared" si="0"/>
        <v>3</v>
      </c>
      <c r="F7">
        <f t="shared" si="1"/>
        <v>1.3542819326859892</v>
      </c>
      <c r="J7" s="17" t="str">
        <f t="shared" si="2"/>
        <v/>
      </c>
      <c r="K7" t="str">
        <f t="shared" si="3"/>
        <v/>
      </c>
      <c r="L7" s="18" t="str">
        <f t="shared" si="4"/>
        <v/>
      </c>
      <c r="M7">
        <f>INDEX('Calcs-control3'!$AH$86:$AZ$156,  'FBP outputs'!$A7, 'FBP outputs'!M$2)</f>
        <v>1.3542819326859892</v>
      </c>
      <c r="N7">
        <v>3</v>
      </c>
      <c r="O7">
        <f>INDEX('Calcs-control3'!$AH$170:$AY$240, 'FBP outputs'!$A7, 'FBP outputs'!$G$1)</f>
        <v>0</v>
      </c>
    </row>
    <row r="8" spans="1:16" x14ac:dyDescent="0.3">
      <c r="A8">
        <v>5</v>
      </c>
      <c r="D8">
        <v>5</v>
      </c>
      <c r="E8">
        <f t="shared" si="0"/>
        <v>4</v>
      </c>
      <c r="F8">
        <f t="shared" si="1"/>
        <v>1.5457412638029473</v>
      </c>
      <c r="J8" s="17" t="str">
        <f t="shared" si="2"/>
        <v/>
      </c>
      <c r="K8" t="str">
        <f t="shared" si="3"/>
        <v/>
      </c>
      <c r="L8" s="18" t="str">
        <f t="shared" si="4"/>
        <v/>
      </c>
      <c r="M8">
        <f>INDEX('Calcs-control3'!$AH$86:$AZ$156,  'FBP outputs'!$A8, 'FBP outputs'!M$2)</f>
        <v>1.5457412638029473</v>
      </c>
      <c r="N8">
        <v>4</v>
      </c>
      <c r="O8">
        <f>INDEX('Calcs-control3'!$AH$170:$AY$240, 'FBP outputs'!$A8, 'FBP outputs'!$G$1)</f>
        <v>0</v>
      </c>
    </row>
    <row r="9" spans="1:16" x14ac:dyDescent="0.3">
      <c r="A9">
        <v>6</v>
      </c>
      <c r="D9">
        <v>6</v>
      </c>
      <c r="E9">
        <f t="shared" si="0"/>
        <v>5</v>
      </c>
      <c r="F9">
        <f t="shared" si="1"/>
        <v>1.7626244903318573</v>
      </c>
      <c r="J9" s="17" t="str">
        <f t="shared" si="2"/>
        <v/>
      </c>
      <c r="K9" t="str">
        <f t="shared" si="3"/>
        <v/>
      </c>
      <c r="L9" s="18" t="str">
        <f t="shared" si="4"/>
        <v/>
      </c>
      <c r="M9">
        <f>INDEX('Calcs-control3'!$AH$86:$AZ$156,  'FBP outputs'!$A9, 'FBP outputs'!M$2)</f>
        <v>1.7626244903318573</v>
      </c>
      <c r="N9">
        <v>5</v>
      </c>
      <c r="O9">
        <f>INDEX('Calcs-control3'!$AH$170:$AY$240, 'FBP outputs'!$A9, 'FBP outputs'!$G$1)</f>
        <v>0</v>
      </c>
    </row>
    <row r="10" spans="1:16" x14ac:dyDescent="0.3">
      <c r="A10">
        <v>7</v>
      </c>
      <c r="D10">
        <v>7</v>
      </c>
      <c r="E10">
        <f t="shared" si="0"/>
        <v>6</v>
      </c>
      <c r="F10">
        <f t="shared" si="1"/>
        <v>2.0079796846016382</v>
      </c>
      <c r="J10" s="17" t="str">
        <f t="shared" si="2"/>
        <v/>
      </c>
      <c r="K10" t="str">
        <f t="shared" si="3"/>
        <v/>
      </c>
      <c r="L10" s="18" t="str">
        <f t="shared" si="4"/>
        <v/>
      </c>
      <c r="M10">
        <f>INDEX('Calcs-control3'!$AH$86:$AZ$156,  'FBP outputs'!$A10, 'FBP outputs'!M$2)</f>
        <v>2.0079796846016382</v>
      </c>
      <c r="N10">
        <v>6</v>
      </c>
      <c r="O10">
        <f>INDEX('Calcs-control3'!$AH$170:$AY$240, 'FBP outputs'!$A10, 'FBP outputs'!$G$1)</f>
        <v>0</v>
      </c>
    </row>
    <row r="11" spans="1:16" x14ac:dyDescent="0.3">
      <c r="A11">
        <v>8</v>
      </c>
      <c r="D11">
        <v>8</v>
      </c>
      <c r="E11">
        <f t="shared" si="0"/>
        <v>7</v>
      </c>
      <c r="F11">
        <f t="shared" si="1"/>
        <v>2.285155888460388</v>
      </c>
      <c r="J11" s="17" t="str">
        <f t="shared" si="2"/>
        <v/>
      </c>
      <c r="K11" t="str">
        <f t="shared" si="3"/>
        <v/>
      </c>
      <c r="L11" s="18" t="str">
        <f t="shared" si="4"/>
        <v/>
      </c>
      <c r="M11">
        <f>INDEX('Calcs-control3'!$AH$86:$AZ$156,  'FBP outputs'!$A11, 'FBP outputs'!M$2)</f>
        <v>2.285155888460388</v>
      </c>
      <c r="N11">
        <v>7</v>
      </c>
      <c r="O11">
        <f>INDEX('Calcs-control3'!$AH$170:$AY$240, 'FBP outputs'!$A11, 'FBP outputs'!$G$1)</f>
        <v>0</v>
      </c>
    </row>
    <row r="12" spans="1:16" x14ac:dyDescent="0.3">
      <c r="A12">
        <v>9</v>
      </c>
      <c r="D12">
        <v>9</v>
      </c>
      <c r="E12">
        <f t="shared" si="0"/>
        <v>8</v>
      </c>
      <c r="F12">
        <f t="shared" si="1"/>
        <v>2.5978201499493228</v>
      </c>
      <c r="J12" s="17" t="str">
        <f t="shared" si="2"/>
        <v/>
      </c>
      <c r="K12" t="str">
        <f t="shared" si="3"/>
        <v/>
      </c>
      <c r="L12" s="18" t="str">
        <f t="shared" si="4"/>
        <v/>
      </c>
      <c r="M12">
        <f>INDEX('Calcs-control3'!$AH$86:$AZ$156,  'FBP outputs'!$A12, 'FBP outputs'!M$2)</f>
        <v>2.5978201499493228</v>
      </c>
      <c r="N12">
        <v>8</v>
      </c>
      <c r="O12">
        <f>INDEX('Calcs-control3'!$AH$170:$AY$240, 'FBP outputs'!$A12, 'FBP outputs'!$G$1)</f>
        <v>0</v>
      </c>
    </row>
    <row r="13" spans="1:16" x14ac:dyDescent="0.3">
      <c r="A13">
        <v>10</v>
      </c>
      <c r="D13">
        <v>10</v>
      </c>
      <c r="E13">
        <f t="shared" si="0"/>
        <v>9</v>
      </c>
      <c r="F13">
        <f t="shared" si="1"/>
        <v>2.9499728429839185</v>
      </c>
      <c r="J13" s="17" t="str">
        <f t="shared" si="2"/>
        <v/>
      </c>
      <c r="K13" t="str">
        <f t="shared" si="3"/>
        <v/>
      </c>
      <c r="L13" s="18" t="str">
        <f t="shared" si="4"/>
        <v/>
      </c>
      <c r="M13">
        <f>INDEX('Calcs-control3'!$AH$86:$AZ$156,  'FBP outputs'!$A13, 'FBP outputs'!M$2)</f>
        <v>2.9499728429839185</v>
      </c>
      <c r="N13">
        <v>9</v>
      </c>
      <c r="O13">
        <f>INDEX('Calcs-control3'!$AH$170:$AY$240, 'FBP outputs'!$A13, 'FBP outputs'!$G$1)</f>
        <v>0</v>
      </c>
    </row>
    <row r="14" spans="1:16" x14ac:dyDescent="0.3">
      <c r="A14">
        <v>11</v>
      </c>
      <c r="D14">
        <v>11</v>
      </c>
      <c r="E14">
        <f t="shared" si="0"/>
        <v>10</v>
      </c>
      <c r="F14">
        <f t="shared" si="1"/>
        <v>3.3459605429297077</v>
      </c>
      <c r="J14" s="17" t="str">
        <f t="shared" si="2"/>
        <v/>
      </c>
      <c r="K14" t="str">
        <f t="shared" si="3"/>
        <v/>
      </c>
      <c r="L14" s="18" t="str">
        <f t="shared" si="4"/>
        <v/>
      </c>
      <c r="M14">
        <f>INDEX('Calcs-control3'!$AH$86:$AZ$156,  'FBP outputs'!$A14, 'FBP outputs'!M$2)</f>
        <v>3.3459605429297077</v>
      </c>
      <c r="N14">
        <v>10</v>
      </c>
      <c r="O14">
        <f>INDEX('Calcs-control3'!$AH$170:$AY$240, 'FBP outputs'!$A14, 'FBP outputs'!$G$1)</f>
        <v>0</v>
      </c>
    </row>
    <row r="15" spans="1:16" x14ac:dyDescent="0.3">
      <c r="A15">
        <v>12</v>
      </c>
      <c r="D15">
        <v>12</v>
      </c>
      <c r="E15">
        <f t="shared" si="0"/>
        <v>11</v>
      </c>
      <c r="F15">
        <f t="shared" si="1"/>
        <v>3.7904856152055864</v>
      </c>
      <c r="J15" s="17" t="str">
        <f t="shared" si="2"/>
        <v/>
      </c>
      <c r="K15" t="str">
        <f t="shared" si="3"/>
        <v/>
      </c>
      <c r="L15" s="18" t="str">
        <f t="shared" si="4"/>
        <v/>
      </c>
      <c r="M15">
        <f>INDEX('Calcs-control3'!$AH$86:$AZ$156,  'FBP outputs'!$A15, 'FBP outputs'!M$2)</f>
        <v>3.7904856152055864</v>
      </c>
      <c r="N15">
        <v>11</v>
      </c>
      <c r="O15">
        <f>INDEX('Calcs-control3'!$AH$170:$AY$240, 'FBP outputs'!$A15, 'FBP outputs'!$G$1)</f>
        <v>0</v>
      </c>
    </row>
    <row r="16" spans="1:16" x14ac:dyDescent="0.3">
      <c r="A16">
        <v>13</v>
      </c>
      <c r="D16">
        <v>13</v>
      </c>
      <c r="E16">
        <f t="shared" si="0"/>
        <v>12</v>
      </c>
      <c r="F16">
        <f t="shared" si="1"/>
        <v>4.2886115548373649</v>
      </c>
      <c r="J16" s="17" t="str">
        <f t="shared" si="2"/>
        <v/>
      </c>
      <c r="K16" t="str">
        <f t="shared" si="3"/>
        <v/>
      </c>
      <c r="L16" s="18" t="str">
        <f t="shared" si="4"/>
        <v/>
      </c>
      <c r="M16">
        <f>INDEX('Calcs-control3'!$AH$86:$AZ$156,  'FBP outputs'!$A16, 'FBP outputs'!M$2)</f>
        <v>4.2886115548373649</v>
      </c>
      <c r="N16">
        <v>12</v>
      </c>
      <c r="O16">
        <f>INDEX('Calcs-control3'!$AH$170:$AY$240, 'FBP outputs'!$A16, 'FBP outputs'!$G$1)</f>
        <v>0</v>
      </c>
    </row>
    <row r="17" spans="1:15" x14ac:dyDescent="0.3">
      <c r="A17">
        <v>14</v>
      </c>
      <c r="D17">
        <v>14</v>
      </c>
      <c r="E17">
        <f t="shared" si="0"/>
        <v>13</v>
      </c>
      <c r="F17">
        <f t="shared" si="1"/>
        <v>4.8457629959641473</v>
      </c>
      <c r="J17" s="17">
        <f t="shared" si="2"/>
        <v>10</v>
      </c>
      <c r="K17" t="str">
        <f t="shared" si="3"/>
        <v/>
      </c>
      <c r="L17" s="18" t="str">
        <f t="shared" si="4"/>
        <v/>
      </c>
      <c r="M17">
        <f>INDEX('Calcs-control3'!$AH$86:$AZ$156,  'FBP outputs'!$A17, 'FBP outputs'!M$2)</f>
        <v>4.8457629959641473</v>
      </c>
      <c r="N17">
        <v>13</v>
      </c>
      <c r="O17">
        <f>INDEX('Calcs-control3'!$AH$170:$AY$240, 'FBP outputs'!$A17, 'FBP outputs'!$G$1)</f>
        <v>6.7083572080399501E-2</v>
      </c>
    </row>
    <row r="18" spans="1:15" x14ac:dyDescent="0.3">
      <c r="A18">
        <v>15</v>
      </c>
      <c r="D18">
        <v>15</v>
      </c>
      <c r="E18">
        <f t="shared" si="0"/>
        <v>14</v>
      </c>
      <c r="F18">
        <f t="shared" si="1"/>
        <v>5.4677191965940048</v>
      </c>
      <c r="J18" s="17" t="str">
        <f t="shared" si="2"/>
        <v/>
      </c>
      <c r="K18" t="str">
        <f t="shared" si="3"/>
        <v/>
      </c>
      <c r="L18" s="18" t="str">
        <f t="shared" si="4"/>
        <v/>
      </c>
      <c r="M18">
        <f>INDEX('Calcs-control3'!$AH$86:$AZ$156,  'FBP outputs'!$A18, 'FBP outputs'!M$2)</f>
        <v>5.4677191965940048</v>
      </c>
      <c r="N18">
        <v>14</v>
      </c>
      <c r="O18">
        <f>INDEX('Calcs-control3'!$AH$170:$AY$240, 'FBP outputs'!$A18, 'FBP outputs'!$G$1)</f>
        <v>0.19143125988903908</v>
      </c>
    </row>
    <row r="19" spans="1:15" x14ac:dyDescent="0.3">
      <c r="A19">
        <v>16</v>
      </c>
      <c r="D19">
        <v>16</v>
      </c>
      <c r="E19">
        <f t="shared" si="0"/>
        <v>15</v>
      </c>
      <c r="F19">
        <f t="shared" si="1"/>
        <v>6.160599701652254</v>
      </c>
      <c r="J19" s="17" t="str">
        <f t="shared" si="2"/>
        <v/>
      </c>
      <c r="K19" t="str">
        <f t="shared" si="3"/>
        <v/>
      </c>
      <c r="L19" s="18" t="str">
        <f t="shared" si="4"/>
        <v/>
      </c>
      <c r="M19">
        <f>INDEX('Calcs-control3'!$AH$86:$AZ$156,  'FBP outputs'!$A19, 'FBP outputs'!M$2)</f>
        <v>6.160599701652254</v>
      </c>
      <c r="N19">
        <v>15</v>
      </c>
      <c r="O19">
        <f>INDEX('Calcs-control3'!$AH$170:$AY$240, 'FBP outputs'!$A19, 'FBP outputs'!$G$1)</f>
        <v>0.31054379303701307</v>
      </c>
    </row>
    <row r="20" spans="1:15" x14ac:dyDescent="0.3">
      <c r="A20">
        <v>17</v>
      </c>
      <c r="D20">
        <v>17</v>
      </c>
      <c r="E20">
        <f t="shared" si="0"/>
        <v>16</v>
      </c>
      <c r="F20">
        <f t="shared" si="1"/>
        <v>6.9308408042144665</v>
      </c>
      <c r="J20" s="17" t="str">
        <f t="shared" si="2"/>
        <v/>
      </c>
      <c r="K20" t="str">
        <f t="shared" si="3"/>
        <v/>
      </c>
      <c r="L20" s="18" t="str">
        <f t="shared" si="4"/>
        <v/>
      </c>
      <c r="M20">
        <f>INDEX('Calcs-control3'!$AH$86:$AZ$156,  'FBP outputs'!$A20, 'FBP outputs'!M$2)</f>
        <v>6.9308408042144665</v>
      </c>
      <c r="N20">
        <v>16</v>
      </c>
      <c r="O20">
        <f>INDEX('Calcs-control3'!$AH$170:$AY$240, 'FBP outputs'!$A20, 'FBP outputs'!$G$1)</f>
        <v>0.42247731244571163</v>
      </c>
    </row>
    <row r="21" spans="1:15" x14ac:dyDescent="0.3">
      <c r="A21">
        <v>18</v>
      </c>
      <c r="D21">
        <v>18</v>
      </c>
      <c r="E21">
        <f t="shared" si="0"/>
        <v>17</v>
      </c>
      <c r="F21">
        <f t="shared" si="1"/>
        <v>7.785161369876251</v>
      </c>
      <c r="J21" s="17" t="str">
        <f t="shared" si="2"/>
        <v/>
      </c>
      <c r="K21">
        <f t="shared" si="3"/>
        <v>50</v>
      </c>
      <c r="L21" s="18" t="str">
        <f t="shared" si="4"/>
        <v/>
      </c>
      <c r="M21">
        <f>INDEX('Calcs-control3'!$AH$86:$AZ$156,  'FBP outputs'!$A21, 'FBP outputs'!M$2)</f>
        <v>7.785161369876251</v>
      </c>
      <c r="N21">
        <v>17</v>
      </c>
      <c r="O21">
        <f>INDEX('Calcs-control3'!$AH$170:$AY$240, 'FBP outputs'!$A21, 'FBP outputs'!$G$1)</f>
        <v>0.52550361601768136</v>
      </c>
    </row>
    <row r="22" spans="1:15" x14ac:dyDescent="0.3">
      <c r="A22">
        <v>19</v>
      </c>
      <c r="D22">
        <v>19</v>
      </c>
      <c r="E22">
        <f t="shared" si="0"/>
        <v>18</v>
      </c>
      <c r="F22">
        <f t="shared" si="1"/>
        <v>8.7305165730120713</v>
      </c>
      <c r="J22" s="17" t="str">
        <f t="shared" si="2"/>
        <v/>
      </c>
      <c r="K22" t="str">
        <f t="shared" si="3"/>
        <v/>
      </c>
      <c r="L22" s="18" t="str">
        <f t="shared" si="4"/>
        <v/>
      </c>
      <c r="M22">
        <f>INDEX('Calcs-control3'!$AH$86:$AZ$156,  'FBP outputs'!$A22, 'FBP outputs'!M$2)</f>
        <v>8.7305165730120713</v>
      </c>
      <c r="N22">
        <v>18</v>
      </c>
      <c r="O22">
        <f>INDEX('Calcs-control3'!$AH$170:$AY$240, 'FBP outputs'!$A22, 'FBP outputs'!$G$1)</f>
        <v>0.61822848529592056</v>
      </c>
    </row>
    <row r="23" spans="1:15" x14ac:dyDescent="0.3">
      <c r="A23">
        <v>20</v>
      </c>
      <c r="D23">
        <v>20</v>
      </c>
      <c r="E23">
        <f t="shared" si="0"/>
        <v>19</v>
      </c>
      <c r="F23">
        <f t="shared" si="1"/>
        <v>9.7740381280278683</v>
      </c>
      <c r="J23" s="17" t="str">
        <f t="shared" si="2"/>
        <v/>
      </c>
      <c r="K23" t="str">
        <f t="shared" si="3"/>
        <v/>
      </c>
      <c r="L23" s="18" t="str">
        <f t="shared" si="4"/>
        <v/>
      </c>
      <c r="M23">
        <f>INDEX('Calcs-control3'!$AH$86:$AZ$156,  'FBP outputs'!$A23, 'FBP outputs'!M$2)</f>
        <v>9.7740381280278683</v>
      </c>
      <c r="N23">
        <v>19</v>
      </c>
      <c r="O23">
        <f>INDEX('Calcs-control3'!$AH$170:$AY$240, 'FBP outputs'!$A23, 'FBP outputs'!$G$1)</f>
        <v>0.69969088036127658</v>
      </c>
    </row>
    <row r="24" spans="1:15" x14ac:dyDescent="0.3">
      <c r="A24">
        <v>21</v>
      </c>
      <c r="D24">
        <v>21</v>
      </c>
      <c r="E24">
        <f t="shared" si="0"/>
        <v>20</v>
      </c>
      <c r="F24">
        <f t="shared" si="1"/>
        <v>10.922959696428254</v>
      </c>
      <c r="J24" s="17" t="str">
        <f t="shared" si="2"/>
        <v/>
      </c>
      <c r="K24" t="str">
        <f t="shared" si="3"/>
        <v/>
      </c>
      <c r="L24" s="18" t="str">
        <f t="shared" si="4"/>
        <v/>
      </c>
      <c r="M24">
        <f>INDEX('Calcs-control3'!$AH$86:$AZ$156,  'FBP outputs'!$A24, 'FBP outputs'!M$2)</f>
        <v>10.922959696428254</v>
      </c>
      <c r="N24">
        <v>20</v>
      </c>
      <c r="O24">
        <f>INDEX('Calcs-control3'!$AH$170:$AY$240, 'FBP outputs'!$A24, 'FBP outputs'!$G$1)</f>
        <v>0.76942864464678873</v>
      </c>
    </row>
    <row r="25" spans="1:15" x14ac:dyDescent="0.3">
      <c r="A25">
        <v>22</v>
      </c>
      <c r="D25">
        <v>22</v>
      </c>
      <c r="E25">
        <f t="shared" si="0"/>
        <v>21</v>
      </c>
      <c r="F25">
        <f t="shared" si="1"/>
        <v>12.184526324959879</v>
      </c>
      <c r="J25" s="17" t="str">
        <f t="shared" si="2"/>
        <v/>
      </c>
      <c r="K25" t="str">
        <f t="shared" si="3"/>
        <v/>
      </c>
      <c r="L25" s="18" t="str">
        <f t="shared" si="4"/>
        <v/>
      </c>
      <c r="M25">
        <f>INDEX('Calcs-control3'!$AH$86:$AZ$156,  'FBP outputs'!$A25, 'FBP outputs'!M$2)</f>
        <v>12.184526324959879</v>
      </c>
      <c r="N25">
        <v>21</v>
      </c>
      <c r="O25">
        <f>INDEX('Calcs-control3'!$AH$170:$AY$240, 'FBP outputs'!$A25, 'FBP outputs'!$G$1)</f>
        <v>0.82749951334408789</v>
      </c>
    </row>
    <row r="26" spans="1:15" x14ac:dyDescent="0.3">
      <c r="A26">
        <v>23</v>
      </c>
      <c r="D26">
        <v>23</v>
      </c>
      <c r="E26">
        <f t="shared" si="0"/>
        <v>22</v>
      </c>
      <c r="F26">
        <f t="shared" si="1"/>
        <v>13.565887034520195</v>
      </c>
      <c r="J26" s="17" t="str">
        <f t="shared" si="2"/>
        <v/>
      </c>
      <c r="K26" t="str">
        <f t="shared" si="3"/>
        <v/>
      </c>
      <c r="L26" s="18">
        <f t="shared" si="4"/>
        <v>90</v>
      </c>
      <c r="M26">
        <f>INDEX('Calcs-control3'!$AH$86:$AZ$156,  'FBP outputs'!$A26, 'FBP outputs'!M$2)</f>
        <v>13.565887034520195</v>
      </c>
      <c r="N26">
        <v>22</v>
      </c>
      <c r="O26">
        <f>INDEX('Calcs-control3'!$AH$170:$AY$240, 'FBP outputs'!$A26, 'FBP outputs'!$G$1)</f>
        <v>0.87445213321967208</v>
      </c>
    </row>
    <row r="27" spans="1:15" x14ac:dyDescent="0.3">
      <c r="A27">
        <v>24</v>
      </c>
      <c r="D27">
        <v>24</v>
      </c>
      <c r="E27">
        <f t="shared" si="0"/>
        <v>23</v>
      </c>
      <c r="F27">
        <f t="shared" si="1"/>
        <v>15.073970046223749</v>
      </c>
      <c r="J27" s="17" t="str">
        <f t="shared" si="2"/>
        <v/>
      </c>
      <c r="K27" t="str">
        <f t="shared" si="3"/>
        <v/>
      </c>
      <c r="L27" s="18" t="str">
        <f t="shared" si="4"/>
        <v/>
      </c>
      <c r="M27">
        <f>INDEX('Calcs-control3'!$AH$86:$AZ$156,  'FBP outputs'!$A27, 'FBP outputs'!M$2)</f>
        <v>15.073970046223749</v>
      </c>
      <c r="N27">
        <v>23</v>
      </c>
      <c r="O27">
        <f>INDEX('Calcs-control3'!$AH$170:$AY$240, 'FBP outputs'!$A27, 'FBP outputs'!$G$1)</f>
        <v>0.91124959410849837</v>
      </c>
    </row>
    <row r="28" spans="1:15" x14ac:dyDescent="0.3">
      <c r="A28">
        <v>25</v>
      </c>
      <c r="D28">
        <v>25</v>
      </c>
      <c r="E28">
        <f t="shared" si="0"/>
        <v>24</v>
      </c>
      <c r="F28">
        <f t="shared" si="1"/>
        <v>16.715340610203491</v>
      </c>
      <c r="J28" s="17" t="str">
        <f t="shared" si="2"/>
        <v/>
      </c>
      <c r="K28" t="str">
        <f t="shared" si="3"/>
        <v/>
      </c>
      <c r="L28" s="18" t="str">
        <f t="shared" si="4"/>
        <v/>
      </c>
      <c r="M28">
        <f>INDEX('Calcs-control3'!$AH$86:$AZ$156,  'FBP outputs'!$A28, 'FBP outputs'!M$2)</f>
        <v>16.715340610203491</v>
      </c>
      <c r="N28">
        <v>24</v>
      </c>
      <c r="O28">
        <f>INDEX('Calcs-control3'!$AH$170:$AY$240, 'FBP outputs'!$A28, 'FBP outputs'!$G$1)</f>
        <v>0.93915602673450693</v>
      </c>
    </row>
    <row r="29" spans="1:15" x14ac:dyDescent="0.3">
      <c r="A29">
        <v>26</v>
      </c>
      <c r="D29">
        <v>26</v>
      </c>
      <c r="E29">
        <f t="shared" si="0"/>
        <v>25</v>
      </c>
      <c r="F29">
        <f t="shared" si="1"/>
        <v>18.496042001176683</v>
      </c>
      <c r="J29" s="17" t="str">
        <f t="shared" si="2"/>
        <v/>
      </c>
      <c r="K29" t="str">
        <f t="shared" si="3"/>
        <v/>
      </c>
      <c r="L29" s="18" t="str">
        <f t="shared" si="4"/>
        <v/>
      </c>
      <c r="M29">
        <f>INDEX('Calcs-control3'!$AH$86:$AZ$156,  'FBP outputs'!$A29, 'FBP outputs'!M$2)</f>
        <v>18.496042001176683</v>
      </c>
      <c r="N29">
        <v>25</v>
      </c>
      <c r="O29">
        <f>INDEX('Calcs-control3'!$AH$170:$AY$240, 'FBP outputs'!$A29, 'FBP outputs'!$G$1)</f>
        <v>0.9596031645226234</v>
      </c>
    </row>
    <row r="30" spans="1:15" x14ac:dyDescent="0.3">
      <c r="A30">
        <v>27</v>
      </c>
      <c r="D30">
        <v>27</v>
      </c>
      <c r="E30">
        <f t="shared" si="0"/>
        <v>26</v>
      </c>
      <c r="F30">
        <f t="shared" si="1"/>
        <v>20.421420964337806</v>
      </c>
      <c r="J30" s="17" t="str">
        <f t="shared" si="2"/>
        <v/>
      </c>
      <c r="K30" t="str">
        <f t="shared" si="3"/>
        <v/>
      </c>
      <c r="L30" s="18" t="str">
        <f t="shared" si="4"/>
        <v/>
      </c>
      <c r="M30">
        <f>INDEX('Calcs-control3'!$AH$86:$AZ$156,  'FBP outputs'!$A30, 'FBP outputs'!M$2)</f>
        <v>20.421420964337806</v>
      </c>
      <c r="N30">
        <v>26</v>
      </c>
      <c r="O30">
        <f>INDEX('Calcs-control3'!$AH$170:$AY$240, 'FBP outputs'!$A30, 'FBP outputs'!$G$1)</f>
        <v>0.97405667656920869</v>
      </c>
    </row>
    <row r="31" spans="1:15" x14ac:dyDescent="0.3">
      <c r="A31">
        <v>28</v>
      </c>
      <c r="D31">
        <v>28</v>
      </c>
      <c r="E31">
        <f t="shared" si="0"/>
        <v>27</v>
      </c>
      <c r="F31">
        <f t="shared" si="1"/>
        <v>22.49593973090894</v>
      </c>
      <c r="J31" s="17" t="str">
        <f t="shared" si="2"/>
        <v/>
      </c>
      <c r="K31" t="str">
        <f t="shared" si="3"/>
        <v/>
      </c>
      <c r="L31" s="18" t="str">
        <f t="shared" si="4"/>
        <v/>
      </c>
      <c r="M31">
        <f>INDEX('Calcs-control3'!$AH$86:$AZ$156,  'FBP outputs'!$A31, 'FBP outputs'!M$2)</f>
        <v>22.49593973090894</v>
      </c>
      <c r="N31">
        <v>27</v>
      </c>
      <c r="O31">
        <f>INDEX('Calcs-control3'!$AH$170:$AY$240, 'FBP outputs'!$A31, 'FBP outputs'!$G$1)</f>
        <v>0.98390071317713479</v>
      </c>
    </row>
    <row r="32" spans="1:15" x14ac:dyDescent="0.3">
      <c r="A32">
        <v>29</v>
      </c>
      <c r="D32">
        <v>29</v>
      </c>
      <c r="E32">
        <f t="shared" si="0"/>
        <v>28</v>
      </c>
      <c r="F32">
        <f t="shared" si="1"/>
        <v>24.722977661428889</v>
      </c>
      <c r="J32" s="17" t="str">
        <f t="shared" si="2"/>
        <v/>
      </c>
      <c r="K32" t="str">
        <f t="shared" si="3"/>
        <v/>
      </c>
      <c r="L32" s="18" t="str">
        <f t="shared" si="4"/>
        <v/>
      </c>
      <c r="M32">
        <f>INDEX('Calcs-control3'!$AH$86:$AZ$156,  'FBP outputs'!$A32, 'FBP outputs'!M$2)</f>
        <v>24.722977661428889</v>
      </c>
      <c r="N32">
        <v>28</v>
      </c>
      <c r="O32">
        <f>INDEX('Calcs-control3'!$AH$170:$AY$240, 'FBP outputs'!$A32, 'FBP outputs'!$G$1)</f>
        <v>0.9903538752896629</v>
      </c>
    </row>
    <row r="33" spans="1:15" x14ac:dyDescent="0.3">
      <c r="A33">
        <v>30</v>
      </c>
      <c r="D33">
        <v>30</v>
      </c>
      <c r="E33">
        <f t="shared" si="0"/>
        <v>29</v>
      </c>
      <c r="F33">
        <f t="shared" si="1"/>
        <v>27.10462659328185</v>
      </c>
      <c r="J33" s="17" t="str">
        <f t="shared" si="2"/>
        <v/>
      </c>
      <c r="K33" t="str">
        <f t="shared" si="3"/>
        <v/>
      </c>
      <c r="L33" s="18" t="str">
        <f t="shared" si="4"/>
        <v/>
      </c>
      <c r="M33">
        <f>INDEX('Calcs-control3'!$AH$86:$AZ$156,  'FBP outputs'!$A33, 'FBP outputs'!M$2)</f>
        <v>27.10462659328185</v>
      </c>
      <c r="N33">
        <v>29</v>
      </c>
      <c r="O33">
        <f>INDEX('Calcs-control3'!$AH$170:$AY$240, 'FBP outputs'!$A33, 'FBP outputs'!$G$1)</f>
        <v>0.99442229726187326</v>
      </c>
    </row>
    <row r="34" spans="1:15" x14ac:dyDescent="0.3">
      <c r="A34">
        <v>31</v>
      </c>
      <c r="D34">
        <v>31</v>
      </c>
      <c r="E34">
        <f t="shared" si="0"/>
        <v>30</v>
      </c>
      <c r="F34">
        <f t="shared" si="1"/>
        <v>29.641485032292135</v>
      </c>
      <c r="J34" s="17" t="str">
        <f t="shared" si="2"/>
        <v/>
      </c>
      <c r="K34" t="str">
        <f t="shared" si="3"/>
        <v/>
      </c>
      <c r="L34" s="18" t="str">
        <f t="shared" si="4"/>
        <v/>
      </c>
      <c r="M34">
        <f>INDEX('Calcs-control3'!$AH$86:$AZ$156,  'FBP outputs'!$A34, 'FBP outputs'!M$2)</f>
        <v>29.641485032292135</v>
      </c>
      <c r="N34">
        <v>30</v>
      </c>
      <c r="O34">
        <f>INDEX('Calcs-control3'!$AH$170:$AY$240, 'FBP outputs'!$A34, 'FBP outputs'!$G$1)</f>
        <v>0.99688789434998126</v>
      </c>
    </row>
    <row r="35" spans="1:15" x14ac:dyDescent="0.3">
      <c r="A35">
        <v>32</v>
      </c>
      <c r="D35">
        <v>32</v>
      </c>
      <c r="E35">
        <f t="shared" si="0"/>
        <v>31</v>
      </c>
      <c r="F35">
        <f t="shared" si="1"/>
        <v>32.332457389337925</v>
      </c>
      <c r="J35" s="17" t="str">
        <f t="shared" si="2"/>
        <v/>
      </c>
      <c r="K35" t="str">
        <f t="shared" si="3"/>
        <v/>
      </c>
      <c r="L35" s="18" t="str">
        <f t="shared" si="4"/>
        <v/>
      </c>
      <c r="M35">
        <f>INDEX('Calcs-control3'!$AH$86:$AZ$156,  'FBP outputs'!$A35, 'FBP outputs'!M$2)</f>
        <v>32.332457389337925</v>
      </c>
      <c r="N35">
        <v>31</v>
      </c>
      <c r="O35">
        <f>INDEX('Calcs-control3'!$AH$170:$AY$240, 'FBP outputs'!$A35, 'FBP outputs'!$G$1)</f>
        <v>0.99832405713253503</v>
      </c>
    </row>
    <row r="36" spans="1:15" x14ac:dyDescent="0.3">
      <c r="A36">
        <v>33</v>
      </c>
      <c r="D36">
        <v>33</v>
      </c>
      <c r="E36">
        <f t="shared" si="0"/>
        <v>32</v>
      </c>
      <c r="F36">
        <f t="shared" si="1"/>
        <v>35.174565462269044</v>
      </c>
      <c r="J36" s="17" t="str">
        <f t="shared" si="2"/>
        <v/>
      </c>
      <c r="K36" t="str">
        <f t="shared" si="3"/>
        <v/>
      </c>
      <c r="L36" s="18" t="str">
        <f t="shared" si="4"/>
        <v/>
      </c>
      <c r="M36">
        <f>INDEX('Calcs-control3'!$AH$86:$AZ$156,  'FBP outputs'!$A36, 'FBP outputs'!M$2)</f>
        <v>35.174565462269044</v>
      </c>
      <c r="N36">
        <v>32</v>
      </c>
      <c r="O36">
        <f>INDEX('Calcs-control3'!$AH$170:$AY$240, 'FBP outputs'!$A36, 'FBP outputs'!$G$1)</f>
        <v>0.99912829912215873</v>
      </c>
    </row>
    <row r="37" spans="1:15" x14ac:dyDescent="0.3">
      <c r="A37">
        <v>34</v>
      </c>
      <c r="D37">
        <v>34</v>
      </c>
      <c r="E37">
        <f t="shared" si="0"/>
        <v>33</v>
      </c>
      <c r="F37">
        <f t="shared" si="1"/>
        <v>38.162780229757246</v>
      </c>
      <c r="J37" s="17" t="str">
        <f t="shared" si="2"/>
        <v/>
      </c>
      <c r="K37" t="str">
        <f t="shared" si="3"/>
        <v/>
      </c>
      <c r="L37" s="18" t="str">
        <f t="shared" si="4"/>
        <v/>
      </c>
      <c r="M37">
        <f>INDEX('Calcs-control3'!$AH$86:$AZ$156,  'FBP outputs'!$A37, 'FBP outputs'!M$2)</f>
        <v>38.162780229757246</v>
      </c>
      <c r="N37">
        <v>33</v>
      </c>
      <c r="O37">
        <f>INDEX('Calcs-control3'!$AH$170:$AY$240, 'FBP outputs'!$A37, 'FBP outputs'!$G$1)</f>
        <v>0.99956158895090674</v>
      </c>
    </row>
    <row r="38" spans="1:15" x14ac:dyDescent="0.3">
      <c r="A38">
        <v>35</v>
      </c>
      <c r="D38">
        <v>35</v>
      </c>
      <c r="E38">
        <f t="shared" si="0"/>
        <v>34</v>
      </c>
      <c r="F38">
        <f t="shared" si="1"/>
        <v>41.28988267640915</v>
      </c>
      <c r="J38" s="17" t="str">
        <f t="shared" si="2"/>
        <v/>
      </c>
      <c r="K38" t="str">
        <f t="shared" si="3"/>
        <v/>
      </c>
      <c r="L38" s="18" t="str">
        <f t="shared" si="4"/>
        <v/>
      </c>
      <c r="M38">
        <f>INDEX('Calcs-control3'!$AH$86:$AZ$156,  'FBP outputs'!$A38, 'FBP outputs'!M$2)</f>
        <v>41.28988267640915</v>
      </c>
      <c r="N38">
        <v>34</v>
      </c>
      <c r="O38">
        <f>INDEX('Calcs-control3'!$AH$170:$AY$240, 'FBP outputs'!$A38, 'FBP outputs'!$G$1)</f>
        <v>0.99978643881427354</v>
      </c>
    </row>
    <row r="39" spans="1:15" x14ac:dyDescent="0.3">
      <c r="A39">
        <v>36</v>
      </c>
      <c r="D39">
        <v>36</v>
      </c>
      <c r="E39">
        <f t="shared" si="0"/>
        <v>35</v>
      </c>
      <c r="F39">
        <f t="shared" si="1"/>
        <v>44.546362721104209</v>
      </c>
      <c r="J39" s="17" t="str">
        <f t="shared" si="2"/>
        <v/>
      </c>
      <c r="K39" t="str">
        <f t="shared" si="3"/>
        <v/>
      </c>
      <c r="L39" s="18" t="str">
        <f t="shared" si="4"/>
        <v/>
      </c>
      <c r="M39">
        <f>INDEX('Calcs-control3'!$AH$86:$AZ$156,  'FBP outputs'!$A39, 'FBP outputs'!M$2)</f>
        <v>44.546362721104209</v>
      </c>
      <c r="N39">
        <v>35</v>
      </c>
      <c r="O39">
        <f>INDEX('Calcs-control3'!$AH$170:$AY$240, 'FBP outputs'!$A39, 'FBP outputs'!$G$1)</f>
        <v>0.99989901894090616</v>
      </c>
    </row>
    <row r="40" spans="1:15" x14ac:dyDescent="0.3">
      <c r="A40">
        <v>37</v>
      </c>
      <c r="D40">
        <v>37</v>
      </c>
      <c r="E40">
        <f t="shared" si="0"/>
        <v>36</v>
      </c>
      <c r="F40">
        <f t="shared" si="1"/>
        <v>47.920365286113764</v>
      </c>
      <c r="J40" s="17" t="str">
        <f t="shared" si="2"/>
        <v/>
      </c>
      <c r="K40" t="str">
        <f t="shared" si="3"/>
        <v/>
      </c>
      <c r="L40" s="18" t="str">
        <f t="shared" si="4"/>
        <v/>
      </c>
      <c r="M40">
        <f>INDEX('Calcs-control3'!$AH$86:$AZ$156,  'FBP outputs'!$A40, 'FBP outputs'!M$2)</f>
        <v>47.920365286113764</v>
      </c>
      <c r="N40">
        <v>36</v>
      </c>
      <c r="O40">
        <f>INDEX('Calcs-control3'!$AH$170:$AY$240, 'FBP outputs'!$A40, 'FBP outputs'!$G$1)</f>
        <v>0.99995352510029434</v>
      </c>
    </row>
    <row r="41" spans="1:15" x14ac:dyDescent="0.3">
      <c r="A41">
        <v>38</v>
      </c>
      <c r="D41">
        <v>38</v>
      </c>
      <c r="E41">
        <f t="shared" si="0"/>
        <v>37</v>
      </c>
      <c r="F41">
        <f t="shared" si="1"/>
        <v>51.39769204247817</v>
      </c>
      <c r="J41" s="17" t="str">
        <f t="shared" si="2"/>
        <v/>
      </c>
      <c r="K41" t="str">
        <f t="shared" si="3"/>
        <v/>
      </c>
      <c r="L41" s="18" t="str">
        <f t="shared" si="4"/>
        <v/>
      </c>
      <c r="M41">
        <f>INDEX('Calcs-control3'!$AH$86:$AZ$156,  'FBP outputs'!$A41, 'FBP outputs'!M$2)</f>
        <v>51.39769204247817</v>
      </c>
      <c r="N41">
        <v>37</v>
      </c>
      <c r="O41">
        <f>INDEX('Calcs-control3'!$AH$170:$AY$240, 'FBP outputs'!$A41, 'FBP outputs'!$G$1)</f>
        <v>0.99997911299444942</v>
      </c>
    </row>
    <row r="42" spans="1:15" x14ac:dyDescent="0.3">
      <c r="A42">
        <v>39</v>
      </c>
      <c r="D42">
        <v>39</v>
      </c>
      <c r="E42">
        <f t="shared" si="0"/>
        <v>38</v>
      </c>
      <c r="F42">
        <f t="shared" si="1"/>
        <v>54.961866331268929</v>
      </c>
      <c r="J42" s="17" t="str">
        <f t="shared" si="2"/>
        <v/>
      </c>
      <c r="K42" t="str">
        <f t="shared" si="3"/>
        <v/>
      </c>
      <c r="L42" s="18" t="str">
        <f t="shared" si="4"/>
        <v/>
      </c>
      <c r="M42">
        <f>INDEX('Calcs-control3'!$AH$86:$AZ$156,  'FBP outputs'!$A42, 'FBP outputs'!M$2)</f>
        <v>54.961866331268929</v>
      </c>
      <c r="N42">
        <v>38</v>
      </c>
      <c r="O42">
        <f>INDEX('Calcs-control3'!$AH$170:$AY$240, 'FBP outputs'!$A42, 'FBP outputs'!$G$1)</f>
        <v>0.99999079849428629</v>
      </c>
    </row>
    <row r="43" spans="1:15" x14ac:dyDescent="0.3">
      <c r="A43">
        <v>40</v>
      </c>
      <c r="D43">
        <v>40</v>
      </c>
      <c r="E43">
        <f t="shared" si="0"/>
        <v>39</v>
      </c>
      <c r="F43">
        <f t="shared" si="1"/>
        <v>58.594267148295025</v>
      </c>
      <c r="J43" s="17" t="str">
        <f t="shared" si="2"/>
        <v/>
      </c>
      <c r="K43" t="str">
        <f t="shared" si="3"/>
        <v/>
      </c>
      <c r="L43" s="18" t="str">
        <f t="shared" si="4"/>
        <v/>
      </c>
      <c r="M43">
        <f>INDEX('Calcs-control3'!$AH$86:$AZ$156,  'FBP outputs'!$A43, 'FBP outputs'!M$2)</f>
        <v>58.594267148295025</v>
      </c>
      <c r="N43">
        <v>39</v>
      </c>
      <c r="O43">
        <f>INDEX('Calcs-control3'!$AH$170:$AY$240, 'FBP outputs'!$A43, 'FBP outputs'!$G$1)</f>
        <v>0.99999600950634115</v>
      </c>
    </row>
    <row r="44" spans="1:15" x14ac:dyDescent="0.3">
      <c r="A44">
        <v>41</v>
      </c>
      <c r="D44">
        <v>41</v>
      </c>
      <c r="E44">
        <f t="shared" si="0"/>
        <v>40</v>
      </c>
      <c r="F44">
        <f t="shared" si="1"/>
        <v>62.274335882056185</v>
      </c>
      <c r="J44" s="17" t="str">
        <f t="shared" si="2"/>
        <v/>
      </c>
      <c r="K44" t="str">
        <f t="shared" si="3"/>
        <v/>
      </c>
      <c r="L44" s="18" t="str">
        <f t="shared" si="4"/>
        <v/>
      </c>
      <c r="M44">
        <f>INDEX('Calcs-control3'!$AH$86:$AZ$156,  'FBP outputs'!$A44, 'FBP outputs'!M$2)</f>
        <v>62.274335882056185</v>
      </c>
      <c r="N44">
        <v>40</v>
      </c>
      <c r="O44">
        <f>INDEX('Calcs-control3'!$AH$170:$AY$240, 'FBP outputs'!$A44, 'FBP outputs'!$G$1)</f>
        <v>0.99999828827927151</v>
      </c>
    </row>
    <row r="45" spans="1:15" x14ac:dyDescent="0.3">
      <c r="A45">
        <v>42</v>
      </c>
      <c r="D45">
        <v>42</v>
      </c>
      <c r="E45">
        <f t="shared" si="0"/>
        <v>41</v>
      </c>
      <c r="F45">
        <f t="shared" si="1"/>
        <v>65.638880248477719</v>
      </c>
      <c r="J45" s="17" t="str">
        <f t="shared" si="2"/>
        <v/>
      </c>
      <c r="K45" t="str">
        <f t="shared" si="3"/>
        <v/>
      </c>
      <c r="L45" s="18" t="str">
        <f t="shared" si="4"/>
        <v/>
      </c>
      <c r="M45">
        <f>INDEX('Calcs-control3'!$AH$86:$AZ$156,  'FBP outputs'!$A45, 'FBP outputs'!M$2)</f>
        <v>65.638880248477719</v>
      </c>
      <c r="N45">
        <v>41</v>
      </c>
      <c r="O45">
        <f>INDEX('Calcs-control3'!$AH$170:$AY$240, 'FBP outputs'!$A45, 'FBP outputs'!$G$1)</f>
        <v>0.99999921049259488</v>
      </c>
    </row>
    <row r="46" spans="1:15" x14ac:dyDescent="0.3">
      <c r="A46">
        <v>43</v>
      </c>
      <c r="D46">
        <v>43</v>
      </c>
      <c r="E46">
        <f t="shared" si="0"/>
        <v>42</v>
      </c>
      <c r="F46">
        <f t="shared" si="1"/>
        <v>68.626539398157462</v>
      </c>
      <c r="J46" s="17" t="str">
        <f t="shared" si="2"/>
        <v/>
      </c>
      <c r="K46" t="str">
        <f t="shared" si="3"/>
        <v/>
      </c>
      <c r="L46" s="18" t="str">
        <f t="shared" si="4"/>
        <v/>
      </c>
      <c r="M46">
        <f>INDEX('Calcs-control3'!$AH$86:$AZ$156,  'FBP outputs'!$A46, 'FBP outputs'!M$2)</f>
        <v>68.626539398157462</v>
      </c>
      <c r="N46">
        <v>42</v>
      </c>
      <c r="O46">
        <f>INDEX('Calcs-control3'!$AH$170:$AY$240, 'FBP outputs'!$A46, 'FBP outputs'!$G$1)</f>
        <v>0.99999960287638345</v>
      </c>
    </row>
    <row r="47" spans="1:15" x14ac:dyDescent="0.3">
      <c r="A47">
        <v>44</v>
      </c>
      <c r="D47">
        <v>44</v>
      </c>
      <c r="E47">
        <f t="shared" si="0"/>
        <v>43</v>
      </c>
      <c r="F47">
        <f t="shared" si="1"/>
        <v>71.268198679995351</v>
      </c>
      <c r="J47" s="17" t="str">
        <f t="shared" si="2"/>
        <v/>
      </c>
      <c r="K47" t="str">
        <f t="shared" si="3"/>
        <v/>
      </c>
      <c r="L47" s="18" t="str">
        <f t="shared" si="4"/>
        <v/>
      </c>
      <c r="M47">
        <f>INDEX('Calcs-control3'!$AH$86:$AZ$156,  'FBP outputs'!$A47, 'FBP outputs'!M$2)</f>
        <v>71.268198679995351</v>
      </c>
      <c r="N47">
        <v>43</v>
      </c>
      <c r="O47">
        <f>INDEX('Calcs-control3'!$AH$170:$AY$240, 'FBP outputs'!$A47, 'FBP outputs'!$G$1)</f>
        <v>0.99999978370007769</v>
      </c>
    </row>
    <row r="48" spans="1:15" x14ac:dyDescent="0.3">
      <c r="A48">
        <v>45</v>
      </c>
      <c r="D48">
        <v>45</v>
      </c>
      <c r="E48">
        <f t="shared" si="0"/>
        <v>44</v>
      </c>
      <c r="F48">
        <f t="shared" si="1"/>
        <v>73.60703735532077</v>
      </c>
      <c r="J48" s="17" t="str">
        <f t="shared" si="2"/>
        <v/>
      </c>
      <c r="K48" t="str">
        <f t="shared" si="3"/>
        <v/>
      </c>
      <c r="L48" s="18" t="str">
        <f t="shared" si="4"/>
        <v/>
      </c>
      <c r="M48">
        <f>INDEX('Calcs-control3'!$AH$86:$AZ$156,  'FBP outputs'!$A48, 'FBP outputs'!M$2)</f>
        <v>73.60703735532077</v>
      </c>
      <c r="N48">
        <v>44</v>
      </c>
      <c r="O48">
        <f>INDEX('Calcs-control3'!$AH$170:$AY$240, 'FBP outputs'!$A48, 'FBP outputs'!$G$1)</f>
        <v>0.99999987369077359</v>
      </c>
    </row>
    <row r="49" spans="1:15" x14ac:dyDescent="0.3">
      <c r="A49">
        <v>46</v>
      </c>
      <c r="D49">
        <v>46</v>
      </c>
      <c r="E49">
        <f t="shared" si="0"/>
        <v>45</v>
      </c>
      <c r="F49">
        <f t="shared" si="1"/>
        <v>75.681188301065262</v>
      </c>
      <c r="J49" s="17" t="str">
        <f t="shared" si="2"/>
        <v/>
      </c>
      <c r="K49" t="str">
        <f t="shared" si="3"/>
        <v/>
      </c>
      <c r="L49" s="18" t="str">
        <f t="shared" si="4"/>
        <v/>
      </c>
      <c r="M49">
        <f>INDEX('Calcs-control3'!$AH$86:$AZ$156,  'FBP outputs'!$A49, 'FBP outputs'!M$2)</f>
        <v>75.681188301065262</v>
      </c>
      <c r="N49">
        <v>45</v>
      </c>
      <c r="O49">
        <f>INDEX('Calcs-control3'!$AH$170:$AY$240, 'FBP outputs'!$A49, 'FBP outputs'!$G$1)</f>
        <v>0.9999999216114116</v>
      </c>
    </row>
    <row r="50" spans="1:15" x14ac:dyDescent="0.3">
      <c r="A50">
        <v>47</v>
      </c>
      <c r="D50">
        <v>47</v>
      </c>
      <c r="E50">
        <f t="shared" si="0"/>
        <v>46</v>
      </c>
      <c r="F50">
        <f t="shared" si="1"/>
        <v>77.523995768929851</v>
      </c>
      <c r="J50" s="17" t="str">
        <f t="shared" si="2"/>
        <v/>
      </c>
      <c r="K50" t="str">
        <f t="shared" si="3"/>
        <v/>
      </c>
      <c r="L50" s="18" t="str">
        <f t="shared" si="4"/>
        <v/>
      </c>
      <c r="M50">
        <f>INDEX('Calcs-control3'!$AH$86:$AZ$156,  'FBP outputs'!$A50, 'FBP outputs'!M$2)</f>
        <v>77.523995768929851</v>
      </c>
      <c r="N50">
        <v>46</v>
      </c>
      <c r="O50">
        <f>INDEX('Calcs-control3'!$AH$170:$AY$240, 'FBP outputs'!$A50, 'FBP outputs'!$G$1)</f>
        <v>0.99999994869272046</v>
      </c>
    </row>
    <row r="51" spans="1:15" x14ac:dyDescent="0.3">
      <c r="A51">
        <v>48</v>
      </c>
      <c r="D51">
        <v>48</v>
      </c>
      <c r="E51">
        <f t="shared" si="0"/>
        <v>47</v>
      </c>
      <c r="F51">
        <f t="shared" si="1"/>
        <v>79.16444401854433</v>
      </c>
      <c r="J51" s="17" t="str">
        <f t="shared" si="2"/>
        <v/>
      </c>
      <c r="K51" t="str">
        <f t="shared" si="3"/>
        <v/>
      </c>
      <c r="L51" s="18" t="str">
        <f t="shared" si="4"/>
        <v/>
      </c>
      <c r="M51">
        <f>INDEX('Calcs-control3'!$AH$86:$AZ$156,  'FBP outputs'!$A51, 'FBP outputs'!M$2)</f>
        <v>79.16444401854433</v>
      </c>
      <c r="N51">
        <v>47</v>
      </c>
      <c r="O51">
        <f>INDEX('Calcs-control3'!$AH$170:$AY$240, 'FBP outputs'!$A51, 'FBP outputs'!$G$1)</f>
        <v>0.99999996481817743</v>
      </c>
    </row>
    <row r="52" spans="1:15" x14ac:dyDescent="0.3">
      <c r="A52">
        <v>49</v>
      </c>
      <c r="D52">
        <v>49</v>
      </c>
      <c r="E52">
        <f t="shared" si="0"/>
        <v>48</v>
      </c>
      <c r="F52">
        <f t="shared" si="1"/>
        <v>80.627644258937394</v>
      </c>
      <c r="J52" s="17" t="str">
        <f t="shared" si="2"/>
        <v/>
      </c>
      <c r="K52" t="str">
        <f t="shared" si="3"/>
        <v/>
      </c>
      <c r="L52" s="18" t="str">
        <f t="shared" si="4"/>
        <v/>
      </c>
      <c r="M52">
        <f>INDEX('Calcs-control3'!$AH$86:$AZ$156,  'FBP outputs'!$A52, 'FBP outputs'!M$2)</f>
        <v>80.627644258937394</v>
      </c>
      <c r="N52">
        <v>48</v>
      </c>
      <c r="O52">
        <f>INDEX('Calcs-control3'!$AH$170:$AY$240, 'FBP outputs'!$A52, 'FBP outputs'!$G$1)</f>
        <v>0.99999997487173042</v>
      </c>
    </row>
    <row r="53" spans="1:15" x14ac:dyDescent="0.3">
      <c r="A53">
        <v>50</v>
      </c>
      <c r="D53">
        <v>50</v>
      </c>
      <c r="E53">
        <f t="shared" si="0"/>
        <v>49</v>
      </c>
      <c r="F53">
        <f t="shared" si="1"/>
        <v>81.935319454418462</v>
      </c>
      <c r="J53" s="17" t="str">
        <f t="shared" si="2"/>
        <v/>
      </c>
      <c r="K53" t="str">
        <f t="shared" si="3"/>
        <v/>
      </c>
      <c r="L53" s="18" t="str">
        <f t="shared" si="4"/>
        <v/>
      </c>
      <c r="M53">
        <f>INDEX('Calcs-control3'!$AH$86:$AZ$156,  'FBP outputs'!$A53, 'FBP outputs'!M$2)</f>
        <v>81.935319454418462</v>
      </c>
      <c r="N53">
        <v>49</v>
      </c>
      <c r="O53">
        <f>INDEX('Calcs-control3'!$AH$170:$AY$240, 'FBP outputs'!$A53, 'FBP outputs'!$G$1)</f>
        <v>0.9999999813987609</v>
      </c>
    </row>
    <row r="54" spans="1:15" x14ac:dyDescent="0.3">
      <c r="A54">
        <v>51</v>
      </c>
      <c r="D54">
        <v>51</v>
      </c>
      <c r="E54">
        <f t="shared" si="0"/>
        <v>50</v>
      </c>
      <c r="F54">
        <f t="shared" si="1"/>
        <v>83.1062567592205</v>
      </c>
      <c r="J54" s="17" t="str">
        <f t="shared" si="2"/>
        <v/>
      </c>
      <c r="K54" t="str">
        <f t="shared" si="3"/>
        <v/>
      </c>
      <c r="L54" s="18" t="str">
        <f t="shared" si="4"/>
        <v/>
      </c>
      <c r="M54">
        <f>INDEX('Calcs-control3'!$AH$86:$AZ$156,  'FBP outputs'!$A54, 'FBP outputs'!M$2)</f>
        <v>83.1062567592205</v>
      </c>
      <c r="N54">
        <v>50</v>
      </c>
      <c r="O54">
        <f>INDEX('Calcs-control3'!$AH$170:$AY$240, 'FBP outputs'!$A54, 'FBP outputs'!$G$1)</f>
        <v>0.99999998579047356</v>
      </c>
    </row>
    <row r="55" spans="1:15" x14ac:dyDescent="0.3">
      <c r="A55">
        <v>52</v>
      </c>
      <c r="D55">
        <v>52</v>
      </c>
      <c r="E55">
        <f t="shared" si="0"/>
        <v>51</v>
      </c>
      <c r="F55">
        <f t="shared" si="1"/>
        <v>84.156714529067216</v>
      </c>
      <c r="J55" s="17" t="str">
        <f t="shared" si="2"/>
        <v/>
      </c>
      <c r="K55" t="str">
        <f t="shared" si="3"/>
        <v/>
      </c>
      <c r="L55" s="18" t="str">
        <f t="shared" si="4"/>
        <v/>
      </c>
      <c r="M55">
        <f>INDEX('Calcs-control3'!$AH$86:$AZ$156,  'FBP outputs'!$A55, 'FBP outputs'!M$2)</f>
        <v>84.156714529067216</v>
      </c>
      <c r="N55">
        <v>51</v>
      </c>
      <c r="O55">
        <f>INDEX('Calcs-control3'!$AH$170:$AY$240, 'FBP outputs'!$A55, 'FBP outputs'!$G$1)</f>
        <v>0.99999998884031949</v>
      </c>
    </row>
    <row r="56" spans="1:15" x14ac:dyDescent="0.3">
      <c r="A56">
        <v>53</v>
      </c>
      <c r="D56">
        <v>53</v>
      </c>
      <c r="E56">
        <f t="shared" si="0"/>
        <v>52</v>
      </c>
      <c r="F56">
        <f t="shared" si="1"/>
        <v>85.10078035671134</v>
      </c>
      <c r="J56" s="17" t="str">
        <f t="shared" si="2"/>
        <v/>
      </c>
      <c r="K56" t="str">
        <f t="shared" si="3"/>
        <v/>
      </c>
      <c r="L56" s="18" t="str">
        <f t="shared" si="4"/>
        <v/>
      </c>
      <c r="M56">
        <f>INDEX('Calcs-control3'!$AH$86:$AZ$156,  'FBP outputs'!$A56, 'FBP outputs'!M$2)</f>
        <v>85.10078035671134</v>
      </c>
      <c r="N56">
        <v>52</v>
      </c>
      <c r="O56">
        <f>INDEX('Calcs-control3'!$AH$170:$AY$240, 'FBP outputs'!$A56, 'FBP outputs'!$G$1)</f>
        <v>0.99999999101845261</v>
      </c>
    </row>
    <row r="57" spans="1:15" x14ac:dyDescent="0.3">
      <c r="A57">
        <v>54</v>
      </c>
      <c r="D57">
        <v>54</v>
      </c>
      <c r="E57">
        <f t="shared" si="0"/>
        <v>53</v>
      </c>
      <c r="F57">
        <f t="shared" si="1"/>
        <v>85.950681585250464</v>
      </c>
      <c r="J57" s="17" t="str">
        <f t="shared" si="2"/>
        <v/>
      </c>
      <c r="K57" t="str">
        <f t="shared" si="3"/>
        <v/>
      </c>
      <c r="L57" s="18" t="str">
        <f t="shared" si="4"/>
        <v/>
      </c>
      <c r="M57">
        <f>INDEX('Calcs-control3'!$AH$86:$AZ$156,  'FBP outputs'!$A57, 'FBP outputs'!M$2)</f>
        <v>85.950681585250464</v>
      </c>
      <c r="N57">
        <v>53</v>
      </c>
      <c r="O57">
        <f>INDEX('Calcs-control3'!$AH$170:$AY$240, 'FBP outputs'!$A57, 'FBP outputs'!$G$1)</f>
        <v>0.99999999261319794</v>
      </c>
    </row>
    <row r="58" spans="1:15" x14ac:dyDescent="0.3">
      <c r="A58">
        <v>55</v>
      </c>
      <c r="D58">
        <v>55</v>
      </c>
      <c r="E58">
        <f t="shared" si="0"/>
        <v>54</v>
      </c>
      <c r="F58">
        <f t="shared" si="1"/>
        <v>86.717052169346815</v>
      </c>
      <c r="J58" s="17" t="str">
        <f t="shared" si="2"/>
        <v/>
      </c>
      <c r="K58" t="str">
        <f t="shared" si="3"/>
        <v/>
      </c>
      <c r="L58" s="18" t="str">
        <f t="shared" si="4"/>
        <v/>
      </c>
      <c r="M58">
        <f>INDEX('Calcs-control3'!$AH$86:$AZ$156,  'FBP outputs'!$A58, 'FBP outputs'!M$2)</f>
        <v>86.717052169346815</v>
      </c>
      <c r="N58">
        <v>54</v>
      </c>
      <c r="O58">
        <f>INDEX('Calcs-control3'!$AH$170:$AY$240, 'FBP outputs'!$A58, 'FBP outputs'!$G$1)</f>
        <v>0.99999999380693771</v>
      </c>
    </row>
    <row r="59" spans="1:15" x14ac:dyDescent="0.3">
      <c r="A59">
        <v>56</v>
      </c>
      <c r="D59">
        <v>56</v>
      </c>
      <c r="E59">
        <f t="shared" si="0"/>
        <v>55</v>
      </c>
      <c r="F59">
        <f t="shared" si="1"/>
        <v>87.409160707791173</v>
      </c>
      <c r="J59" s="17" t="str">
        <f t="shared" si="2"/>
        <v/>
      </c>
      <c r="K59" t="str">
        <f t="shared" si="3"/>
        <v/>
      </c>
      <c r="L59" s="18" t="str">
        <f t="shared" si="4"/>
        <v/>
      </c>
      <c r="M59">
        <f>INDEX('Calcs-control3'!$AH$86:$AZ$156,  'FBP outputs'!$A59, 'FBP outputs'!M$2)</f>
        <v>87.409160707791173</v>
      </c>
      <c r="N59">
        <v>55</v>
      </c>
      <c r="O59">
        <f>INDEX('Calcs-control3'!$AH$170:$AY$240, 'FBP outputs'!$A59, 'FBP outputs'!$G$1)</f>
        <v>0.99999999471831746</v>
      </c>
    </row>
    <row r="60" spans="1:15" x14ac:dyDescent="0.3">
      <c r="A60">
        <v>57</v>
      </c>
      <c r="D60">
        <v>57</v>
      </c>
      <c r="E60">
        <f t="shared" si="0"/>
        <v>56</v>
      </c>
      <c r="F60">
        <f t="shared" si="1"/>
        <v>88.035104625226438</v>
      </c>
      <c r="J60" s="17" t="str">
        <f t="shared" si="2"/>
        <v/>
      </c>
      <c r="K60" t="str">
        <f t="shared" si="3"/>
        <v/>
      </c>
      <c r="L60" s="18" t="str">
        <f t="shared" si="4"/>
        <v/>
      </c>
      <c r="M60">
        <f>INDEX('Calcs-control3'!$AH$86:$AZ$156,  'FBP outputs'!$A60, 'FBP outputs'!M$2)</f>
        <v>88.035104625226438</v>
      </c>
      <c r="N60">
        <v>56</v>
      </c>
      <c r="O60">
        <f>INDEX('Calcs-control3'!$AH$170:$AY$240, 'FBP outputs'!$A60, 'FBP outputs'!$G$1)</f>
        <v>0.99999999542650531</v>
      </c>
    </row>
    <row r="61" spans="1:15" x14ac:dyDescent="0.3">
      <c r="A61">
        <v>58</v>
      </c>
      <c r="D61">
        <v>58</v>
      </c>
      <c r="E61">
        <f t="shared" si="0"/>
        <v>57</v>
      </c>
      <c r="F61">
        <f t="shared" si="1"/>
        <v>88.601975223544898</v>
      </c>
      <c r="J61" s="17" t="str">
        <f t="shared" si="2"/>
        <v/>
      </c>
      <c r="K61" t="str">
        <f t="shared" si="3"/>
        <v/>
      </c>
      <c r="L61" s="18" t="str">
        <f t="shared" si="4"/>
        <v/>
      </c>
      <c r="M61">
        <f>INDEX('Calcs-control3'!$AH$86:$AZ$156,  'FBP outputs'!$A61, 'FBP outputs'!M$2)</f>
        <v>88.601975223544898</v>
      </c>
      <c r="N61">
        <v>57</v>
      </c>
      <c r="O61">
        <f>INDEX('Calcs-control3'!$AH$170:$AY$240, 'FBP outputs'!$A61, 'FBP outputs'!$G$1)</f>
        <v>0.999999995985562</v>
      </c>
    </row>
    <row r="62" spans="1:15" x14ac:dyDescent="0.3">
      <c r="A62">
        <v>59</v>
      </c>
      <c r="D62">
        <v>59</v>
      </c>
      <c r="E62">
        <f t="shared" si="0"/>
        <v>58</v>
      </c>
      <c r="F62">
        <f t="shared" si="1"/>
        <v>89.115997876879277</v>
      </c>
      <c r="J62" s="17" t="str">
        <f t="shared" si="2"/>
        <v/>
      </c>
      <c r="K62" t="str">
        <f t="shared" si="3"/>
        <v/>
      </c>
      <c r="L62" s="18" t="str">
        <f t="shared" si="4"/>
        <v/>
      </c>
      <c r="M62">
        <f>INDEX('Calcs-control3'!$AH$86:$AZ$156,  'FBP outputs'!$A62, 'FBP outputs'!M$2)</f>
        <v>89.115997876879277</v>
      </c>
      <c r="N62">
        <v>58</v>
      </c>
      <c r="O62">
        <f>INDEX('Calcs-control3'!$AH$170:$AY$240, 'FBP outputs'!$A62, 'FBP outputs'!$G$1)</f>
        <v>0.99999999643318815</v>
      </c>
    </row>
    <row r="63" spans="1:15" x14ac:dyDescent="0.3">
      <c r="A63">
        <v>60</v>
      </c>
      <c r="D63">
        <v>60</v>
      </c>
      <c r="E63">
        <f t="shared" si="0"/>
        <v>59</v>
      </c>
      <c r="F63">
        <f t="shared" si="1"/>
        <v>89.582651132819208</v>
      </c>
      <c r="J63" s="17" t="str">
        <f t="shared" si="2"/>
        <v/>
      </c>
      <c r="K63" t="str">
        <f t="shared" si="3"/>
        <v/>
      </c>
      <c r="L63" s="18" t="str">
        <f t="shared" si="4"/>
        <v/>
      </c>
      <c r="M63">
        <f>INDEX('Calcs-control3'!$AH$86:$AZ$156,  'FBP outputs'!$A63, 'FBP outputs'!M$2)</f>
        <v>89.582651132819208</v>
      </c>
      <c r="N63">
        <v>59</v>
      </c>
      <c r="O63">
        <f>INDEX('Calcs-control3'!$AH$170:$AY$240, 'FBP outputs'!$A63, 'FBP outputs'!$G$1)</f>
        <v>0.99999999679618623</v>
      </c>
    </row>
    <row r="64" spans="1:15" x14ac:dyDescent="0.3">
      <c r="A64">
        <v>61</v>
      </c>
      <c r="D64">
        <v>61</v>
      </c>
      <c r="E64">
        <f t="shared" si="0"/>
        <v>60</v>
      </c>
      <c r="F64">
        <f t="shared" si="1"/>
        <v>90.006767973532064</v>
      </c>
      <c r="J64" s="17" t="str">
        <f t="shared" si="2"/>
        <v/>
      </c>
      <c r="K64" t="str">
        <f t="shared" si="3"/>
        <v/>
      </c>
      <c r="L64" s="18" t="str">
        <f t="shared" si="4"/>
        <v/>
      </c>
      <c r="M64">
        <f>INDEX('Calcs-control3'!$AH$86:$AZ$156,  'FBP outputs'!$A64, 'FBP outputs'!M$2)</f>
        <v>90.006767973532064</v>
      </c>
      <c r="N64">
        <v>60</v>
      </c>
      <c r="O64">
        <f>INDEX('Calcs-control3'!$AH$170:$AY$240, 'FBP outputs'!$A64, 'FBP outputs'!$G$1)</f>
        <v>0.99999999709394927</v>
      </c>
    </row>
    <row r="65" spans="1:15" x14ac:dyDescent="0.3">
      <c r="A65">
        <v>62</v>
      </c>
      <c r="D65">
        <v>62</v>
      </c>
      <c r="E65">
        <f t="shared" si="0"/>
        <v>61</v>
      </c>
      <c r="F65">
        <f t="shared" si="1"/>
        <v>90.392622017387609</v>
      </c>
      <c r="J65" s="17" t="str">
        <f t="shared" si="2"/>
        <v/>
      </c>
      <c r="K65" t="str">
        <f t="shared" si="3"/>
        <v/>
      </c>
      <c r="L65" s="18" t="str">
        <f t="shared" si="4"/>
        <v/>
      </c>
      <c r="M65">
        <f>INDEX('Calcs-control3'!$AH$86:$AZ$156,  'FBP outputs'!$A65, 'FBP outputs'!M$2)</f>
        <v>90.392622017387609</v>
      </c>
      <c r="N65">
        <v>61</v>
      </c>
      <c r="O65">
        <f>INDEX('Calcs-control3'!$AH$170:$AY$240, 'FBP outputs'!$A65, 'FBP outputs'!$G$1)</f>
        <v>0.99999999734073808</v>
      </c>
    </row>
    <row r="66" spans="1:15" x14ac:dyDescent="0.3">
      <c r="A66">
        <v>63</v>
      </c>
      <c r="D66">
        <v>63</v>
      </c>
      <c r="E66">
        <f t="shared" si="0"/>
        <v>62</v>
      </c>
      <c r="F66">
        <f t="shared" si="1"/>
        <v>90.74400101886846</v>
      </c>
      <c r="J66" s="17" t="str">
        <f t="shared" si="2"/>
        <v/>
      </c>
      <c r="K66" t="str">
        <f t="shared" si="3"/>
        <v/>
      </c>
      <c r="L66" s="18" t="str">
        <f t="shared" si="4"/>
        <v/>
      </c>
      <c r="M66">
        <f>INDEX('Calcs-control3'!$AH$86:$AZ$156,  'FBP outputs'!$A66, 'FBP outputs'!M$2)</f>
        <v>90.74400101886846</v>
      </c>
      <c r="N66">
        <v>62</v>
      </c>
      <c r="O66">
        <f>INDEX('Calcs-control3'!$AH$170:$AY$240, 'FBP outputs'!$A66, 'FBP outputs'!$G$1)</f>
        <v>0.99999999754719704</v>
      </c>
    </row>
    <row r="67" spans="1:15" x14ac:dyDescent="0.3">
      <c r="A67">
        <v>64</v>
      </c>
      <c r="D67">
        <v>64</v>
      </c>
      <c r="E67">
        <f t="shared" si="0"/>
        <v>63</v>
      </c>
      <c r="F67">
        <f t="shared" si="1"/>
        <v>91.064269655777551</v>
      </c>
      <c r="J67" s="17" t="str">
        <f t="shared" si="2"/>
        <v/>
      </c>
      <c r="K67" t="str">
        <f t="shared" si="3"/>
        <v/>
      </c>
      <c r="L67" s="18" t="str">
        <f t="shared" si="4"/>
        <v/>
      </c>
      <c r="M67">
        <f>INDEX('Calcs-control3'!$AH$86:$AZ$156,  'FBP outputs'!$A67, 'FBP outputs'!M$2)</f>
        <v>91.064269655777551</v>
      </c>
      <c r="N67">
        <v>63</v>
      </c>
      <c r="O67">
        <f>INDEX('Calcs-control3'!$AH$170:$AY$240, 'FBP outputs'!$A67, 'FBP outputs'!$G$1)</f>
        <v>0.99999999772138082</v>
      </c>
    </row>
    <row r="68" spans="1:15" x14ac:dyDescent="0.3">
      <c r="A68">
        <v>65</v>
      </c>
      <c r="D68">
        <v>65</v>
      </c>
      <c r="E68">
        <f t="shared" si="0"/>
        <v>64</v>
      </c>
      <c r="F68">
        <f t="shared" si="1"/>
        <v>91.356423276200545</v>
      </c>
      <c r="J68" s="17" t="str">
        <f t="shared" si="2"/>
        <v/>
      </c>
      <c r="K68" t="str">
        <f t="shared" si="3"/>
        <v/>
      </c>
      <c r="L68" s="18" t="str">
        <f t="shared" si="4"/>
        <v/>
      </c>
      <c r="M68">
        <f>INDEX('Calcs-control3'!$AH$86:$AZ$156,  'FBP outputs'!$A68, 'FBP outputs'!M$2)</f>
        <v>91.356423276200545</v>
      </c>
      <c r="N68">
        <v>64</v>
      </c>
      <c r="O68">
        <f>INDEX('Calcs-control3'!$AH$170:$AY$240, 'FBP outputs'!$A68, 'FBP outputs'!$G$1)</f>
        <v>0.99999999786946248</v>
      </c>
    </row>
    <row r="69" spans="1:15" x14ac:dyDescent="0.3">
      <c r="A69">
        <v>66</v>
      </c>
      <c r="D69">
        <v>66</v>
      </c>
      <c r="E69">
        <f t="shared" ref="E69:E74" si="5">IF(D$2=FALSE, NA(), D69-1)</f>
        <v>65</v>
      </c>
      <c r="F69">
        <f t="shared" ref="F69:F74" si="6">M69</f>
        <v>91.623134008832977</v>
      </c>
      <c r="J69" s="17" t="str">
        <f t="shared" ref="J69:J74" si="7">IF(AND(ROUND(O69, 1)&gt;=0.1, ROUND(O68, 1)&lt;0.1), 10, "")</f>
        <v/>
      </c>
      <c r="K69" t="str">
        <f t="shared" ref="K69:K74" si="8">IF(AND(ROUND(O69, 1)&gt;=0.5, ROUND(O68, 1)&lt;0.5), 50, "")</f>
        <v/>
      </c>
      <c r="L69" s="18" t="str">
        <f t="shared" ref="L69:L74" si="9">IF(AND(ROUND(O69, 1)&gt;=0.9, ROUND(O68, 1)&lt;0.9), 90, "")</f>
        <v/>
      </c>
      <c r="M69">
        <f>INDEX('Calcs-control3'!$AH$86:$AZ$156,  'FBP outputs'!$A69, 'FBP outputs'!M$2)</f>
        <v>91.623134008832977</v>
      </c>
      <c r="N69">
        <v>65</v>
      </c>
      <c r="O69">
        <f>INDEX('Calcs-control3'!$AH$170:$AY$240, 'FBP outputs'!$A69, 'FBP outputs'!$G$1)</f>
        <v>0.99999999799622907</v>
      </c>
    </row>
    <row r="70" spans="1:15" x14ac:dyDescent="0.3">
      <c r="A70">
        <v>67</v>
      </c>
      <c r="D70">
        <v>67</v>
      </c>
      <c r="E70">
        <f t="shared" si="5"/>
        <v>66</v>
      </c>
      <c r="F70">
        <f t="shared" si="6"/>
        <v>91.866790413579778</v>
      </c>
      <c r="J70" s="17" t="str">
        <f t="shared" si="7"/>
        <v/>
      </c>
      <c r="K70" t="str">
        <f t="shared" si="8"/>
        <v/>
      </c>
      <c r="L70" s="18" t="str">
        <f t="shared" si="9"/>
        <v/>
      </c>
      <c r="M70">
        <f>INDEX('Calcs-control3'!$AH$86:$AZ$156,  'FBP outputs'!$A70, 'FBP outputs'!M$2)</f>
        <v>91.866790413579778</v>
      </c>
      <c r="N70">
        <v>66</v>
      </c>
      <c r="O70">
        <f>INDEX('Calcs-control3'!$AH$170:$AY$240, 'FBP outputs'!$A70, 'FBP outputs'!$G$1)</f>
        <v>0.99999999810543383</v>
      </c>
    </row>
    <row r="71" spans="1:15" x14ac:dyDescent="0.3">
      <c r="A71">
        <v>68</v>
      </c>
      <c r="D71">
        <v>68</v>
      </c>
      <c r="E71">
        <f t="shared" si="5"/>
        <v>67</v>
      </c>
      <c r="F71">
        <f t="shared" si="6"/>
        <v>92.089531659079142</v>
      </c>
      <c r="J71" s="17" t="str">
        <f t="shared" si="7"/>
        <v/>
      </c>
      <c r="K71" t="str">
        <f t="shared" si="8"/>
        <v/>
      </c>
      <c r="L71" s="18" t="str">
        <f t="shared" si="9"/>
        <v/>
      </c>
      <c r="M71">
        <f>INDEX('Calcs-control3'!$AH$86:$AZ$156,  'FBP outputs'!$A71, 'FBP outputs'!M$2)</f>
        <v>92.089531659079142</v>
      </c>
      <c r="N71">
        <v>67</v>
      </c>
      <c r="O71">
        <f>INDEX('Calcs-control3'!$AH$170:$AY$240, 'FBP outputs'!$A71, 'FBP outputs'!$G$1)</f>
        <v>0.99999999820004914</v>
      </c>
    </row>
    <row r="72" spans="1:15" x14ac:dyDescent="0.3">
      <c r="A72">
        <v>69</v>
      </c>
      <c r="D72">
        <v>69</v>
      </c>
      <c r="E72">
        <f t="shared" si="5"/>
        <v>68</v>
      </c>
      <c r="F72">
        <f t="shared" si="6"/>
        <v>92.293277054630579</v>
      </c>
      <c r="J72" s="17" t="str">
        <f t="shared" si="7"/>
        <v/>
      </c>
      <c r="K72" t="str">
        <f t="shared" si="8"/>
        <v/>
      </c>
      <c r="L72" s="18" t="str">
        <f t="shared" si="9"/>
        <v/>
      </c>
      <c r="M72">
        <f>INDEX('Calcs-control3'!$AH$86:$AZ$156,  'FBP outputs'!$A72, 'FBP outputs'!M$2)</f>
        <v>92.293277054630579</v>
      </c>
      <c r="N72">
        <v>68</v>
      </c>
      <c r="O72">
        <f>INDEX('Calcs-control3'!$AH$170:$AY$240, 'FBP outputs'!$A72, 'FBP outputs'!$G$1)</f>
        <v>0.99999999828245156</v>
      </c>
    </row>
    <row r="73" spans="1:15" x14ac:dyDescent="0.3">
      <c r="A73">
        <v>70</v>
      </c>
      <c r="D73">
        <v>70</v>
      </c>
      <c r="E73">
        <f t="shared" si="5"/>
        <v>69</v>
      </c>
      <c r="F73">
        <f t="shared" si="6"/>
        <v>92.479751631075715</v>
      </c>
      <c r="J73" s="17" t="str">
        <f t="shared" si="7"/>
        <v/>
      </c>
      <c r="K73" t="str">
        <f t="shared" si="8"/>
        <v/>
      </c>
      <c r="L73" s="18" t="str">
        <f t="shared" si="9"/>
        <v/>
      </c>
      <c r="M73">
        <f>INDEX('Calcs-control3'!$AH$86:$AZ$156,  'FBP outputs'!$A73, 'FBP outputs'!M$2)</f>
        <v>92.479751631075715</v>
      </c>
      <c r="N73">
        <v>69</v>
      </c>
      <c r="O73">
        <f>INDEX('Calcs-control3'!$AH$170:$AY$240, 'FBP outputs'!$A73, 'FBP outputs'!$G$1)</f>
        <v>0.99999999835455844</v>
      </c>
    </row>
    <row r="74" spans="1:15" x14ac:dyDescent="0.3">
      <c r="A74">
        <v>71</v>
      </c>
      <c r="D74">
        <v>71</v>
      </c>
      <c r="E74">
        <f t="shared" si="5"/>
        <v>70</v>
      </c>
      <c r="F74">
        <f t="shared" si="6"/>
        <v>92.650508354278415</v>
      </c>
      <c r="J74" s="65" t="str">
        <f t="shared" si="7"/>
        <v/>
      </c>
      <c r="K74" s="66" t="str">
        <f t="shared" si="8"/>
        <v/>
      </c>
      <c r="L74" s="67" t="str">
        <f t="shared" si="9"/>
        <v/>
      </c>
      <c r="M74">
        <f>INDEX('Calcs-control3'!$AH$86:$AZ$156,  'FBP outputs'!$A74, 'FBP outputs'!M$2)</f>
        <v>92.650508354278415</v>
      </c>
      <c r="N74">
        <v>70</v>
      </c>
      <c r="O74">
        <f>INDEX('Calcs-control3'!$AH$170:$AY$240, 'FBP outputs'!$A74, 'FBP outputs'!$G$1)</f>
        <v>0.99999999841792897</v>
      </c>
    </row>
    <row r="75" spans="1:15" x14ac:dyDescent="0.3">
      <c r="J75" t="s">
        <v>78</v>
      </c>
    </row>
    <row r="76" spans="1:15" x14ac:dyDescent="0.3">
      <c r="A76" s="57"/>
      <c r="B76" s="1"/>
      <c r="D76" s="1" t="s">
        <v>80</v>
      </c>
      <c r="E76" s="57" t="s">
        <v>38</v>
      </c>
      <c r="F76" s="1" t="s">
        <v>55</v>
      </c>
      <c r="J76" t="s">
        <v>77</v>
      </c>
      <c r="K76" t="s">
        <v>38</v>
      </c>
      <c r="L76" t="s">
        <v>55</v>
      </c>
    </row>
    <row r="77" spans="1:15" x14ac:dyDescent="0.3">
      <c r="D77" t="s">
        <v>73</v>
      </c>
      <c r="E77">
        <f>IF($D$2=TRUE, 'FBP outputs'!K77, #N/A)</f>
        <v>4.8457629959641473</v>
      </c>
      <c r="F77">
        <f>L77</f>
        <v>13</v>
      </c>
      <c r="J77" t="s">
        <v>73</v>
      </c>
      <c r="K77">
        <f>VLOOKUP(10, J$4:M$74, 4)</f>
        <v>4.8457629959641473</v>
      </c>
      <c r="L77">
        <f>VLOOKUP(K77, M$4:N$74, 2)</f>
        <v>13</v>
      </c>
    </row>
    <row r="78" spans="1:15" x14ac:dyDescent="0.3">
      <c r="D78" t="s">
        <v>76</v>
      </c>
      <c r="E78">
        <f>IF($D$2=TRUE, 'FBP outputs'!K78, #N/A)</f>
        <v>7.785161369876251</v>
      </c>
      <c r="F78">
        <f t="shared" ref="F78:F79" si="10">L78</f>
        <v>17</v>
      </c>
      <c r="J78" t="s">
        <v>76</v>
      </c>
      <c r="K78">
        <f>VLOOKUP(50, K$4:M$74, 3)</f>
        <v>7.785161369876251</v>
      </c>
      <c r="L78">
        <f>VLOOKUP(K78, M$4:N$74, 2)</f>
        <v>17</v>
      </c>
    </row>
    <row r="79" spans="1:15" x14ac:dyDescent="0.3">
      <c r="D79" t="s">
        <v>74</v>
      </c>
      <c r="E79">
        <f>IF($D$2=TRUE, 'FBP outputs'!K79, #N/A)</f>
        <v>13.565887034520195</v>
      </c>
      <c r="F79">
        <f t="shared" si="10"/>
        <v>22</v>
      </c>
      <c r="J79" t="s">
        <v>74</v>
      </c>
      <c r="K79">
        <f>VLOOKUP(90, L$5:M$74, 2)</f>
        <v>13.565887034520195</v>
      </c>
      <c r="L79">
        <f>VLOOKUP(K79, M$4:N$74, 2)</f>
        <v>22</v>
      </c>
    </row>
    <row r="81" spans="1:6" x14ac:dyDescent="0.3">
      <c r="A81" s="57"/>
      <c r="B81" s="1"/>
      <c r="D81" s="1"/>
      <c r="E81" s="57"/>
      <c r="F81" s="1"/>
    </row>
  </sheetData>
  <pageMargins left="0.7" right="0.7" top="0.75" bottom="0.75" header="0.3" footer="0.3"/>
  <headerFooter>
    <oddHeader>&amp;R&amp;"Calibri"&amp;12&amp;K000000 UNCLASSIFIED - NON CLASSIFIÉ&amp;1#_x000D_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FI83"/>
  <sheetViews>
    <sheetView workbookViewId="0"/>
  </sheetViews>
  <sheetFormatPr defaultRowHeight="14.4" x14ac:dyDescent="0.3"/>
  <cols>
    <col min="7" max="8" width="10.6640625" customWidth="1"/>
    <col min="9" max="9" width="10.5546875" customWidth="1"/>
    <col min="10" max="10" width="16" customWidth="1"/>
    <col min="11" max="11" width="14.109375" customWidth="1"/>
    <col min="12" max="12" width="16.33203125" customWidth="1"/>
    <col min="13" max="13" width="14.88671875" customWidth="1"/>
    <col min="14" max="14" width="12" customWidth="1"/>
    <col min="15" max="16" width="11" customWidth="1"/>
    <col min="17" max="17" width="12.109375" customWidth="1"/>
    <col min="18" max="18" width="11.5546875" customWidth="1"/>
    <col min="19" max="19" width="13" customWidth="1"/>
    <col min="20" max="20" width="12.88671875" customWidth="1"/>
    <col min="21" max="21" width="19.33203125" customWidth="1"/>
    <col min="22" max="22" width="18.88671875" customWidth="1"/>
    <col min="23" max="23" width="18.44140625" customWidth="1"/>
    <col min="24" max="24" width="11" customWidth="1"/>
    <col min="25" max="27" width="8.88671875" customWidth="1"/>
    <col min="28" max="28" width="10.109375" customWidth="1"/>
    <col min="29" max="31" width="8.88671875" customWidth="1"/>
    <col min="32" max="32" width="13.44140625" customWidth="1"/>
    <col min="35" max="35" width="16" customWidth="1"/>
    <col min="36" max="36" width="11.5546875" customWidth="1"/>
    <col min="37" max="37" width="10.33203125" customWidth="1"/>
    <col min="38" max="38" width="12.88671875" customWidth="1"/>
    <col min="40" max="40" width="13" customWidth="1"/>
    <col min="41" max="41" width="12.33203125" customWidth="1"/>
    <col min="42" max="42" width="10.6640625" customWidth="1"/>
    <col min="45" max="45" width="14" customWidth="1"/>
    <col min="46" max="46" width="13.33203125" customWidth="1"/>
    <col min="53" max="53" width="13.109375" customWidth="1"/>
    <col min="55" max="55" width="17.33203125" customWidth="1"/>
    <col min="56" max="56" width="16.6640625" customWidth="1"/>
    <col min="57" max="57" width="14.109375" customWidth="1"/>
    <col min="58" max="62" width="13.109375" customWidth="1"/>
    <col min="63" max="63" width="19.5546875" customWidth="1"/>
    <col min="66" max="66" width="9.109375" style="17"/>
    <col min="67" max="67" width="9.109375"/>
    <col min="75" max="75" width="16" customWidth="1"/>
    <col min="76" max="76" width="14.109375" customWidth="1"/>
    <col min="77" max="77" width="16.33203125" customWidth="1"/>
    <col min="78" max="78" width="14.88671875" customWidth="1"/>
    <col min="79" max="79" width="12" customWidth="1"/>
    <col min="80" max="81" width="11" customWidth="1"/>
    <col min="82" max="82" width="12.109375" customWidth="1"/>
    <col min="83" max="83" width="11.5546875" customWidth="1"/>
    <col min="84" max="84" width="13" customWidth="1"/>
    <col min="85" max="85" width="12.88671875" customWidth="1"/>
    <col min="86" max="86" width="16.88671875" customWidth="1"/>
    <col min="87" max="87" width="19.109375" customWidth="1"/>
    <col min="88" max="88" width="14" customWidth="1"/>
    <col min="89" max="91" width="12" customWidth="1"/>
    <col min="93" max="93" width="11" customWidth="1"/>
    <col min="97" max="97" width="11.33203125" customWidth="1"/>
    <col min="98" max="98" width="13.6640625" customWidth="1"/>
    <col min="99" max="99" width="14.109375" customWidth="1"/>
    <col min="102" max="102" width="14.33203125" customWidth="1"/>
    <col min="103" max="103" width="11.109375" customWidth="1"/>
    <col min="105" max="105" width="14.5546875" customWidth="1"/>
    <col min="106" max="106" width="14.33203125" customWidth="1"/>
    <col min="107" max="107" width="18.33203125" customWidth="1"/>
    <col min="108" max="108" width="9.109375"/>
    <col min="109" max="109" width="11.44140625" customWidth="1"/>
    <col min="110" max="111" width="9.109375"/>
    <col min="112" max="112" width="13.88671875" customWidth="1"/>
    <col min="113" max="113" width="12.77734375" customWidth="1"/>
    <col min="114" max="114" width="9.109375"/>
    <col min="115" max="115" width="11.33203125" customWidth="1"/>
    <col min="116" max="119" width="9.109375"/>
    <col min="120" max="120" width="16.88671875" customWidth="1"/>
    <col min="121" max="121" width="9.109375"/>
    <col min="122" max="122" width="19.109375" customWidth="1"/>
    <col min="123" max="124" width="9.109375"/>
    <col min="125" max="125" width="11.33203125" customWidth="1"/>
    <col min="126" max="126" width="11.109375" customWidth="1"/>
    <col min="127" max="127" width="12.109375" customWidth="1"/>
    <col min="128" max="128" width="11.5546875" customWidth="1"/>
    <col min="129" max="129" width="9.109375"/>
    <col min="130" max="130" width="15" customWidth="1"/>
    <col min="131" max="132" width="9.109375"/>
    <col min="133" max="133" width="9.109375" style="18"/>
    <col min="134" max="135" width="16.6640625" customWidth="1"/>
    <col min="136" max="136" width="13.33203125" customWidth="1"/>
    <col min="137" max="166" width="9.109375"/>
  </cols>
  <sheetData>
    <row r="1" spans="1:165" x14ac:dyDescent="0.3">
      <c r="A1" t="s">
        <v>215</v>
      </c>
      <c r="E1" s="57" t="s">
        <v>216</v>
      </c>
      <c r="G1" t="s">
        <v>388</v>
      </c>
      <c r="M1" t="s">
        <v>149</v>
      </c>
      <c r="N1" t="s">
        <v>318</v>
      </c>
      <c r="O1" s="39">
        <f>Settings!$Y$5</f>
        <v>8.9737633318988639</v>
      </c>
      <c r="P1" t="s">
        <v>108</v>
      </c>
      <c r="Q1" s="3">
        <f>Settings!$K$6</f>
        <v>91</v>
      </c>
      <c r="R1" t="s">
        <v>109</v>
      </c>
      <c r="S1" s="3">
        <f>Settings!$J$6</f>
        <v>90</v>
      </c>
      <c r="U1" t="s">
        <v>175</v>
      </c>
      <c r="V1" s="58" t="b">
        <v>1</v>
      </c>
      <c r="W1" t="s">
        <v>508</v>
      </c>
      <c r="X1" s="184">
        <f>EP1</f>
        <v>1</v>
      </c>
      <c r="AB1" t="s">
        <v>194</v>
      </c>
      <c r="AC1" s="38">
        <f>'Advanced Settings'!$M$6/100</f>
        <v>0.5</v>
      </c>
      <c r="AK1" s="1" t="s">
        <v>177</v>
      </c>
      <c r="AL1" s="84">
        <v>1</v>
      </c>
      <c r="AP1" t="s">
        <v>194</v>
      </c>
      <c r="AQ1" s="38">
        <f>'Advanced Settings'!$M$6/100</f>
        <v>0.5</v>
      </c>
      <c r="BC1" t="s">
        <v>174</v>
      </c>
      <c r="BD1" s="25">
        <f>IF(V1=TRUE, 1, NA())</f>
        <v>1</v>
      </c>
      <c r="BN1" s="75" t="s">
        <v>217</v>
      </c>
      <c r="BP1" t="s">
        <v>388</v>
      </c>
      <c r="CA1" t="s">
        <v>318</v>
      </c>
      <c r="CB1" s="39">
        <f>Settings!$Z$5</f>
        <v>7.7639399948290446</v>
      </c>
      <c r="CH1" t="s">
        <v>173</v>
      </c>
      <c r="CI1" s="58" t="b">
        <v>1</v>
      </c>
      <c r="CK1" t="s">
        <v>508</v>
      </c>
      <c r="CL1" s="184">
        <f>EP1</f>
        <v>1</v>
      </c>
      <c r="CO1" t="s">
        <v>194</v>
      </c>
      <c r="CP1" s="38">
        <f>'Advanced Settings'!$M$6/100</f>
        <v>0.5</v>
      </c>
      <c r="DE1" t="s">
        <v>194</v>
      </c>
      <c r="DF1" s="38">
        <f>'Advanced Settings'!$M$6/100</f>
        <v>0.5</v>
      </c>
      <c r="DR1" t="s">
        <v>158</v>
      </c>
      <c r="DS1" s="25">
        <f>IF(CI1=TRUE, 1, NA())</f>
        <v>1</v>
      </c>
      <c r="ED1" s="1" t="s">
        <v>186</v>
      </c>
      <c r="EE1" t="s">
        <v>195</v>
      </c>
      <c r="EF1" s="79">
        <f>V2</f>
        <v>1</v>
      </c>
      <c r="EN1" t="s">
        <v>513</v>
      </c>
      <c r="EP1" s="184">
        <v>1</v>
      </c>
    </row>
    <row r="2" spans="1:165" x14ac:dyDescent="0.3">
      <c r="G2" s="37" t="b">
        <v>1</v>
      </c>
      <c r="N2" t="s">
        <v>319</v>
      </c>
      <c r="O2">
        <f>0.0079+3.6059*LN(O1)</f>
        <v>7.9203448847196745</v>
      </c>
      <c r="S2" s="1"/>
      <c r="U2" t="s">
        <v>185</v>
      </c>
      <c r="V2" s="77">
        <v>1</v>
      </c>
      <c r="W2" t="s">
        <v>509</v>
      </c>
      <c r="X2" s="1"/>
      <c r="AA2" t="s">
        <v>324</v>
      </c>
      <c r="AB2" s="1"/>
      <c r="AI2" s="1" t="s">
        <v>320</v>
      </c>
      <c r="AM2" t="s">
        <v>96</v>
      </c>
      <c r="AV2" s="1" t="s">
        <v>142</v>
      </c>
      <c r="BD2" s="1" t="s">
        <v>151</v>
      </c>
      <c r="BE2" s="1"/>
      <c r="BF2" s="1" t="s">
        <v>153</v>
      </c>
      <c r="BG2" s="1" t="s">
        <v>154</v>
      </c>
      <c r="BH2" s="1" t="s">
        <v>156</v>
      </c>
      <c r="BI2" s="1" t="s">
        <v>157</v>
      </c>
      <c r="BJ2" s="1"/>
      <c r="BP2" s="148" t="b">
        <v>0</v>
      </c>
      <c r="CA2" t="s">
        <v>319</v>
      </c>
      <c r="CB2">
        <f>0.0079+3.6059*LN(CB1)</f>
        <v>7.3981557625143477</v>
      </c>
      <c r="CF2" s="1"/>
      <c r="CH2" t="s">
        <v>191</v>
      </c>
      <c r="CI2" s="38">
        <f>V2</f>
        <v>1</v>
      </c>
      <c r="CK2" t="s">
        <v>509</v>
      </c>
      <c r="CL2" s="1"/>
      <c r="CN2" t="s">
        <v>324</v>
      </c>
      <c r="CO2" s="1"/>
      <c r="CX2" s="1" t="s">
        <v>320</v>
      </c>
      <c r="DB2" t="s">
        <v>96</v>
      </c>
      <c r="DC2" s="1"/>
      <c r="DK2" s="1" t="s">
        <v>142</v>
      </c>
      <c r="DS2" s="1" t="s">
        <v>151</v>
      </c>
      <c r="DT2" s="1"/>
      <c r="DU2" s="1" t="s">
        <v>153</v>
      </c>
      <c r="DV2" s="1" t="s">
        <v>154</v>
      </c>
      <c r="DW2" s="1" t="s">
        <v>156</v>
      </c>
      <c r="DX2" s="1" t="s">
        <v>157</v>
      </c>
      <c r="DY2" s="1"/>
      <c r="EE2" t="s">
        <v>186</v>
      </c>
      <c r="EF2">
        <v>1</v>
      </c>
      <c r="EG2" s="1">
        <v>2</v>
      </c>
      <c r="EH2">
        <v>3</v>
      </c>
      <c r="EJ2" s="38" t="s">
        <v>390</v>
      </c>
      <c r="EK2" s="38" t="s">
        <v>10</v>
      </c>
      <c r="EL2" s="38" t="s">
        <v>391</v>
      </c>
      <c r="EN2" t="s">
        <v>512</v>
      </c>
    </row>
    <row r="3" spans="1:165" x14ac:dyDescent="0.3">
      <c r="A3" t="s">
        <v>91</v>
      </c>
      <c r="B3" t="s">
        <v>129</v>
      </c>
      <c r="C3" t="s">
        <v>103</v>
      </c>
      <c r="D3" t="s">
        <v>213</v>
      </c>
      <c r="E3" t="s">
        <v>415</v>
      </c>
      <c r="F3" t="s">
        <v>214</v>
      </c>
      <c r="G3" t="s">
        <v>100</v>
      </c>
      <c r="H3" t="s">
        <v>324</v>
      </c>
      <c r="I3" t="s">
        <v>107</v>
      </c>
      <c r="J3" s="1" t="s">
        <v>79</v>
      </c>
      <c r="K3" s="1" t="s">
        <v>133</v>
      </c>
      <c r="L3" s="1" t="s">
        <v>134</v>
      </c>
      <c r="M3" s="1" t="s">
        <v>90</v>
      </c>
      <c r="N3" s="1" t="s">
        <v>94</v>
      </c>
      <c r="O3" s="1" t="s">
        <v>95</v>
      </c>
      <c r="Q3" s="1" t="s">
        <v>110</v>
      </c>
      <c r="S3" s="1" t="s">
        <v>105</v>
      </c>
      <c r="T3" s="1" t="s">
        <v>104</v>
      </c>
      <c r="U3" s="1" t="s">
        <v>106</v>
      </c>
      <c r="V3" s="1" t="s">
        <v>188</v>
      </c>
      <c r="X3" s="1" t="s">
        <v>510</v>
      </c>
      <c r="Y3" s="1" t="s">
        <v>511</v>
      </c>
      <c r="AA3" s="1" t="s">
        <v>515</v>
      </c>
      <c r="AB3" s="1" t="s">
        <v>516</v>
      </c>
      <c r="AC3" s="1" t="s">
        <v>96</v>
      </c>
      <c r="AD3" s="1" t="s">
        <v>169</v>
      </c>
      <c r="AE3" s="1" t="s">
        <v>79</v>
      </c>
      <c r="AH3" s="1"/>
      <c r="AI3" s="1" t="s">
        <v>321</v>
      </c>
      <c r="AJ3" s="1" t="s">
        <v>32</v>
      </c>
      <c r="AK3" s="1" t="s">
        <v>116</v>
      </c>
      <c r="AL3" s="1" t="s">
        <v>176</v>
      </c>
      <c r="AM3" s="1" t="s">
        <v>99</v>
      </c>
      <c r="AN3">
        <v>-3.5550000000000002</v>
      </c>
      <c r="AO3" s="1" t="s">
        <v>98</v>
      </c>
      <c r="AP3" s="1" t="s">
        <v>306</v>
      </c>
      <c r="AQ3" s="1" t="s">
        <v>96</v>
      </c>
      <c r="AR3" s="1" t="s">
        <v>79</v>
      </c>
      <c r="AS3" s="1" t="s">
        <v>119</v>
      </c>
      <c r="AT3" s="1"/>
      <c r="AU3" s="1"/>
      <c r="AV3" s="1" t="s">
        <v>136</v>
      </c>
      <c r="AW3" s="1" t="s">
        <v>137</v>
      </c>
      <c r="AX3" s="1" t="s">
        <v>138</v>
      </c>
      <c r="AY3" s="1" t="s">
        <v>79</v>
      </c>
      <c r="AZ3" s="1"/>
      <c r="BD3" t="s">
        <v>152</v>
      </c>
      <c r="BE3" t="s">
        <v>307</v>
      </c>
      <c r="BF3" s="38">
        <f>'Advanced Settings'!$M$6/100-('Advanced Settings'!M13/200)</f>
        <v>9.9999999999999978E-2</v>
      </c>
      <c r="BG3" s="38">
        <f>'Advanced Settings'!$M$6/100+('Advanced Settings'!M13/200)</f>
        <v>0.9</v>
      </c>
      <c r="BJ3" t="s">
        <v>79</v>
      </c>
      <c r="BK3" s="1" t="s">
        <v>182</v>
      </c>
      <c r="BM3" s="1"/>
      <c r="BN3" s="17" t="s">
        <v>91</v>
      </c>
      <c r="BO3" t="s">
        <v>129</v>
      </c>
      <c r="BP3" t="s">
        <v>103</v>
      </c>
      <c r="BR3" t="s">
        <v>213</v>
      </c>
      <c r="BS3" t="s">
        <v>214</v>
      </c>
      <c r="BV3" s="1"/>
      <c r="BW3" s="1" t="s">
        <v>79</v>
      </c>
      <c r="BX3" s="1" t="s">
        <v>133</v>
      </c>
      <c r="BY3" s="1" t="s">
        <v>134</v>
      </c>
      <c r="BZ3" s="1" t="s">
        <v>90</v>
      </c>
      <c r="CA3" s="1" t="s">
        <v>94</v>
      </c>
      <c r="CB3" s="1" t="s">
        <v>95</v>
      </c>
      <c r="CD3" s="1" t="s">
        <v>110</v>
      </c>
      <c r="CE3" s="1"/>
      <c r="CF3" s="1" t="s">
        <v>111</v>
      </c>
      <c r="CG3" s="1" t="s">
        <v>112</v>
      </c>
      <c r="CH3" s="1" t="s">
        <v>113</v>
      </c>
      <c r="CI3" s="1" t="s">
        <v>188</v>
      </c>
      <c r="CK3" s="1" t="s">
        <v>510</v>
      </c>
      <c r="CL3" s="1" t="s">
        <v>511</v>
      </c>
      <c r="CN3" s="1" t="s">
        <v>98</v>
      </c>
      <c r="CO3" s="1" t="s">
        <v>97</v>
      </c>
      <c r="CP3" s="1" t="s">
        <v>96</v>
      </c>
      <c r="CQ3" s="1" t="s">
        <v>169</v>
      </c>
      <c r="CR3" s="1" t="s">
        <v>79</v>
      </c>
      <c r="CS3" s="1" t="s">
        <v>135</v>
      </c>
      <c r="CW3" s="1"/>
      <c r="CX3" s="1" t="s">
        <v>114</v>
      </c>
      <c r="CY3" s="1" t="s">
        <v>32</v>
      </c>
      <c r="CZ3" s="1" t="s">
        <v>116</v>
      </c>
      <c r="DA3" s="1" t="s">
        <v>176</v>
      </c>
      <c r="DB3" s="1" t="s">
        <v>99</v>
      </c>
      <c r="DC3">
        <f>AN3</f>
        <v>-3.5550000000000002</v>
      </c>
      <c r="DD3" s="1" t="s">
        <v>98</v>
      </c>
      <c r="DE3" s="1" t="s">
        <v>118</v>
      </c>
      <c r="DF3" s="1" t="s">
        <v>96</v>
      </c>
      <c r="DG3" s="1" t="s">
        <v>79</v>
      </c>
      <c r="DH3" s="1" t="s">
        <v>126</v>
      </c>
      <c r="DI3" s="1"/>
      <c r="DJ3" s="1"/>
      <c r="DK3" s="1" t="s">
        <v>136</v>
      </c>
      <c r="DL3" s="1" t="s">
        <v>137</v>
      </c>
      <c r="DM3" s="1" t="s">
        <v>138</v>
      </c>
      <c r="DN3" s="1" t="s">
        <v>79</v>
      </c>
      <c r="DO3" s="1"/>
      <c r="DS3" t="s">
        <v>152</v>
      </c>
      <c r="DT3" t="s">
        <v>155</v>
      </c>
      <c r="DU3" t="s">
        <v>172</v>
      </c>
      <c r="DY3" t="s">
        <v>79</v>
      </c>
      <c r="DZ3" s="1" t="s">
        <v>182</v>
      </c>
      <c r="EB3" s="1"/>
      <c r="EE3" s="1"/>
      <c r="EF3" s="1" t="s">
        <v>187</v>
      </c>
      <c r="EG3" s="1" t="s">
        <v>10</v>
      </c>
      <c r="EH3" s="1" t="s">
        <v>190</v>
      </c>
      <c r="EI3" s="1"/>
      <c r="EJ3" s="1"/>
      <c r="EK3" s="1"/>
      <c r="EL3" s="1"/>
      <c r="EM3" s="1"/>
      <c r="EN3" s="1"/>
      <c r="EO3" s="1" t="s">
        <v>510</v>
      </c>
      <c r="EP3" s="1" t="s">
        <v>511</v>
      </c>
      <c r="EQ3" s="1"/>
      <c r="ET3" s="1"/>
      <c r="EU3" s="1"/>
      <c r="EV3" s="1"/>
      <c r="EW3" s="1"/>
      <c r="EX3" s="1"/>
      <c r="EY3" s="1"/>
      <c r="EZ3" s="1"/>
      <c r="FA3" s="1"/>
      <c r="FB3" s="1"/>
      <c r="FC3" s="1"/>
      <c r="FD3" s="1"/>
      <c r="FE3" s="1"/>
      <c r="FF3" s="1"/>
      <c r="FG3" s="1"/>
      <c r="FH3" s="1"/>
      <c r="FI3" s="1"/>
    </row>
    <row r="4" spans="1:165" x14ac:dyDescent="0.3">
      <c r="A4" s="2">
        <v>0.01</v>
      </c>
      <c r="B4" s="2">
        <f>IF($G$2=FALSE, "", A4)</f>
        <v>0.01</v>
      </c>
      <c r="C4" s="70">
        <v>10</v>
      </c>
      <c r="D4" s="19">
        <v>0.5</v>
      </c>
      <c r="E4" s="61">
        <f>IF($G$2=TRUE, D4, "")</f>
        <v>0.5</v>
      </c>
      <c r="F4" s="70">
        <v>16</v>
      </c>
      <c r="G4" s="2">
        <v>0</v>
      </c>
      <c r="H4" s="2" t="str">
        <f>IF($Z$1=1, G4, "")</f>
        <v/>
      </c>
      <c r="I4" s="69">
        <v>38</v>
      </c>
      <c r="J4">
        <v>0</v>
      </c>
      <c r="K4">
        <f>IF($X$1=1, X4, Y4)</f>
        <v>0</v>
      </c>
      <c r="L4">
        <f>K4*EXP(-M4)</f>
        <v>0</v>
      </c>
      <c r="M4">
        <f>K4/N$4</f>
        <v>0</v>
      </c>
      <c r="N4">
        <f>O4/C5</f>
        <v>30</v>
      </c>
      <c r="O4">
        <v>3</v>
      </c>
      <c r="P4" t="s">
        <v>86</v>
      </c>
      <c r="Q4">
        <v>11.02</v>
      </c>
      <c r="S4" t="e">
        <f t="shared" ref="S4:S35" si="0">IF(J4&gt;=AT$8, K4, NA())</f>
        <v>#N/A</v>
      </c>
      <c r="T4" t="e">
        <f>IF(AND($AU$7&lt;1, J4&gt;=$AT$7, J4&lt;$AT$8), L4, NA())</f>
        <v>#N/A</v>
      </c>
      <c r="U4">
        <f t="shared" ref="U4:U35" si="1">IF(J4&lt;AT$7,V4, NA())</f>
        <v>0.66307660812698643</v>
      </c>
      <c r="V4">
        <f t="shared" ref="V4:V35" si="2">IF($V$2=1,$EF4, IF($V$2=2, $EG4, $EH4))</f>
        <v>0.66307660812698643</v>
      </c>
      <c r="X4">
        <f>Q$4*(J4^Q$5)*C$5^Q$6*EXP(-Q$7*O$2)</f>
        <v>0</v>
      </c>
      <c r="Y4">
        <f>0.084*J4*1000/60</f>
        <v>0</v>
      </c>
      <c r="AA4">
        <f>$Z$4+$Z$5*$F$5+$Z$6*J4+$Z$7*$Q$1+$Z$8*$I$5</f>
        <v>0</v>
      </c>
      <c r="AB4">
        <f>EXP(AA4)/(1+EXP(AA4))</f>
        <v>0.5</v>
      </c>
      <c r="AC4" s="15">
        <f>IF(AB4&gt;=$AC$1, 10, "")</f>
        <v>10</v>
      </c>
      <c r="AD4" s="68" t="str">
        <f t="shared" ref="AD4:AD35" si="3">IF(AND(M4&gt;=1, M3&lt;1), 90, "")</f>
        <v/>
      </c>
      <c r="AE4" s="16">
        <v>0</v>
      </c>
      <c r="AI4" s="74" t="str">
        <f>IF($F$5=$E$34, "", IF($Z$1=2, "SFC &lt; 1 kg/m^2", ""))</f>
        <v/>
      </c>
      <c r="AJ4" s="133">
        <v>0.5</v>
      </c>
      <c r="AK4">
        <v>3</v>
      </c>
      <c r="AL4" s="38" t="str">
        <f>IF(AND(Z1=2, AL1=2, F5&lt;&gt;$E$34), CONCATENATE(AK7, " ", AL5), "")</f>
        <v/>
      </c>
      <c r="AM4" s="1" t="s">
        <v>86</v>
      </c>
      <c r="AN4">
        <v>1.4407000000000001</v>
      </c>
      <c r="AO4">
        <f>$AN$3+$AN$4*J4+$AN$5*$F$5^1.5+$AN$6*$AK$26+$AN$8*$O$1*J4</f>
        <v>-13.031831395833626</v>
      </c>
      <c r="AP4">
        <f t="shared" ref="AP4" si="4">EXP(AO4)/(1+EXP(AO4))</f>
        <v>2.1895082442727541E-6</v>
      </c>
      <c r="AQ4" s="68" t="str">
        <f>IF(AP4&gt;=$AQ$1, 10, "")</f>
        <v/>
      </c>
      <c r="AR4">
        <v>0</v>
      </c>
      <c r="AS4" t="s">
        <v>96</v>
      </c>
      <c r="AT4" s="38">
        <f>VLOOKUP(10, AQ4:AR75,2)</f>
        <v>17</v>
      </c>
      <c r="AV4" s="15">
        <f t="shared" ref="AV4:AV35" si="5">IFERROR(U4, "")</f>
        <v>0.66307660812698643</v>
      </c>
      <c r="AW4" s="64" t="str">
        <f t="shared" ref="AW4:AW35" si="6">IFERROR(T4, "")</f>
        <v/>
      </c>
      <c r="AX4" s="16" t="str">
        <f t="shared" ref="AX4:AX35" si="7">IFERROR(S4, "")</f>
        <v/>
      </c>
      <c r="AY4">
        <v>0</v>
      </c>
      <c r="BA4" s="1" t="s">
        <v>141</v>
      </c>
      <c r="BB4" t="b">
        <f>IFERROR(OR(BB10, BB13), FALSE)</f>
        <v>1</v>
      </c>
      <c r="BD4">
        <f t="shared" ref="BD4:BD35" si="8">AB4</f>
        <v>0.5</v>
      </c>
      <c r="BE4">
        <f t="shared" ref="BE4:BE35" si="9">AP4</f>
        <v>2.1895082442727541E-6</v>
      </c>
      <c r="BF4" s="15">
        <f>IF(BD4&gt;$BF$3, 20, "")</f>
        <v>20</v>
      </c>
      <c r="BG4" s="16" t="str">
        <f>IF(BD4&gt;$BG$3, 80, "")</f>
        <v/>
      </c>
      <c r="BH4" s="15" t="str">
        <f>IF(BE4&gt;$BF$3, 20, "")</f>
        <v/>
      </c>
      <c r="BI4" s="16" t="str">
        <f>IF(BE4&gt;$BG$3, 80, "")</f>
        <v/>
      </c>
      <c r="BJ4">
        <v>0</v>
      </c>
      <c r="BN4" s="2">
        <v>0.01</v>
      </c>
      <c r="BO4" s="2" t="str">
        <f>IF($BP$2=FALSE, "", BN4)</f>
        <v/>
      </c>
      <c r="BP4" s="62">
        <v>7</v>
      </c>
      <c r="BQ4" s="19">
        <v>0.5</v>
      </c>
      <c r="BR4" s="61" t="str">
        <f>IF($BP$2=TRUE, BQ4, "")</f>
        <v/>
      </c>
      <c r="BS4" s="14">
        <v>16</v>
      </c>
      <c r="BT4" s="1"/>
      <c r="BU4" s="1"/>
      <c r="BW4">
        <v>0</v>
      </c>
      <c r="BX4">
        <f>IF($CL$1=1, CK4, CL4)</f>
        <v>0</v>
      </c>
      <c r="BY4">
        <f>BX4*EXP(-BZ4)</f>
        <v>0</v>
      </c>
      <c r="BZ4">
        <f>BX4/CA$4</f>
        <v>0</v>
      </c>
      <c r="CA4">
        <f>CB4/BP5</f>
        <v>42.857142857142854</v>
      </c>
      <c r="CB4">
        <v>3</v>
      </c>
      <c r="CC4" t="s">
        <v>86</v>
      </c>
      <c r="CD4">
        <v>11.02</v>
      </c>
      <c r="CF4" t="e">
        <f t="shared" ref="CF4:CF35" si="10">IF(BW4&gt;=DI$8, BX4, NA())</f>
        <v>#N/A</v>
      </c>
      <c r="CG4" t="e">
        <f t="shared" ref="CG4:CG35" si="11">IF(AND($DJ$7&lt;1, BW4&gt;=$DI$7, BW4&lt;$DI$8), BY4, NA())</f>
        <v>#N/A</v>
      </c>
      <c r="CH4" t="e">
        <f t="shared" ref="CH4:CH35" si="12">IF(BW4&lt;DI$7,CI4, NA())</f>
        <v>#N/A</v>
      </c>
      <c r="CI4">
        <f t="shared" ref="CI4:CI35" si="13">IF($CI$2=1,$EF4, IF($V$2=2, $EG4, $EH4))</f>
        <v>0.66307660812698643</v>
      </c>
      <c r="CK4">
        <f>CD$4*(BW4^CD$5)*BP$5^CD$6*EXP(-CD$7*CB$2)</f>
        <v>0</v>
      </c>
      <c r="CL4">
        <f>0.084*BW4*1000/60</f>
        <v>0</v>
      </c>
      <c r="CN4" t="e">
        <f t="shared" ref="CN4:CN35" si="14">IF($BS$5="None", NA(), $Z$4+$Z$5*$BS$5+$Z$6*BW4+$Z$7*$Q$1+$Z$8*$I$5)</f>
        <v>#VALUE!</v>
      </c>
      <c r="CO4" t="e">
        <f>EXP(CN4)/(1+EXP(CN4))</f>
        <v>#VALUE!</v>
      </c>
      <c r="CP4" s="15" t="e">
        <f>IF(CO4&gt;=$CP$1, 10, "")</f>
        <v>#VALUE!</v>
      </c>
      <c r="CQ4" s="16" t="str">
        <f t="shared" ref="CQ4:CQ67" si="15">IF(AND(BZ4&gt;=1, BZ3&lt;1), 90, "")</f>
        <v/>
      </c>
      <c r="CR4">
        <v>0</v>
      </c>
      <c r="CS4" t="e">
        <f>VLOOKUP(10, CP4:CR75, 3)</f>
        <v>#N/A</v>
      </c>
      <c r="CX4" s="38" t="str">
        <f>IF($BS$5=$BR$34, "", IF($Z$1=2, "SFC &lt; 1 kg/m2", ""))</f>
        <v/>
      </c>
      <c r="CY4">
        <v>0.5</v>
      </c>
      <c r="CZ4">
        <v>2</v>
      </c>
      <c r="DA4" s="38" t="str">
        <f>IF(AND(Z1=2,AL1=2,BS5&lt;&gt;BR34),CONCATENATE(CZ7, " ",DA5),"")</f>
        <v/>
      </c>
      <c r="DB4" s="1" t="s">
        <v>86</v>
      </c>
      <c r="DC4">
        <f t="shared" ref="DC4:DC8" si="16">AN4</f>
        <v>1.4407000000000001</v>
      </c>
      <c r="DD4" t="e">
        <f t="shared" ref="DD4:DD35" si="17">$DC$3+$DC$4*BW4+$DC$5*$BS$5^1.5+$DC$6*$CZ$26+$DC$8*$CB$1*BW4</f>
        <v>#VALUE!</v>
      </c>
      <c r="DE4" t="e">
        <f t="shared" ref="DE4:DE35" si="18">EXP(DD4)/(1+EXP(DD4))</f>
        <v>#VALUE!</v>
      </c>
      <c r="DF4" s="68" t="e">
        <f>IF(DE4&gt;=$DF$1, 10, "")</f>
        <v>#VALUE!</v>
      </c>
      <c r="DG4">
        <v>0</v>
      </c>
      <c r="DH4" t="s">
        <v>96</v>
      </c>
      <c r="DI4" s="38" t="e">
        <f>VLOOKUP(10, DF4:DG75,2)</f>
        <v>#N/A</v>
      </c>
      <c r="DK4" s="15" t="str">
        <f>IFERROR(CH4, "")</f>
        <v/>
      </c>
      <c r="DL4" s="64" t="str">
        <f>IFERROR(CG4, "")</f>
        <v/>
      </c>
      <c r="DM4" s="16" t="str">
        <f>IFERROR(CF4, "")</f>
        <v/>
      </c>
      <c r="DN4">
        <v>0</v>
      </c>
      <c r="DP4" s="1" t="s">
        <v>141</v>
      </c>
      <c r="DQ4" t="b">
        <f>IFERROR(OR(DQ10, DQ13), FALSE)</f>
        <v>0</v>
      </c>
      <c r="DS4" t="e">
        <f>CO4</f>
        <v>#VALUE!</v>
      </c>
      <c r="DT4" t="e">
        <f>DE4</f>
        <v>#VALUE!</v>
      </c>
      <c r="DU4" s="15" t="e">
        <f>IF(DS4&gt;$BF$3, 20, "")</f>
        <v>#VALUE!</v>
      </c>
      <c r="DV4" s="16" t="e">
        <f>IF(DS4&gt;$BG$3, 80, "")</f>
        <v>#VALUE!</v>
      </c>
      <c r="DW4" s="15" t="e">
        <f>IF(DT4&gt;$BF$3, 20, "")</f>
        <v>#VALUE!</v>
      </c>
      <c r="DX4" s="16" t="e">
        <f>IF(DT4&gt;$BG$3, 80, "")</f>
        <v>#VALUE!</v>
      </c>
      <c r="DY4">
        <v>0</v>
      </c>
      <c r="EF4">
        <f>'Calcs-control1'!BD14</f>
        <v>0.66307660812698643</v>
      </c>
      <c r="EG4">
        <f>'Calcs-control1'!AO86</f>
        <v>0.95340663696976069</v>
      </c>
      <c r="EH4">
        <f>'Calcs-control1'!BA86</f>
        <v>1.1070363945183395</v>
      </c>
      <c r="EO4">
        <f>$Q$4*($J4^$Q$5)*$C$5^$Q$6*EXP(-$Q$7*$O$2)</f>
        <v>0</v>
      </c>
      <c r="EP4">
        <f t="shared" ref="EP4:EP35" si="19">0.084*J4*1000/60</f>
        <v>0</v>
      </c>
    </row>
    <row r="5" spans="1:165" ht="16.2" x14ac:dyDescent="0.3">
      <c r="A5" s="11">
        <v>0.02</v>
      </c>
      <c r="B5" s="2">
        <f t="shared" ref="B5:B38" si="20">IF($G$2=FALSE, "", A5)</f>
        <v>0.02</v>
      </c>
      <c r="C5" s="71">
        <f>C4*A4</f>
        <v>0.1</v>
      </c>
      <c r="D5" s="19">
        <v>1</v>
      </c>
      <c r="E5" s="61">
        <f t="shared" ref="E5:E33" si="21">IF($G$2=TRUE, D5, "")</f>
        <v>1</v>
      </c>
      <c r="F5" s="71">
        <f>IF($G$2=TRUE, INDEX($E$4:$E$33, F4), $E$34)</f>
        <v>8</v>
      </c>
      <c r="G5" s="2">
        <v>5</v>
      </c>
      <c r="H5" s="2" t="str">
        <f t="shared" ref="H5:H57" si="22">IF($Z$1=1, G5, "")</f>
        <v/>
      </c>
      <c r="I5" s="10">
        <f>INDEX(G4:G57, I4)</f>
        <v>480</v>
      </c>
      <c r="J5">
        <v>1</v>
      </c>
      <c r="K5">
        <f t="shared" ref="K5:K68" si="23">IF($X$1=1, X5, Y5)</f>
        <v>1.8510665854847237</v>
      </c>
      <c r="L5">
        <f t="shared" ref="L5:L68" si="24">K5*EXP(-M5)</f>
        <v>1.7403039574108605</v>
      </c>
      <c r="M5">
        <f t="shared" ref="M5:M68" si="25">K5/N$4</f>
        <v>6.170221951615746E-2</v>
      </c>
      <c r="P5" t="s">
        <v>87</v>
      </c>
      <c r="Q5">
        <v>0.9</v>
      </c>
      <c r="S5" t="e">
        <f t="shared" si="0"/>
        <v>#N/A</v>
      </c>
      <c r="T5" t="e">
        <f t="shared" ref="T5:T68" si="26">IF(AND($AU$7&lt;1, J5&gt;=$AT$7, J5&lt;$AT$8), L5, NA())</f>
        <v>#N/A</v>
      </c>
      <c r="U5">
        <f t="shared" si="1"/>
        <v>0.73338480086519997</v>
      </c>
      <c r="V5">
        <f t="shared" si="2"/>
        <v>0.73338480086519997</v>
      </c>
      <c r="X5">
        <f t="shared" ref="X5:X68" si="27">Q$4*(J5^Q$5)*C$5^Q$6*EXP(-Q$7*O$2)</f>
        <v>1.8510665854847237</v>
      </c>
      <c r="Y5">
        <f t="shared" ref="Y5:Y68" si="28">0.084*J5*1000/60</f>
        <v>1.4</v>
      </c>
      <c r="AA5">
        <f t="shared" ref="AA5:AA68" si="29">$Z$4+$Z$5*$F$5+$Z$6*J5+$Z$7*$Q$1+$Z$8*$I$5</f>
        <v>0</v>
      </c>
      <c r="AB5">
        <f t="shared" ref="AB5:AB68" si="30">EXP(AA5)/(1+EXP(AA5))</f>
        <v>0.5</v>
      </c>
      <c r="AC5" s="17" t="str">
        <f>IF(AND(AB5&gt;=$AC$1, AB4&lt;$AC$1), 10, "")</f>
        <v/>
      </c>
      <c r="AD5" s="19" t="str">
        <f t="shared" si="3"/>
        <v/>
      </c>
      <c r="AE5" s="18">
        <v>1</v>
      </c>
      <c r="AI5" s="74" t="str">
        <f>IF($F$5=$E$34, "",IF($Z$1=2, "1 &lt; SFC &lt; 2 kg/m^2", ""))</f>
        <v/>
      </c>
      <c r="AJ5" s="133">
        <v>1.5</v>
      </c>
      <c r="AK5" s="131">
        <f>INDEX(AJ4:AJ20,AK4)</f>
        <v>2.5</v>
      </c>
      <c r="AL5" t="s">
        <v>184</v>
      </c>
      <c r="AM5" s="1" t="s">
        <v>87</v>
      </c>
      <c r="AN5">
        <v>-0.53210999999999997</v>
      </c>
      <c r="AO5">
        <f t="shared" ref="AO5:AO68" si="31">$AN$3+$AN$4*J5+$AN$5*$F$5^1.5+$AN$6*$AK$26+$AN$8*$O$1*J5</f>
        <v>-12.220999844099607</v>
      </c>
      <c r="AP5">
        <f t="shared" ref="AP5:AP33" si="32">EXP(AO5)/(1+EXP(AO5))</f>
        <v>4.9258940343092779E-6</v>
      </c>
      <c r="AQ5" s="19" t="str">
        <f t="shared" ref="AQ5:AQ36" si="33">IF(AND(AP5&gt;=$AQ$1, AP4&lt;$AQ$1), 10, "")</f>
        <v/>
      </c>
      <c r="AR5">
        <v>1</v>
      </c>
      <c r="AV5" s="17">
        <f t="shared" si="5"/>
        <v>0.73338480086519997</v>
      </c>
      <c r="AW5" t="str">
        <f t="shared" si="6"/>
        <v/>
      </c>
      <c r="AX5" s="18" t="str">
        <f t="shared" si="7"/>
        <v/>
      </c>
      <c r="AY5">
        <v>1</v>
      </c>
      <c r="BA5" t="s">
        <v>139</v>
      </c>
      <c r="BD5">
        <f t="shared" si="8"/>
        <v>0.5</v>
      </c>
      <c r="BE5">
        <f t="shared" si="9"/>
        <v>4.9258940343092779E-6</v>
      </c>
      <c r="BF5" s="17" t="str">
        <f>IF(AND(BD5&gt;$BF$3, BD4&lt;$BF$3), 20, "")</f>
        <v/>
      </c>
      <c r="BG5" s="18" t="str">
        <f>IF(AND(BD5&gt;$BG$3, BD4&lt;$BG$3), 80, "")</f>
        <v/>
      </c>
      <c r="BH5" s="17" t="str">
        <f>IF(AND(BE5&gt;$BF$3, BE4&lt;$BF$3), 20, "")</f>
        <v/>
      </c>
      <c r="BI5" s="18" t="str">
        <f>IF(AND(BE5&gt;$BG$3, BE4&lt;$BG$3), 80, "")</f>
        <v/>
      </c>
      <c r="BJ5">
        <v>1</v>
      </c>
      <c r="BN5" s="4">
        <v>0.02</v>
      </c>
      <c r="BO5" s="2" t="str">
        <f t="shared" ref="BO5:BO38" si="34">IF($BP$2=FALSE, "", BN5)</f>
        <v/>
      </c>
      <c r="BP5" s="63">
        <f>BP4*BN4</f>
        <v>7.0000000000000007E-2</v>
      </c>
      <c r="BQ5" s="19">
        <v>1</v>
      </c>
      <c r="BR5" s="61" t="str">
        <f t="shared" ref="BR5:BR33" si="35">IF($BP$2=TRUE, BQ5, "")</f>
        <v/>
      </c>
      <c r="BS5" s="3" t="str">
        <f>IF($BP$2=TRUE, INDEX($BR$4:$BR$33, BS4), $BR$34)</f>
        <v>Hide</v>
      </c>
      <c r="BW5">
        <v>1</v>
      </c>
      <c r="BX5">
        <f t="shared" ref="BX5:BX68" si="36">IF($CL$1=1, CK5, CL5)</f>
        <v>1.8903574101260796</v>
      </c>
      <c r="BY5">
        <f t="shared" ref="BY5:BY68" si="37">BX5*EXP(-BZ5)</f>
        <v>1.8087890306178813</v>
      </c>
      <c r="BZ5">
        <f t="shared" ref="BZ5:BZ68" si="38">BX5/CA$4</f>
        <v>4.410833956960853E-2</v>
      </c>
      <c r="CC5" t="s">
        <v>87</v>
      </c>
      <c r="CD5">
        <v>0.9</v>
      </c>
      <c r="CF5" t="e">
        <f t="shared" si="10"/>
        <v>#N/A</v>
      </c>
      <c r="CG5" t="e">
        <f t="shared" si="11"/>
        <v>#N/A</v>
      </c>
      <c r="CH5" t="e">
        <f t="shared" si="12"/>
        <v>#N/A</v>
      </c>
      <c r="CI5">
        <f t="shared" si="13"/>
        <v>0.73338480086519997</v>
      </c>
      <c r="CK5">
        <f t="shared" ref="CK5:CK68" si="39">CD$4*(BW5^CD$5)*BP$5^CD$6*EXP(-CD$7*CB$2)</f>
        <v>1.8903574101260796</v>
      </c>
      <c r="CL5">
        <f t="shared" ref="CL5:CL68" si="40">0.084*BW5*1000/60</f>
        <v>1.4</v>
      </c>
      <c r="CN5" t="e">
        <f t="shared" si="14"/>
        <v>#VALUE!</v>
      </c>
      <c r="CO5" t="e">
        <f t="shared" ref="CO5:CO68" si="41">EXP(CN5)/(1+EXP(CN5))</f>
        <v>#VALUE!</v>
      </c>
      <c r="CP5" s="17" t="e">
        <f>IF(AND(CO5&gt;=$CP$1, CO4&lt;$CP$1), 10, "")</f>
        <v>#VALUE!</v>
      </c>
      <c r="CQ5" s="18" t="str">
        <f t="shared" si="15"/>
        <v/>
      </c>
      <c r="CR5">
        <v>1</v>
      </c>
      <c r="CX5" s="38" t="str">
        <f>IF($BS$5=$BR$34, "", IF($Z$1=2, "1 &lt; SFC &lt; 2 kg/m2", ""))</f>
        <v/>
      </c>
      <c r="CY5">
        <v>1.5</v>
      </c>
      <c r="CZ5" s="38">
        <f>INDEX(CY4:CY20,CZ4)</f>
        <v>1.5</v>
      </c>
      <c r="DA5" t="s">
        <v>184</v>
      </c>
      <c r="DB5" s="1" t="s">
        <v>87</v>
      </c>
      <c r="DC5">
        <f t="shared" si="16"/>
        <v>-0.53210999999999997</v>
      </c>
      <c r="DD5" t="e">
        <f t="shared" si="17"/>
        <v>#VALUE!</v>
      </c>
      <c r="DE5" t="e">
        <f t="shared" si="18"/>
        <v>#VALUE!</v>
      </c>
      <c r="DF5" s="19" t="e">
        <f>IF(AND(DE5&gt;=$DF$1, DE4&lt;$DF$1), 10, "")</f>
        <v>#VALUE!</v>
      </c>
      <c r="DG5">
        <v>1</v>
      </c>
      <c r="DK5" s="17" t="str">
        <f t="shared" ref="DK5:DK68" si="42">IFERROR(CH5, "")</f>
        <v/>
      </c>
      <c r="DL5" t="str">
        <f t="shared" ref="DL5:DL68" si="43">IFERROR(CG5, "")</f>
        <v/>
      </c>
      <c r="DM5" s="18" t="str">
        <f t="shared" ref="DM5:DM68" si="44">IFERROR(CF5, "")</f>
        <v/>
      </c>
      <c r="DN5">
        <v>1</v>
      </c>
      <c r="DP5" t="s">
        <v>139</v>
      </c>
      <c r="DS5" t="e">
        <f t="shared" ref="DS5:DS31" si="45">CO5</f>
        <v>#VALUE!</v>
      </c>
      <c r="DT5" t="e">
        <f t="shared" ref="DT5:DT68" si="46">DE5</f>
        <v>#VALUE!</v>
      </c>
      <c r="DU5" s="17" t="e">
        <f>IF(AND(DS5&gt;$BF$3, DS4&lt;$BF$3), 20, "")</f>
        <v>#VALUE!</v>
      </c>
      <c r="DV5" s="18" t="e">
        <f>IF(AND(DS5&gt;$BG$3, DS4&lt;$BG$3), 80, "")</f>
        <v>#VALUE!</v>
      </c>
      <c r="DW5" s="17" t="e">
        <f>IF(AND(DT5&gt;$BF$3, DT4&lt;$BF$3), 20, "")</f>
        <v>#VALUE!</v>
      </c>
      <c r="DX5" s="18" t="e">
        <f>IF(AND(DT5&gt;$BG$3, DT4&lt;$BG$3), 80, "")</f>
        <v>#VALUE!</v>
      </c>
      <c r="DY5">
        <v>1</v>
      </c>
      <c r="EF5">
        <f>'Calcs-control1'!BD15</f>
        <v>0.73338480086519997</v>
      </c>
      <c r="EG5">
        <f>'Calcs-control1'!AO87</f>
        <v>1.0286622786723654</v>
      </c>
      <c r="EH5">
        <f>'Calcs-control1'!BA87</f>
        <v>1.2513875074319512</v>
      </c>
      <c r="EO5">
        <f t="shared" ref="EO5:EO68" si="47">$Q$4*($J5^$Q$5)*$C$5^$Q$6*EXP(-$Q$7*$O$2)</f>
        <v>1.8510665854847237</v>
      </c>
      <c r="EP5">
        <f t="shared" si="19"/>
        <v>1.4</v>
      </c>
    </row>
    <row r="6" spans="1:165" x14ac:dyDescent="0.3">
      <c r="A6" s="11">
        <v>0.03</v>
      </c>
      <c r="B6" s="2">
        <f t="shared" si="20"/>
        <v>0.03</v>
      </c>
      <c r="D6">
        <v>1.5</v>
      </c>
      <c r="E6" s="61">
        <f t="shared" si="21"/>
        <v>1.5</v>
      </c>
      <c r="G6" s="2">
        <v>10</v>
      </c>
      <c r="H6" s="2" t="str">
        <f t="shared" si="22"/>
        <v/>
      </c>
      <c r="J6">
        <v>2</v>
      </c>
      <c r="K6">
        <f t="shared" si="23"/>
        <v>3.4542123875772699</v>
      </c>
      <c r="L6">
        <f t="shared" si="24"/>
        <v>3.0785356796188945</v>
      </c>
      <c r="M6">
        <f t="shared" si="25"/>
        <v>0.11514041291924233</v>
      </c>
      <c r="P6" t="s">
        <v>88</v>
      </c>
      <c r="Q6">
        <v>0.19</v>
      </c>
      <c r="S6" t="e">
        <f t="shared" si="0"/>
        <v>#N/A</v>
      </c>
      <c r="T6" t="e">
        <f t="shared" si="26"/>
        <v>#N/A</v>
      </c>
      <c r="U6">
        <f t="shared" si="1"/>
        <v>0.81114800242973428</v>
      </c>
      <c r="V6">
        <f t="shared" si="2"/>
        <v>0.81114800242973428</v>
      </c>
      <c r="X6">
        <f t="shared" si="27"/>
        <v>3.4542123875772699</v>
      </c>
      <c r="Y6">
        <f t="shared" si="28"/>
        <v>2.8</v>
      </c>
      <c r="AA6">
        <f t="shared" si="29"/>
        <v>0</v>
      </c>
      <c r="AB6">
        <f t="shared" si="30"/>
        <v>0.5</v>
      </c>
      <c r="AC6" s="17" t="str">
        <f t="shared" ref="AC6:AC69" si="48">IF(AND(AB6&gt;=$AC$1, AB5&lt;$AC$1), 10, "")</f>
        <v/>
      </c>
      <c r="AD6" s="19" t="str">
        <f t="shared" si="3"/>
        <v/>
      </c>
      <c r="AE6" s="18">
        <v>2</v>
      </c>
      <c r="AI6" s="74" t="str">
        <f>IF($F$5=$E$34, "", IF($Z$1=2, "SFC &gt; 2 kg/m^2", ""))</f>
        <v/>
      </c>
      <c r="AJ6" s="133">
        <v>2.5</v>
      </c>
      <c r="AK6" s="1" t="s">
        <v>180</v>
      </c>
      <c r="AM6" s="1" t="s">
        <v>88</v>
      </c>
      <c r="AN6">
        <v>2.4897</v>
      </c>
      <c r="AO6">
        <f t="shared" si="31"/>
        <v>-11.41016829236559</v>
      </c>
      <c r="AP6">
        <f t="shared" si="32"/>
        <v>1.1082099882430089E-5</v>
      </c>
      <c r="AQ6" s="19" t="str">
        <f t="shared" si="33"/>
        <v/>
      </c>
      <c r="AR6">
        <v>2</v>
      </c>
      <c r="AS6" s="1" t="s">
        <v>120</v>
      </c>
      <c r="AT6" s="1" t="s">
        <v>131</v>
      </c>
      <c r="AU6" s="1" t="s">
        <v>130</v>
      </c>
      <c r="AV6" s="17">
        <f t="shared" si="5"/>
        <v>0.81114800242973428</v>
      </c>
      <c r="AW6" t="str">
        <f t="shared" si="6"/>
        <v/>
      </c>
      <c r="AX6" s="18" t="str">
        <f t="shared" si="7"/>
        <v/>
      </c>
      <c r="AY6">
        <v>2</v>
      </c>
      <c r="BA6" t="s">
        <v>140</v>
      </c>
      <c r="BD6">
        <f t="shared" si="8"/>
        <v>0.5</v>
      </c>
      <c r="BE6">
        <f t="shared" si="9"/>
        <v>1.1082099882430089E-5</v>
      </c>
      <c r="BF6" s="17" t="str">
        <f t="shared" ref="BF6:BF69" si="49">IF(AND(BD6&gt;$BF$3, BD5&lt;$BF$3), 20, "")</f>
        <v/>
      </c>
      <c r="BG6" s="18" t="str">
        <f t="shared" ref="BG6:BG69" si="50">IF(AND(BD6&gt;$BG$3, BD5&lt;$BG$3), 80, "")</f>
        <v/>
      </c>
      <c r="BH6" s="17" t="str">
        <f t="shared" ref="BH6:BH69" si="51">IF(AND(BE6&gt;$BF$3, BE5&lt;$BF$3), 20, "")</f>
        <v/>
      </c>
      <c r="BI6" s="18" t="str">
        <f t="shared" ref="BI6:BI69" si="52">IF(AND(BE6&gt;$BG$3, BE5&lt;$BG$3), 80, "")</f>
        <v/>
      </c>
      <c r="BJ6">
        <v>2</v>
      </c>
      <c r="BK6" t="s">
        <v>96</v>
      </c>
      <c r="BL6">
        <f>AT12</f>
        <v>17</v>
      </c>
      <c r="BN6" s="2">
        <v>0.03</v>
      </c>
      <c r="BO6" s="2" t="str">
        <f t="shared" si="34"/>
        <v/>
      </c>
      <c r="BQ6">
        <v>1.5</v>
      </c>
      <c r="BR6" s="61" t="str">
        <f t="shared" si="35"/>
        <v/>
      </c>
      <c r="BW6">
        <v>2</v>
      </c>
      <c r="BX6">
        <f t="shared" si="36"/>
        <v>3.5275316588874155</v>
      </c>
      <c r="BY6">
        <f t="shared" si="37"/>
        <v>3.2488117286875204</v>
      </c>
      <c r="BZ6">
        <f t="shared" si="38"/>
        <v>8.2309072040706366E-2</v>
      </c>
      <c r="CC6" t="s">
        <v>88</v>
      </c>
      <c r="CD6">
        <v>0.19</v>
      </c>
      <c r="CF6" t="e">
        <f t="shared" si="10"/>
        <v>#N/A</v>
      </c>
      <c r="CG6" t="e">
        <f t="shared" si="11"/>
        <v>#N/A</v>
      </c>
      <c r="CH6" t="e">
        <f t="shared" si="12"/>
        <v>#N/A</v>
      </c>
      <c r="CI6">
        <f t="shared" si="13"/>
        <v>0.81114800242973428</v>
      </c>
      <c r="CK6">
        <f t="shared" si="39"/>
        <v>3.5275316588874155</v>
      </c>
      <c r="CL6">
        <f t="shared" si="40"/>
        <v>2.8</v>
      </c>
      <c r="CN6" t="e">
        <f t="shared" si="14"/>
        <v>#VALUE!</v>
      </c>
      <c r="CO6" t="e">
        <f t="shared" si="41"/>
        <v>#VALUE!</v>
      </c>
      <c r="CP6" s="17" t="e">
        <f t="shared" ref="CP6:CP69" si="53">IF(AND(CO6&gt;=$CP$1, CO5&lt;$CP$1), 10, "")</f>
        <v>#VALUE!</v>
      </c>
      <c r="CQ6" s="18" t="str">
        <f t="shared" si="15"/>
        <v/>
      </c>
      <c r="CR6">
        <v>2</v>
      </c>
      <c r="CX6" s="38" t="str">
        <f>IF($BS$5=$BR$34, "", IF($Z$1=2, "SFC &gt; 2 kg/m2", ""))</f>
        <v/>
      </c>
      <c r="CY6">
        <v>2.5</v>
      </c>
      <c r="DB6" s="1" t="s">
        <v>88</v>
      </c>
      <c r="DC6">
        <f t="shared" si="16"/>
        <v>2.4897</v>
      </c>
      <c r="DD6" t="e">
        <f t="shared" si="17"/>
        <v>#VALUE!</v>
      </c>
      <c r="DE6" t="e">
        <f t="shared" si="18"/>
        <v>#VALUE!</v>
      </c>
      <c r="DF6" s="19" t="e">
        <f t="shared" ref="DF6:DF69" si="54">IF(AND(DE6&gt;=$DF$1, DE5&lt;$DF$1), 10, "")</f>
        <v>#VALUE!</v>
      </c>
      <c r="DG6">
        <v>2</v>
      </c>
      <c r="DH6" s="1" t="s">
        <v>120</v>
      </c>
      <c r="DI6" s="1" t="s">
        <v>131</v>
      </c>
      <c r="DJ6" s="1" t="s">
        <v>130</v>
      </c>
      <c r="DK6" s="17" t="str">
        <f t="shared" si="42"/>
        <v/>
      </c>
      <c r="DL6" t="str">
        <f t="shared" si="43"/>
        <v/>
      </c>
      <c r="DM6" s="18" t="str">
        <f t="shared" si="44"/>
        <v/>
      </c>
      <c r="DN6">
        <v>2</v>
      </c>
      <c r="DP6" t="s">
        <v>140</v>
      </c>
      <c r="DS6" t="e">
        <f t="shared" si="45"/>
        <v>#VALUE!</v>
      </c>
      <c r="DT6" t="e">
        <f t="shared" si="46"/>
        <v>#VALUE!</v>
      </c>
      <c r="DU6" s="17" t="e">
        <f t="shared" ref="DU6:DU69" si="55">IF(AND(DS6&gt;$BF$3, DS5&lt;$BF$3), 20, "")</f>
        <v>#VALUE!</v>
      </c>
      <c r="DV6" s="18" t="e">
        <f t="shared" ref="DV6:DV69" si="56">IF(AND(DS6&gt;$BG$3, DS5&lt;$BG$3), 80, "")</f>
        <v>#VALUE!</v>
      </c>
      <c r="DW6" s="17" t="e">
        <f t="shared" ref="DW6:DW69" si="57">IF(AND(DT6&gt;$BF$3, DT5&lt;$BF$3), 20, "")</f>
        <v>#VALUE!</v>
      </c>
      <c r="DX6" s="18" t="e">
        <f t="shared" ref="DX6:DX69" si="58">IF(AND(DT6&gt;$BG$3, DT5&lt;$BG$3), 80, "")</f>
        <v>#VALUE!</v>
      </c>
      <c r="DY6">
        <v>2</v>
      </c>
      <c r="DZ6" t="s">
        <v>96</v>
      </c>
      <c r="EA6" t="e">
        <f>DI12</f>
        <v>#N/A</v>
      </c>
      <c r="EF6">
        <f>'Calcs-control1'!BD16</f>
        <v>0.81114800242973428</v>
      </c>
      <c r="EG6">
        <f>'Calcs-control1'!AO88</f>
        <v>1.1095969689731224</v>
      </c>
      <c r="EH6">
        <f>'Calcs-control1'!BA88</f>
        <v>1.4126295468032461</v>
      </c>
      <c r="EO6">
        <f t="shared" si="47"/>
        <v>3.4542123875772699</v>
      </c>
      <c r="EP6">
        <f t="shared" si="19"/>
        <v>2.8</v>
      </c>
    </row>
    <row r="7" spans="1:165" x14ac:dyDescent="0.3">
      <c r="A7" s="11">
        <v>0.04</v>
      </c>
      <c r="B7" s="2">
        <f t="shared" si="20"/>
        <v>0.04</v>
      </c>
      <c r="D7">
        <v>2</v>
      </c>
      <c r="E7" s="61">
        <f t="shared" si="21"/>
        <v>2</v>
      </c>
      <c r="G7" s="2">
        <v>15</v>
      </c>
      <c r="H7" s="2" t="str">
        <f t="shared" si="22"/>
        <v/>
      </c>
      <c r="J7">
        <v>3</v>
      </c>
      <c r="K7">
        <f t="shared" si="23"/>
        <v>4.9754363009807747</v>
      </c>
      <c r="L7">
        <f t="shared" si="24"/>
        <v>4.2150657431392702</v>
      </c>
      <c r="M7">
        <f t="shared" si="25"/>
        <v>0.16584787669935916</v>
      </c>
      <c r="P7" t="s">
        <v>89</v>
      </c>
      <c r="Q7">
        <v>0.17</v>
      </c>
      <c r="S7" t="e">
        <f t="shared" si="0"/>
        <v>#N/A</v>
      </c>
      <c r="T7" t="e">
        <f t="shared" si="26"/>
        <v>#N/A</v>
      </c>
      <c r="U7">
        <f t="shared" si="1"/>
        <v>0.8971566919160705</v>
      </c>
      <c r="V7">
        <f t="shared" si="2"/>
        <v>0.8971566919160705</v>
      </c>
      <c r="X7">
        <f t="shared" si="27"/>
        <v>4.9754363009807747</v>
      </c>
      <c r="Y7">
        <f t="shared" si="28"/>
        <v>4.2</v>
      </c>
      <c r="AA7">
        <f t="shared" si="29"/>
        <v>0</v>
      </c>
      <c r="AB7">
        <f t="shared" si="30"/>
        <v>0.5</v>
      </c>
      <c r="AC7" s="17" t="str">
        <f t="shared" si="48"/>
        <v/>
      </c>
      <c r="AD7" s="19" t="str">
        <f t="shared" si="3"/>
        <v/>
      </c>
      <c r="AE7" s="18">
        <v>3</v>
      </c>
      <c r="AI7" s="38" t="str">
        <f>IF($F$5=$E$34, "",IF($Z$1=2, Settings!$P5, ""))</f>
        <v/>
      </c>
      <c r="AJ7" s="133">
        <f>'Calcs-control1'!$AH$160</f>
        <v>1.4208675108266395</v>
      </c>
      <c r="AK7" s="131" t="str">
        <f>IF($F$5="None", "", IF($Z$1=2, ROUND(AK5, 2), ""))</f>
        <v/>
      </c>
      <c r="AM7" s="1" t="s">
        <v>89</v>
      </c>
      <c r="AN7">
        <v>0</v>
      </c>
      <c r="AO7">
        <f t="shared" si="31"/>
        <v>-10.599336740631569</v>
      </c>
      <c r="AP7">
        <f t="shared" si="32"/>
        <v>2.4931919373929792E-5</v>
      </c>
      <c r="AQ7" s="19" t="str">
        <f t="shared" si="33"/>
        <v/>
      </c>
      <c r="AR7">
        <v>3</v>
      </c>
      <c r="AS7" s="1" t="s">
        <v>150</v>
      </c>
      <c r="AT7">
        <f>AT4</f>
        <v>17</v>
      </c>
      <c r="AU7">
        <f>VLOOKUP(AT7, $J$4:$M$74, 4)</f>
        <v>0.7901413967111276</v>
      </c>
      <c r="AV7" s="17">
        <f t="shared" si="5"/>
        <v>0.8971566919160705</v>
      </c>
      <c r="AW7" t="str">
        <f t="shared" si="6"/>
        <v/>
      </c>
      <c r="AX7" s="18" t="str">
        <f t="shared" si="7"/>
        <v/>
      </c>
      <c r="AY7">
        <v>3</v>
      </c>
      <c r="BD7">
        <f t="shared" si="8"/>
        <v>0.5</v>
      </c>
      <c r="BE7">
        <f t="shared" si="9"/>
        <v>2.4931919373929792E-5</v>
      </c>
      <c r="BF7" s="17" t="str">
        <f t="shared" si="49"/>
        <v/>
      </c>
      <c r="BG7" s="18" t="str">
        <f t="shared" si="50"/>
        <v/>
      </c>
      <c r="BH7" s="17" t="str">
        <f t="shared" si="51"/>
        <v/>
      </c>
      <c r="BI7" s="18" t="str">
        <f t="shared" si="52"/>
        <v/>
      </c>
      <c r="BJ7">
        <v>3</v>
      </c>
      <c r="BN7" s="4">
        <v>0.04</v>
      </c>
      <c r="BO7" s="2" t="str">
        <f t="shared" si="34"/>
        <v/>
      </c>
      <c r="BQ7">
        <v>2</v>
      </c>
      <c r="BR7" s="61" t="str">
        <f t="shared" si="35"/>
        <v/>
      </c>
      <c r="BW7">
        <v>3</v>
      </c>
      <c r="BX7">
        <f t="shared" si="36"/>
        <v>5.0810451411754034</v>
      </c>
      <c r="BY7">
        <f t="shared" si="37"/>
        <v>4.5129870751284873</v>
      </c>
      <c r="BZ7">
        <f t="shared" si="38"/>
        <v>0.11855771996075942</v>
      </c>
      <c r="CC7" t="s">
        <v>89</v>
      </c>
      <c r="CD7">
        <v>0.17</v>
      </c>
      <c r="CF7" t="e">
        <f t="shared" si="10"/>
        <v>#N/A</v>
      </c>
      <c r="CG7" t="e">
        <f t="shared" si="11"/>
        <v>#N/A</v>
      </c>
      <c r="CH7" t="e">
        <f t="shared" si="12"/>
        <v>#N/A</v>
      </c>
      <c r="CI7">
        <f t="shared" si="13"/>
        <v>0.8971566919160705</v>
      </c>
      <c r="CK7">
        <f t="shared" si="39"/>
        <v>5.0810451411754034</v>
      </c>
      <c r="CL7">
        <f t="shared" si="40"/>
        <v>4.2</v>
      </c>
      <c r="CN7" t="e">
        <f t="shared" si="14"/>
        <v>#VALUE!</v>
      </c>
      <c r="CO7" t="e">
        <f t="shared" si="41"/>
        <v>#VALUE!</v>
      </c>
      <c r="CP7" s="17" t="e">
        <f t="shared" si="53"/>
        <v>#VALUE!</v>
      </c>
      <c r="CQ7" s="18" t="str">
        <f t="shared" si="15"/>
        <v/>
      </c>
      <c r="CR7">
        <v>3</v>
      </c>
      <c r="CX7" s="38" t="str">
        <f>IF($BS$5=$BR$34, "", IF($Z$1=2, Settings!$P5, ""))</f>
        <v/>
      </c>
      <c r="CY7">
        <f>'Calcs-control1'!$AH$160</f>
        <v>1.4208675108266395</v>
      </c>
      <c r="CZ7" s="38" t="str">
        <f>IF($BS$5="None", "", IF($Z$1=2, ROUND(CZ5, 2), ""))</f>
        <v/>
      </c>
      <c r="DB7" s="1" t="s">
        <v>89</v>
      </c>
      <c r="DC7">
        <f t="shared" si="16"/>
        <v>0</v>
      </c>
      <c r="DD7" t="e">
        <f t="shared" si="17"/>
        <v>#VALUE!</v>
      </c>
      <c r="DE7" t="e">
        <f t="shared" si="18"/>
        <v>#VALUE!</v>
      </c>
      <c r="DF7" s="19" t="e">
        <f t="shared" si="54"/>
        <v>#VALUE!</v>
      </c>
      <c r="DG7">
        <v>3</v>
      </c>
      <c r="DH7" s="1" t="s">
        <v>127</v>
      </c>
      <c r="DI7" t="e">
        <f>$DI$4</f>
        <v>#N/A</v>
      </c>
      <c r="DJ7" t="e">
        <f>VLOOKUP(DI7, $BW$4:$BZ$74, 4)</f>
        <v>#N/A</v>
      </c>
      <c r="DK7" s="17" t="str">
        <f t="shared" si="42"/>
        <v/>
      </c>
      <c r="DL7" t="str">
        <f t="shared" si="43"/>
        <v/>
      </c>
      <c r="DM7" s="18" t="str">
        <f t="shared" si="44"/>
        <v/>
      </c>
      <c r="DN7">
        <v>3</v>
      </c>
      <c r="DS7" t="e">
        <f t="shared" si="45"/>
        <v>#VALUE!</v>
      </c>
      <c r="DT7" t="e">
        <f t="shared" si="46"/>
        <v>#VALUE!</v>
      </c>
      <c r="DU7" s="17" t="e">
        <f t="shared" si="55"/>
        <v>#VALUE!</v>
      </c>
      <c r="DV7" s="18" t="e">
        <f t="shared" si="56"/>
        <v>#VALUE!</v>
      </c>
      <c r="DW7" s="17" t="e">
        <f t="shared" si="57"/>
        <v>#VALUE!</v>
      </c>
      <c r="DX7" s="18" t="e">
        <f t="shared" si="58"/>
        <v>#VALUE!</v>
      </c>
      <c r="DY7">
        <v>3</v>
      </c>
      <c r="EF7">
        <f>'Calcs-control1'!BD17</f>
        <v>0.8971566919160705</v>
      </c>
      <c r="EG7">
        <f>'Calcs-control1'!AO89</f>
        <v>1.1966040370864699</v>
      </c>
      <c r="EH7">
        <f>'Calcs-control1'!BA89</f>
        <v>1.592376429445151</v>
      </c>
      <c r="EO7">
        <f t="shared" si="47"/>
        <v>4.9754363009807747</v>
      </c>
      <c r="EP7">
        <f t="shared" si="19"/>
        <v>4.2</v>
      </c>
    </row>
    <row r="8" spans="1:165" x14ac:dyDescent="0.3">
      <c r="A8" s="11">
        <v>0.05</v>
      </c>
      <c r="B8" s="2">
        <f t="shared" si="20"/>
        <v>0.05</v>
      </c>
      <c r="D8">
        <v>2.5</v>
      </c>
      <c r="E8" s="61">
        <f t="shared" si="21"/>
        <v>2.5</v>
      </c>
      <c r="G8" s="2">
        <v>20</v>
      </c>
      <c r="H8" s="2" t="str">
        <f t="shared" si="22"/>
        <v/>
      </c>
      <c r="J8">
        <v>4</v>
      </c>
      <c r="K8">
        <f t="shared" si="23"/>
        <v>6.4457882347694371</v>
      </c>
      <c r="L8">
        <f t="shared" si="24"/>
        <v>5.1995252473652611</v>
      </c>
      <c r="M8">
        <f t="shared" si="25"/>
        <v>0.21485960782564789</v>
      </c>
      <c r="S8" t="e">
        <f t="shared" si="0"/>
        <v>#N/A</v>
      </c>
      <c r="T8" t="e">
        <f t="shared" si="26"/>
        <v>#N/A</v>
      </c>
      <c r="U8">
        <f t="shared" si="1"/>
        <v>0.99228516551701684</v>
      </c>
      <c r="V8">
        <f t="shared" si="2"/>
        <v>0.99228516551701684</v>
      </c>
      <c r="X8">
        <f t="shared" si="27"/>
        <v>6.4457882347694371</v>
      </c>
      <c r="Y8">
        <f t="shared" si="28"/>
        <v>5.6</v>
      </c>
      <c r="AA8">
        <f t="shared" si="29"/>
        <v>0</v>
      </c>
      <c r="AB8">
        <f t="shared" si="30"/>
        <v>0.5</v>
      </c>
      <c r="AC8" s="17" t="str">
        <f t="shared" si="48"/>
        <v/>
      </c>
      <c r="AD8" s="19" t="str">
        <f t="shared" si="3"/>
        <v/>
      </c>
      <c r="AE8" s="18">
        <v>4</v>
      </c>
      <c r="AI8" s="38" t="str">
        <f>IF($F$5=$E$34, "",IF($Z$1=2, Settings!$P6, ""))</f>
        <v/>
      </c>
      <c r="AJ8" s="133">
        <f>'Calcs-control1'!$AI$160</f>
        <v>3.2238680953752423</v>
      </c>
      <c r="AM8" s="1" t="s">
        <v>117</v>
      </c>
      <c r="AN8">
        <v>-7.0190000000000002E-2</v>
      </c>
      <c r="AO8">
        <f t="shared" si="31"/>
        <v>-9.7885051888975507</v>
      </c>
      <c r="AP8">
        <f t="shared" si="32"/>
        <v>5.6089536386488161E-5</v>
      </c>
      <c r="AQ8" s="19" t="str">
        <f t="shared" si="33"/>
        <v/>
      </c>
      <c r="AR8">
        <v>4</v>
      </c>
      <c r="AS8" s="1" t="s">
        <v>159</v>
      </c>
      <c r="AT8">
        <f>IF(AU7&gt;1,AT7,VLOOKUP(90, AD4:AE76,2))</f>
        <v>23</v>
      </c>
      <c r="AV8" s="17">
        <f t="shared" si="5"/>
        <v>0.99228516551701684</v>
      </c>
      <c r="AW8" t="str">
        <f t="shared" si="6"/>
        <v/>
      </c>
      <c r="AX8" s="18" t="str">
        <f t="shared" si="7"/>
        <v/>
      </c>
      <c r="AY8">
        <v>4</v>
      </c>
      <c r="BA8" s="1" t="s">
        <v>146</v>
      </c>
      <c r="BB8" s="1"/>
      <c r="BC8" s="1"/>
      <c r="BD8">
        <f t="shared" si="8"/>
        <v>0.5</v>
      </c>
      <c r="BE8">
        <f t="shared" si="9"/>
        <v>5.6089536386488161E-5</v>
      </c>
      <c r="BF8" s="17" t="str">
        <f t="shared" si="49"/>
        <v/>
      </c>
      <c r="BG8" s="18" t="str">
        <f t="shared" si="50"/>
        <v/>
      </c>
      <c r="BH8" s="17" t="str">
        <f t="shared" si="51"/>
        <v/>
      </c>
      <c r="BI8" s="18" t="str">
        <f t="shared" si="52"/>
        <v/>
      </c>
      <c r="BJ8">
        <v>4</v>
      </c>
      <c r="BK8" s="1" t="s">
        <v>161</v>
      </c>
      <c r="BL8" s="1" t="s">
        <v>162</v>
      </c>
      <c r="BN8" s="4">
        <v>0.05</v>
      </c>
      <c r="BO8" s="2" t="str">
        <f t="shared" si="34"/>
        <v/>
      </c>
      <c r="BQ8">
        <v>2.5</v>
      </c>
      <c r="BR8" s="61" t="str">
        <f t="shared" si="35"/>
        <v/>
      </c>
      <c r="BW8">
        <v>4</v>
      </c>
      <c r="BX8">
        <f t="shared" si="36"/>
        <v>6.5826068328650438</v>
      </c>
      <c r="BY8">
        <f t="shared" si="37"/>
        <v>5.64537532059986</v>
      </c>
      <c r="BZ8">
        <f t="shared" si="38"/>
        <v>0.1535941594335177</v>
      </c>
      <c r="CF8" t="e">
        <f t="shared" si="10"/>
        <v>#N/A</v>
      </c>
      <c r="CG8" t="e">
        <f t="shared" si="11"/>
        <v>#N/A</v>
      </c>
      <c r="CH8" t="e">
        <f t="shared" si="12"/>
        <v>#N/A</v>
      </c>
      <c r="CI8">
        <f t="shared" si="13"/>
        <v>0.99228516551701684</v>
      </c>
      <c r="CK8">
        <f t="shared" si="39"/>
        <v>6.5826068328650438</v>
      </c>
      <c r="CL8">
        <f t="shared" si="40"/>
        <v>5.6</v>
      </c>
      <c r="CN8" t="e">
        <f t="shared" si="14"/>
        <v>#VALUE!</v>
      </c>
      <c r="CO8" t="e">
        <f t="shared" si="41"/>
        <v>#VALUE!</v>
      </c>
      <c r="CP8" s="17" t="e">
        <f t="shared" si="53"/>
        <v>#VALUE!</v>
      </c>
      <c r="CQ8" s="18" t="str">
        <f t="shared" si="15"/>
        <v/>
      </c>
      <c r="CR8">
        <v>4</v>
      </c>
      <c r="CX8" s="38" t="str">
        <f>IF($BS$5=$BR$34, "", IF($Z$1=2, Settings!$P6, ""))</f>
        <v/>
      </c>
      <c r="CY8">
        <f>'Calcs-control1'!$AI$160</f>
        <v>3.2238680953752423</v>
      </c>
      <c r="DB8" s="1" t="s">
        <v>117</v>
      </c>
      <c r="DC8">
        <f t="shared" si="16"/>
        <v>-7.0190000000000002E-2</v>
      </c>
      <c r="DD8" t="e">
        <f t="shared" si="17"/>
        <v>#VALUE!</v>
      </c>
      <c r="DE8" t="e">
        <f t="shared" si="18"/>
        <v>#VALUE!</v>
      </c>
      <c r="DF8" s="19" t="e">
        <f t="shared" si="54"/>
        <v>#VALUE!</v>
      </c>
      <c r="DG8">
        <v>4</v>
      </c>
      <c r="DH8" s="1" t="s">
        <v>168</v>
      </c>
      <c r="DI8" t="e">
        <f>IF(DJ7&gt;1, DI7, VLOOKUP(90, CQ4:CR76, 2))</f>
        <v>#N/A</v>
      </c>
      <c r="DK8" s="17" t="str">
        <f t="shared" si="42"/>
        <v/>
      </c>
      <c r="DL8" t="str">
        <f t="shared" si="43"/>
        <v/>
      </c>
      <c r="DM8" s="18" t="str">
        <f t="shared" si="44"/>
        <v/>
      </c>
      <c r="DN8">
        <v>4</v>
      </c>
      <c r="DP8" s="1" t="s">
        <v>143</v>
      </c>
      <c r="DQ8" s="1"/>
      <c r="DR8" s="1"/>
      <c r="DS8" t="e">
        <f t="shared" si="45"/>
        <v>#VALUE!</v>
      </c>
      <c r="DT8" t="e">
        <f t="shared" si="46"/>
        <v>#VALUE!</v>
      </c>
      <c r="DU8" s="17" t="e">
        <f t="shared" si="55"/>
        <v>#VALUE!</v>
      </c>
      <c r="DV8" s="18" t="e">
        <f t="shared" si="56"/>
        <v>#VALUE!</v>
      </c>
      <c r="DW8" s="17" t="e">
        <f t="shared" si="57"/>
        <v>#VALUE!</v>
      </c>
      <c r="DX8" s="18" t="e">
        <f t="shared" si="58"/>
        <v>#VALUE!</v>
      </c>
      <c r="DY8">
        <v>4</v>
      </c>
      <c r="DZ8" s="1" t="s">
        <v>161</v>
      </c>
      <c r="EA8" s="1" t="s">
        <v>162</v>
      </c>
      <c r="EF8">
        <f>'Calcs-control1'!BD18</f>
        <v>0.99228516551701684</v>
      </c>
      <c r="EG8">
        <f>'Calcs-control1'!AO90</f>
        <v>1.2900992865660896</v>
      </c>
      <c r="EH8">
        <f>'Calcs-control1'!BA90</f>
        <v>1.7923293524484518</v>
      </c>
      <c r="EO8">
        <f t="shared" si="47"/>
        <v>6.4457882347694371</v>
      </c>
      <c r="EP8">
        <f t="shared" si="19"/>
        <v>5.6</v>
      </c>
    </row>
    <row r="9" spans="1:165" x14ac:dyDescent="0.3">
      <c r="A9" s="11">
        <v>0.06</v>
      </c>
      <c r="B9" s="2">
        <f t="shared" si="20"/>
        <v>0.06</v>
      </c>
      <c r="D9">
        <v>3</v>
      </c>
      <c r="E9" s="61">
        <f t="shared" si="21"/>
        <v>3</v>
      </c>
      <c r="G9" s="2">
        <v>25</v>
      </c>
      <c r="H9" s="2" t="str">
        <f t="shared" si="22"/>
        <v/>
      </c>
      <c r="J9">
        <v>5</v>
      </c>
      <c r="K9">
        <f t="shared" si="23"/>
        <v>7.8794344173368902</v>
      </c>
      <c r="L9">
        <f t="shared" si="24"/>
        <v>6.0593850190887206</v>
      </c>
      <c r="M9">
        <f t="shared" si="25"/>
        <v>0.26264781391122966</v>
      </c>
      <c r="S9" t="e">
        <f t="shared" si="0"/>
        <v>#N/A</v>
      </c>
      <c r="T9" t="e">
        <f t="shared" si="26"/>
        <v>#N/A</v>
      </c>
      <c r="U9">
        <f t="shared" si="1"/>
        <v>1.0975004239251065</v>
      </c>
      <c r="V9">
        <f t="shared" si="2"/>
        <v>1.0975004239251065</v>
      </c>
      <c r="X9">
        <f t="shared" si="27"/>
        <v>7.8794344173368902</v>
      </c>
      <c r="Y9">
        <f t="shared" si="28"/>
        <v>7.0000000000000009</v>
      </c>
      <c r="AA9">
        <f t="shared" si="29"/>
        <v>0</v>
      </c>
      <c r="AB9">
        <f t="shared" si="30"/>
        <v>0.5</v>
      </c>
      <c r="AC9" s="17" t="str">
        <f t="shared" si="48"/>
        <v/>
      </c>
      <c r="AD9" s="19" t="str">
        <f t="shared" si="3"/>
        <v/>
      </c>
      <c r="AE9" s="18">
        <v>5</v>
      </c>
      <c r="AI9" s="38" t="str">
        <f>IF($F$5=$E$34, "",IF($Z$1=2, Settings!$P7, ""))</f>
        <v/>
      </c>
      <c r="AJ9" s="133">
        <f>'Calcs-control1'!$AJ$160</f>
        <v>2.7960141186210832</v>
      </c>
      <c r="AO9">
        <f t="shared" si="31"/>
        <v>-8.977673637163532</v>
      </c>
      <c r="AP9">
        <f t="shared" si="32"/>
        <v>1.2618016072010735E-4</v>
      </c>
      <c r="AQ9" s="19" t="str">
        <f t="shared" si="33"/>
        <v/>
      </c>
      <c r="AR9">
        <v>5</v>
      </c>
      <c r="AV9" s="17">
        <f t="shared" si="5"/>
        <v>1.0975004239251065</v>
      </c>
      <c r="AW9" t="str">
        <f t="shared" si="6"/>
        <v/>
      </c>
      <c r="AX9" s="18" t="str">
        <f t="shared" si="7"/>
        <v/>
      </c>
      <c r="AY9">
        <v>5</v>
      </c>
      <c r="BA9">
        <f>MAX(AV4:AV74)</f>
        <v>3.3254840824961294</v>
      </c>
      <c r="BB9">
        <f>VLOOKUP(BA9, $AV$4:$AY$74, 4)</f>
        <v>16</v>
      </c>
      <c r="BD9">
        <f t="shared" si="8"/>
        <v>0.5</v>
      </c>
      <c r="BE9">
        <f t="shared" si="9"/>
        <v>1.2618016072010735E-4</v>
      </c>
      <c r="BF9" s="17" t="str">
        <f t="shared" si="49"/>
        <v/>
      </c>
      <c r="BG9" s="18" t="str">
        <f t="shared" si="50"/>
        <v/>
      </c>
      <c r="BH9" s="17" t="str">
        <f t="shared" si="51"/>
        <v/>
      </c>
      <c r="BI9" s="18" t="str">
        <f t="shared" si="52"/>
        <v/>
      </c>
      <c r="BJ9">
        <v>5</v>
      </c>
      <c r="BK9">
        <f>IF($Z$1=1,VLOOKUP(20,$BF$4:$BJ$74, 5), VLOOKUP(20, $BH$4:$BJ$74, 3))</f>
        <v>14</v>
      </c>
      <c r="BL9">
        <f>BD1*(BL6-BK9)</f>
        <v>3</v>
      </c>
      <c r="BN9" s="4">
        <v>0.06</v>
      </c>
      <c r="BO9" s="2" t="str">
        <f t="shared" si="34"/>
        <v/>
      </c>
      <c r="BQ9">
        <v>3</v>
      </c>
      <c r="BR9" s="61" t="str">
        <f t="shared" si="35"/>
        <v/>
      </c>
      <c r="BW9">
        <v>5</v>
      </c>
      <c r="BX9">
        <f t="shared" si="36"/>
        <v>8.046683655366639</v>
      </c>
      <c r="BY9">
        <f t="shared" si="37"/>
        <v>6.6692278346850253</v>
      </c>
      <c r="BZ9">
        <f t="shared" si="38"/>
        <v>0.18775595195855493</v>
      </c>
      <c r="CF9" t="e">
        <f t="shared" si="10"/>
        <v>#N/A</v>
      </c>
      <c r="CG9" t="e">
        <f t="shared" si="11"/>
        <v>#N/A</v>
      </c>
      <c r="CH9" t="e">
        <f t="shared" si="12"/>
        <v>#N/A</v>
      </c>
      <c r="CI9">
        <f t="shared" si="13"/>
        <v>1.0975004239251065</v>
      </c>
      <c r="CK9">
        <f t="shared" si="39"/>
        <v>8.046683655366639</v>
      </c>
      <c r="CL9">
        <f t="shared" si="40"/>
        <v>7.0000000000000009</v>
      </c>
      <c r="CN9" t="e">
        <f t="shared" si="14"/>
        <v>#VALUE!</v>
      </c>
      <c r="CO9" t="e">
        <f t="shared" si="41"/>
        <v>#VALUE!</v>
      </c>
      <c r="CP9" s="17" t="e">
        <f t="shared" si="53"/>
        <v>#VALUE!</v>
      </c>
      <c r="CQ9" s="18" t="str">
        <f t="shared" si="15"/>
        <v/>
      </c>
      <c r="CR9">
        <v>5</v>
      </c>
      <c r="CX9" s="38" t="str">
        <f>IF($BS$5=$BR$34, "", IF($Z$1=2, Settings!$P7, ""))</f>
        <v/>
      </c>
      <c r="CY9">
        <f>'Calcs-control1'!$AJ$160</f>
        <v>2.7960141186210832</v>
      </c>
      <c r="DD9" t="e">
        <f t="shared" si="17"/>
        <v>#VALUE!</v>
      </c>
      <c r="DE9" t="e">
        <f t="shared" si="18"/>
        <v>#VALUE!</v>
      </c>
      <c r="DF9" s="19" t="e">
        <f t="shared" si="54"/>
        <v>#VALUE!</v>
      </c>
      <c r="DG9">
        <v>5</v>
      </c>
      <c r="DK9" s="17" t="str">
        <f t="shared" si="42"/>
        <v/>
      </c>
      <c r="DL9" t="str">
        <f t="shared" si="43"/>
        <v/>
      </c>
      <c r="DM9" s="18" t="str">
        <f t="shared" si="44"/>
        <v/>
      </c>
      <c r="DN9">
        <v>5</v>
      </c>
      <c r="DP9">
        <f>MAX(DK4:DK74)</f>
        <v>0</v>
      </c>
      <c r="DQ9" t="e">
        <f>VLOOKUP(DP9, $DK$4:$DN$74, 4)</f>
        <v>#N/A</v>
      </c>
      <c r="DS9" t="e">
        <f t="shared" si="45"/>
        <v>#VALUE!</v>
      </c>
      <c r="DT9" t="e">
        <f t="shared" si="46"/>
        <v>#VALUE!</v>
      </c>
      <c r="DU9" s="17" t="e">
        <f t="shared" si="55"/>
        <v>#VALUE!</v>
      </c>
      <c r="DV9" s="18" t="e">
        <f t="shared" si="56"/>
        <v>#VALUE!</v>
      </c>
      <c r="DW9" s="17" t="e">
        <f t="shared" si="57"/>
        <v>#VALUE!</v>
      </c>
      <c r="DX9" s="18" t="e">
        <f t="shared" si="58"/>
        <v>#VALUE!</v>
      </c>
      <c r="DY9">
        <v>5</v>
      </c>
      <c r="DZ9" t="e">
        <f>IF($Z$1=1,VLOOKUP(20,$DU$4:$DY$74, 5), VLOOKUP(20, $DW$4:$DY$74, 3))</f>
        <v>#N/A</v>
      </c>
      <c r="EA9" t="e">
        <f>DS1*(EA6-DZ9)</f>
        <v>#N/A</v>
      </c>
      <c r="EF9">
        <f>'Calcs-control1'!BD19</f>
        <v>1.0975004239251065</v>
      </c>
      <c r="EG9">
        <f>'Calcs-control1'!AO91</f>
        <v>1.3905216159776517</v>
      </c>
      <c r="EH9">
        <f>'Calcs-control1'!BA91</f>
        <v>2.0142685645997358</v>
      </c>
      <c r="EO9">
        <f t="shared" si="47"/>
        <v>7.8794344173368902</v>
      </c>
      <c r="EP9">
        <f t="shared" si="19"/>
        <v>7.0000000000000009</v>
      </c>
    </row>
    <row r="10" spans="1:165" x14ac:dyDescent="0.3">
      <c r="A10" s="11">
        <v>7.0000000000000007E-2</v>
      </c>
      <c r="B10" s="2">
        <f t="shared" si="20"/>
        <v>7.0000000000000007E-2</v>
      </c>
      <c r="D10">
        <v>3.5</v>
      </c>
      <c r="E10" s="61">
        <f t="shared" si="21"/>
        <v>3.5</v>
      </c>
      <c r="G10" s="2">
        <v>30</v>
      </c>
      <c r="H10" s="2" t="str">
        <f t="shared" si="22"/>
        <v/>
      </c>
      <c r="J10">
        <v>6</v>
      </c>
      <c r="K10">
        <f t="shared" si="23"/>
        <v>9.2844924322098397</v>
      </c>
      <c r="L10">
        <f t="shared" si="24"/>
        <v>6.8132036783172563</v>
      </c>
      <c r="M10">
        <f t="shared" si="25"/>
        <v>0.30948308107366135</v>
      </c>
      <c r="S10" t="e">
        <f t="shared" si="0"/>
        <v>#N/A</v>
      </c>
      <c r="T10" t="e">
        <f t="shared" si="26"/>
        <v>#N/A</v>
      </c>
      <c r="U10">
        <f t="shared" si="1"/>
        <v>1.2138720020954827</v>
      </c>
      <c r="V10">
        <f t="shared" si="2"/>
        <v>1.2138720020954827</v>
      </c>
      <c r="X10">
        <f t="shared" si="27"/>
        <v>9.2844924322098397</v>
      </c>
      <c r="Y10">
        <f t="shared" si="28"/>
        <v>8.4</v>
      </c>
      <c r="AA10">
        <f t="shared" si="29"/>
        <v>0</v>
      </c>
      <c r="AB10">
        <f t="shared" si="30"/>
        <v>0.5</v>
      </c>
      <c r="AC10" s="17" t="str">
        <f t="shared" si="48"/>
        <v/>
      </c>
      <c r="AD10" s="19" t="str">
        <f t="shared" si="3"/>
        <v/>
      </c>
      <c r="AE10" s="18">
        <v>6</v>
      </c>
      <c r="AI10" s="38" t="str">
        <f>IF($F$5=$E$34, "",IF($Z$1=2, Settings!$P8, ""))</f>
        <v/>
      </c>
      <c r="AJ10" s="133">
        <f>'Calcs-control1'!$AK$160</f>
        <v>2.7960141186210832</v>
      </c>
      <c r="AM10" s="1" t="s">
        <v>99</v>
      </c>
      <c r="AN10" t="s">
        <v>304</v>
      </c>
      <c r="AO10">
        <f t="shared" si="31"/>
        <v>-8.1668420854295114</v>
      </c>
      <c r="AP10">
        <f t="shared" si="32"/>
        <v>2.8383259202408137E-4</v>
      </c>
      <c r="AQ10" s="19" t="str">
        <f t="shared" si="33"/>
        <v/>
      </c>
      <c r="AR10">
        <v>6</v>
      </c>
      <c r="AS10" s="1" t="s">
        <v>132</v>
      </c>
      <c r="AV10" s="17">
        <f t="shared" si="5"/>
        <v>1.2138720020954827</v>
      </c>
      <c r="AW10" t="str">
        <f t="shared" si="6"/>
        <v/>
      </c>
      <c r="AX10" s="18" t="str">
        <f t="shared" si="7"/>
        <v/>
      </c>
      <c r="AY10">
        <v>6</v>
      </c>
      <c r="BA10">
        <f>MIN(AW4:AW74)</f>
        <v>10.756525768134679</v>
      </c>
      <c r="BB10">
        <f>VLOOKUP(BA10, $AW$4:$AY$74, 3)</f>
        <v>17</v>
      </c>
      <c r="BD10">
        <f t="shared" si="8"/>
        <v>0.5</v>
      </c>
      <c r="BE10">
        <f t="shared" si="9"/>
        <v>2.8383259202408137E-4</v>
      </c>
      <c r="BF10" s="17" t="str">
        <f t="shared" si="49"/>
        <v/>
      </c>
      <c r="BG10" s="18" t="str">
        <f t="shared" si="50"/>
        <v/>
      </c>
      <c r="BH10" s="17" t="str">
        <f t="shared" si="51"/>
        <v/>
      </c>
      <c r="BI10" s="18" t="str">
        <f t="shared" si="52"/>
        <v/>
      </c>
      <c r="BJ10">
        <v>6</v>
      </c>
      <c r="BK10">
        <f>IF($Z$1=1,VLOOKUP(80,$BG$4:$BJ$74, 4), VLOOKUP(80, $BI$4:$BJ$74, 2))</f>
        <v>19</v>
      </c>
      <c r="BL10">
        <f>BD1*(BK10-BL6)</f>
        <v>2</v>
      </c>
      <c r="BN10" s="4">
        <v>7.0000000000000007E-2</v>
      </c>
      <c r="BO10" s="2" t="str">
        <f t="shared" si="34"/>
        <v/>
      </c>
      <c r="BQ10">
        <v>3.5</v>
      </c>
      <c r="BR10" s="61" t="str">
        <f t="shared" si="35"/>
        <v/>
      </c>
      <c r="BW10">
        <v>6</v>
      </c>
      <c r="BX10">
        <f t="shared" si="36"/>
        <v>9.4815654964088942</v>
      </c>
      <c r="BY10">
        <f t="shared" si="37"/>
        <v>7.5997314499555788</v>
      </c>
      <c r="BZ10">
        <f t="shared" si="38"/>
        <v>0.22123652824954088</v>
      </c>
      <c r="CF10" t="e">
        <f t="shared" si="10"/>
        <v>#N/A</v>
      </c>
      <c r="CG10" t="e">
        <f t="shared" si="11"/>
        <v>#N/A</v>
      </c>
      <c r="CH10" t="e">
        <f t="shared" si="12"/>
        <v>#N/A</v>
      </c>
      <c r="CI10">
        <f t="shared" si="13"/>
        <v>1.2138720020954827</v>
      </c>
      <c r="CK10">
        <f t="shared" si="39"/>
        <v>9.4815654964088942</v>
      </c>
      <c r="CL10">
        <f t="shared" si="40"/>
        <v>8.4</v>
      </c>
      <c r="CN10" t="e">
        <f t="shared" si="14"/>
        <v>#VALUE!</v>
      </c>
      <c r="CO10" t="e">
        <f t="shared" si="41"/>
        <v>#VALUE!</v>
      </c>
      <c r="CP10" s="17" t="e">
        <f t="shared" si="53"/>
        <v>#VALUE!</v>
      </c>
      <c r="CQ10" s="18" t="str">
        <f t="shared" si="15"/>
        <v/>
      </c>
      <c r="CR10">
        <v>6</v>
      </c>
      <c r="CX10" s="38" t="str">
        <f>IF($BS$5=$BR$34, "", IF($Z$1=2, Settings!$P8, ""))</f>
        <v/>
      </c>
      <c r="CY10">
        <f>'Calcs-control1'!$AK$160</f>
        <v>2.7960141186210832</v>
      </c>
      <c r="DB10" s="1"/>
      <c r="DC10" t="s">
        <v>432</v>
      </c>
      <c r="DD10" t="e">
        <f t="shared" si="17"/>
        <v>#VALUE!</v>
      </c>
      <c r="DE10" t="e">
        <f t="shared" si="18"/>
        <v>#VALUE!</v>
      </c>
      <c r="DF10" s="19" t="e">
        <f t="shared" si="54"/>
        <v>#VALUE!</v>
      </c>
      <c r="DG10">
        <v>6</v>
      </c>
      <c r="DH10" s="1" t="s">
        <v>132</v>
      </c>
      <c r="DK10" s="17" t="str">
        <f t="shared" si="42"/>
        <v/>
      </c>
      <c r="DL10" t="str">
        <f t="shared" si="43"/>
        <v/>
      </c>
      <c r="DM10" s="18" t="str">
        <f t="shared" si="44"/>
        <v/>
      </c>
      <c r="DN10">
        <v>6</v>
      </c>
      <c r="DP10">
        <f>MIN(DL4:DL74)</f>
        <v>0</v>
      </c>
      <c r="DQ10" t="e">
        <f>VLOOKUP(DP10, $DL$4:$DN$74, 3)</f>
        <v>#N/A</v>
      </c>
      <c r="DS10" t="e">
        <f t="shared" si="45"/>
        <v>#VALUE!</v>
      </c>
      <c r="DT10" t="e">
        <f t="shared" si="46"/>
        <v>#VALUE!</v>
      </c>
      <c r="DU10" s="17" t="e">
        <f t="shared" si="55"/>
        <v>#VALUE!</v>
      </c>
      <c r="DV10" s="18" t="e">
        <f t="shared" si="56"/>
        <v>#VALUE!</v>
      </c>
      <c r="DW10" s="17" t="e">
        <f t="shared" si="57"/>
        <v>#VALUE!</v>
      </c>
      <c r="DX10" s="18" t="e">
        <f t="shared" si="58"/>
        <v>#VALUE!</v>
      </c>
      <c r="DY10">
        <v>6</v>
      </c>
      <c r="DZ10" t="e">
        <f>IF($Z$1=1,VLOOKUP(80,$DV$4:$DY$74, 4), VLOOKUP(80, $DX$4:$DY$74, 2))</f>
        <v>#N/A</v>
      </c>
      <c r="EA10" t="e">
        <f>DS1*(DZ10-EA6)</f>
        <v>#N/A</v>
      </c>
      <c r="EF10">
        <f>'Calcs-control1'!BD20</f>
        <v>1.2138720020954827</v>
      </c>
      <c r="EG10">
        <f>'Calcs-control1'!AO92</f>
        <v>1.4983335524238552</v>
      </c>
      <c r="EH10">
        <f>'Calcs-control1'!BA92</f>
        <v>2.2600420165351838</v>
      </c>
      <c r="EO10">
        <f t="shared" si="47"/>
        <v>9.2844924322098397</v>
      </c>
      <c r="EP10">
        <f t="shared" si="19"/>
        <v>8.4</v>
      </c>
    </row>
    <row r="11" spans="1:165" x14ac:dyDescent="0.3">
      <c r="A11" s="11">
        <v>0.08</v>
      </c>
      <c r="B11" s="2">
        <f t="shared" si="20"/>
        <v>0.08</v>
      </c>
      <c r="D11">
        <v>4</v>
      </c>
      <c r="E11" s="61">
        <f t="shared" si="21"/>
        <v>4</v>
      </c>
      <c r="G11" s="2">
        <v>35</v>
      </c>
      <c r="H11" s="2" t="str">
        <f t="shared" si="22"/>
        <v/>
      </c>
      <c r="J11">
        <v>7</v>
      </c>
      <c r="K11">
        <f t="shared" si="23"/>
        <v>10.666213616786578</v>
      </c>
      <c r="L11">
        <f t="shared" si="24"/>
        <v>7.474824837639245</v>
      </c>
      <c r="M11">
        <f t="shared" si="25"/>
        <v>0.35554045389288597</v>
      </c>
      <c r="S11" t="e">
        <f t="shared" si="0"/>
        <v>#N/A</v>
      </c>
      <c r="T11" t="e">
        <f t="shared" si="26"/>
        <v>#N/A</v>
      </c>
      <c r="U11">
        <f t="shared" si="1"/>
        <v>1.3425828412908623</v>
      </c>
      <c r="V11">
        <f t="shared" si="2"/>
        <v>1.3425828412908623</v>
      </c>
      <c r="X11">
        <f t="shared" si="27"/>
        <v>10.666213616786578</v>
      </c>
      <c r="Y11">
        <f t="shared" si="28"/>
        <v>9.8000000000000025</v>
      </c>
      <c r="AA11">
        <f t="shared" si="29"/>
        <v>0</v>
      </c>
      <c r="AB11">
        <f t="shared" si="30"/>
        <v>0.5</v>
      </c>
      <c r="AC11" s="17" t="str">
        <f t="shared" si="48"/>
        <v/>
      </c>
      <c r="AD11" s="19" t="str">
        <f t="shared" si="3"/>
        <v/>
      </c>
      <c r="AE11" s="18">
        <v>7</v>
      </c>
      <c r="AI11" s="38" t="str">
        <f>IF($F$5=$E$34, "",IF($Z$1=2, Settings!$P9, ""))</f>
        <v/>
      </c>
      <c r="AJ11" s="133">
        <f>'Calcs-control1'!$AL$160</f>
        <v>2.3569848759726133</v>
      </c>
      <c r="AM11" s="1" t="s">
        <v>86</v>
      </c>
      <c r="AN11" t="s">
        <v>348</v>
      </c>
      <c r="AO11">
        <f t="shared" si="31"/>
        <v>-7.3560105336954944</v>
      </c>
      <c r="AP11">
        <f t="shared" si="32"/>
        <v>6.3833389098753586E-4</v>
      </c>
      <c r="AQ11" s="19" t="str">
        <f t="shared" si="33"/>
        <v/>
      </c>
      <c r="AR11">
        <v>7</v>
      </c>
      <c r="AT11" t="s">
        <v>79</v>
      </c>
      <c r="AU11" t="s">
        <v>38</v>
      </c>
      <c r="AV11" s="17">
        <f t="shared" si="5"/>
        <v>1.3425828412908623</v>
      </c>
      <c r="AW11" t="str">
        <f t="shared" si="6"/>
        <v/>
      </c>
      <c r="AX11" s="18" t="str">
        <f t="shared" si="7"/>
        <v/>
      </c>
      <c r="AY11">
        <v>7</v>
      </c>
      <c r="BD11">
        <f t="shared" si="8"/>
        <v>0.5</v>
      </c>
      <c r="BE11">
        <f t="shared" si="9"/>
        <v>6.3833389098753586E-4</v>
      </c>
      <c r="BF11" s="17" t="str">
        <f t="shared" si="49"/>
        <v/>
      </c>
      <c r="BG11" s="18" t="str">
        <f t="shared" si="50"/>
        <v/>
      </c>
      <c r="BH11" s="17" t="str">
        <f t="shared" si="51"/>
        <v/>
      </c>
      <c r="BI11" s="18" t="str">
        <f t="shared" si="52"/>
        <v/>
      </c>
      <c r="BJ11">
        <v>7</v>
      </c>
      <c r="BN11" s="4">
        <v>0.08</v>
      </c>
      <c r="BO11" s="2" t="str">
        <f t="shared" si="34"/>
        <v/>
      </c>
      <c r="BQ11">
        <v>4</v>
      </c>
      <c r="BR11" s="61" t="str">
        <f t="shared" si="35"/>
        <v/>
      </c>
      <c r="BW11">
        <v>7</v>
      </c>
      <c r="BX11">
        <f t="shared" si="36"/>
        <v>10.892615158519698</v>
      </c>
      <c r="BY11">
        <f t="shared" si="37"/>
        <v>8.4479518794886257</v>
      </c>
      <c r="BZ11">
        <f t="shared" si="38"/>
        <v>0.25416102036545962</v>
      </c>
      <c r="CF11" t="e">
        <f t="shared" si="10"/>
        <v>#N/A</v>
      </c>
      <c r="CG11" t="e">
        <f t="shared" si="11"/>
        <v>#N/A</v>
      </c>
      <c r="CH11" t="e">
        <f t="shared" si="12"/>
        <v>#N/A</v>
      </c>
      <c r="CI11">
        <f t="shared" si="13"/>
        <v>1.3425828412908623</v>
      </c>
      <c r="CK11">
        <f t="shared" si="39"/>
        <v>10.892615158519698</v>
      </c>
      <c r="CL11">
        <f t="shared" si="40"/>
        <v>9.8000000000000025</v>
      </c>
      <c r="CN11" t="e">
        <f t="shared" si="14"/>
        <v>#VALUE!</v>
      </c>
      <c r="CO11" t="e">
        <f t="shared" si="41"/>
        <v>#VALUE!</v>
      </c>
      <c r="CP11" s="17" t="e">
        <f t="shared" si="53"/>
        <v>#VALUE!</v>
      </c>
      <c r="CQ11" s="18" t="str">
        <f t="shared" si="15"/>
        <v/>
      </c>
      <c r="CR11">
        <v>7</v>
      </c>
      <c r="CX11" s="38" t="str">
        <f>IF($BS$5=$BR$34, "", IF($Z$1=2, Settings!$P9, ""))</f>
        <v/>
      </c>
      <c r="CY11">
        <f>'Calcs-control1'!$AL$160</f>
        <v>2.3569848759726133</v>
      </c>
      <c r="DD11" t="e">
        <f t="shared" si="17"/>
        <v>#VALUE!</v>
      </c>
      <c r="DE11" t="e">
        <f t="shared" si="18"/>
        <v>#VALUE!</v>
      </c>
      <c r="DF11" s="19" t="e">
        <f t="shared" si="54"/>
        <v>#VALUE!</v>
      </c>
      <c r="DG11">
        <v>7</v>
      </c>
      <c r="DI11" t="s">
        <v>79</v>
      </c>
      <c r="DJ11" t="s">
        <v>38</v>
      </c>
      <c r="DK11" s="17" t="str">
        <f t="shared" si="42"/>
        <v/>
      </c>
      <c r="DL11" t="str">
        <f t="shared" si="43"/>
        <v/>
      </c>
      <c r="DM11" s="18" t="str">
        <f t="shared" si="44"/>
        <v/>
      </c>
      <c r="DN11">
        <v>7</v>
      </c>
      <c r="DS11" t="e">
        <f t="shared" si="45"/>
        <v>#VALUE!</v>
      </c>
      <c r="DT11" t="e">
        <f t="shared" si="46"/>
        <v>#VALUE!</v>
      </c>
      <c r="DU11" s="17" t="e">
        <f t="shared" si="55"/>
        <v>#VALUE!</v>
      </c>
      <c r="DV11" s="18" t="e">
        <f t="shared" si="56"/>
        <v>#VALUE!</v>
      </c>
      <c r="DW11" s="17" t="e">
        <f t="shared" si="57"/>
        <v>#VALUE!</v>
      </c>
      <c r="DX11" s="18" t="e">
        <f t="shared" si="58"/>
        <v>#VALUE!</v>
      </c>
      <c r="DY11">
        <v>7</v>
      </c>
      <c r="EF11">
        <f>'Calcs-control1'!BD21</f>
        <v>1.3425828412908623</v>
      </c>
      <c r="EG11">
        <f>'Calcs-control1'!AO93</f>
        <v>1.6140216777281104</v>
      </c>
      <c r="EH11">
        <f>'Calcs-control1'!BA93</f>
        <v>2.5315505048349469</v>
      </c>
      <c r="EO11">
        <f t="shared" si="47"/>
        <v>10.666213616786578</v>
      </c>
      <c r="EP11">
        <f t="shared" si="19"/>
        <v>9.8000000000000025</v>
      </c>
    </row>
    <row r="12" spans="1:165" x14ac:dyDescent="0.3">
      <c r="A12" s="11">
        <v>0.09</v>
      </c>
      <c r="B12" s="2">
        <f t="shared" si="20"/>
        <v>0.09</v>
      </c>
      <c r="D12">
        <v>4.5</v>
      </c>
      <c r="E12" s="61">
        <f t="shared" si="21"/>
        <v>4.5</v>
      </c>
      <c r="G12" s="2">
        <v>40</v>
      </c>
      <c r="H12" s="2" t="str">
        <f t="shared" si="22"/>
        <v/>
      </c>
      <c r="J12">
        <v>8</v>
      </c>
      <c r="K12">
        <f t="shared" si="23"/>
        <v>12.028266158999369</v>
      </c>
      <c r="L12">
        <f t="shared" si="24"/>
        <v>8.0551947016630123</v>
      </c>
      <c r="M12">
        <f t="shared" si="25"/>
        <v>0.40094220529997898</v>
      </c>
      <c r="O12">
        <v>1</v>
      </c>
      <c r="P12" t="s">
        <v>359</v>
      </c>
      <c r="S12" t="e">
        <f t="shared" si="0"/>
        <v>#N/A</v>
      </c>
      <c r="T12" t="e">
        <f t="shared" si="26"/>
        <v>#N/A</v>
      </c>
      <c r="U12">
        <f t="shared" si="1"/>
        <v>1.4849413139251719</v>
      </c>
      <c r="V12">
        <f t="shared" si="2"/>
        <v>1.4849413139251719</v>
      </c>
      <c r="X12">
        <f t="shared" si="27"/>
        <v>12.028266158999369</v>
      </c>
      <c r="Y12">
        <f t="shared" si="28"/>
        <v>11.2</v>
      </c>
      <c r="Z12" t="s">
        <v>514</v>
      </c>
      <c r="AA12">
        <f t="shared" si="29"/>
        <v>0</v>
      </c>
      <c r="AB12">
        <f t="shared" si="30"/>
        <v>0.5</v>
      </c>
      <c r="AC12" s="17" t="str">
        <f t="shared" si="48"/>
        <v/>
      </c>
      <c r="AD12" s="19" t="str">
        <f t="shared" si="3"/>
        <v/>
      </c>
      <c r="AE12" s="18">
        <v>8</v>
      </c>
      <c r="AI12" s="38" t="str">
        <f>IF($F$5=$E$34, "",IF($Z$1=2, Settings!$P10, ""))</f>
        <v/>
      </c>
      <c r="AJ12" s="133">
        <f>'Calcs-control1'!$AM$160</f>
        <v>2.3569848759726133</v>
      </c>
      <c r="AK12" s="1" t="s">
        <v>166</v>
      </c>
      <c r="AM12" s="1" t="s">
        <v>87</v>
      </c>
      <c r="AN12" t="s">
        <v>305</v>
      </c>
      <c r="AO12">
        <f t="shared" si="31"/>
        <v>-6.5451789819614756</v>
      </c>
      <c r="AP12">
        <f t="shared" si="32"/>
        <v>1.4349647747503168E-3</v>
      </c>
      <c r="AQ12" s="19" t="str">
        <f t="shared" si="33"/>
        <v/>
      </c>
      <c r="AR12">
        <v>8</v>
      </c>
      <c r="AS12" s="1" t="s">
        <v>102</v>
      </c>
      <c r="AT12">
        <f>AT7</f>
        <v>17</v>
      </c>
      <c r="AU12">
        <f>IF(AT7&lt;AT8, VLOOKUP(AT12, J4:L74, 3), VLOOKUP(AT12, J4:L74, 2))</f>
        <v>10.756525768134679</v>
      </c>
      <c r="AV12" s="17">
        <f t="shared" si="5"/>
        <v>1.4849413139251719</v>
      </c>
      <c r="AW12" t="str">
        <f t="shared" si="6"/>
        <v/>
      </c>
      <c r="AX12" s="18" t="str">
        <f t="shared" si="7"/>
        <v/>
      </c>
      <c r="AY12">
        <v>8</v>
      </c>
      <c r="BA12" s="1" t="s">
        <v>147</v>
      </c>
      <c r="BD12">
        <f t="shared" si="8"/>
        <v>0.5</v>
      </c>
      <c r="BE12">
        <f t="shared" si="9"/>
        <v>1.4349647747503168E-3</v>
      </c>
      <c r="BF12" s="17" t="str">
        <f t="shared" si="49"/>
        <v/>
      </c>
      <c r="BG12" s="18" t="str">
        <f t="shared" si="50"/>
        <v/>
      </c>
      <c r="BH12" s="17" t="str">
        <f t="shared" si="51"/>
        <v/>
      </c>
      <c r="BI12" s="18" t="str">
        <f t="shared" si="52"/>
        <v/>
      </c>
      <c r="BJ12">
        <v>8</v>
      </c>
      <c r="BK12" s="1"/>
      <c r="BN12" s="4">
        <v>0.09</v>
      </c>
      <c r="BO12" s="2" t="str">
        <f t="shared" si="34"/>
        <v/>
      </c>
      <c r="BQ12">
        <v>4.5</v>
      </c>
      <c r="BR12" s="61" t="str">
        <f t="shared" si="35"/>
        <v/>
      </c>
      <c r="BW12">
        <v>8</v>
      </c>
      <c r="BX12">
        <f t="shared" si="36"/>
        <v>12.2835786907574</v>
      </c>
      <c r="BY12">
        <f t="shared" si="37"/>
        <v>9.2225029326225432</v>
      </c>
      <c r="BZ12">
        <f t="shared" si="38"/>
        <v>0.28661683611767269</v>
      </c>
      <c r="CF12" t="e">
        <f t="shared" si="10"/>
        <v>#N/A</v>
      </c>
      <c r="CG12" t="e">
        <f t="shared" si="11"/>
        <v>#N/A</v>
      </c>
      <c r="CH12" t="e">
        <f t="shared" si="12"/>
        <v>#N/A</v>
      </c>
      <c r="CI12">
        <f t="shared" si="13"/>
        <v>1.4849413139251719</v>
      </c>
      <c r="CK12">
        <f t="shared" si="39"/>
        <v>12.2835786907574</v>
      </c>
      <c r="CL12">
        <f t="shared" si="40"/>
        <v>11.2</v>
      </c>
      <c r="CN12" t="e">
        <f t="shared" si="14"/>
        <v>#VALUE!</v>
      </c>
      <c r="CO12" t="e">
        <f t="shared" si="41"/>
        <v>#VALUE!</v>
      </c>
      <c r="CP12" s="17" t="e">
        <f t="shared" si="53"/>
        <v>#VALUE!</v>
      </c>
      <c r="CQ12" s="18" t="str">
        <f t="shared" si="15"/>
        <v/>
      </c>
      <c r="CR12">
        <v>8</v>
      </c>
      <c r="CX12" s="38" t="str">
        <f>IF($BS$5=$BR$34, "", IF($Z$1=2, Settings!$P10, ""))</f>
        <v/>
      </c>
      <c r="CY12">
        <f>'Calcs-control1'!$AM$160</f>
        <v>2.3569848759726133</v>
      </c>
      <c r="DB12" s="1" t="s">
        <v>99</v>
      </c>
      <c r="DC12" t="s">
        <v>304</v>
      </c>
      <c r="DD12" t="e">
        <f t="shared" si="17"/>
        <v>#VALUE!</v>
      </c>
      <c r="DE12" t="e">
        <f t="shared" si="18"/>
        <v>#VALUE!</v>
      </c>
      <c r="DF12" s="19" t="e">
        <f t="shared" si="54"/>
        <v>#VALUE!</v>
      </c>
      <c r="DG12">
        <v>8</v>
      </c>
      <c r="DH12" s="1" t="s">
        <v>128</v>
      </c>
      <c r="DI12" t="e">
        <f>DI7</f>
        <v>#N/A</v>
      </c>
      <c r="DJ12" t="e">
        <f>IF(DI7&lt;DI8, VLOOKUP(DI12, BW4:BY74, 3), VLOOKUP(DI12, BW4:BY74, 2))</f>
        <v>#N/A</v>
      </c>
      <c r="DK12" s="17" t="str">
        <f t="shared" si="42"/>
        <v/>
      </c>
      <c r="DL12" t="str">
        <f t="shared" si="43"/>
        <v/>
      </c>
      <c r="DM12" s="18" t="str">
        <f t="shared" si="44"/>
        <v/>
      </c>
      <c r="DN12">
        <v>8</v>
      </c>
      <c r="DP12" s="1" t="s">
        <v>144</v>
      </c>
      <c r="DS12" t="e">
        <f t="shared" si="45"/>
        <v>#VALUE!</v>
      </c>
      <c r="DT12" t="e">
        <f t="shared" si="46"/>
        <v>#VALUE!</v>
      </c>
      <c r="DU12" s="17" t="e">
        <f t="shared" si="55"/>
        <v>#VALUE!</v>
      </c>
      <c r="DV12" s="18" t="e">
        <f t="shared" si="56"/>
        <v>#VALUE!</v>
      </c>
      <c r="DW12" s="17" t="e">
        <f t="shared" si="57"/>
        <v>#VALUE!</v>
      </c>
      <c r="DX12" s="18" t="e">
        <f t="shared" si="58"/>
        <v>#VALUE!</v>
      </c>
      <c r="DY12">
        <v>8</v>
      </c>
      <c r="DZ12" s="1"/>
      <c r="EF12">
        <f>'Calcs-control1'!BD22</f>
        <v>1.4849413139251719</v>
      </c>
      <c r="EG12">
        <f>'Calcs-control1'!AO94</f>
        <v>1.7380969246777072</v>
      </c>
      <c r="EH12">
        <f>'Calcs-control1'!BA94</f>
        <v>2.830728945738672</v>
      </c>
      <c r="EO12">
        <f t="shared" si="47"/>
        <v>12.028266158999369</v>
      </c>
      <c r="EP12">
        <f t="shared" si="19"/>
        <v>11.2</v>
      </c>
    </row>
    <row r="13" spans="1:165" x14ac:dyDescent="0.3">
      <c r="A13" s="11">
        <v>0.1</v>
      </c>
      <c r="B13" s="2">
        <f t="shared" si="20"/>
        <v>0.1</v>
      </c>
      <c r="D13">
        <v>5</v>
      </c>
      <c r="E13" s="61">
        <f t="shared" si="21"/>
        <v>5</v>
      </c>
      <c r="G13" s="2">
        <v>45</v>
      </c>
      <c r="H13" s="2" t="str">
        <f t="shared" si="22"/>
        <v/>
      </c>
      <c r="J13">
        <v>9</v>
      </c>
      <c r="K13">
        <f t="shared" si="23"/>
        <v>13.373352735787664</v>
      </c>
      <c r="L13">
        <f t="shared" si="24"/>
        <v>8.563300606701187</v>
      </c>
      <c r="M13">
        <f t="shared" si="25"/>
        <v>0.44577842452625549</v>
      </c>
      <c r="O13">
        <f>1000*O12</f>
        <v>1000</v>
      </c>
      <c r="P13" t="s">
        <v>506</v>
      </c>
      <c r="S13" t="e">
        <f t="shared" si="0"/>
        <v>#N/A</v>
      </c>
      <c r="T13" t="e">
        <f t="shared" si="26"/>
        <v>#N/A</v>
      </c>
      <c r="U13">
        <f t="shared" si="1"/>
        <v>1.6423945234408863</v>
      </c>
      <c r="V13">
        <f t="shared" si="2"/>
        <v>1.6423945234408863</v>
      </c>
      <c r="X13">
        <f t="shared" si="27"/>
        <v>13.373352735787664</v>
      </c>
      <c r="Y13">
        <f t="shared" si="28"/>
        <v>12.6</v>
      </c>
      <c r="Z13">
        <v>16.666699999999999</v>
      </c>
      <c r="AA13">
        <f t="shared" si="29"/>
        <v>0</v>
      </c>
      <c r="AB13">
        <f t="shared" si="30"/>
        <v>0.5</v>
      </c>
      <c r="AC13" s="17" t="str">
        <f t="shared" si="48"/>
        <v/>
      </c>
      <c r="AD13" s="19" t="str">
        <f t="shared" si="3"/>
        <v/>
      </c>
      <c r="AE13" s="18">
        <v>9</v>
      </c>
      <c r="AI13" s="38" t="str">
        <f>IF($F$5=$E$34, "",IF($Z$1=2, Settings!$P11, ""))</f>
        <v/>
      </c>
      <c r="AJ13" s="133">
        <f>IF($AK$13=1, 'Calcs-control1'!$AN$158, 'Calcs-control1'!$AN$160)</f>
        <v>1.7748194647088766</v>
      </c>
      <c r="AK13" s="132">
        <v>1</v>
      </c>
      <c r="AM13" s="1" t="s">
        <v>88</v>
      </c>
      <c r="AN13" t="s">
        <v>308</v>
      </c>
      <c r="AO13">
        <f t="shared" si="31"/>
        <v>-5.7343474302274569</v>
      </c>
      <c r="AP13">
        <f t="shared" si="32"/>
        <v>3.2225728820794706E-3</v>
      </c>
      <c r="AQ13" s="19" t="str">
        <f t="shared" si="33"/>
        <v/>
      </c>
      <c r="AR13">
        <v>9</v>
      </c>
      <c r="AS13" s="1" t="s">
        <v>160</v>
      </c>
      <c r="AT13">
        <f>AT8</f>
        <v>23</v>
      </c>
      <c r="AU13">
        <f>VLOOKUP(AT13, J4:L74, 2)</f>
        <v>31.115522175334807</v>
      </c>
      <c r="AV13" s="17">
        <f t="shared" si="5"/>
        <v>1.6423945234408863</v>
      </c>
      <c r="AW13" t="str">
        <f t="shared" si="6"/>
        <v/>
      </c>
      <c r="AX13" s="18" t="str">
        <f t="shared" si="7"/>
        <v/>
      </c>
      <c r="AY13">
        <v>9</v>
      </c>
      <c r="BA13">
        <f>MAX(AW4:AW74)</f>
        <v>11.036315825454869</v>
      </c>
      <c r="BB13">
        <f>VLOOKUP(BA13, $AW$4:$AY$74, 3)</f>
        <v>22</v>
      </c>
      <c r="BD13">
        <f t="shared" si="8"/>
        <v>0.5</v>
      </c>
      <c r="BE13">
        <f t="shared" si="9"/>
        <v>3.2225728820794706E-3</v>
      </c>
      <c r="BF13" s="17" t="str">
        <f t="shared" si="49"/>
        <v/>
      </c>
      <c r="BG13" s="18" t="str">
        <f t="shared" si="50"/>
        <v/>
      </c>
      <c r="BH13" s="17" t="str">
        <f t="shared" si="51"/>
        <v/>
      </c>
      <c r="BI13" s="18" t="str">
        <f t="shared" si="52"/>
        <v/>
      </c>
      <c r="BJ13">
        <v>9</v>
      </c>
      <c r="BN13" s="4">
        <v>0.1</v>
      </c>
      <c r="BO13" s="2" t="str">
        <f t="shared" si="34"/>
        <v/>
      </c>
      <c r="BQ13">
        <v>5</v>
      </c>
      <c r="BR13" s="61" t="str">
        <f t="shared" si="35"/>
        <v/>
      </c>
      <c r="BW13">
        <v>9</v>
      </c>
      <c r="BX13">
        <f t="shared" si="36"/>
        <v>13.657216137206708</v>
      </c>
      <c r="BY13">
        <f t="shared" si="37"/>
        <v>9.930389085784137</v>
      </c>
      <c r="BZ13">
        <f t="shared" si="38"/>
        <v>0.31866837653482322</v>
      </c>
      <c r="CF13" t="e">
        <f t="shared" si="10"/>
        <v>#N/A</v>
      </c>
      <c r="CG13" t="e">
        <f t="shared" si="11"/>
        <v>#N/A</v>
      </c>
      <c r="CH13" t="e">
        <f t="shared" si="12"/>
        <v>#N/A</v>
      </c>
      <c r="CI13">
        <f t="shared" si="13"/>
        <v>1.6423945234408863</v>
      </c>
      <c r="CK13">
        <f t="shared" si="39"/>
        <v>13.657216137206708</v>
      </c>
      <c r="CL13">
        <f t="shared" si="40"/>
        <v>12.6</v>
      </c>
      <c r="CN13" t="e">
        <f t="shared" si="14"/>
        <v>#VALUE!</v>
      </c>
      <c r="CO13" t="e">
        <f t="shared" si="41"/>
        <v>#VALUE!</v>
      </c>
      <c r="CP13" s="17" t="e">
        <f t="shared" si="53"/>
        <v>#VALUE!</v>
      </c>
      <c r="CQ13" s="18" t="str">
        <f t="shared" si="15"/>
        <v/>
      </c>
      <c r="CR13">
        <v>9</v>
      </c>
      <c r="CX13" s="38" t="str">
        <f>IF($BS$5=$BR$34, "", IF($Z$1=2, Settings!$P11, ""))</f>
        <v/>
      </c>
      <c r="CY13">
        <f>AJ13</f>
        <v>1.7748194647088766</v>
      </c>
      <c r="DB13" s="1" t="s">
        <v>86</v>
      </c>
      <c r="DC13" t="s">
        <v>348</v>
      </c>
      <c r="DD13" t="e">
        <f t="shared" si="17"/>
        <v>#VALUE!</v>
      </c>
      <c r="DE13" t="e">
        <f t="shared" si="18"/>
        <v>#VALUE!</v>
      </c>
      <c r="DF13" s="19" t="e">
        <f t="shared" si="54"/>
        <v>#VALUE!</v>
      </c>
      <c r="DG13">
        <v>9</v>
      </c>
      <c r="DH13" s="1" t="s">
        <v>170</v>
      </c>
      <c r="DI13" t="e">
        <f>DI8</f>
        <v>#N/A</v>
      </c>
      <c r="DJ13" t="e">
        <f>VLOOKUP(DI13, BW4:BY74, 2)</f>
        <v>#N/A</v>
      </c>
      <c r="DK13" s="17" t="str">
        <f t="shared" si="42"/>
        <v/>
      </c>
      <c r="DL13" t="str">
        <f t="shared" si="43"/>
        <v/>
      </c>
      <c r="DM13" s="18" t="str">
        <f t="shared" si="44"/>
        <v/>
      </c>
      <c r="DN13">
        <v>9</v>
      </c>
      <c r="DP13">
        <f>MAX(DL4:DL74)</f>
        <v>0</v>
      </c>
      <c r="DQ13" t="e">
        <f>VLOOKUP(DP13, $DL$4:$DN$74, 3)</f>
        <v>#N/A</v>
      </c>
      <c r="DS13" t="e">
        <f t="shared" si="45"/>
        <v>#VALUE!</v>
      </c>
      <c r="DT13" t="e">
        <f t="shared" si="46"/>
        <v>#VALUE!</v>
      </c>
      <c r="DU13" s="17" t="e">
        <f t="shared" si="55"/>
        <v>#VALUE!</v>
      </c>
      <c r="DV13" s="18" t="e">
        <f t="shared" si="56"/>
        <v>#VALUE!</v>
      </c>
      <c r="DW13" s="17" t="e">
        <f t="shared" si="57"/>
        <v>#VALUE!</v>
      </c>
      <c r="DX13" s="18" t="e">
        <f t="shared" si="58"/>
        <v>#VALUE!</v>
      </c>
      <c r="DY13">
        <v>9</v>
      </c>
      <c r="EF13">
        <f>'Calcs-control1'!BD23</f>
        <v>1.6423945234408863</v>
      </c>
      <c r="EG13">
        <f>'Calcs-control1'!AO95</f>
        <v>1.8710947181860029</v>
      </c>
      <c r="EH13">
        <f>'Calcs-control1'!BA95</f>
        <v>3.1595234540901544</v>
      </c>
      <c r="EO13">
        <f t="shared" si="47"/>
        <v>13.373352735787664</v>
      </c>
      <c r="EP13">
        <f t="shared" si="19"/>
        <v>12.6</v>
      </c>
    </row>
    <row r="14" spans="1:165" x14ac:dyDescent="0.3">
      <c r="A14" s="11">
        <v>0.11</v>
      </c>
      <c r="B14" s="2">
        <f t="shared" si="20"/>
        <v>0.11</v>
      </c>
      <c r="D14">
        <v>5.5</v>
      </c>
      <c r="E14" s="61">
        <f t="shared" si="21"/>
        <v>5.5</v>
      </c>
      <c r="G14" s="2">
        <v>50</v>
      </c>
      <c r="H14" s="2" t="str">
        <f t="shared" si="22"/>
        <v/>
      </c>
      <c r="J14">
        <v>10</v>
      </c>
      <c r="K14">
        <f t="shared" si="23"/>
        <v>14.703544532051842</v>
      </c>
      <c r="L14">
        <f t="shared" si="24"/>
        <v>9.0067152525032128</v>
      </c>
      <c r="M14">
        <f t="shared" si="25"/>
        <v>0.49011815106839474</v>
      </c>
      <c r="O14">
        <f>O13/60</f>
        <v>16.666666666666668</v>
      </c>
      <c r="P14" t="s">
        <v>507</v>
      </c>
      <c r="S14" t="e">
        <f t="shared" si="0"/>
        <v>#N/A</v>
      </c>
      <c r="T14" t="e">
        <f t="shared" si="26"/>
        <v>#N/A</v>
      </c>
      <c r="U14">
        <f t="shared" si="1"/>
        <v>1.8165430144160852</v>
      </c>
      <c r="V14">
        <f t="shared" si="2"/>
        <v>1.8165430144160852</v>
      </c>
      <c r="X14">
        <f t="shared" si="27"/>
        <v>14.703544532051842</v>
      </c>
      <c r="Y14">
        <f t="shared" si="28"/>
        <v>14.000000000000002</v>
      </c>
      <c r="Z14" t="s">
        <v>507</v>
      </c>
      <c r="AA14">
        <f t="shared" si="29"/>
        <v>0</v>
      </c>
      <c r="AB14">
        <f t="shared" si="30"/>
        <v>0.5</v>
      </c>
      <c r="AC14" s="17" t="str">
        <f t="shared" si="48"/>
        <v/>
      </c>
      <c r="AD14" s="19" t="str">
        <f t="shared" si="3"/>
        <v/>
      </c>
      <c r="AE14" s="18">
        <v>10</v>
      </c>
      <c r="AI14" s="38" t="str">
        <f>IF($F$5=$E$34, "",IF($Z$1=2, Settings!$P12, ""))</f>
        <v/>
      </c>
      <c r="AJ14" s="133">
        <f>'Calcs-control1'!$AO$160</f>
        <v>1.2110596148458825</v>
      </c>
      <c r="AM14" s="1" t="s">
        <v>89</v>
      </c>
      <c r="AO14">
        <f t="shared" si="31"/>
        <v>-4.9235158784934381</v>
      </c>
      <c r="AP14">
        <f t="shared" si="32"/>
        <v>7.2209910777008132E-3</v>
      </c>
      <c r="AQ14" s="19" t="str">
        <f t="shared" si="33"/>
        <v/>
      </c>
      <c r="AR14">
        <v>10</v>
      </c>
      <c r="AV14" s="17">
        <f t="shared" si="5"/>
        <v>1.8165430144160852</v>
      </c>
      <c r="AW14" t="str">
        <f t="shared" si="6"/>
        <v/>
      </c>
      <c r="AX14" s="18" t="str">
        <f t="shared" si="7"/>
        <v/>
      </c>
      <c r="AY14">
        <v>10</v>
      </c>
      <c r="BA14">
        <f>MIN(AX4:AX74)</f>
        <v>31.115522175334807</v>
      </c>
      <c r="BB14">
        <f>VLOOKUP(BA14, $AX$4:$AY$74, 2)</f>
        <v>23</v>
      </c>
      <c r="BD14">
        <f t="shared" si="8"/>
        <v>0.5</v>
      </c>
      <c r="BE14">
        <f t="shared" si="9"/>
        <v>7.2209910777008132E-3</v>
      </c>
      <c r="BF14" s="17" t="str">
        <f t="shared" si="49"/>
        <v/>
      </c>
      <c r="BG14" s="18" t="str">
        <f t="shared" si="50"/>
        <v/>
      </c>
      <c r="BH14" s="17" t="str">
        <f t="shared" si="51"/>
        <v/>
      </c>
      <c r="BI14" s="18" t="str">
        <f t="shared" si="52"/>
        <v/>
      </c>
      <c r="BJ14">
        <v>10</v>
      </c>
      <c r="BN14" s="4">
        <v>0.11</v>
      </c>
      <c r="BO14" s="2" t="str">
        <f t="shared" si="34"/>
        <v/>
      </c>
      <c r="BQ14">
        <v>5.5</v>
      </c>
      <c r="BR14" s="61" t="str">
        <f t="shared" si="35"/>
        <v/>
      </c>
      <c r="BW14">
        <v>10</v>
      </c>
      <c r="BX14">
        <f t="shared" si="36"/>
        <v>15.01564264583414</v>
      </c>
      <c r="BY14">
        <f t="shared" si="37"/>
        <v>10.577483098154264</v>
      </c>
      <c r="BZ14">
        <f t="shared" si="38"/>
        <v>0.35036499506946328</v>
      </c>
      <c r="CF14" t="e">
        <f t="shared" si="10"/>
        <v>#N/A</v>
      </c>
      <c r="CG14" t="e">
        <f t="shared" si="11"/>
        <v>#N/A</v>
      </c>
      <c r="CH14" t="e">
        <f t="shared" si="12"/>
        <v>#N/A</v>
      </c>
      <c r="CI14">
        <f t="shared" si="13"/>
        <v>1.8165430144160852</v>
      </c>
      <c r="CK14">
        <f t="shared" si="39"/>
        <v>15.01564264583414</v>
      </c>
      <c r="CL14">
        <f t="shared" si="40"/>
        <v>14.000000000000002</v>
      </c>
      <c r="CN14" t="e">
        <f t="shared" si="14"/>
        <v>#VALUE!</v>
      </c>
      <c r="CO14" t="e">
        <f t="shared" si="41"/>
        <v>#VALUE!</v>
      </c>
      <c r="CP14" s="17" t="e">
        <f t="shared" si="53"/>
        <v>#VALUE!</v>
      </c>
      <c r="CQ14" s="18" t="str">
        <f t="shared" si="15"/>
        <v/>
      </c>
      <c r="CR14">
        <v>10</v>
      </c>
      <c r="CX14" s="38" t="str">
        <f>IF($BS$5=$BR$34, "", IF($Z$1=2, Settings!$P12, ""))</f>
        <v/>
      </c>
      <c r="CY14">
        <f>'Calcs-control1'!$AO$160</f>
        <v>1.2110596148458825</v>
      </c>
      <c r="DB14" s="1" t="s">
        <v>87</v>
      </c>
      <c r="DC14" t="s">
        <v>305</v>
      </c>
      <c r="DD14" t="e">
        <f t="shared" si="17"/>
        <v>#VALUE!</v>
      </c>
      <c r="DE14" t="e">
        <f t="shared" si="18"/>
        <v>#VALUE!</v>
      </c>
      <c r="DF14" s="19" t="e">
        <f t="shared" si="54"/>
        <v>#VALUE!</v>
      </c>
      <c r="DG14">
        <v>10</v>
      </c>
      <c r="DK14" s="17" t="str">
        <f t="shared" si="42"/>
        <v/>
      </c>
      <c r="DL14" t="str">
        <f t="shared" si="43"/>
        <v/>
      </c>
      <c r="DM14" s="18" t="str">
        <f t="shared" si="44"/>
        <v/>
      </c>
      <c r="DN14">
        <v>10</v>
      </c>
      <c r="DP14">
        <f>MIN(DM4:DM74)</f>
        <v>0</v>
      </c>
      <c r="DQ14" t="e">
        <f>VLOOKUP(DP14, $DM$4:$DN$74, 2)</f>
        <v>#N/A</v>
      </c>
      <c r="DS14" t="e">
        <f t="shared" si="45"/>
        <v>#VALUE!</v>
      </c>
      <c r="DT14" t="e">
        <f t="shared" si="46"/>
        <v>#VALUE!</v>
      </c>
      <c r="DU14" s="17" t="e">
        <f t="shared" si="55"/>
        <v>#VALUE!</v>
      </c>
      <c r="DV14" s="18" t="e">
        <f t="shared" si="56"/>
        <v>#VALUE!</v>
      </c>
      <c r="DW14" s="17" t="e">
        <f t="shared" si="57"/>
        <v>#VALUE!</v>
      </c>
      <c r="DX14" s="18" t="e">
        <f t="shared" si="58"/>
        <v>#VALUE!</v>
      </c>
      <c r="DY14">
        <v>10</v>
      </c>
      <c r="EF14">
        <f>'Calcs-control1'!BD24</f>
        <v>1.8165430144160852</v>
      </c>
      <c r="EG14">
        <f>'Calcs-control1'!AO96</f>
        <v>2.0135749335753355</v>
      </c>
      <c r="EH14">
        <f>'Calcs-control1'!BA96</f>
        <v>3.5198639660875943</v>
      </c>
      <c r="EO14">
        <f t="shared" si="47"/>
        <v>14.703544532051842</v>
      </c>
      <c r="EP14">
        <f t="shared" si="19"/>
        <v>14.000000000000002</v>
      </c>
    </row>
    <row r="15" spans="1:165" x14ac:dyDescent="0.3">
      <c r="A15" s="11">
        <v>0.12</v>
      </c>
      <c r="B15" s="2">
        <f t="shared" si="20"/>
        <v>0.12</v>
      </c>
      <c r="D15">
        <v>6</v>
      </c>
      <c r="E15" s="61">
        <f t="shared" si="21"/>
        <v>6</v>
      </c>
      <c r="G15" s="2">
        <v>60</v>
      </c>
      <c r="H15" s="2" t="str">
        <f t="shared" si="22"/>
        <v/>
      </c>
      <c r="J15">
        <v>11</v>
      </c>
      <c r="K15">
        <f t="shared" si="23"/>
        <v>16.020477555818463</v>
      </c>
      <c r="L15">
        <f t="shared" si="24"/>
        <v>9.3919396054929258</v>
      </c>
      <c r="M15">
        <f t="shared" si="25"/>
        <v>0.53401591852728214</v>
      </c>
      <c r="S15" t="e">
        <f t="shared" si="0"/>
        <v>#N/A</v>
      </c>
      <c r="T15" t="e">
        <f t="shared" si="26"/>
        <v>#N/A</v>
      </c>
      <c r="U15">
        <f t="shared" si="1"/>
        <v>2.0091570424325322</v>
      </c>
      <c r="V15">
        <f t="shared" si="2"/>
        <v>2.0091570424325322</v>
      </c>
      <c r="X15">
        <f t="shared" si="27"/>
        <v>16.020477555818463</v>
      </c>
      <c r="Y15">
        <f t="shared" si="28"/>
        <v>15.4</v>
      </c>
      <c r="AA15">
        <f t="shared" si="29"/>
        <v>0</v>
      </c>
      <c r="AB15">
        <f t="shared" si="30"/>
        <v>0.5</v>
      </c>
      <c r="AC15" s="17" t="str">
        <f t="shared" si="48"/>
        <v/>
      </c>
      <c r="AD15" s="19" t="str">
        <f t="shared" si="3"/>
        <v/>
      </c>
      <c r="AE15" s="18">
        <v>11</v>
      </c>
      <c r="AI15" s="38" t="str">
        <f>IF($F$5=$E$34, "",IF($Z$1=2, Settings!$P13, ""))</f>
        <v/>
      </c>
      <c r="AJ15" s="133">
        <f>'Calcs-control1'!$AQ$160</f>
        <v>7.3908523208725887</v>
      </c>
      <c r="AM15" s="1" t="s">
        <v>117</v>
      </c>
      <c r="AN15" t="s">
        <v>500</v>
      </c>
      <c r="AO15">
        <f t="shared" si="31"/>
        <v>-4.1126843267594193</v>
      </c>
      <c r="AP15">
        <f t="shared" si="32"/>
        <v>1.6100327386811782E-2</v>
      </c>
      <c r="AQ15" s="19" t="str">
        <f t="shared" si="33"/>
        <v/>
      </c>
      <c r="AR15">
        <v>11</v>
      </c>
      <c r="AV15" s="17">
        <f t="shared" si="5"/>
        <v>2.0091570424325322</v>
      </c>
      <c r="AW15" t="str">
        <f t="shared" si="6"/>
        <v/>
      </c>
      <c r="AX15" s="18" t="str">
        <f t="shared" si="7"/>
        <v/>
      </c>
      <c r="AY15">
        <v>11</v>
      </c>
      <c r="BD15">
        <f t="shared" si="8"/>
        <v>0.5</v>
      </c>
      <c r="BE15">
        <f t="shared" si="9"/>
        <v>1.6100327386811782E-2</v>
      </c>
      <c r="BF15" s="17" t="str">
        <f t="shared" si="49"/>
        <v/>
      </c>
      <c r="BG15" s="18" t="str">
        <f t="shared" si="50"/>
        <v/>
      </c>
      <c r="BH15" s="17" t="str">
        <f t="shared" si="51"/>
        <v/>
      </c>
      <c r="BI15" s="18" t="str">
        <f t="shared" si="52"/>
        <v/>
      </c>
      <c r="BJ15">
        <v>11</v>
      </c>
      <c r="BN15" s="4">
        <v>0.12</v>
      </c>
      <c r="BO15" s="2" t="str">
        <f t="shared" si="34"/>
        <v/>
      </c>
      <c r="BQ15">
        <v>6</v>
      </c>
      <c r="BR15" s="61" t="str">
        <f t="shared" si="35"/>
        <v/>
      </c>
      <c r="BW15">
        <v>11</v>
      </c>
      <c r="BX15">
        <f t="shared" si="36"/>
        <v>16.36052895064801</v>
      </c>
      <c r="BY15">
        <f t="shared" si="37"/>
        <v>11.168820219915688</v>
      </c>
      <c r="BZ15">
        <f t="shared" si="38"/>
        <v>0.38174567551512029</v>
      </c>
      <c r="CF15" t="e">
        <f t="shared" si="10"/>
        <v>#N/A</v>
      </c>
      <c r="CG15" t="e">
        <f t="shared" si="11"/>
        <v>#N/A</v>
      </c>
      <c r="CH15" t="e">
        <f t="shared" si="12"/>
        <v>#N/A</v>
      </c>
      <c r="CI15">
        <f t="shared" si="13"/>
        <v>2.0091570424325322</v>
      </c>
      <c r="CK15">
        <f t="shared" si="39"/>
        <v>16.36052895064801</v>
      </c>
      <c r="CL15">
        <f t="shared" si="40"/>
        <v>15.4</v>
      </c>
      <c r="CN15" t="e">
        <f t="shared" si="14"/>
        <v>#VALUE!</v>
      </c>
      <c r="CO15" t="e">
        <f t="shared" si="41"/>
        <v>#VALUE!</v>
      </c>
      <c r="CP15" s="17" t="e">
        <f t="shared" si="53"/>
        <v>#VALUE!</v>
      </c>
      <c r="CQ15" s="18" t="str">
        <f t="shared" si="15"/>
        <v/>
      </c>
      <c r="CR15">
        <v>11</v>
      </c>
      <c r="CX15" s="38" t="str">
        <f>IF($BS$5=$BR$34, "", IF($Z$1=2, Settings!$P13, ""))</f>
        <v/>
      </c>
      <c r="CY15">
        <f>'Calcs-control1'!$AQ$160</f>
        <v>7.3908523208725887</v>
      </c>
      <c r="DB15" s="1" t="s">
        <v>88</v>
      </c>
      <c r="DC15" t="s">
        <v>308</v>
      </c>
      <c r="DD15" t="e">
        <f t="shared" si="17"/>
        <v>#VALUE!</v>
      </c>
      <c r="DE15" t="e">
        <f t="shared" si="18"/>
        <v>#VALUE!</v>
      </c>
      <c r="DF15" s="19" t="e">
        <f t="shared" si="54"/>
        <v>#VALUE!</v>
      </c>
      <c r="DG15">
        <v>11</v>
      </c>
      <c r="DK15" s="17" t="str">
        <f t="shared" si="42"/>
        <v/>
      </c>
      <c r="DL15" t="str">
        <f t="shared" si="43"/>
        <v/>
      </c>
      <c r="DM15" s="18" t="str">
        <f t="shared" si="44"/>
        <v/>
      </c>
      <c r="DN15">
        <v>11</v>
      </c>
      <c r="DS15" t="e">
        <f t="shared" si="45"/>
        <v>#VALUE!</v>
      </c>
      <c r="DT15" t="e">
        <f t="shared" si="46"/>
        <v>#VALUE!</v>
      </c>
      <c r="DU15" s="17" t="e">
        <f t="shared" si="55"/>
        <v>#VALUE!</v>
      </c>
      <c r="DV15" s="18" t="e">
        <f t="shared" si="56"/>
        <v>#VALUE!</v>
      </c>
      <c r="DW15" s="17" t="e">
        <f t="shared" si="57"/>
        <v>#VALUE!</v>
      </c>
      <c r="DX15" s="18" t="e">
        <f t="shared" si="58"/>
        <v>#VALUE!</v>
      </c>
      <c r="DY15">
        <v>11</v>
      </c>
      <c r="EF15">
        <f>'Calcs-control1'!BD25</f>
        <v>2.0091570424325322</v>
      </c>
      <c r="EG15">
        <f>'Calcs-control1'!AO97</f>
        <v>2.1661216414350166</v>
      </c>
      <c r="EH15">
        <f>'Calcs-control1'!BA97</f>
        <v>3.9136322338345422</v>
      </c>
      <c r="EO15">
        <f t="shared" si="47"/>
        <v>16.020477555818463</v>
      </c>
      <c r="EP15">
        <f t="shared" si="19"/>
        <v>15.4</v>
      </c>
    </row>
    <row r="16" spans="1:165" x14ac:dyDescent="0.3">
      <c r="A16" s="11">
        <v>0.13</v>
      </c>
      <c r="B16" s="2">
        <f t="shared" si="20"/>
        <v>0.13</v>
      </c>
      <c r="D16">
        <v>6.5</v>
      </c>
      <c r="E16" s="61">
        <f t="shared" si="21"/>
        <v>6.5</v>
      </c>
      <c r="G16" s="2">
        <v>70</v>
      </c>
      <c r="H16" s="2" t="str">
        <f t="shared" si="22"/>
        <v/>
      </c>
      <c r="J16">
        <v>12</v>
      </c>
      <c r="K16">
        <f t="shared" si="23"/>
        <v>17.32547549785119</v>
      </c>
      <c r="L16">
        <f t="shared" si="24"/>
        <v>9.7246328981944092</v>
      </c>
      <c r="M16">
        <f t="shared" si="25"/>
        <v>0.57751584992837302</v>
      </c>
      <c r="S16" t="e">
        <f t="shared" si="0"/>
        <v>#N/A</v>
      </c>
      <c r="T16" t="e">
        <f t="shared" si="26"/>
        <v>#N/A</v>
      </c>
      <c r="U16">
        <f t="shared" si="1"/>
        <v>2.2221945690913398</v>
      </c>
      <c r="V16">
        <f t="shared" si="2"/>
        <v>2.2221945690913398</v>
      </c>
      <c r="X16">
        <f t="shared" si="27"/>
        <v>17.32547549785119</v>
      </c>
      <c r="Y16">
        <f t="shared" si="28"/>
        <v>16.8</v>
      </c>
      <c r="AA16">
        <f t="shared" si="29"/>
        <v>0</v>
      </c>
      <c r="AB16">
        <f t="shared" si="30"/>
        <v>0.5</v>
      </c>
      <c r="AC16" s="17" t="str">
        <f t="shared" si="48"/>
        <v/>
      </c>
      <c r="AD16" s="19" t="str">
        <f t="shared" si="3"/>
        <v/>
      </c>
      <c r="AE16" s="18">
        <v>12</v>
      </c>
      <c r="AI16" s="38" t="str">
        <f>IF($F$5=$E$34, "",IF($Z$1=2, Settings!$P14, ""))</f>
        <v/>
      </c>
      <c r="AJ16" s="133">
        <f>'Calcs-control1'!$AR$160</f>
        <v>12.869231101689474</v>
      </c>
      <c r="AO16">
        <f t="shared" si="31"/>
        <v>-3.3018527750253988</v>
      </c>
      <c r="AP16">
        <f t="shared" si="32"/>
        <v>3.550768285967934E-2</v>
      </c>
      <c r="AQ16" s="19" t="str">
        <f t="shared" si="33"/>
        <v/>
      </c>
      <c r="AR16">
        <v>12</v>
      </c>
      <c r="AS16" t="s">
        <v>428</v>
      </c>
      <c r="AV16" s="17">
        <f t="shared" si="5"/>
        <v>2.2221945690913398</v>
      </c>
      <c r="AW16" t="str">
        <f t="shared" si="6"/>
        <v/>
      </c>
      <c r="AX16" s="18" t="str">
        <f t="shared" si="7"/>
        <v/>
      </c>
      <c r="AY16">
        <v>12</v>
      </c>
      <c r="BA16" s="1" t="s">
        <v>148</v>
      </c>
      <c r="BD16">
        <f t="shared" si="8"/>
        <v>0.5</v>
      </c>
      <c r="BE16">
        <f t="shared" si="9"/>
        <v>3.550768285967934E-2</v>
      </c>
      <c r="BF16" s="17" t="str">
        <f t="shared" si="49"/>
        <v/>
      </c>
      <c r="BG16" s="18" t="str">
        <f t="shared" si="50"/>
        <v/>
      </c>
      <c r="BH16" s="17" t="str">
        <f t="shared" si="51"/>
        <v/>
      </c>
      <c r="BI16" s="18" t="str">
        <f t="shared" si="52"/>
        <v/>
      </c>
      <c r="BJ16">
        <v>12</v>
      </c>
      <c r="BK16" s="1"/>
      <c r="BN16" s="4">
        <v>0.13</v>
      </c>
      <c r="BO16" s="2" t="str">
        <f t="shared" si="34"/>
        <v/>
      </c>
      <c r="BQ16">
        <v>6.5</v>
      </c>
      <c r="BR16" s="61" t="str">
        <f t="shared" si="35"/>
        <v/>
      </c>
      <c r="BW16">
        <v>12</v>
      </c>
      <c r="BX16">
        <f t="shared" si="36"/>
        <v>17.693226839133128</v>
      </c>
      <c r="BY16">
        <f t="shared" si="37"/>
        <v>11.708791177033534</v>
      </c>
      <c r="BZ16">
        <f t="shared" si="38"/>
        <v>0.41284195957977304</v>
      </c>
      <c r="CF16" t="e">
        <f t="shared" si="10"/>
        <v>#N/A</v>
      </c>
      <c r="CG16" t="e">
        <f t="shared" si="11"/>
        <v>#N/A</v>
      </c>
      <c r="CH16" t="e">
        <f t="shared" si="12"/>
        <v>#N/A</v>
      </c>
      <c r="CI16">
        <f t="shared" si="13"/>
        <v>2.2221945690913398</v>
      </c>
      <c r="CK16">
        <f t="shared" si="39"/>
        <v>17.693226839133128</v>
      </c>
      <c r="CL16">
        <f t="shared" si="40"/>
        <v>16.8</v>
      </c>
      <c r="CN16" t="e">
        <f t="shared" si="14"/>
        <v>#VALUE!</v>
      </c>
      <c r="CO16" t="e">
        <f t="shared" si="41"/>
        <v>#VALUE!</v>
      </c>
      <c r="CP16" s="17" t="e">
        <f t="shared" si="53"/>
        <v>#VALUE!</v>
      </c>
      <c r="CQ16" s="18" t="str">
        <f t="shared" si="15"/>
        <v/>
      </c>
      <c r="CR16">
        <v>12</v>
      </c>
      <c r="CX16" s="38" t="str">
        <f>IF($BS$5=$BR$34, "", IF($Z$1=2, Settings!$P14, ""))</f>
        <v/>
      </c>
      <c r="CY16">
        <f>'Calcs-control1'!$AR$160</f>
        <v>12.869231101689474</v>
      </c>
      <c r="DB16" s="1" t="s">
        <v>89</v>
      </c>
      <c r="DD16" t="e">
        <f t="shared" si="17"/>
        <v>#VALUE!</v>
      </c>
      <c r="DE16" t="e">
        <f t="shared" si="18"/>
        <v>#VALUE!</v>
      </c>
      <c r="DF16" s="19" t="e">
        <f t="shared" si="54"/>
        <v>#VALUE!</v>
      </c>
      <c r="DG16">
        <v>12</v>
      </c>
      <c r="DH16" t="s">
        <v>425</v>
      </c>
      <c r="DK16" s="17" t="str">
        <f t="shared" si="42"/>
        <v/>
      </c>
      <c r="DL16" t="str">
        <f t="shared" si="43"/>
        <v/>
      </c>
      <c r="DM16" s="18" t="str">
        <f t="shared" si="44"/>
        <v/>
      </c>
      <c r="DN16">
        <v>12</v>
      </c>
      <c r="DP16" s="1" t="s">
        <v>145</v>
      </c>
      <c r="DS16" t="e">
        <f t="shared" si="45"/>
        <v>#VALUE!</v>
      </c>
      <c r="DT16" t="e">
        <f t="shared" si="46"/>
        <v>#VALUE!</v>
      </c>
      <c r="DU16" s="17" t="e">
        <f t="shared" si="55"/>
        <v>#VALUE!</v>
      </c>
      <c r="DV16" s="18" t="e">
        <f t="shared" si="56"/>
        <v>#VALUE!</v>
      </c>
      <c r="DW16" s="17" t="e">
        <f t="shared" si="57"/>
        <v>#VALUE!</v>
      </c>
      <c r="DX16" s="18" t="e">
        <f t="shared" si="58"/>
        <v>#VALUE!</v>
      </c>
      <c r="DY16">
        <v>12</v>
      </c>
      <c r="DZ16" s="1"/>
      <c r="EF16">
        <f>'Calcs-control1'!BD26</f>
        <v>2.2221945690913398</v>
      </c>
      <c r="EG16">
        <f>'Calcs-control1'!AO98</f>
        <v>2.3293426057079767</v>
      </c>
      <c r="EH16">
        <f>'Calcs-control1'!BA98</f>
        <v>4.3426251385065333</v>
      </c>
      <c r="EO16">
        <f t="shared" si="47"/>
        <v>17.32547549785119</v>
      </c>
      <c r="EP16">
        <f t="shared" si="19"/>
        <v>16.8</v>
      </c>
    </row>
    <row r="17" spans="1:146" x14ac:dyDescent="0.3">
      <c r="A17" s="11">
        <v>0.14000000000000001</v>
      </c>
      <c r="B17" s="2">
        <f t="shared" si="20"/>
        <v>0.14000000000000001</v>
      </c>
      <c r="D17">
        <v>7</v>
      </c>
      <c r="E17" s="61">
        <f t="shared" si="21"/>
        <v>7</v>
      </c>
      <c r="G17" s="2">
        <v>80</v>
      </c>
      <c r="H17" s="2" t="str">
        <f t="shared" si="22"/>
        <v/>
      </c>
      <c r="J17">
        <v>13</v>
      </c>
      <c r="K17">
        <f t="shared" si="23"/>
        <v>18.619630499449006</v>
      </c>
      <c r="L17">
        <f t="shared" si="24"/>
        <v>10.009774617979712</v>
      </c>
      <c r="M17">
        <f t="shared" si="25"/>
        <v>0.62065434998163349</v>
      </c>
      <c r="S17" t="e">
        <f t="shared" si="0"/>
        <v>#N/A</v>
      </c>
      <c r="T17" t="e">
        <f t="shared" si="26"/>
        <v>#N/A</v>
      </c>
      <c r="U17">
        <f t="shared" si="1"/>
        <v>2.4578211650993307</v>
      </c>
      <c r="V17">
        <f t="shared" si="2"/>
        <v>2.4578211650993307</v>
      </c>
      <c r="X17">
        <f t="shared" si="27"/>
        <v>18.619630499449006</v>
      </c>
      <c r="Y17">
        <f t="shared" si="28"/>
        <v>18.2</v>
      </c>
      <c r="AA17">
        <f>$Z$4+$Z$5*$F$5+$Z$6*J17+$Z$7*$Q$1+$Z$8*$I$5</f>
        <v>0</v>
      </c>
      <c r="AB17">
        <f t="shared" si="30"/>
        <v>0.5</v>
      </c>
      <c r="AC17" s="17" t="str">
        <f t="shared" si="48"/>
        <v/>
      </c>
      <c r="AD17" s="19" t="str">
        <f t="shared" si="3"/>
        <v/>
      </c>
      <c r="AE17" s="18">
        <v>13</v>
      </c>
      <c r="AI17" s="38" t="str">
        <f>IF($F$5=$E$34, "",IF($Z$1=2, Settings!$P15, ""))</f>
        <v/>
      </c>
      <c r="AJ17" s="133">
        <f>'Calcs-control1'!$AS$160</f>
        <v>26.284888237309154</v>
      </c>
      <c r="AL17" t="s">
        <v>478</v>
      </c>
      <c r="AM17" t="str">
        <f>'ROS Graph'!F1</f>
        <v>v1.0, CFI.m11, Aug. 2023</v>
      </c>
      <c r="AO17">
        <f t="shared" si="31"/>
        <v>-2.49102122329138</v>
      </c>
      <c r="AP17">
        <f t="shared" si="32"/>
        <v>7.6490027642980393E-2</v>
      </c>
      <c r="AQ17" s="19" t="str">
        <f t="shared" si="33"/>
        <v/>
      </c>
      <c r="AR17">
        <v>13</v>
      </c>
      <c r="AS17" t="s">
        <v>426</v>
      </c>
      <c r="AV17" s="17">
        <f t="shared" si="5"/>
        <v>2.4578211650993307</v>
      </c>
      <c r="AW17" t="str">
        <f t="shared" si="6"/>
        <v/>
      </c>
      <c r="AX17" s="18" t="str">
        <f t="shared" si="7"/>
        <v/>
      </c>
      <c r="AY17">
        <v>13</v>
      </c>
      <c r="BA17">
        <f>MAX(AV4:AV74)</f>
        <v>3.3254840824961294</v>
      </c>
      <c r="BB17" t="e">
        <f>IF(BB4=FALSE, VLOOKUP(BA17, $AV$4:$AY$74, 4), NA())</f>
        <v>#N/A</v>
      </c>
      <c r="BD17">
        <f t="shared" si="8"/>
        <v>0.5</v>
      </c>
      <c r="BE17">
        <f t="shared" si="9"/>
        <v>7.6490027642980393E-2</v>
      </c>
      <c r="BF17" s="17" t="str">
        <f t="shared" si="49"/>
        <v/>
      </c>
      <c r="BG17" s="18" t="str">
        <f t="shared" si="50"/>
        <v/>
      </c>
      <c r="BH17" s="17" t="str">
        <f t="shared" si="51"/>
        <v/>
      </c>
      <c r="BI17" s="18" t="str">
        <f t="shared" si="52"/>
        <v/>
      </c>
      <c r="BJ17">
        <v>13</v>
      </c>
      <c r="BN17" s="4">
        <v>0.14000000000000001</v>
      </c>
      <c r="BO17" s="2" t="str">
        <f t="shared" si="34"/>
        <v/>
      </c>
      <c r="BQ17">
        <v>7</v>
      </c>
      <c r="BR17" s="61" t="str">
        <f t="shared" si="35"/>
        <v/>
      </c>
      <c r="BW17">
        <v>13</v>
      </c>
      <c r="BX17">
        <f t="shared" si="36"/>
        <v>19.014851634430016</v>
      </c>
      <c r="BY17">
        <f t="shared" si="37"/>
        <v>12.201275156787846</v>
      </c>
      <c r="BZ17">
        <f t="shared" si="38"/>
        <v>0.44367987147003374</v>
      </c>
      <c r="CF17" t="e">
        <f t="shared" si="10"/>
        <v>#N/A</v>
      </c>
      <c r="CG17" t="e">
        <f t="shared" si="11"/>
        <v>#N/A</v>
      </c>
      <c r="CH17" t="e">
        <f t="shared" si="12"/>
        <v>#N/A</v>
      </c>
      <c r="CI17">
        <f t="shared" si="13"/>
        <v>2.4578211650993307</v>
      </c>
      <c r="CK17">
        <f t="shared" si="39"/>
        <v>19.014851634430016</v>
      </c>
      <c r="CL17">
        <f t="shared" si="40"/>
        <v>18.2</v>
      </c>
      <c r="CN17" t="e">
        <f t="shared" si="14"/>
        <v>#VALUE!</v>
      </c>
      <c r="CO17" t="e">
        <f t="shared" si="41"/>
        <v>#VALUE!</v>
      </c>
      <c r="CP17" s="17" t="e">
        <f t="shared" si="53"/>
        <v>#VALUE!</v>
      </c>
      <c r="CQ17" s="18" t="str">
        <f t="shared" si="15"/>
        <v/>
      </c>
      <c r="CR17">
        <v>13</v>
      </c>
      <c r="CX17" s="38" t="str">
        <f>IF($BS$5=$BR$34, "", IF($Z$1=2, Settings!$P15, ""))</f>
        <v/>
      </c>
      <c r="CY17">
        <f>'Calcs-control1'!$AS$160</f>
        <v>26.284888237309154</v>
      </c>
      <c r="DB17" s="1" t="s">
        <v>117</v>
      </c>
      <c r="DC17" t="s">
        <v>349</v>
      </c>
      <c r="DD17" t="e">
        <f t="shared" si="17"/>
        <v>#VALUE!</v>
      </c>
      <c r="DE17" t="e">
        <f t="shared" si="18"/>
        <v>#VALUE!</v>
      </c>
      <c r="DF17" s="19" t="e">
        <f t="shared" si="54"/>
        <v>#VALUE!</v>
      </c>
      <c r="DG17">
        <v>13</v>
      </c>
      <c r="DH17" t="s">
        <v>426</v>
      </c>
      <c r="DK17" s="17" t="str">
        <f t="shared" si="42"/>
        <v/>
      </c>
      <c r="DL17" t="str">
        <f t="shared" si="43"/>
        <v/>
      </c>
      <c r="DM17" s="18" t="str">
        <f t="shared" si="44"/>
        <v/>
      </c>
      <c r="DN17">
        <v>13</v>
      </c>
      <c r="DP17">
        <f>MAX(DK4:DK74)</f>
        <v>0</v>
      </c>
      <c r="DQ17" t="e">
        <f>IF(DQ4=FALSE, VLOOKUP(DP17, $DK$4:$DN$74, 4), NA())</f>
        <v>#N/A</v>
      </c>
      <c r="DS17" t="e">
        <f t="shared" si="45"/>
        <v>#VALUE!</v>
      </c>
      <c r="DT17" t="e">
        <f t="shared" si="46"/>
        <v>#VALUE!</v>
      </c>
      <c r="DU17" s="17" t="e">
        <f t="shared" si="55"/>
        <v>#VALUE!</v>
      </c>
      <c r="DV17" s="18" t="e">
        <f t="shared" si="56"/>
        <v>#VALUE!</v>
      </c>
      <c r="DW17" s="17" t="e">
        <f t="shared" si="57"/>
        <v>#VALUE!</v>
      </c>
      <c r="DX17" s="18" t="e">
        <f t="shared" si="58"/>
        <v>#VALUE!</v>
      </c>
      <c r="DY17">
        <v>13</v>
      </c>
      <c r="EF17">
        <f>'Calcs-control1'!BD27</f>
        <v>2.4578211650993307</v>
      </c>
      <c r="EG17">
        <f>'Calcs-control1'!AO99</f>
        <v>2.5038684988522526</v>
      </c>
      <c r="EH17">
        <f>'Calcs-control1'!BA99</f>
        <v>4.8085134193224865</v>
      </c>
      <c r="EO17">
        <f t="shared" si="47"/>
        <v>18.619630499449006</v>
      </c>
      <c r="EP17">
        <f t="shared" si="19"/>
        <v>18.2</v>
      </c>
    </row>
    <row r="18" spans="1:146" x14ac:dyDescent="0.3">
      <c r="A18" s="11">
        <v>0.15</v>
      </c>
      <c r="B18" s="2">
        <f t="shared" si="20"/>
        <v>0.15</v>
      </c>
      <c r="D18">
        <v>7.5</v>
      </c>
      <c r="E18" s="61">
        <f t="shared" si="21"/>
        <v>7.5</v>
      </c>
      <c r="G18" s="2">
        <v>90</v>
      </c>
      <c r="H18" s="2" t="str">
        <f t="shared" si="22"/>
        <v/>
      </c>
      <c r="J18">
        <v>14</v>
      </c>
      <c r="K18">
        <f t="shared" si="23"/>
        <v>19.903858398482015</v>
      </c>
      <c r="L18">
        <f t="shared" si="24"/>
        <v>10.251783143679251</v>
      </c>
      <c r="M18">
        <f t="shared" si="25"/>
        <v>0.66346194661606717</v>
      </c>
      <c r="S18" t="e">
        <f t="shared" si="0"/>
        <v>#N/A</v>
      </c>
      <c r="T18" t="e">
        <f t="shared" si="26"/>
        <v>#N/A</v>
      </c>
      <c r="U18">
        <f t="shared" si="1"/>
        <v>2.7184320237450481</v>
      </c>
      <c r="V18">
        <f t="shared" si="2"/>
        <v>2.7184320237450481</v>
      </c>
      <c r="X18">
        <f t="shared" si="27"/>
        <v>19.903858398482015</v>
      </c>
      <c r="Y18">
        <f t="shared" si="28"/>
        <v>19.600000000000005</v>
      </c>
      <c r="AA18">
        <f t="shared" si="29"/>
        <v>0</v>
      </c>
      <c r="AB18">
        <f t="shared" si="30"/>
        <v>0.5</v>
      </c>
      <c r="AC18" s="17" t="str">
        <f t="shared" si="48"/>
        <v/>
      </c>
      <c r="AD18" s="19" t="str">
        <f t="shared" si="3"/>
        <v/>
      </c>
      <c r="AE18" s="18">
        <v>14</v>
      </c>
      <c r="AI18" s="38" t="str">
        <f>IF($F$5=$E$34, "",IF($Z$1=2, Settings!$P16, ""))</f>
        <v/>
      </c>
      <c r="AJ18" s="133">
        <f>'Calcs-control1'!$AT$160</f>
        <v>0.35</v>
      </c>
      <c r="AO18">
        <f t="shared" si="31"/>
        <v>-1.680189671557363</v>
      </c>
      <c r="AP18">
        <f t="shared" si="32"/>
        <v>0.15707035487845974</v>
      </c>
      <c r="AQ18" s="19" t="str">
        <f t="shared" si="33"/>
        <v/>
      </c>
      <c r="AR18">
        <v>14</v>
      </c>
      <c r="AS18" t="s">
        <v>427</v>
      </c>
      <c r="AV18" s="17">
        <f t="shared" si="5"/>
        <v>2.7184320237450481</v>
      </c>
      <c r="AW18" t="str">
        <f t="shared" si="6"/>
        <v/>
      </c>
      <c r="AX18" s="18" t="str">
        <f t="shared" si="7"/>
        <v/>
      </c>
      <c r="AY18">
        <v>14</v>
      </c>
      <c r="BA18">
        <f>MIN(AX4:AX74)</f>
        <v>31.115522175334807</v>
      </c>
      <c r="BB18" t="e">
        <f>IF(BB4=FALSE, VLOOKUP(BA18, AX4:AY74, 2), NA())</f>
        <v>#N/A</v>
      </c>
      <c r="BD18">
        <f t="shared" si="8"/>
        <v>0.5</v>
      </c>
      <c r="BE18">
        <f t="shared" si="9"/>
        <v>0.15707035487845974</v>
      </c>
      <c r="BF18" s="17" t="str">
        <f t="shared" si="49"/>
        <v/>
      </c>
      <c r="BG18" s="18" t="str">
        <f t="shared" si="50"/>
        <v/>
      </c>
      <c r="BH18" s="17">
        <f t="shared" si="51"/>
        <v>20</v>
      </c>
      <c r="BI18" s="18" t="str">
        <f t="shared" si="52"/>
        <v/>
      </c>
      <c r="BJ18">
        <v>14</v>
      </c>
      <c r="BN18" s="4">
        <v>0.15</v>
      </c>
      <c r="BO18" s="2" t="str">
        <f t="shared" si="34"/>
        <v/>
      </c>
      <c r="BQ18">
        <v>7.5</v>
      </c>
      <c r="BR18" s="61" t="str">
        <f t="shared" si="35"/>
        <v/>
      </c>
      <c r="BW18">
        <v>14</v>
      </c>
      <c r="BX18">
        <f t="shared" si="36"/>
        <v>20.326338614025612</v>
      </c>
      <c r="BY18">
        <f t="shared" si="37"/>
        <v>12.649735165320225</v>
      </c>
      <c r="BZ18">
        <f t="shared" si="38"/>
        <v>0.47428123432726432</v>
      </c>
      <c r="CF18" t="e">
        <f t="shared" si="10"/>
        <v>#N/A</v>
      </c>
      <c r="CG18" t="e">
        <f t="shared" si="11"/>
        <v>#N/A</v>
      </c>
      <c r="CH18" t="e">
        <f t="shared" si="12"/>
        <v>#N/A</v>
      </c>
      <c r="CI18">
        <f t="shared" si="13"/>
        <v>2.7184320237450481</v>
      </c>
      <c r="CK18">
        <f t="shared" si="39"/>
        <v>20.326338614025612</v>
      </c>
      <c r="CL18">
        <f t="shared" si="40"/>
        <v>19.600000000000005</v>
      </c>
      <c r="CN18" t="e">
        <f t="shared" si="14"/>
        <v>#VALUE!</v>
      </c>
      <c r="CO18" t="e">
        <f t="shared" si="41"/>
        <v>#VALUE!</v>
      </c>
      <c r="CP18" s="17" t="e">
        <f t="shared" si="53"/>
        <v>#VALUE!</v>
      </c>
      <c r="CQ18" s="18" t="str">
        <f t="shared" si="15"/>
        <v/>
      </c>
      <c r="CR18">
        <v>14</v>
      </c>
      <c r="CX18" s="38" t="str">
        <f>IF($BS$5=$BR$34, "", IF($Z$1=2, Settings!$P16, ""))</f>
        <v/>
      </c>
      <c r="CY18">
        <f>'Calcs-control1'!$AT$160</f>
        <v>0.35</v>
      </c>
      <c r="DD18" t="e">
        <f t="shared" si="17"/>
        <v>#VALUE!</v>
      </c>
      <c r="DE18" t="e">
        <f t="shared" si="18"/>
        <v>#VALUE!</v>
      </c>
      <c r="DF18" s="19" t="e">
        <f t="shared" si="54"/>
        <v>#VALUE!</v>
      </c>
      <c r="DG18">
        <v>14</v>
      </c>
      <c r="DH18" t="s">
        <v>427</v>
      </c>
      <c r="DK18" s="17" t="str">
        <f t="shared" si="42"/>
        <v/>
      </c>
      <c r="DL18" t="str">
        <f t="shared" si="43"/>
        <v/>
      </c>
      <c r="DM18" s="18" t="str">
        <f t="shared" si="44"/>
        <v/>
      </c>
      <c r="DN18">
        <v>14</v>
      </c>
      <c r="DP18">
        <f>MIN(DM4:DM74)</f>
        <v>0</v>
      </c>
      <c r="DQ18" t="e">
        <f>IF(DQ4=FALSE, VLOOKUP(DP18, $DM$4:$DN$74, 2), NA())</f>
        <v>#N/A</v>
      </c>
      <c r="DS18" t="e">
        <f t="shared" si="45"/>
        <v>#VALUE!</v>
      </c>
      <c r="DT18" t="e">
        <f t="shared" si="46"/>
        <v>#VALUE!</v>
      </c>
      <c r="DU18" s="17" t="e">
        <f t="shared" si="55"/>
        <v>#VALUE!</v>
      </c>
      <c r="DV18" s="18" t="e">
        <f t="shared" si="56"/>
        <v>#VALUE!</v>
      </c>
      <c r="DW18" s="17" t="e">
        <f t="shared" si="57"/>
        <v>#VALUE!</v>
      </c>
      <c r="DX18" s="18" t="e">
        <f t="shared" si="58"/>
        <v>#VALUE!</v>
      </c>
      <c r="DY18">
        <v>14</v>
      </c>
      <c r="EF18">
        <f>'Calcs-control1'!BD28</f>
        <v>2.7184320237450481</v>
      </c>
      <c r="EG18">
        <f>'Calcs-control1'!AO100</f>
        <v>2.6903517951685907</v>
      </c>
      <c r="EH18">
        <f>'Calcs-control1'!BA100</f>
        <v>5.312796098392691</v>
      </c>
      <c r="EO18">
        <f t="shared" si="47"/>
        <v>19.903858398482015</v>
      </c>
      <c r="EP18">
        <f t="shared" si="19"/>
        <v>19.600000000000005</v>
      </c>
    </row>
    <row r="19" spans="1:146" x14ac:dyDescent="0.3">
      <c r="A19" s="11">
        <v>0.16</v>
      </c>
      <c r="B19" s="2">
        <f t="shared" si="20"/>
        <v>0.16</v>
      </c>
      <c r="D19">
        <v>8</v>
      </c>
      <c r="E19" s="61">
        <f t="shared" si="21"/>
        <v>8</v>
      </c>
      <c r="G19" s="2">
        <v>100</v>
      </c>
      <c r="H19" s="2" t="str">
        <f t="shared" si="22"/>
        <v/>
      </c>
      <c r="J19">
        <v>15</v>
      </c>
      <c r="K19">
        <f t="shared" si="23"/>
        <v>21.178937774920364</v>
      </c>
      <c r="L19">
        <f t="shared" si="24"/>
        <v>10.454605448997754</v>
      </c>
      <c r="M19">
        <f t="shared" si="25"/>
        <v>0.70596459249734544</v>
      </c>
      <c r="S19" t="e">
        <f t="shared" si="0"/>
        <v>#N/A</v>
      </c>
      <c r="T19" t="e">
        <f t="shared" si="26"/>
        <v>#N/A</v>
      </c>
      <c r="U19">
        <f t="shared" si="1"/>
        <v>3.0066763085360386</v>
      </c>
      <c r="V19">
        <f t="shared" si="2"/>
        <v>3.0066763085360386</v>
      </c>
      <c r="X19">
        <f t="shared" si="27"/>
        <v>21.178937774920364</v>
      </c>
      <c r="Y19">
        <f t="shared" si="28"/>
        <v>21</v>
      </c>
      <c r="AA19">
        <f t="shared" si="29"/>
        <v>0</v>
      </c>
      <c r="AB19">
        <f t="shared" si="30"/>
        <v>0.5</v>
      </c>
      <c r="AC19" s="17" t="str">
        <f t="shared" si="48"/>
        <v/>
      </c>
      <c r="AD19" s="19" t="str">
        <f t="shared" si="3"/>
        <v/>
      </c>
      <c r="AE19" s="18">
        <v>15</v>
      </c>
      <c r="AI19" s="38" t="str">
        <f>IF($F$5=$E$34, "",IF($Z$1=2, Settings!$P17, ""))</f>
        <v/>
      </c>
      <c r="AJ19" s="133" t="e">
        <f>'Calcs-control3'!$AV$160</f>
        <v>#VALUE!</v>
      </c>
      <c r="AO19">
        <f t="shared" si="31"/>
        <v>-0.86935811982334421</v>
      </c>
      <c r="AP19">
        <f t="shared" si="32"/>
        <v>0.29538788146573985</v>
      </c>
      <c r="AQ19" s="19" t="str">
        <f t="shared" si="33"/>
        <v/>
      </c>
      <c r="AR19">
        <v>15</v>
      </c>
      <c r="AV19" s="17">
        <f t="shared" si="5"/>
        <v>3.0066763085360386</v>
      </c>
      <c r="AW19" t="str">
        <f t="shared" si="6"/>
        <v/>
      </c>
      <c r="AX19" s="18" t="str">
        <f t="shared" si="7"/>
        <v/>
      </c>
      <c r="AY19">
        <v>15</v>
      </c>
      <c r="BD19">
        <f t="shared" si="8"/>
        <v>0.5</v>
      </c>
      <c r="BE19">
        <f t="shared" si="9"/>
        <v>0.29538788146573985</v>
      </c>
      <c r="BF19" s="17" t="str">
        <f t="shared" si="49"/>
        <v/>
      </c>
      <c r="BG19" s="18" t="str">
        <f t="shared" si="50"/>
        <v/>
      </c>
      <c r="BH19" s="17" t="str">
        <f t="shared" si="51"/>
        <v/>
      </c>
      <c r="BI19" s="18" t="str">
        <f t="shared" si="52"/>
        <v/>
      </c>
      <c r="BJ19">
        <v>15</v>
      </c>
      <c r="BN19" s="4">
        <v>0.16</v>
      </c>
      <c r="BO19" s="2" t="str">
        <f t="shared" si="34"/>
        <v/>
      </c>
      <c r="BQ19">
        <v>8</v>
      </c>
      <c r="BR19" s="61" t="str">
        <f t="shared" si="35"/>
        <v/>
      </c>
      <c r="BW19">
        <v>15</v>
      </c>
      <c r="BX19">
        <f t="shared" si="36"/>
        <v>21.628482884064386</v>
      </c>
      <c r="BY19">
        <f t="shared" si="37"/>
        <v>13.057288680639495</v>
      </c>
      <c r="BZ19">
        <f t="shared" si="38"/>
        <v>0.50466460062816909</v>
      </c>
      <c r="CF19" t="e">
        <f t="shared" si="10"/>
        <v>#N/A</v>
      </c>
      <c r="CG19" t="e">
        <f t="shared" si="11"/>
        <v>#N/A</v>
      </c>
      <c r="CH19" t="e">
        <f t="shared" si="12"/>
        <v>#N/A</v>
      </c>
      <c r="CI19">
        <f t="shared" si="13"/>
        <v>3.0066763085360386</v>
      </c>
      <c r="CK19">
        <f t="shared" si="39"/>
        <v>21.628482884064386</v>
      </c>
      <c r="CL19">
        <f t="shared" si="40"/>
        <v>21</v>
      </c>
      <c r="CN19" t="e">
        <f t="shared" si="14"/>
        <v>#VALUE!</v>
      </c>
      <c r="CO19" t="e">
        <f t="shared" si="41"/>
        <v>#VALUE!</v>
      </c>
      <c r="CP19" s="17" t="e">
        <f t="shared" si="53"/>
        <v>#VALUE!</v>
      </c>
      <c r="CQ19" s="18" t="str">
        <f t="shared" si="15"/>
        <v/>
      </c>
      <c r="CR19">
        <v>15</v>
      </c>
      <c r="CX19" s="38" t="str">
        <f>IF($BS$5=$BR$34, "", IF($Z$1=2, Settings!$P17, ""))</f>
        <v/>
      </c>
      <c r="CY19">
        <f>'Calcs-control1'!$AV$160</f>
        <v>0</v>
      </c>
      <c r="DD19" t="e">
        <f t="shared" si="17"/>
        <v>#VALUE!</v>
      </c>
      <c r="DE19" t="e">
        <f t="shared" si="18"/>
        <v>#VALUE!</v>
      </c>
      <c r="DF19" s="19" t="e">
        <f t="shared" si="54"/>
        <v>#VALUE!</v>
      </c>
      <c r="DG19">
        <v>15</v>
      </c>
      <c r="DK19" s="17" t="str">
        <f t="shared" si="42"/>
        <v/>
      </c>
      <c r="DL19" t="str">
        <f t="shared" si="43"/>
        <v/>
      </c>
      <c r="DM19" s="18" t="str">
        <f t="shared" si="44"/>
        <v/>
      </c>
      <c r="DN19">
        <v>15</v>
      </c>
      <c r="DS19" t="e">
        <f t="shared" si="45"/>
        <v>#VALUE!</v>
      </c>
      <c r="DT19" t="e">
        <f t="shared" si="46"/>
        <v>#VALUE!</v>
      </c>
      <c r="DU19" s="17" t="e">
        <f t="shared" si="55"/>
        <v>#VALUE!</v>
      </c>
      <c r="DV19" s="18" t="e">
        <f t="shared" si="56"/>
        <v>#VALUE!</v>
      </c>
      <c r="DW19" s="17" t="e">
        <f t="shared" si="57"/>
        <v>#VALUE!</v>
      </c>
      <c r="DX19" s="18" t="e">
        <f t="shared" si="58"/>
        <v>#VALUE!</v>
      </c>
      <c r="DY19">
        <v>15</v>
      </c>
      <c r="EF19">
        <f>'Calcs-control1'!BD29</f>
        <v>3.0066763085360386</v>
      </c>
      <c r="EG19">
        <f>'Calcs-control1'!AO101</f>
        <v>2.8894653007559969</v>
      </c>
      <c r="EH19">
        <f>'Calcs-control1'!BA101</f>
        <v>5.8567510962214326</v>
      </c>
      <c r="EO19">
        <f t="shared" si="47"/>
        <v>21.178937774920364</v>
      </c>
      <c r="EP19">
        <f t="shared" si="19"/>
        <v>21</v>
      </c>
    </row>
    <row r="20" spans="1:146" x14ac:dyDescent="0.3">
      <c r="A20" s="11">
        <v>0.17</v>
      </c>
      <c r="B20" s="2">
        <f t="shared" si="20"/>
        <v>0.17</v>
      </c>
      <c r="D20">
        <v>8.5</v>
      </c>
      <c r="E20" s="61">
        <f t="shared" si="21"/>
        <v>8.5</v>
      </c>
      <c r="G20" s="2">
        <v>110</v>
      </c>
      <c r="H20" s="2" t="str">
        <f t="shared" si="22"/>
        <v/>
      </c>
      <c r="J20">
        <v>16</v>
      </c>
      <c r="K20">
        <f t="shared" si="23"/>
        <v>22.445538314664248</v>
      </c>
      <c r="L20">
        <f t="shared" si="24"/>
        <v>10.621786746162332</v>
      </c>
      <c r="M20">
        <f t="shared" si="25"/>
        <v>0.74818461048880824</v>
      </c>
      <c r="S20" t="e">
        <f t="shared" si="0"/>
        <v>#N/A</v>
      </c>
      <c r="T20" t="e">
        <f t="shared" si="26"/>
        <v>#N/A</v>
      </c>
      <c r="U20">
        <f t="shared" si="1"/>
        <v>3.3254840824961294</v>
      </c>
      <c r="V20">
        <f t="shared" si="2"/>
        <v>3.3254840824961294</v>
      </c>
      <c r="X20">
        <f t="shared" si="27"/>
        <v>22.445538314664248</v>
      </c>
      <c r="Y20">
        <f t="shared" si="28"/>
        <v>22.4</v>
      </c>
      <c r="AA20">
        <f t="shared" si="29"/>
        <v>0</v>
      </c>
      <c r="AB20">
        <f t="shared" si="30"/>
        <v>0.5</v>
      </c>
      <c r="AC20" s="17" t="str">
        <f t="shared" si="48"/>
        <v/>
      </c>
      <c r="AD20" s="19" t="str">
        <f t="shared" si="3"/>
        <v/>
      </c>
      <c r="AE20" s="18">
        <v>16</v>
      </c>
      <c r="AI20" s="38" t="str">
        <f>IF($F$5=$E$34, "",IF($Z$1=2, Settings!$P18, ""))</f>
        <v/>
      </c>
      <c r="AJ20" s="133">
        <f>'Calcs-control3'!$AX$160</f>
        <v>3.2238680953752423</v>
      </c>
      <c r="AL20" s="1"/>
      <c r="AO20">
        <f t="shared" si="31"/>
        <v>-5.8526568089325437E-2</v>
      </c>
      <c r="AP20">
        <f t="shared" si="32"/>
        <v>0.48537253309997908</v>
      </c>
      <c r="AQ20" s="19" t="str">
        <f t="shared" si="33"/>
        <v/>
      </c>
      <c r="AR20">
        <v>16</v>
      </c>
      <c r="AV20" s="17">
        <f t="shared" si="5"/>
        <v>3.3254840824961294</v>
      </c>
      <c r="AW20" t="str">
        <f t="shared" si="6"/>
        <v/>
      </c>
      <c r="AX20" s="18" t="str">
        <f t="shared" si="7"/>
        <v/>
      </c>
      <c r="AY20">
        <v>16</v>
      </c>
      <c r="BD20">
        <f t="shared" si="8"/>
        <v>0.5</v>
      </c>
      <c r="BE20">
        <f t="shared" si="9"/>
        <v>0.48537253309997908</v>
      </c>
      <c r="BF20" s="17" t="str">
        <f t="shared" si="49"/>
        <v/>
      </c>
      <c r="BG20" s="18" t="str">
        <f t="shared" si="50"/>
        <v/>
      </c>
      <c r="BH20" s="17" t="str">
        <f t="shared" si="51"/>
        <v/>
      </c>
      <c r="BI20" s="18" t="str">
        <f t="shared" si="52"/>
        <v/>
      </c>
      <c r="BJ20">
        <v>16</v>
      </c>
      <c r="BN20" s="4">
        <v>0.17</v>
      </c>
      <c r="BO20" s="2" t="str">
        <f t="shared" si="34"/>
        <v/>
      </c>
      <c r="BQ20">
        <v>8.5</v>
      </c>
      <c r="BR20" s="61" t="str">
        <f t="shared" si="35"/>
        <v/>
      </c>
      <c r="BW20">
        <v>16</v>
      </c>
      <c r="BX20">
        <f t="shared" si="36"/>
        <v>22.921968345230315</v>
      </c>
      <c r="BY20">
        <f t="shared" si="37"/>
        <v>13.426761457365087</v>
      </c>
      <c r="BZ20">
        <f t="shared" si="38"/>
        <v>0.53484592805537401</v>
      </c>
      <c r="CF20" t="e">
        <f t="shared" si="10"/>
        <v>#N/A</v>
      </c>
      <c r="CG20" t="e">
        <f t="shared" si="11"/>
        <v>#N/A</v>
      </c>
      <c r="CH20" t="e">
        <f t="shared" si="12"/>
        <v>#N/A</v>
      </c>
      <c r="CI20">
        <f t="shared" si="13"/>
        <v>3.3254840824961294</v>
      </c>
      <c r="CK20">
        <f t="shared" si="39"/>
        <v>22.921968345230315</v>
      </c>
      <c r="CL20">
        <f t="shared" si="40"/>
        <v>22.4</v>
      </c>
      <c r="CN20" t="e">
        <f t="shared" si="14"/>
        <v>#VALUE!</v>
      </c>
      <c r="CO20" t="e">
        <f t="shared" si="41"/>
        <v>#VALUE!</v>
      </c>
      <c r="CP20" s="17" t="e">
        <f t="shared" si="53"/>
        <v>#VALUE!</v>
      </c>
      <c r="CQ20" s="18" t="str">
        <f t="shared" si="15"/>
        <v/>
      </c>
      <c r="CR20">
        <v>16</v>
      </c>
      <c r="CX20" s="38" t="str">
        <f>IF($BS$5=$BR$34, "", IF($Z$1=2, Settings!$P18, ""))</f>
        <v/>
      </c>
      <c r="CY20">
        <f>'Calcs-control1'!$AX$160</f>
        <v>3.2238680953752423</v>
      </c>
      <c r="DD20" t="e">
        <f t="shared" si="17"/>
        <v>#VALUE!</v>
      </c>
      <c r="DE20" t="e">
        <f t="shared" si="18"/>
        <v>#VALUE!</v>
      </c>
      <c r="DF20" s="19" t="e">
        <f t="shared" si="54"/>
        <v>#VALUE!</v>
      </c>
      <c r="DG20">
        <v>16</v>
      </c>
      <c r="DK20" s="17" t="str">
        <f t="shared" si="42"/>
        <v/>
      </c>
      <c r="DL20" t="str">
        <f t="shared" si="43"/>
        <v/>
      </c>
      <c r="DM20" s="18" t="str">
        <f t="shared" si="44"/>
        <v/>
      </c>
      <c r="DN20">
        <v>16</v>
      </c>
      <c r="DS20" t="e">
        <f t="shared" si="45"/>
        <v>#VALUE!</v>
      </c>
      <c r="DT20" t="e">
        <f t="shared" si="46"/>
        <v>#VALUE!</v>
      </c>
      <c r="DU20" s="17" t="e">
        <f t="shared" si="55"/>
        <v>#VALUE!</v>
      </c>
      <c r="DV20" s="18" t="e">
        <f t="shared" si="56"/>
        <v>#VALUE!</v>
      </c>
      <c r="DW20" s="17" t="e">
        <f t="shared" si="57"/>
        <v>#VALUE!</v>
      </c>
      <c r="DX20" s="18" t="e">
        <f t="shared" si="58"/>
        <v>#VALUE!</v>
      </c>
      <c r="DY20">
        <v>16</v>
      </c>
      <c r="EF20">
        <f>'Calcs-control1'!BD30</f>
        <v>3.3254840824961294</v>
      </c>
      <c r="EG20">
        <f>'Calcs-control1'!AO102</f>
        <v>3.1019002761418419</v>
      </c>
      <c r="EH20">
        <f>'Calcs-control1'!BA102</f>
        <v>6.4413827763758125</v>
      </c>
      <c r="EO20">
        <f t="shared" si="47"/>
        <v>22.445538314664248</v>
      </c>
      <c r="EP20">
        <f t="shared" si="19"/>
        <v>22.4</v>
      </c>
    </row>
    <row r="21" spans="1:146" x14ac:dyDescent="0.3">
      <c r="A21" s="11">
        <v>0.18</v>
      </c>
      <c r="B21" s="2">
        <f t="shared" si="20"/>
        <v>0.18</v>
      </c>
      <c r="D21">
        <v>9</v>
      </c>
      <c r="E21" s="61">
        <f t="shared" si="21"/>
        <v>9</v>
      </c>
      <c r="G21" s="2">
        <v>120</v>
      </c>
      <c r="H21" s="2" t="str">
        <f t="shared" si="22"/>
        <v/>
      </c>
      <c r="J21">
        <v>17</v>
      </c>
      <c r="K21">
        <f t="shared" si="23"/>
        <v>23.704241901333827</v>
      </c>
      <c r="L21">
        <f t="shared" si="24"/>
        <v>10.756525768134679</v>
      </c>
      <c r="M21">
        <f t="shared" si="25"/>
        <v>0.7901413967111276</v>
      </c>
      <c r="S21" t="e">
        <f t="shared" si="0"/>
        <v>#N/A</v>
      </c>
      <c r="T21">
        <f t="shared" si="26"/>
        <v>10.756525768134679</v>
      </c>
      <c r="U21" t="e">
        <f t="shared" si="1"/>
        <v>#N/A</v>
      </c>
      <c r="V21">
        <f t="shared" si="2"/>
        <v>3.6780960928646556</v>
      </c>
      <c r="X21">
        <f t="shared" si="27"/>
        <v>23.704241901333827</v>
      </c>
      <c r="Y21">
        <f t="shared" si="28"/>
        <v>23.800000000000004</v>
      </c>
      <c r="AA21">
        <f t="shared" si="29"/>
        <v>0</v>
      </c>
      <c r="AB21">
        <f t="shared" si="30"/>
        <v>0.5</v>
      </c>
      <c r="AC21" s="17" t="str">
        <f t="shared" si="48"/>
        <v/>
      </c>
      <c r="AD21" s="19" t="str">
        <f t="shared" si="3"/>
        <v/>
      </c>
      <c r="AE21" s="18">
        <v>17</v>
      </c>
      <c r="AL21" s="1"/>
      <c r="AO21">
        <f t="shared" si="31"/>
        <v>0.75230498364469334</v>
      </c>
      <c r="AP21">
        <f t="shared" si="32"/>
        <v>0.67968073600679479</v>
      </c>
      <c r="AQ21" s="19">
        <f t="shared" si="33"/>
        <v>10</v>
      </c>
      <c r="AR21">
        <v>17</v>
      </c>
      <c r="AV21" s="17" t="str">
        <f t="shared" si="5"/>
        <v/>
      </c>
      <c r="AW21">
        <f t="shared" si="6"/>
        <v>10.756525768134679</v>
      </c>
      <c r="AX21" s="18" t="str">
        <f t="shared" si="7"/>
        <v/>
      </c>
      <c r="AY21">
        <v>17</v>
      </c>
      <c r="BD21">
        <f t="shared" si="8"/>
        <v>0.5</v>
      </c>
      <c r="BE21">
        <f t="shared" si="9"/>
        <v>0.67968073600679479</v>
      </c>
      <c r="BF21" s="17" t="str">
        <f t="shared" si="49"/>
        <v/>
      </c>
      <c r="BG21" s="18" t="str">
        <f t="shared" si="50"/>
        <v/>
      </c>
      <c r="BH21" s="17" t="str">
        <f t="shared" si="51"/>
        <v/>
      </c>
      <c r="BI21" s="18" t="str">
        <f t="shared" si="52"/>
        <v/>
      </c>
      <c r="BJ21">
        <v>17</v>
      </c>
      <c r="BN21" s="4">
        <v>0.18</v>
      </c>
      <c r="BO21" s="2" t="str">
        <f t="shared" si="34"/>
        <v/>
      </c>
      <c r="BQ21">
        <v>9</v>
      </c>
      <c r="BR21" s="61" t="str">
        <f t="shared" si="35"/>
        <v/>
      </c>
      <c r="BW21">
        <v>17</v>
      </c>
      <c r="BX21">
        <f t="shared" si="36"/>
        <v>24.207389232232082</v>
      </c>
      <c r="BY21">
        <f t="shared" si="37"/>
        <v>13.760729466382658</v>
      </c>
      <c r="BZ21">
        <f t="shared" si="38"/>
        <v>0.56483908208541522</v>
      </c>
      <c r="CF21" t="e">
        <f t="shared" si="10"/>
        <v>#N/A</v>
      </c>
      <c r="CG21" t="e">
        <f t="shared" si="11"/>
        <v>#N/A</v>
      </c>
      <c r="CH21" t="e">
        <f t="shared" si="12"/>
        <v>#N/A</v>
      </c>
      <c r="CI21">
        <f t="shared" si="13"/>
        <v>3.6780960928646556</v>
      </c>
      <c r="CK21">
        <f t="shared" si="39"/>
        <v>24.207389232232082</v>
      </c>
      <c r="CL21">
        <f t="shared" si="40"/>
        <v>23.800000000000004</v>
      </c>
      <c r="CN21" t="e">
        <f t="shared" si="14"/>
        <v>#VALUE!</v>
      </c>
      <c r="CO21" t="e">
        <f t="shared" si="41"/>
        <v>#VALUE!</v>
      </c>
      <c r="CP21" s="17" t="e">
        <f t="shared" si="53"/>
        <v>#VALUE!</v>
      </c>
      <c r="CQ21" s="18" t="str">
        <f t="shared" si="15"/>
        <v/>
      </c>
      <c r="CR21">
        <v>17</v>
      </c>
      <c r="DD21" t="e">
        <f t="shared" si="17"/>
        <v>#VALUE!</v>
      </c>
      <c r="DE21" t="e">
        <f t="shared" si="18"/>
        <v>#VALUE!</v>
      </c>
      <c r="DF21" s="19" t="e">
        <f t="shared" si="54"/>
        <v>#VALUE!</v>
      </c>
      <c r="DG21">
        <v>17</v>
      </c>
      <c r="DK21" s="17" t="str">
        <f t="shared" si="42"/>
        <v/>
      </c>
      <c r="DL21" t="str">
        <f t="shared" si="43"/>
        <v/>
      </c>
      <c r="DM21" s="18" t="str">
        <f t="shared" si="44"/>
        <v/>
      </c>
      <c r="DN21">
        <v>17</v>
      </c>
      <c r="DS21" t="e">
        <f t="shared" si="45"/>
        <v>#VALUE!</v>
      </c>
      <c r="DT21" t="e">
        <f t="shared" si="46"/>
        <v>#VALUE!</v>
      </c>
      <c r="DU21" s="17" t="e">
        <f t="shared" si="55"/>
        <v>#VALUE!</v>
      </c>
      <c r="DV21" s="18" t="e">
        <f t="shared" si="56"/>
        <v>#VALUE!</v>
      </c>
      <c r="DW21" s="17" t="e">
        <f t="shared" si="57"/>
        <v>#VALUE!</v>
      </c>
      <c r="DX21" s="18" t="e">
        <f t="shared" si="58"/>
        <v>#VALUE!</v>
      </c>
      <c r="DY21">
        <v>17</v>
      </c>
      <c r="EF21">
        <f>'Calcs-control1'!BD31</f>
        <v>3.6780960928646556</v>
      </c>
      <c r="EG21">
        <f>'Calcs-control1'!AO103</f>
        <v>3.3283641055383222</v>
      </c>
      <c r="EH21">
        <f>'Calcs-control1'!BA103</f>
        <v>7.0673674252349006</v>
      </c>
      <c r="EO21">
        <f t="shared" si="47"/>
        <v>23.704241901333827</v>
      </c>
      <c r="EP21">
        <f t="shared" si="19"/>
        <v>23.800000000000004</v>
      </c>
    </row>
    <row r="22" spans="1:146" x14ac:dyDescent="0.3">
      <c r="A22" s="11">
        <v>0.19</v>
      </c>
      <c r="B22" s="2">
        <f t="shared" si="20"/>
        <v>0.19</v>
      </c>
      <c r="D22">
        <v>9.5</v>
      </c>
      <c r="E22" s="61">
        <f t="shared" si="21"/>
        <v>9.5</v>
      </c>
      <c r="G22" s="2">
        <v>130</v>
      </c>
      <c r="H22" s="2" t="str">
        <f t="shared" si="22"/>
        <v/>
      </c>
      <c r="J22">
        <v>18</v>
      </c>
      <c r="K22">
        <f t="shared" si="23"/>
        <v>24.955558619897822</v>
      </c>
      <c r="L22">
        <f t="shared" si="24"/>
        <v>10.861719483248903</v>
      </c>
      <c r="M22">
        <f t="shared" si="25"/>
        <v>0.83185195399659406</v>
      </c>
      <c r="S22" t="e">
        <f t="shared" si="0"/>
        <v>#N/A</v>
      </c>
      <c r="T22">
        <f t="shared" si="26"/>
        <v>10.861719483248903</v>
      </c>
      <c r="U22" t="e">
        <f t="shared" si="1"/>
        <v>#N/A</v>
      </c>
      <c r="V22">
        <f t="shared" si="2"/>
        <v>4.0680967139652475</v>
      </c>
      <c r="X22">
        <f t="shared" si="27"/>
        <v>24.955558619897822</v>
      </c>
      <c r="Y22">
        <f t="shared" si="28"/>
        <v>25.2</v>
      </c>
      <c r="AA22">
        <f t="shared" si="29"/>
        <v>0</v>
      </c>
      <c r="AB22">
        <f>EXP(AA22)/(1+EXP(AA22))</f>
        <v>0.5</v>
      </c>
      <c r="AC22" s="17" t="str">
        <f t="shared" si="48"/>
        <v/>
      </c>
      <c r="AD22" s="19" t="str">
        <f t="shared" si="3"/>
        <v/>
      </c>
      <c r="AE22" s="18">
        <v>18</v>
      </c>
      <c r="AG22" t="s">
        <v>309</v>
      </c>
      <c r="AI22" t="s">
        <v>32</v>
      </c>
      <c r="AJ22" s="1" t="s">
        <v>502</v>
      </c>
      <c r="AL22" s="1"/>
      <c r="AO22">
        <f t="shared" si="31"/>
        <v>1.5631365353787121</v>
      </c>
      <c r="AP22">
        <f t="shared" si="32"/>
        <v>0.82680296478613768</v>
      </c>
      <c r="AQ22" s="19" t="str">
        <f t="shared" si="33"/>
        <v/>
      </c>
      <c r="AR22">
        <v>18</v>
      </c>
      <c r="AV22" s="17" t="str">
        <f t="shared" si="5"/>
        <v/>
      </c>
      <c r="AW22">
        <f t="shared" si="6"/>
        <v>10.861719483248903</v>
      </c>
      <c r="AX22" s="18" t="str">
        <f t="shared" si="7"/>
        <v/>
      </c>
      <c r="AY22">
        <v>18</v>
      </c>
      <c r="BD22">
        <f t="shared" si="8"/>
        <v>0.5</v>
      </c>
      <c r="BE22">
        <f t="shared" si="9"/>
        <v>0.82680296478613768</v>
      </c>
      <c r="BF22" s="17" t="str">
        <f t="shared" si="49"/>
        <v/>
      </c>
      <c r="BG22" s="18" t="str">
        <f t="shared" si="50"/>
        <v/>
      </c>
      <c r="BH22" s="17" t="str">
        <f t="shared" si="51"/>
        <v/>
      </c>
      <c r="BI22" s="18" t="str">
        <f t="shared" si="52"/>
        <v/>
      </c>
      <c r="BJ22">
        <v>18</v>
      </c>
      <c r="BN22" s="4">
        <v>0.19</v>
      </c>
      <c r="BO22" s="2" t="str">
        <f t="shared" si="34"/>
        <v/>
      </c>
      <c r="BQ22">
        <v>9.5</v>
      </c>
      <c r="BR22" s="61" t="str">
        <f t="shared" si="35"/>
        <v/>
      </c>
      <c r="BW22">
        <v>18</v>
      </c>
      <c r="BX22">
        <f t="shared" si="36"/>
        <v>25.485266457125469</v>
      </c>
      <c r="BY22">
        <f t="shared" si="37"/>
        <v>14.061552246004002</v>
      </c>
      <c r="BZ22">
        <f t="shared" si="38"/>
        <v>0.59465621733292762</v>
      </c>
      <c r="CF22" t="e">
        <f t="shared" si="10"/>
        <v>#N/A</v>
      </c>
      <c r="CG22" t="e">
        <f t="shared" si="11"/>
        <v>#N/A</v>
      </c>
      <c r="CH22" t="e">
        <f t="shared" si="12"/>
        <v>#N/A</v>
      </c>
      <c r="CI22">
        <f t="shared" si="13"/>
        <v>4.0680967139652475</v>
      </c>
      <c r="CK22">
        <f t="shared" si="39"/>
        <v>25.485266457125469</v>
      </c>
      <c r="CL22">
        <f t="shared" si="40"/>
        <v>25.2</v>
      </c>
      <c r="CN22" t="e">
        <f t="shared" si="14"/>
        <v>#VALUE!</v>
      </c>
      <c r="CO22" t="e">
        <f t="shared" si="41"/>
        <v>#VALUE!</v>
      </c>
      <c r="CP22" s="17" t="e">
        <f t="shared" si="53"/>
        <v>#VALUE!</v>
      </c>
      <c r="CQ22" s="18" t="str">
        <f t="shared" si="15"/>
        <v/>
      </c>
      <c r="CR22">
        <v>18</v>
      </c>
      <c r="CV22" t="s">
        <v>310</v>
      </c>
      <c r="CW22" t="s">
        <v>32</v>
      </c>
      <c r="CX22" s="38" t="str">
        <f>CY26</f>
        <v/>
      </c>
      <c r="CZ22" s="1" t="s">
        <v>486</v>
      </c>
      <c r="DD22" t="e">
        <f t="shared" si="17"/>
        <v>#VALUE!</v>
      </c>
      <c r="DE22" t="e">
        <f t="shared" si="18"/>
        <v>#VALUE!</v>
      </c>
      <c r="DF22" s="19" t="e">
        <f t="shared" si="54"/>
        <v>#VALUE!</v>
      </c>
      <c r="DG22">
        <v>18</v>
      </c>
      <c r="DK22" s="17" t="str">
        <f t="shared" si="42"/>
        <v/>
      </c>
      <c r="DL22" t="str">
        <f t="shared" si="43"/>
        <v/>
      </c>
      <c r="DM22" s="18" t="str">
        <f t="shared" si="44"/>
        <v/>
      </c>
      <c r="DN22">
        <v>18</v>
      </c>
      <c r="DS22" t="e">
        <f t="shared" si="45"/>
        <v>#VALUE!</v>
      </c>
      <c r="DT22" t="e">
        <f t="shared" si="46"/>
        <v>#VALUE!</v>
      </c>
      <c r="DU22" s="17" t="e">
        <f t="shared" si="55"/>
        <v>#VALUE!</v>
      </c>
      <c r="DV22" s="18" t="e">
        <f t="shared" si="56"/>
        <v>#VALUE!</v>
      </c>
      <c r="DW22" s="17" t="e">
        <f t="shared" si="57"/>
        <v>#VALUE!</v>
      </c>
      <c r="DX22" s="18" t="e">
        <f t="shared" si="58"/>
        <v>#VALUE!</v>
      </c>
      <c r="DY22">
        <v>18</v>
      </c>
      <c r="EF22">
        <f>'Calcs-control1'!BD32</f>
        <v>4.0680967139652475</v>
      </c>
      <c r="EG22">
        <f>'Calcs-control1'!AO104</f>
        <v>3.5695774650277068</v>
      </c>
      <c r="EH22">
        <f>'Calcs-control1'!BA104</f>
        <v>7.7349979554772714</v>
      </c>
      <c r="EO22">
        <f t="shared" si="47"/>
        <v>24.955558619897822</v>
      </c>
      <c r="EP22">
        <f t="shared" si="19"/>
        <v>25.2</v>
      </c>
    </row>
    <row r="23" spans="1:146" x14ac:dyDescent="0.3">
      <c r="A23" s="11">
        <v>0.2</v>
      </c>
      <c r="B23" s="2">
        <f t="shared" si="20"/>
        <v>0.2</v>
      </c>
      <c r="D23">
        <v>10</v>
      </c>
      <c r="E23" s="61">
        <f t="shared" si="21"/>
        <v>10</v>
      </c>
      <c r="G23" s="2">
        <v>140</v>
      </c>
      <c r="H23" s="2" t="str">
        <f t="shared" si="22"/>
        <v/>
      </c>
      <c r="J23">
        <v>19</v>
      </c>
      <c r="K23">
        <f t="shared" si="23"/>
        <v>26.199939114841808</v>
      </c>
      <c r="L23">
        <f t="shared" si="24"/>
        <v>10.939999847731128</v>
      </c>
      <c r="M23">
        <f t="shared" si="25"/>
        <v>0.87333130382806023</v>
      </c>
      <c r="S23" t="e">
        <f t="shared" si="0"/>
        <v>#N/A</v>
      </c>
      <c r="T23">
        <f t="shared" si="26"/>
        <v>10.939999847731128</v>
      </c>
      <c r="U23" t="e">
        <f t="shared" si="1"/>
        <v>#N/A</v>
      </c>
      <c r="V23">
        <f t="shared" si="2"/>
        <v>4.4994503831153221</v>
      </c>
      <c r="X23">
        <f t="shared" si="27"/>
        <v>26.199939114841808</v>
      </c>
      <c r="Y23">
        <f t="shared" si="28"/>
        <v>26.6</v>
      </c>
      <c r="AA23">
        <f t="shared" si="29"/>
        <v>0</v>
      </c>
      <c r="AB23">
        <f t="shared" si="30"/>
        <v>0.5</v>
      </c>
      <c r="AC23" s="17" t="str">
        <f t="shared" si="48"/>
        <v/>
      </c>
      <c r="AD23" s="19" t="str">
        <f t="shared" si="3"/>
        <v/>
      </c>
      <c r="AE23" s="18">
        <v>19</v>
      </c>
      <c r="AJ23" t="s">
        <v>488</v>
      </c>
      <c r="AL23" s="1"/>
      <c r="AO23">
        <f t="shared" si="31"/>
        <v>2.3739680871127291</v>
      </c>
      <c r="AP23">
        <f t="shared" si="32"/>
        <v>0.9148205787421777</v>
      </c>
      <c r="AQ23" s="19" t="str">
        <f t="shared" si="33"/>
        <v/>
      </c>
      <c r="AR23">
        <v>19</v>
      </c>
      <c r="AV23" s="17" t="str">
        <f t="shared" si="5"/>
        <v/>
      </c>
      <c r="AW23">
        <f t="shared" si="6"/>
        <v>10.939999847731128</v>
      </c>
      <c r="AX23" s="18" t="str">
        <f t="shared" si="7"/>
        <v/>
      </c>
      <c r="AY23">
        <v>19</v>
      </c>
      <c r="BD23">
        <f t="shared" si="8"/>
        <v>0.5</v>
      </c>
      <c r="BE23">
        <f t="shared" si="9"/>
        <v>0.9148205787421777</v>
      </c>
      <c r="BF23" s="17" t="str">
        <f t="shared" si="49"/>
        <v/>
      </c>
      <c r="BG23" s="18" t="str">
        <f t="shared" si="50"/>
        <v/>
      </c>
      <c r="BH23" s="17" t="str">
        <f t="shared" si="51"/>
        <v/>
      </c>
      <c r="BI23" s="18">
        <f t="shared" si="52"/>
        <v>80</v>
      </c>
      <c r="BJ23">
        <v>19</v>
      </c>
      <c r="BN23" s="4">
        <v>0.2</v>
      </c>
      <c r="BO23" s="2" t="str">
        <f t="shared" si="34"/>
        <v/>
      </c>
      <c r="BQ23">
        <v>10</v>
      </c>
      <c r="BR23" s="61" t="str">
        <f t="shared" si="35"/>
        <v/>
      </c>
      <c r="BW23">
        <v>19</v>
      </c>
      <c r="BX23">
        <f t="shared" si="36"/>
        <v>26.75606022979667</v>
      </c>
      <c r="BY23">
        <f t="shared" si="37"/>
        <v>14.331399886701872</v>
      </c>
      <c r="BZ23">
        <f t="shared" si="38"/>
        <v>0.62430807202858907</v>
      </c>
      <c r="CF23" t="e">
        <f t="shared" si="10"/>
        <v>#N/A</v>
      </c>
      <c r="CG23" t="e">
        <f t="shared" si="11"/>
        <v>#N/A</v>
      </c>
      <c r="CH23" t="e">
        <f t="shared" si="12"/>
        <v>#N/A</v>
      </c>
      <c r="CI23">
        <f t="shared" si="13"/>
        <v>4.4994503831153221</v>
      </c>
      <c r="CK23">
        <f t="shared" si="39"/>
        <v>26.75606022979667</v>
      </c>
      <c r="CL23">
        <f t="shared" si="40"/>
        <v>26.6</v>
      </c>
      <c r="CN23" t="e">
        <f t="shared" si="14"/>
        <v>#VALUE!</v>
      </c>
      <c r="CO23" t="e">
        <f t="shared" si="41"/>
        <v>#VALUE!</v>
      </c>
      <c r="CP23" s="17" t="e">
        <f>IF(AND(CO23&gt;=$CP$1, CO22&lt;$CP$1), 10, "")</f>
        <v>#VALUE!</v>
      </c>
      <c r="CQ23" s="18" t="str">
        <f t="shared" si="15"/>
        <v/>
      </c>
      <c r="CR23">
        <v>19</v>
      </c>
      <c r="CZ23" t="s">
        <v>487</v>
      </c>
      <c r="DD23" t="e">
        <f t="shared" si="17"/>
        <v>#VALUE!</v>
      </c>
      <c r="DE23" t="e">
        <f t="shared" si="18"/>
        <v>#VALUE!</v>
      </c>
      <c r="DF23" s="19" t="e">
        <f t="shared" si="54"/>
        <v>#VALUE!</v>
      </c>
      <c r="DG23">
        <v>19</v>
      </c>
      <c r="DK23" s="17" t="str">
        <f t="shared" si="42"/>
        <v/>
      </c>
      <c r="DL23" t="str">
        <f t="shared" si="43"/>
        <v/>
      </c>
      <c r="DM23" s="18" t="str">
        <f t="shared" si="44"/>
        <v/>
      </c>
      <c r="DN23">
        <v>19</v>
      </c>
      <c r="DS23" t="e">
        <f t="shared" si="45"/>
        <v>#VALUE!</v>
      </c>
      <c r="DT23" t="e">
        <f t="shared" si="46"/>
        <v>#VALUE!</v>
      </c>
      <c r="DU23" s="17" t="e">
        <f t="shared" si="55"/>
        <v>#VALUE!</v>
      </c>
      <c r="DV23" s="18" t="e">
        <f t="shared" si="56"/>
        <v>#VALUE!</v>
      </c>
      <c r="DW23" s="17" t="e">
        <f t="shared" si="57"/>
        <v>#VALUE!</v>
      </c>
      <c r="DX23" s="18" t="e">
        <f t="shared" si="58"/>
        <v>#VALUE!</v>
      </c>
      <c r="DY23">
        <v>19</v>
      </c>
      <c r="EF23">
        <f>'Calcs-control1'!BD33</f>
        <v>4.4994503831153221</v>
      </c>
      <c r="EG23">
        <f>'Calcs-control1'!AO105</f>
        <v>3.8262709409205953</v>
      </c>
      <c r="EH23">
        <f>'Calcs-control1'!BA105</f>
        <v>8.4441294084708289</v>
      </c>
      <c r="EO23">
        <f t="shared" si="47"/>
        <v>26.199939114841808</v>
      </c>
      <c r="EP23">
        <f t="shared" si="19"/>
        <v>26.6</v>
      </c>
    </row>
    <row r="24" spans="1:146" x14ac:dyDescent="0.3">
      <c r="A24" s="11">
        <v>0.21</v>
      </c>
      <c r="B24" s="2">
        <f t="shared" si="20"/>
        <v>0.21</v>
      </c>
      <c r="D24">
        <v>11</v>
      </c>
      <c r="E24" s="61">
        <f t="shared" si="21"/>
        <v>11</v>
      </c>
      <c r="G24" s="2">
        <v>150</v>
      </c>
      <c r="H24" s="2" t="str">
        <f t="shared" si="22"/>
        <v/>
      </c>
      <c r="J24">
        <v>20</v>
      </c>
      <c r="K24">
        <f t="shared" si="23"/>
        <v>27.437784281869984</v>
      </c>
      <c r="L24">
        <f t="shared" si="24"/>
        <v>10.993764434283765</v>
      </c>
      <c r="M24">
        <f t="shared" si="25"/>
        <v>0.91459280939566612</v>
      </c>
      <c r="S24" t="e">
        <f t="shared" si="0"/>
        <v>#N/A</v>
      </c>
      <c r="T24">
        <f t="shared" si="26"/>
        <v>10.993764434283765</v>
      </c>
      <c r="U24" t="e">
        <f t="shared" si="1"/>
        <v>#N/A</v>
      </c>
      <c r="V24">
        <f t="shared" si="2"/>
        <v>4.9765418999548334</v>
      </c>
      <c r="X24">
        <f t="shared" si="27"/>
        <v>27.437784281869984</v>
      </c>
      <c r="Y24">
        <f t="shared" si="28"/>
        <v>28.000000000000004</v>
      </c>
      <c r="AA24">
        <f t="shared" si="29"/>
        <v>0</v>
      </c>
      <c r="AB24">
        <f t="shared" si="30"/>
        <v>0.5</v>
      </c>
      <c r="AC24" s="17" t="str">
        <f t="shared" si="48"/>
        <v/>
      </c>
      <c r="AD24" s="19" t="str">
        <f t="shared" si="3"/>
        <v/>
      </c>
      <c r="AE24" s="18">
        <v>20</v>
      </c>
      <c r="AO24">
        <f t="shared" si="31"/>
        <v>3.1847996388467479</v>
      </c>
      <c r="AP24">
        <f t="shared" si="32"/>
        <v>0.96025823673990585</v>
      </c>
      <c r="AQ24" s="19" t="str">
        <f t="shared" si="33"/>
        <v/>
      </c>
      <c r="AR24">
        <v>20</v>
      </c>
      <c r="AV24" s="17" t="str">
        <f t="shared" si="5"/>
        <v/>
      </c>
      <c r="AW24">
        <f t="shared" si="6"/>
        <v>10.993764434283765</v>
      </c>
      <c r="AX24" s="18" t="str">
        <f t="shared" si="7"/>
        <v/>
      </c>
      <c r="AY24">
        <v>20</v>
      </c>
      <c r="BD24">
        <f t="shared" si="8"/>
        <v>0.5</v>
      </c>
      <c r="BE24">
        <f t="shared" si="9"/>
        <v>0.96025823673990585</v>
      </c>
      <c r="BF24" s="17" t="str">
        <f t="shared" si="49"/>
        <v/>
      </c>
      <c r="BG24" s="18" t="str">
        <f t="shared" si="50"/>
        <v/>
      </c>
      <c r="BH24" s="17" t="str">
        <f t="shared" si="51"/>
        <v/>
      </c>
      <c r="BI24" s="18" t="str">
        <f t="shared" si="52"/>
        <v/>
      </c>
      <c r="BJ24">
        <v>20</v>
      </c>
      <c r="BN24" s="4">
        <v>0.21</v>
      </c>
      <c r="BO24" s="2" t="str">
        <f t="shared" si="34"/>
        <v/>
      </c>
      <c r="BQ24">
        <v>11</v>
      </c>
      <c r="BR24" s="61" t="str">
        <f t="shared" si="35"/>
        <v/>
      </c>
      <c r="BW24">
        <v>20</v>
      </c>
      <c r="BX24">
        <f t="shared" si="36"/>
        <v>28.020179955380566</v>
      </c>
      <c r="BY24">
        <f t="shared" si="37"/>
        <v>14.572275197346748</v>
      </c>
      <c r="BZ24">
        <f t="shared" si="38"/>
        <v>0.65380419895887998</v>
      </c>
      <c r="CF24" t="e">
        <f t="shared" si="10"/>
        <v>#N/A</v>
      </c>
      <c r="CG24" t="e">
        <f t="shared" si="11"/>
        <v>#N/A</v>
      </c>
      <c r="CH24" t="e">
        <f t="shared" si="12"/>
        <v>#N/A</v>
      </c>
      <c r="CI24">
        <f t="shared" si="13"/>
        <v>4.9765418999548334</v>
      </c>
      <c r="CK24">
        <f t="shared" si="39"/>
        <v>28.020179955380566</v>
      </c>
      <c r="CL24">
        <f t="shared" si="40"/>
        <v>28.000000000000004</v>
      </c>
      <c r="CN24" t="e">
        <f t="shared" si="14"/>
        <v>#VALUE!</v>
      </c>
      <c r="CO24" t="e">
        <f t="shared" si="41"/>
        <v>#VALUE!</v>
      </c>
      <c r="CP24" s="17" t="e">
        <f t="shared" si="53"/>
        <v>#VALUE!</v>
      </c>
      <c r="CQ24" s="18" t="str">
        <f t="shared" si="15"/>
        <v/>
      </c>
      <c r="CR24">
        <v>20</v>
      </c>
      <c r="DD24" t="e">
        <f t="shared" si="17"/>
        <v>#VALUE!</v>
      </c>
      <c r="DE24" t="e">
        <f t="shared" si="18"/>
        <v>#VALUE!</v>
      </c>
      <c r="DF24" s="19" t="e">
        <f t="shared" si="54"/>
        <v>#VALUE!</v>
      </c>
      <c r="DG24">
        <v>20</v>
      </c>
      <c r="DK24" s="17" t="str">
        <f t="shared" si="42"/>
        <v/>
      </c>
      <c r="DL24" t="str">
        <f t="shared" si="43"/>
        <v/>
      </c>
      <c r="DM24" s="18" t="str">
        <f t="shared" si="44"/>
        <v/>
      </c>
      <c r="DN24">
        <v>20</v>
      </c>
      <c r="DS24" t="e">
        <f t="shared" si="45"/>
        <v>#VALUE!</v>
      </c>
      <c r="DT24" t="e">
        <f t="shared" si="46"/>
        <v>#VALUE!</v>
      </c>
      <c r="DU24" s="17" t="e">
        <f t="shared" si="55"/>
        <v>#VALUE!</v>
      </c>
      <c r="DV24" s="18" t="e">
        <f t="shared" si="56"/>
        <v>#VALUE!</v>
      </c>
      <c r="DW24" s="17" t="e">
        <f t="shared" si="57"/>
        <v>#VALUE!</v>
      </c>
      <c r="DX24" s="18" t="e">
        <f t="shared" si="58"/>
        <v>#VALUE!</v>
      </c>
      <c r="DY24">
        <v>20</v>
      </c>
      <c r="EF24">
        <f>'Calcs-control1'!BD34</f>
        <v>4.9765418999548334</v>
      </c>
      <c r="EG24">
        <f>'Calcs-control1'!AO106</f>
        <v>4.0991810492310465</v>
      </c>
      <c r="EH24">
        <f>'Calcs-control1'!BA106</f>
        <v>9.1941271060496259</v>
      </c>
      <c r="EO24">
        <f t="shared" si="47"/>
        <v>27.437784281869984</v>
      </c>
      <c r="EP24">
        <f t="shared" si="19"/>
        <v>28.000000000000004</v>
      </c>
    </row>
    <row r="25" spans="1:146" x14ac:dyDescent="0.3">
      <c r="A25" s="11">
        <v>0.22</v>
      </c>
      <c r="B25" s="2">
        <f t="shared" si="20"/>
        <v>0.22</v>
      </c>
      <c r="D25">
        <v>12</v>
      </c>
      <c r="E25" s="61">
        <f t="shared" si="21"/>
        <v>12</v>
      </c>
      <c r="G25" s="2">
        <v>160</v>
      </c>
      <c r="H25" s="2" t="str">
        <f t="shared" si="22"/>
        <v/>
      </c>
      <c r="J25">
        <v>21</v>
      </c>
      <c r="K25">
        <f t="shared" si="23"/>
        <v>28.669452973286003</v>
      </c>
      <c r="L25">
        <f t="shared" si="24"/>
        <v>11.025202264618525</v>
      </c>
      <c r="M25">
        <f t="shared" si="25"/>
        <v>0.95564843244286679</v>
      </c>
      <c r="S25" t="e">
        <f t="shared" si="0"/>
        <v>#N/A</v>
      </c>
      <c r="T25">
        <f t="shared" si="26"/>
        <v>11.025202264618525</v>
      </c>
      <c r="U25" t="e">
        <f t="shared" si="1"/>
        <v>#N/A</v>
      </c>
      <c r="V25">
        <f t="shared" si="2"/>
        <v>5.5042209988453354</v>
      </c>
      <c r="X25">
        <f t="shared" si="27"/>
        <v>28.669452973286003</v>
      </c>
      <c r="Y25">
        <f t="shared" si="28"/>
        <v>29.4</v>
      </c>
      <c r="AA25">
        <f t="shared" si="29"/>
        <v>0</v>
      </c>
      <c r="AB25">
        <f t="shared" si="30"/>
        <v>0.5</v>
      </c>
      <c r="AC25" s="17" t="str">
        <f t="shared" si="48"/>
        <v/>
      </c>
      <c r="AD25" s="19" t="str">
        <f t="shared" si="3"/>
        <v/>
      </c>
      <c r="AE25" s="18">
        <v>21</v>
      </c>
      <c r="AI25" t="s">
        <v>317</v>
      </c>
      <c r="AJ25" t="s">
        <v>311</v>
      </c>
      <c r="AK25" t="s">
        <v>489</v>
      </c>
      <c r="AO25">
        <f t="shared" si="31"/>
        <v>3.995631190580772</v>
      </c>
      <c r="AP25">
        <f t="shared" si="32"/>
        <v>0.98193646232488918</v>
      </c>
      <c r="AQ25" s="19" t="str">
        <f t="shared" si="33"/>
        <v/>
      </c>
      <c r="AR25">
        <v>21</v>
      </c>
      <c r="AV25" s="17" t="str">
        <f t="shared" si="5"/>
        <v/>
      </c>
      <c r="AW25">
        <f t="shared" si="6"/>
        <v>11.025202264618525</v>
      </c>
      <c r="AX25" s="18" t="str">
        <f t="shared" si="7"/>
        <v/>
      </c>
      <c r="AY25">
        <v>21</v>
      </c>
      <c r="BD25">
        <f t="shared" si="8"/>
        <v>0.5</v>
      </c>
      <c r="BE25">
        <f t="shared" si="9"/>
        <v>0.98193646232488918</v>
      </c>
      <c r="BF25" s="17" t="str">
        <f t="shared" si="49"/>
        <v/>
      </c>
      <c r="BG25" s="18" t="str">
        <f t="shared" si="50"/>
        <v/>
      </c>
      <c r="BH25" s="17" t="str">
        <f t="shared" si="51"/>
        <v/>
      </c>
      <c r="BI25" s="18" t="str">
        <f t="shared" si="52"/>
        <v/>
      </c>
      <c r="BJ25">
        <v>21</v>
      </c>
      <c r="BN25" s="4">
        <v>0.22</v>
      </c>
      <c r="BO25" s="2" t="str">
        <f t="shared" si="34"/>
        <v/>
      </c>
      <c r="BQ25">
        <v>12</v>
      </c>
      <c r="BR25" s="61" t="str">
        <f t="shared" si="35"/>
        <v/>
      </c>
      <c r="BW25">
        <v>21</v>
      </c>
      <c r="BX25">
        <f t="shared" si="36"/>
        <v>29.277992103196347</v>
      </c>
      <c r="BY25">
        <f t="shared" si="37"/>
        <v>14.786032156948508</v>
      </c>
      <c r="BZ25">
        <f t="shared" si="38"/>
        <v>0.68315314907458147</v>
      </c>
      <c r="CF25" t="e">
        <f t="shared" si="10"/>
        <v>#N/A</v>
      </c>
      <c r="CG25" t="e">
        <f t="shared" si="11"/>
        <v>#N/A</v>
      </c>
      <c r="CH25" t="e">
        <f t="shared" si="12"/>
        <v>#N/A</v>
      </c>
      <c r="CI25">
        <f t="shared" si="13"/>
        <v>5.5042209988453354</v>
      </c>
      <c r="CK25">
        <f t="shared" si="39"/>
        <v>29.277992103196347</v>
      </c>
      <c r="CL25">
        <f t="shared" si="40"/>
        <v>29.4</v>
      </c>
      <c r="CN25" t="e">
        <f t="shared" si="14"/>
        <v>#VALUE!</v>
      </c>
      <c r="CO25" t="e">
        <f t="shared" si="41"/>
        <v>#VALUE!</v>
      </c>
      <c r="CP25" s="17" t="e">
        <f t="shared" si="53"/>
        <v>#VALUE!</v>
      </c>
      <c r="CQ25" s="18" t="str">
        <f t="shared" si="15"/>
        <v/>
      </c>
      <c r="CR25">
        <v>21</v>
      </c>
      <c r="CX25" t="s">
        <v>317</v>
      </c>
      <c r="CY25" t="s">
        <v>311</v>
      </c>
      <c r="CZ25" t="s">
        <v>499</v>
      </c>
      <c r="DD25" t="e">
        <f t="shared" si="17"/>
        <v>#VALUE!</v>
      </c>
      <c r="DE25" t="e">
        <f t="shared" si="18"/>
        <v>#VALUE!</v>
      </c>
      <c r="DF25" s="19" t="e">
        <f t="shared" si="54"/>
        <v>#VALUE!</v>
      </c>
      <c r="DG25">
        <v>21</v>
      </c>
      <c r="DK25" s="17" t="str">
        <f t="shared" si="42"/>
        <v/>
      </c>
      <c r="DL25" t="str">
        <f t="shared" si="43"/>
        <v/>
      </c>
      <c r="DM25" s="18" t="str">
        <f t="shared" si="44"/>
        <v/>
      </c>
      <c r="DN25">
        <v>21</v>
      </c>
      <c r="DS25" t="e">
        <f t="shared" si="45"/>
        <v>#VALUE!</v>
      </c>
      <c r="DT25" t="e">
        <f t="shared" si="46"/>
        <v>#VALUE!</v>
      </c>
      <c r="DU25" s="17" t="e">
        <f t="shared" si="55"/>
        <v>#VALUE!</v>
      </c>
      <c r="DV25" s="18" t="e">
        <f t="shared" si="56"/>
        <v>#VALUE!</v>
      </c>
      <c r="DW25" s="17" t="e">
        <f t="shared" si="57"/>
        <v>#VALUE!</v>
      </c>
      <c r="DX25" s="18" t="e">
        <f t="shared" si="58"/>
        <v>#VALUE!</v>
      </c>
      <c r="DY25">
        <v>21</v>
      </c>
      <c r="EF25">
        <f>'Calcs-control1'!BD35</f>
        <v>5.5042209988453354</v>
      </c>
      <c r="EG25">
        <f>'Calcs-control1'!AO107</f>
        <v>4.3890456078590665</v>
      </c>
      <c r="EH25">
        <f>'Calcs-control1'!BA107</f>
        <v>9.9838195481303416</v>
      </c>
      <c r="EO25">
        <f t="shared" si="47"/>
        <v>28.669452973286003</v>
      </c>
      <c r="EP25">
        <f t="shared" si="19"/>
        <v>29.4</v>
      </c>
    </row>
    <row r="26" spans="1:146" x14ac:dyDescent="0.3">
      <c r="A26" s="11">
        <v>0.23</v>
      </c>
      <c r="B26" s="2">
        <f t="shared" si="20"/>
        <v>0.23</v>
      </c>
      <c r="D26">
        <v>13</v>
      </c>
      <c r="E26" s="61">
        <f t="shared" si="21"/>
        <v>13</v>
      </c>
      <c r="G26" s="2">
        <v>180</v>
      </c>
      <c r="H26" s="2" t="str">
        <f t="shared" si="22"/>
        <v/>
      </c>
      <c r="J26">
        <v>22</v>
      </c>
      <c r="K26">
        <f t="shared" si="23"/>
        <v>29.895268199507171</v>
      </c>
      <c r="L26">
        <f t="shared" si="24"/>
        <v>11.036315825454869</v>
      </c>
      <c r="M26">
        <f t="shared" si="25"/>
        <v>0.99650893998357237</v>
      </c>
      <c r="S26" t="e">
        <f t="shared" si="0"/>
        <v>#N/A</v>
      </c>
      <c r="T26">
        <f t="shared" si="26"/>
        <v>11.036315825454869</v>
      </c>
      <c r="U26" t="e">
        <f t="shared" si="1"/>
        <v>#N/A</v>
      </c>
      <c r="V26">
        <f t="shared" si="2"/>
        <v>6.087851647427085</v>
      </c>
      <c r="X26">
        <f t="shared" si="27"/>
        <v>29.895268199507171</v>
      </c>
      <c r="Y26">
        <f t="shared" si="28"/>
        <v>30.8</v>
      </c>
      <c r="AA26">
        <f t="shared" si="29"/>
        <v>0</v>
      </c>
      <c r="AB26">
        <f t="shared" si="30"/>
        <v>0.5</v>
      </c>
      <c r="AC26" s="17" t="str">
        <f t="shared" si="48"/>
        <v/>
      </c>
      <c r="AD26" s="19" t="str">
        <f t="shared" si="3"/>
        <v/>
      </c>
      <c r="AE26" s="18">
        <v>22</v>
      </c>
      <c r="AH26" t="s">
        <v>311</v>
      </c>
      <c r="AI26" s="38">
        <v>28</v>
      </c>
      <c r="AJ26" s="38">
        <f>INDEX($AH$31:$AH$70,AI26)</f>
        <v>2.8</v>
      </c>
      <c r="AK26" s="38">
        <f>LN(AJ26)</f>
        <v>1.0296194171811581</v>
      </c>
      <c r="AO26">
        <f t="shared" si="31"/>
        <v>4.806462742314789</v>
      </c>
      <c r="AP26">
        <f t="shared" si="32"/>
        <v>0.99188958487836376</v>
      </c>
      <c r="AQ26" s="19" t="str">
        <f t="shared" si="33"/>
        <v/>
      </c>
      <c r="AR26">
        <v>22</v>
      </c>
      <c r="AV26" s="17" t="str">
        <f t="shared" si="5"/>
        <v/>
      </c>
      <c r="AW26">
        <f t="shared" si="6"/>
        <v>11.036315825454869</v>
      </c>
      <c r="AX26" s="18" t="str">
        <f t="shared" si="7"/>
        <v/>
      </c>
      <c r="AY26">
        <v>22</v>
      </c>
      <c r="BD26">
        <f t="shared" si="8"/>
        <v>0.5</v>
      </c>
      <c r="BE26">
        <f t="shared" si="9"/>
        <v>0.99188958487836376</v>
      </c>
      <c r="BF26" s="17" t="str">
        <f t="shared" si="49"/>
        <v/>
      </c>
      <c r="BG26" s="18" t="str">
        <f t="shared" si="50"/>
        <v/>
      </c>
      <c r="BH26" s="17" t="str">
        <f t="shared" si="51"/>
        <v/>
      </c>
      <c r="BI26" s="18" t="str">
        <f t="shared" si="52"/>
        <v/>
      </c>
      <c r="BJ26">
        <v>22</v>
      </c>
      <c r="BN26" s="4">
        <v>0.23</v>
      </c>
      <c r="BO26" s="2" t="str">
        <f t="shared" si="34"/>
        <v/>
      </c>
      <c r="BQ26">
        <v>13</v>
      </c>
      <c r="BR26" s="61" t="str">
        <f t="shared" si="35"/>
        <v/>
      </c>
      <c r="BW26">
        <v>22</v>
      </c>
      <c r="BX26">
        <f t="shared" si="36"/>
        <v>30.529826539895318</v>
      </c>
      <c r="BY26">
        <f t="shared" si="37"/>
        <v>14.974391455871945</v>
      </c>
      <c r="BZ26">
        <f t="shared" si="38"/>
        <v>0.71236261926422417</v>
      </c>
      <c r="CF26" t="e">
        <f t="shared" si="10"/>
        <v>#N/A</v>
      </c>
      <c r="CG26" t="e">
        <f t="shared" si="11"/>
        <v>#N/A</v>
      </c>
      <c r="CH26" t="e">
        <f t="shared" si="12"/>
        <v>#N/A</v>
      </c>
      <c r="CI26">
        <f t="shared" si="13"/>
        <v>6.087851647427085</v>
      </c>
      <c r="CK26">
        <f t="shared" si="39"/>
        <v>30.529826539895318</v>
      </c>
      <c r="CL26">
        <f t="shared" si="40"/>
        <v>30.8</v>
      </c>
      <c r="CN26" t="e">
        <f t="shared" si="14"/>
        <v>#VALUE!</v>
      </c>
      <c r="CO26" t="e">
        <f t="shared" si="41"/>
        <v>#VALUE!</v>
      </c>
      <c r="CP26" s="17" t="e">
        <f t="shared" si="53"/>
        <v>#VALUE!</v>
      </c>
      <c r="CQ26" s="18" t="str">
        <f t="shared" si="15"/>
        <v/>
      </c>
      <c r="CR26">
        <v>22</v>
      </c>
      <c r="CW26" t="s">
        <v>311</v>
      </c>
      <c r="CX26" s="38">
        <v>17</v>
      </c>
      <c r="CY26" s="38" t="str">
        <f>INDEX($CW$31:$CW$70,CX26)</f>
        <v/>
      </c>
      <c r="CZ26" s="38" t="e">
        <f>LN(CX22)</f>
        <v>#VALUE!</v>
      </c>
      <c r="DD26" t="e">
        <f t="shared" si="17"/>
        <v>#VALUE!</v>
      </c>
      <c r="DE26" t="e">
        <f t="shared" si="18"/>
        <v>#VALUE!</v>
      </c>
      <c r="DF26" s="19" t="e">
        <f t="shared" si="54"/>
        <v>#VALUE!</v>
      </c>
      <c r="DG26">
        <v>22</v>
      </c>
      <c r="DK26" s="17" t="str">
        <f t="shared" si="42"/>
        <v/>
      </c>
      <c r="DL26" t="str">
        <f t="shared" si="43"/>
        <v/>
      </c>
      <c r="DM26" s="18" t="str">
        <f t="shared" si="44"/>
        <v/>
      </c>
      <c r="DN26">
        <v>22</v>
      </c>
      <c r="DS26" t="e">
        <f t="shared" si="45"/>
        <v>#VALUE!</v>
      </c>
      <c r="DT26" t="e">
        <f t="shared" si="46"/>
        <v>#VALUE!</v>
      </c>
      <c r="DU26" s="17" t="e">
        <f t="shared" si="55"/>
        <v>#VALUE!</v>
      </c>
      <c r="DV26" s="18" t="e">
        <f t="shared" si="56"/>
        <v>#VALUE!</v>
      </c>
      <c r="DW26" s="17" t="e">
        <f t="shared" si="57"/>
        <v>#VALUE!</v>
      </c>
      <c r="DX26" s="18" t="e">
        <f t="shared" si="58"/>
        <v>#VALUE!</v>
      </c>
      <c r="DY26">
        <v>22</v>
      </c>
      <c r="EF26">
        <f>'Calcs-control1'!BD36</f>
        <v>6.087851647427085</v>
      </c>
      <c r="EG26">
        <f>'Calcs-control1'!AO108</f>
        <v>4.6965984148753037</v>
      </c>
      <c r="EH26">
        <f>'Calcs-control1'!BA108</f>
        <v>10.811458348307974</v>
      </c>
      <c r="EO26">
        <f t="shared" si="47"/>
        <v>29.895268199507171</v>
      </c>
      <c r="EP26">
        <f t="shared" si="19"/>
        <v>30.8</v>
      </c>
    </row>
    <row r="27" spans="1:146" x14ac:dyDescent="0.3">
      <c r="A27" s="11">
        <v>0.24</v>
      </c>
      <c r="B27" s="2">
        <f t="shared" si="20"/>
        <v>0.24</v>
      </c>
      <c r="D27">
        <v>14</v>
      </c>
      <c r="E27" s="61">
        <f t="shared" si="21"/>
        <v>14</v>
      </c>
      <c r="G27" s="2">
        <v>200</v>
      </c>
      <c r="H27" s="2" t="str">
        <f t="shared" si="22"/>
        <v/>
      </c>
      <c r="J27">
        <v>23</v>
      </c>
      <c r="K27">
        <f t="shared" si="23"/>
        <v>31.115522175334807</v>
      </c>
      <c r="L27">
        <f>K27*EXP(-M27)</f>
        <v>11.028940004108483</v>
      </c>
      <c r="M27">
        <f t="shared" si="25"/>
        <v>1.0371840725111603</v>
      </c>
      <c r="S27">
        <f t="shared" si="0"/>
        <v>31.115522175334807</v>
      </c>
      <c r="T27" t="e">
        <f t="shared" si="26"/>
        <v>#N/A</v>
      </c>
      <c r="U27" t="e">
        <f t="shared" si="1"/>
        <v>#N/A</v>
      </c>
      <c r="V27">
        <f t="shared" si="2"/>
        <v>6.733366572464198</v>
      </c>
      <c r="X27">
        <f t="shared" si="27"/>
        <v>31.115522175334807</v>
      </c>
      <c r="Y27">
        <f t="shared" si="28"/>
        <v>32.200000000000003</v>
      </c>
      <c r="AA27">
        <f t="shared" si="29"/>
        <v>0</v>
      </c>
      <c r="AB27">
        <f t="shared" si="30"/>
        <v>0.5</v>
      </c>
      <c r="AC27" s="17" t="str">
        <f t="shared" si="48"/>
        <v/>
      </c>
      <c r="AD27" s="19">
        <f t="shared" si="3"/>
        <v>90</v>
      </c>
      <c r="AE27" s="18">
        <v>23</v>
      </c>
      <c r="AG27" t="s">
        <v>312</v>
      </c>
      <c r="AH27" s="38" t="s">
        <v>313</v>
      </c>
      <c r="AK27" s="1"/>
      <c r="AO27">
        <f t="shared" si="31"/>
        <v>5.6172942940488042</v>
      </c>
      <c r="AP27">
        <f t="shared" si="32"/>
        <v>0.99637869987457717</v>
      </c>
      <c r="AQ27" s="19" t="str">
        <f t="shared" si="33"/>
        <v/>
      </c>
      <c r="AR27">
        <v>23</v>
      </c>
      <c r="AV27" s="17" t="str">
        <f t="shared" si="5"/>
        <v/>
      </c>
      <c r="AW27" t="str">
        <f t="shared" si="6"/>
        <v/>
      </c>
      <c r="AX27" s="18">
        <f t="shared" si="7"/>
        <v>31.115522175334807</v>
      </c>
      <c r="AY27">
        <v>23</v>
      </c>
      <c r="BD27">
        <f t="shared" si="8"/>
        <v>0.5</v>
      </c>
      <c r="BE27">
        <f t="shared" si="9"/>
        <v>0.99637869987457717</v>
      </c>
      <c r="BF27" s="17" t="str">
        <f t="shared" si="49"/>
        <v/>
      </c>
      <c r="BG27" s="18" t="str">
        <f t="shared" si="50"/>
        <v/>
      </c>
      <c r="BH27" s="17" t="str">
        <f t="shared" si="51"/>
        <v/>
      </c>
      <c r="BI27" s="18" t="str">
        <f t="shared" si="52"/>
        <v/>
      </c>
      <c r="BJ27">
        <v>23</v>
      </c>
      <c r="BN27" s="4">
        <v>0.24</v>
      </c>
      <c r="BO27" s="2" t="str">
        <f t="shared" si="34"/>
        <v/>
      </c>
      <c r="BQ27">
        <v>14</v>
      </c>
      <c r="BR27" s="61" t="str">
        <f t="shared" si="35"/>
        <v/>
      </c>
      <c r="BW27">
        <v>23</v>
      </c>
      <c r="BX27">
        <f t="shared" si="36"/>
        <v>31.775981682843639</v>
      </c>
      <c r="BY27">
        <f t="shared" si="37"/>
        <v>15.138953722977348</v>
      </c>
      <c r="BZ27">
        <f t="shared" si="38"/>
        <v>0.74143957259968496</v>
      </c>
      <c r="CF27" t="e">
        <f t="shared" si="10"/>
        <v>#N/A</v>
      </c>
      <c r="CG27" t="e">
        <f t="shared" si="11"/>
        <v>#N/A</v>
      </c>
      <c r="CH27" t="e">
        <f t="shared" si="12"/>
        <v>#N/A</v>
      </c>
      <c r="CI27">
        <f t="shared" si="13"/>
        <v>6.733366572464198</v>
      </c>
      <c r="CK27">
        <f t="shared" si="39"/>
        <v>31.775981682843639</v>
      </c>
      <c r="CL27">
        <f t="shared" si="40"/>
        <v>32.200000000000003</v>
      </c>
      <c r="CN27" t="e">
        <f t="shared" si="14"/>
        <v>#VALUE!</v>
      </c>
      <c r="CO27" t="e">
        <f t="shared" si="41"/>
        <v>#VALUE!</v>
      </c>
      <c r="CP27" s="17" t="e">
        <f t="shared" si="53"/>
        <v>#VALUE!</v>
      </c>
      <c r="CQ27" s="18" t="str">
        <f t="shared" si="15"/>
        <v/>
      </c>
      <c r="CR27">
        <v>23</v>
      </c>
      <c r="CV27" t="s">
        <v>312</v>
      </c>
      <c r="CW27" s="38" t="s">
        <v>313</v>
      </c>
      <c r="DA27" s="1"/>
      <c r="DD27" t="e">
        <f t="shared" si="17"/>
        <v>#VALUE!</v>
      </c>
      <c r="DE27" t="e">
        <f t="shared" si="18"/>
        <v>#VALUE!</v>
      </c>
      <c r="DF27" s="19" t="e">
        <f t="shared" si="54"/>
        <v>#VALUE!</v>
      </c>
      <c r="DG27">
        <v>23</v>
      </c>
      <c r="DK27" s="17" t="str">
        <f t="shared" si="42"/>
        <v/>
      </c>
      <c r="DL27" t="str">
        <f t="shared" si="43"/>
        <v/>
      </c>
      <c r="DM27" s="18" t="str">
        <f t="shared" si="44"/>
        <v/>
      </c>
      <c r="DN27">
        <v>23</v>
      </c>
      <c r="DS27" t="e">
        <f t="shared" si="45"/>
        <v>#VALUE!</v>
      </c>
      <c r="DT27" t="e">
        <f t="shared" si="46"/>
        <v>#VALUE!</v>
      </c>
      <c r="DU27" s="17" t="e">
        <f t="shared" si="55"/>
        <v>#VALUE!</v>
      </c>
      <c r="DV27" s="18" t="e">
        <f t="shared" si="56"/>
        <v>#VALUE!</v>
      </c>
      <c r="DW27" s="17" t="e">
        <f t="shared" si="57"/>
        <v>#VALUE!</v>
      </c>
      <c r="DX27" s="18" t="e">
        <f t="shared" si="58"/>
        <v>#VALUE!</v>
      </c>
      <c r="DY27">
        <v>23</v>
      </c>
      <c r="EF27">
        <f>'Calcs-control1'!BD37</f>
        <v>6.733366572464198</v>
      </c>
      <c r="EG27">
        <f>'Calcs-control1'!AO109</f>
        <v>5.0225631894960445</v>
      </c>
      <c r="EH27">
        <f>'Calcs-control1'!BA109</f>
        <v>11.674687622140109</v>
      </c>
      <c r="EO27">
        <f t="shared" si="47"/>
        <v>31.115522175334807</v>
      </c>
      <c r="EP27">
        <f t="shared" si="19"/>
        <v>32.200000000000003</v>
      </c>
    </row>
    <row r="28" spans="1:146" x14ac:dyDescent="0.3">
      <c r="A28" s="11">
        <v>0.25</v>
      </c>
      <c r="B28" s="2">
        <f t="shared" si="20"/>
        <v>0.25</v>
      </c>
      <c r="D28">
        <v>15</v>
      </c>
      <c r="E28" s="61">
        <f t="shared" si="21"/>
        <v>15</v>
      </c>
      <c r="G28" s="2">
        <v>220</v>
      </c>
      <c r="H28" s="2" t="str">
        <f t="shared" si="22"/>
        <v/>
      </c>
      <c r="J28">
        <v>24</v>
      </c>
      <c r="K28">
        <f t="shared" si="23"/>
        <v>32.330480467115514</v>
      </c>
      <c r="L28">
        <f t="shared" si="24"/>
        <v>11.004758506190536</v>
      </c>
      <c r="M28">
        <f t="shared" si="25"/>
        <v>1.0776826822371839</v>
      </c>
      <c r="S28">
        <f t="shared" si="0"/>
        <v>32.330480467115514</v>
      </c>
      <c r="T28" t="e">
        <f t="shared" si="26"/>
        <v>#N/A</v>
      </c>
      <c r="U28" t="e">
        <f t="shared" si="1"/>
        <v>#N/A</v>
      </c>
      <c r="V28">
        <f t="shared" si="2"/>
        <v>7.4473275672444519</v>
      </c>
      <c r="X28">
        <f t="shared" si="27"/>
        <v>32.330480467115514</v>
      </c>
      <c r="Y28">
        <f t="shared" si="28"/>
        <v>33.6</v>
      </c>
      <c r="AA28">
        <f t="shared" si="29"/>
        <v>0</v>
      </c>
      <c r="AB28">
        <f t="shared" si="30"/>
        <v>0.5</v>
      </c>
      <c r="AC28" s="17" t="str">
        <f t="shared" si="48"/>
        <v/>
      </c>
      <c r="AD28" s="19" t="str">
        <f t="shared" si="3"/>
        <v/>
      </c>
      <c r="AE28" s="18">
        <v>24</v>
      </c>
      <c r="AH28" s="109" t="s">
        <v>314</v>
      </c>
      <c r="AO28">
        <f t="shared" si="31"/>
        <v>6.4281258457828301</v>
      </c>
      <c r="AP28">
        <f t="shared" si="32"/>
        <v>0.99838712990275036</v>
      </c>
      <c r="AQ28" s="19" t="str">
        <f t="shared" si="33"/>
        <v/>
      </c>
      <c r="AR28">
        <v>24</v>
      </c>
      <c r="AV28" s="17" t="str">
        <f t="shared" si="5"/>
        <v/>
      </c>
      <c r="AW28" t="str">
        <f t="shared" si="6"/>
        <v/>
      </c>
      <c r="AX28" s="18">
        <f t="shared" si="7"/>
        <v>32.330480467115514</v>
      </c>
      <c r="AY28">
        <v>24</v>
      </c>
      <c r="BD28">
        <f t="shared" si="8"/>
        <v>0.5</v>
      </c>
      <c r="BE28">
        <f t="shared" si="9"/>
        <v>0.99838712990275036</v>
      </c>
      <c r="BF28" s="17" t="str">
        <f t="shared" si="49"/>
        <v/>
      </c>
      <c r="BG28" s="18" t="str">
        <f t="shared" si="50"/>
        <v/>
      </c>
      <c r="BH28" s="17" t="str">
        <f t="shared" si="51"/>
        <v/>
      </c>
      <c r="BI28" s="18" t="str">
        <f t="shared" si="52"/>
        <v/>
      </c>
      <c r="BJ28">
        <v>24</v>
      </c>
      <c r="BN28" s="4">
        <v>0.25</v>
      </c>
      <c r="BO28" s="2" t="str">
        <f t="shared" si="34"/>
        <v/>
      </c>
      <c r="BQ28">
        <v>15</v>
      </c>
      <c r="BR28" s="61" t="str">
        <f t="shared" si="35"/>
        <v/>
      </c>
      <c r="BW28">
        <v>24</v>
      </c>
      <c r="BX28">
        <f t="shared" si="36"/>
        <v>33.016728735311432</v>
      </c>
      <c r="BY28">
        <f t="shared" si="37"/>
        <v>15.281210888620391</v>
      </c>
      <c r="BZ28">
        <f t="shared" si="38"/>
        <v>0.77039033715726679</v>
      </c>
      <c r="CF28" t="e">
        <f t="shared" si="10"/>
        <v>#N/A</v>
      </c>
      <c r="CG28" t="e">
        <f t="shared" si="11"/>
        <v>#N/A</v>
      </c>
      <c r="CH28" t="e">
        <f t="shared" si="12"/>
        <v>#N/A</v>
      </c>
      <c r="CI28">
        <f t="shared" si="13"/>
        <v>7.4473275672444519</v>
      </c>
      <c r="CK28">
        <f t="shared" si="39"/>
        <v>33.016728735311432</v>
      </c>
      <c r="CL28">
        <f t="shared" si="40"/>
        <v>33.6</v>
      </c>
      <c r="CN28" t="e">
        <f t="shared" si="14"/>
        <v>#VALUE!</v>
      </c>
      <c r="CO28" t="e">
        <f t="shared" si="41"/>
        <v>#VALUE!</v>
      </c>
      <c r="CP28" s="17" t="e">
        <f t="shared" si="53"/>
        <v>#VALUE!</v>
      </c>
      <c r="CQ28" s="18" t="str">
        <f t="shared" si="15"/>
        <v/>
      </c>
      <c r="CR28">
        <v>24</v>
      </c>
      <c r="CW28" s="109" t="s">
        <v>314</v>
      </c>
      <c r="DA28" s="1"/>
      <c r="DD28" t="e">
        <f t="shared" si="17"/>
        <v>#VALUE!</v>
      </c>
      <c r="DE28" t="e">
        <f t="shared" si="18"/>
        <v>#VALUE!</v>
      </c>
      <c r="DF28" s="19" t="e">
        <f t="shared" si="54"/>
        <v>#VALUE!</v>
      </c>
      <c r="DG28">
        <v>24</v>
      </c>
      <c r="DK28" s="17" t="str">
        <f t="shared" si="42"/>
        <v/>
      </c>
      <c r="DL28" t="str">
        <f t="shared" si="43"/>
        <v/>
      </c>
      <c r="DM28" s="18" t="str">
        <f t="shared" si="44"/>
        <v/>
      </c>
      <c r="DN28">
        <v>24</v>
      </c>
      <c r="DS28" t="e">
        <f t="shared" si="45"/>
        <v>#VALUE!</v>
      </c>
      <c r="DT28" t="e">
        <f t="shared" si="46"/>
        <v>#VALUE!</v>
      </c>
      <c r="DU28" s="17" t="e">
        <f t="shared" si="55"/>
        <v>#VALUE!</v>
      </c>
      <c r="DV28" s="18" t="e">
        <f t="shared" si="56"/>
        <v>#VALUE!</v>
      </c>
      <c r="DW28" s="17" t="e">
        <f t="shared" si="57"/>
        <v>#VALUE!</v>
      </c>
      <c r="DX28" s="18" t="e">
        <f t="shared" si="58"/>
        <v>#VALUE!</v>
      </c>
      <c r="DY28">
        <v>24</v>
      </c>
      <c r="EF28">
        <f>'Calcs-control1'!BD38</f>
        <v>7.4473275672444519</v>
      </c>
      <c r="EG28">
        <f>'Calcs-control1'!AO110</f>
        <v>5.367646737169351</v>
      </c>
      <c r="EH28">
        <f>'Calcs-control1'!BA110</f>
        <v>12.570525268810712</v>
      </c>
      <c r="EO28">
        <f t="shared" si="47"/>
        <v>32.330480467115514</v>
      </c>
      <c r="EP28">
        <f t="shared" si="19"/>
        <v>33.6</v>
      </c>
    </row>
    <row r="29" spans="1:146" x14ac:dyDescent="0.3">
      <c r="A29" s="11">
        <v>0.26</v>
      </c>
      <c r="B29" s="2">
        <f t="shared" si="20"/>
        <v>0.26</v>
      </c>
      <c r="D29">
        <v>16</v>
      </c>
      <c r="E29" s="61">
        <f t="shared" si="21"/>
        <v>16</v>
      </c>
      <c r="G29" s="2">
        <v>240</v>
      </c>
      <c r="H29" s="2" t="str">
        <f t="shared" si="22"/>
        <v/>
      </c>
      <c r="J29">
        <v>25</v>
      </c>
      <c r="K29">
        <f t="shared" si="23"/>
        <v>33.540385431815956</v>
      </c>
      <c r="L29">
        <f t="shared" si="24"/>
        <v>10.965318191788111</v>
      </c>
      <c r="M29">
        <f t="shared" si="25"/>
        <v>1.1180128477271984</v>
      </c>
      <c r="S29">
        <f t="shared" si="0"/>
        <v>33.540385431815956</v>
      </c>
      <c r="T29" t="e">
        <f t="shared" si="26"/>
        <v>#N/A</v>
      </c>
      <c r="U29" t="e">
        <f t="shared" si="1"/>
        <v>#N/A</v>
      </c>
      <c r="V29">
        <f t="shared" si="2"/>
        <v>8.2369921935709396</v>
      </c>
      <c r="X29">
        <f t="shared" si="27"/>
        <v>33.540385431815956</v>
      </c>
      <c r="Y29">
        <f t="shared" si="28"/>
        <v>35</v>
      </c>
      <c r="AA29">
        <f t="shared" si="29"/>
        <v>0</v>
      </c>
      <c r="AB29">
        <f t="shared" si="30"/>
        <v>0.5</v>
      </c>
      <c r="AC29" s="17" t="str">
        <f t="shared" si="48"/>
        <v/>
      </c>
      <c r="AD29" s="19" t="str">
        <f t="shared" si="3"/>
        <v/>
      </c>
      <c r="AE29" s="18">
        <v>25</v>
      </c>
      <c r="AH29" s="38" t="s">
        <v>315</v>
      </c>
      <c r="AO29">
        <f t="shared" si="31"/>
        <v>7.2389573975168489</v>
      </c>
      <c r="AP29">
        <f t="shared" si="32"/>
        <v>0.99928245521908732</v>
      </c>
      <c r="AQ29" s="19" t="str">
        <f t="shared" si="33"/>
        <v/>
      </c>
      <c r="AR29">
        <v>25</v>
      </c>
      <c r="AV29" s="17" t="str">
        <f t="shared" si="5"/>
        <v/>
      </c>
      <c r="AW29" t="str">
        <f t="shared" si="6"/>
        <v/>
      </c>
      <c r="AX29" s="18">
        <f t="shared" si="7"/>
        <v>33.540385431815956</v>
      </c>
      <c r="AY29">
        <v>25</v>
      </c>
      <c r="BD29">
        <f t="shared" si="8"/>
        <v>0.5</v>
      </c>
      <c r="BE29">
        <f t="shared" si="9"/>
        <v>0.99928245521908732</v>
      </c>
      <c r="BF29" s="17" t="str">
        <f t="shared" si="49"/>
        <v/>
      </c>
      <c r="BG29" s="18" t="str">
        <f t="shared" si="50"/>
        <v/>
      </c>
      <c r="BH29" s="17" t="str">
        <f t="shared" si="51"/>
        <v/>
      </c>
      <c r="BI29" s="18" t="str">
        <f t="shared" si="52"/>
        <v/>
      </c>
      <c r="BJ29">
        <v>25</v>
      </c>
      <c r="BN29" s="4">
        <v>0.26</v>
      </c>
      <c r="BO29" s="2" t="str">
        <f t="shared" si="34"/>
        <v/>
      </c>
      <c r="BQ29">
        <v>16</v>
      </c>
      <c r="BR29" s="61" t="str">
        <f t="shared" si="35"/>
        <v/>
      </c>
      <c r="BW29">
        <v>25</v>
      </c>
      <c r="BX29">
        <f t="shared" si="36"/>
        <v>34.252315198545489</v>
      </c>
      <c r="BY29">
        <f t="shared" si="37"/>
        <v>15.402556028063884</v>
      </c>
      <c r="BZ29">
        <f t="shared" si="38"/>
        <v>0.79922068796606149</v>
      </c>
      <c r="CF29" t="e">
        <f t="shared" si="10"/>
        <v>#N/A</v>
      </c>
      <c r="CG29" t="e">
        <f t="shared" si="11"/>
        <v>#N/A</v>
      </c>
      <c r="CH29" t="e">
        <f t="shared" si="12"/>
        <v>#N/A</v>
      </c>
      <c r="CI29">
        <f t="shared" si="13"/>
        <v>8.2369921935709396</v>
      </c>
      <c r="CK29">
        <f t="shared" si="39"/>
        <v>34.252315198545489</v>
      </c>
      <c r="CL29">
        <f t="shared" si="40"/>
        <v>35</v>
      </c>
      <c r="CN29" t="e">
        <f t="shared" si="14"/>
        <v>#VALUE!</v>
      </c>
      <c r="CO29" t="e">
        <f t="shared" si="41"/>
        <v>#VALUE!</v>
      </c>
      <c r="CP29" s="17" t="e">
        <f t="shared" si="53"/>
        <v>#VALUE!</v>
      </c>
      <c r="CQ29" s="18" t="str">
        <f t="shared" si="15"/>
        <v/>
      </c>
      <c r="CR29">
        <v>25</v>
      </c>
      <c r="CW29" s="38" t="s">
        <v>315</v>
      </c>
      <c r="DA29" s="1"/>
      <c r="DD29" t="e">
        <f t="shared" si="17"/>
        <v>#VALUE!</v>
      </c>
      <c r="DE29" t="e">
        <f t="shared" si="18"/>
        <v>#VALUE!</v>
      </c>
      <c r="DF29" s="19" t="e">
        <f t="shared" si="54"/>
        <v>#VALUE!</v>
      </c>
      <c r="DG29">
        <v>25</v>
      </c>
      <c r="DK29" s="17" t="str">
        <f t="shared" si="42"/>
        <v/>
      </c>
      <c r="DL29" t="str">
        <f t="shared" si="43"/>
        <v/>
      </c>
      <c r="DM29" s="18" t="str">
        <f t="shared" si="44"/>
        <v/>
      </c>
      <c r="DN29">
        <v>25</v>
      </c>
      <c r="DS29" t="e">
        <f t="shared" si="45"/>
        <v>#VALUE!</v>
      </c>
      <c r="DT29" t="e">
        <f t="shared" si="46"/>
        <v>#VALUE!</v>
      </c>
      <c r="DU29" s="17" t="e">
        <f t="shared" si="55"/>
        <v>#VALUE!</v>
      </c>
      <c r="DV29" s="18" t="e">
        <f t="shared" si="56"/>
        <v>#VALUE!</v>
      </c>
      <c r="DW29" s="17" t="e">
        <f t="shared" si="57"/>
        <v>#VALUE!</v>
      </c>
      <c r="DX29" s="18" t="e">
        <f t="shared" si="58"/>
        <v>#VALUE!</v>
      </c>
      <c r="DY29">
        <v>25</v>
      </c>
      <c r="EF29">
        <f>'Calcs-control1'!BD39</f>
        <v>8.2369921935709396</v>
      </c>
      <c r="EG29">
        <f>'Calcs-control1'!AO111</f>
        <v>5.7325313069296202</v>
      </c>
      <c r="EH29">
        <f>'Calcs-control1'!BA111</f>
        <v>13.495358493862168</v>
      </c>
      <c r="EO29">
        <f t="shared" si="47"/>
        <v>33.540385431815956</v>
      </c>
      <c r="EP29">
        <f t="shared" si="19"/>
        <v>35</v>
      </c>
    </row>
    <row r="30" spans="1:146" x14ac:dyDescent="0.3">
      <c r="A30" s="11">
        <v>0.27</v>
      </c>
      <c r="B30" s="2">
        <f t="shared" si="20"/>
        <v>0.27</v>
      </c>
      <c r="D30">
        <v>17</v>
      </c>
      <c r="E30" s="61">
        <f t="shared" si="21"/>
        <v>17</v>
      </c>
      <c r="G30" s="2">
        <v>260</v>
      </c>
      <c r="H30" s="2" t="str">
        <f t="shared" si="22"/>
        <v/>
      </c>
      <c r="J30">
        <v>26</v>
      </c>
      <c r="K30">
        <f t="shared" si="23"/>
        <v>34.745459092421783</v>
      </c>
      <c r="L30">
        <f t="shared" si="24"/>
        <v>10.912041673273723</v>
      </c>
      <c r="M30">
        <f t="shared" si="25"/>
        <v>1.1581819697473927</v>
      </c>
      <c r="S30">
        <f t="shared" si="0"/>
        <v>34.745459092421783</v>
      </c>
      <c r="T30" t="e">
        <f t="shared" si="26"/>
        <v>#N/A</v>
      </c>
      <c r="U30" t="e">
        <f t="shared" si="1"/>
        <v>#N/A</v>
      </c>
      <c r="V30">
        <f t="shared" si="2"/>
        <v>9.1103875563852448</v>
      </c>
      <c r="X30">
        <f t="shared" si="27"/>
        <v>34.745459092421783</v>
      </c>
      <c r="Y30">
        <f t="shared" si="28"/>
        <v>36.4</v>
      </c>
      <c r="AA30">
        <f t="shared" si="29"/>
        <v>0</v>
      </c>
      <c r="AB30">
        <f t="shared" si="30"/>
        <v>0.5</v>
      </c>
      <c r="AC30" s="17" t="str">
        <f t="shared" si="48"/>
        <v/>
      </c>
      <c r="AD30" s="19" t="str">
        <f t="shared" si="3"/>
        <v/>
      </c>
      <c r="AE30" s="18">
        <v>26</v>
      </c>
      <c r="AH30" s="38"/>
      <c r="AK30" s="1"/>
      <c r="AO30">
        <f t="shared" si="31"/>
        <v>8.0497889492508676</v>
      </c>
      <c r="AP30">
        <f t="shared" si="32"/>
        <v>0.9996809325602356</v>
      </c>
      <c r="AQ30" s="19" t="str">
        <f t="shared" si="33"/>
        <v/>
      </c>
      <c r="AR30">
        <v>26</v>
      </c>
      <c r="AV30" s="17" t="str">
        <f t="shared" si="5"/>
        <v/>
      </c>
      <c r="AW30" t="str">
        <f t="shared" si="6"/>
        <v/>
      </c>
      <c r="AX30" s="18">
        <f t="shared" si="7"/>
        <v>34.745459092421783</v>
      </c>
      <c r="AY30">
        <v>26</v>
      </c>
      <c r="BD30">
        <f t="shared" si="8"/>
        <v>0.5</v>
      </c>
      <c r="BE30">
        <f t="shared" si="9"/>
        <v>0.9996809325602356</v>
      </c>
      <c r="BF30" s="17" t="str">
        <f t="shared" si="49"/>
        <v/>
      </c>
      <c r="BG30" s="18" t="str">
        <f t="shared" si="50"/>
        <v/>
      </c>
      <c r="BH30" s="17" t="str">
        <f t="shared" si="51"/>
        <v/>
      </c>
      <c r="BI30" s="18" t="str">
        <f t="shared" si="52"/>
        <v/>
      </c>
      <c r="BJ30">
        <v>26</v>
      </c>
      <c r="BN30" s="4">
        <v>0.27</v>
      </c>
      <c r="BO30" s="2" t="str">
        <f t="shared" si="34"/>
        <v/>
      </c>
      <c r="BQ30">
        <v>17</v>
      </c>
      <c r="BR30" s="61" t="str">
        <f t="shared" si="35"/>
        <v/>
      </c>
      <c r="BW30">
        <v>26</v>
      </c>
      <c r="BX30">
        <f t="shared" si="36"/>
        <v>35.482967808201586</v>
      </c>
      <c r="BY30">
        <f t="shared" si="37"/>
        <v>15.504291952779305</v>
      </c>
      <c r="BZ30">
        <f t="shared" si="38"/>
        <v>0.82793591552470369</v>
      </c>
      <c r="CF30" t="e">
        <f t="shared" si="10"/>
        <v>#N/A</v>
      </c>
      <c r="CG30" t="e">
        <f t="shared" si="11"/>
        <v>#N/A</v>
      </c>
      <c r="CH30" t="e">
        <f t="shared" si="12"/>
        <v>#N/A</v>
      </c>
      <c r="CI30">
        <f t="shared" si="13"/>
        <v>9.1103875563852448</v>
      </c>
      <c r="CK30">
        <f t="shared" si="39"/>
        <v>35.482967808201586</v>
      </c>
      <c r="CL30">
        <f t="shared" si="40"/>
        <v>36.4</v>
      </c>
      <c r="CN30" t="e">
        <f t="shared" si="14"/>
        <v>#VALUE!</v>
      </c>
      <c r="CO30" t="e">
        <f t="shared" si="41"/>
        <v>#VALUE!</v>
      </c>
      <c r="CP30" s="17" t="e">
        <f t="shared" si="53"/>
        <v>#VALUE!</v>
      </c>
      <c r="CQ30" s="18" t="str">
        <f t="shared" si="15"/>
        <v/>
      </c>
      <c r="CR30">
        <v>26</v>
      </c>
      <c r="CW30" s="38"/>
      <c r="CZ30" s="1"/>
      <c r="DA30" s="1"/>
      <c r="DD30" t="e">
        <f t="shared" si="17"/>
        <v>#VALUE!</v>
      </c>
      <c r="DE30" t="e">
        <f t="shared" si="18"/>
        <v>#VALUE!</v>
      </c>
      <c r="DF30" s="19" t="e">
        <f>IF(AND(DE30&gt;=$DF$1, DE29&lt;$DF$1), 10, "")</f>
        <v>#VALUE!</v>
      </c>
      <c r="DG30">
        <v>26</v>
      </c>
      <c r="DK30" s="17" t="str">
        <f t="shared" si="42"/>
        <v/>
      </c>
      <c r="DL30" t="str">
        <f t="shared" si="43"/>
        <v/>
      </c>
      <c r="DM30" s="18" t="str">
        <f t="shared" si="44"/>
        <v/>
      </c>
      <c r="DN30">
        <v>26</v>
      </c>
      <c r="DS30" t="e">
        <f t="shared" si="45"/>
        <v>#VALUE!</v>
      </c>
      <c r="DT30" t="e">
        <f t="shared" si="46"/>
        <v>#VALUE!</v>
      </c>
      <c r="DU30" s="17" t="e">
        <f t="shared" si="55"/>
        <v>#VALUE!</v>
      </c>
      <c r="DV30" s="18" t="e">
        <f t="shared" si="56"/>
        <v>#VALUE!</v>
      </c>
      <c r="DW30" s="17" t="e">
        <f t="shared" si="57"/>
        <v>#VALUE!</v>
      </c>
      <c r="DX30" s="18" t="e">
        <f t="shared" si="58"/>
        <v>#VALUE!</v>
      </c>
      <c r="DY30">
        <v>26</v>
      </c>
      <c r="EF30">
        <f>'Calcs-control1'!BD40</f>
        <v>9.1103875563852448</v>
      </c>
      <c r="EG30">
        <f>'Calcs-control1'!AO112</f>
        <v>6.1178661180924898</v>
      </c>
      <c r="EH30">
        <f>'Calcs-control1'!BA112</f>
        <v>14.444955689473447</v>
      </c>
      <c r="EO30">
        <f t="shared" si="47"/>
        <v>34.745459092421783</v>
      </c>
      <c r="EP30">
        <f t="shared" si="19"/>
        <v>36.4</v>
      </c>
    </row>
    <row r="31" spans="1:146" x14ac:dyDescent="0.3">
      <c r="A31" s="11">
        <v>0.28000000000000003</v>
      </c>
      <c r="B31" s="2">
        <f t="shared" si="20"/>
        <v>0.28000000000000003</v>
      </c>
      <c r="D31">
        <v>18</v>
      </c>
      <c r="E31" s="61">
        <f t="shared" si="21"/>
        <v>18</v>
      </c>
      <c r="G31" s="2">
        <v>280</v>
      </c>
      <c r="H31" s="2" t="str">
        <f t="shared" si="22"/>
        <v/>
      </c>
      <c r="J31">
        <v>27</v>
      </c>
      <c r="K31">
        <f t="shared" si="23"/>
        <v>35.945905560190674</v>
      </c>
      <c r="L31">
        <f t="shared" si="24"/>
        <v>10.846238447942216</v>
      </c>
      <c r="M31">
        <f t="shared" si="25"/>
        <v>1.1981968520063557</v>
      </c>
      <c r="S31">
        <f t="shared" si="0"/>
        <v>35.945905560190674</v>
      </c>
      <c r="T31" t="e">
        <f t="shared" si="26"/>
        <v>#N/A</v>
      </c>
      <c r="U31" t="e">
        <f t="shared" si="1"/>
        <v>#N/A</v>
      </c>
      <c r="V31">
        <f t="shared" si="2"/>
        <v>10.076391900956374</v>
      </c>
      <c r="X31">
        <f t="shared" si="27"/>
        <v>35.945905560190674</v>
      </c>
      <c r="Y31">
        <f t="shared" si="28"/>
        <v>37.800000000000004</v>
      </c>
      <c r="AA31">
        <f t="shared" si="29"/>
        <v>0</v>
      </c>
      <c r="AB31">
        <f t="shared" si="30"/>
        <v>0.5</v>
      </c>
      <c r="AC31" s="17" t="str">
        <f t="shared" si="48"/>
        <v/>
      </c>
      <c r="AD31" s="19" t="str">
        <f t="shared" si="3"/>
        <v/>
      </c>
      <c r="AE31" s="18">
        <v>27</v>
      </c>
      <c r="AG31" t="s">
        <v>316</v>
      </c>
      <c r="AH31" s="38">
        <f>IF(OR($F$5=$E$34, $Z$1=1), "", AI31)</f>
        <v>0.1</v>
      </c>
      <c r="AI31">
        <v>0.1</v>
      </c>
      <c r="AO31">
        <f t="shared" si="31"/>
        <v>8.8606205009848864</v>
      </c>
      <c r="AP31">
        <f t="shared" si="32"/>
        <v>0.99985815311516502</v>
      </c>
      <c r="AQ31" s="19" t="str">
        <f t="shared" si="33"/>
        <v/>
      </c>
      <c r="AR31">
        <v>27</v>
      </c>
      <c r="AV31" s="17" t="str">
        <f t="shared" si="5"/>
        <v/>
      </c>
      <c r="AW31" t="str">
        <f t="shared" si="6"/>
        <v/>
      </c>
      <c r="AX31" s="18">
        <f t="shared" si="7"/>
        <v>35.945905560190674</v>
      </c>
      <c r="AY31">
        <v>27</v>
      </c>
      <c r="BD31">
        <f t="shared" si="8"/>
        <v>0.5</v>
      </c>
      <c r="BE31">
        <f t="shared" si="9"/>
        <v>0.99985815311516502</v>
      </c>
      <c r="BF31" s="17" t="str">
        <f t="shared" si="49"/>
        <v/>
      </c>
      <c r="BG31" s="18" t="str">
        <f t="shared" si="50"/>
        <v/>
      </c>
      <c r="BH31" s="17" t="str">
        <f t="shared" si="51"/>
        <v/>
      </c>
      <c r="BI31" s="18" t="str">
        <f t="shared" si="52"/>
        <v/>
      </c>
      <c r="BJ31">
        <v>27</v>
      </c>
      <c r="BN31" s="4">
        <v>0.28000000000000003</v>
      </c>
      <c r="BO31" s="2" t="str">
        <f t="shared" si="34"/>
        <v/>
      </c>
      <c r="BQ31">
        <v>18</v>
      </c>
      <c r="BR31" s="61" t="str">
        <f t="shared" si="35"/>
        <v/>
      </c>
      <c r="BW31">
        <v>27</v>
      </c>
      <c r="BX31">
        <f t="shared" si="36"/>
        <v>36.708895008012384</v>
      </c>
      <c r="BY31">
        <f t="shared" si="37"/>
        <v>15.587638759880987</v>
      </c>
      <c r="BZ31">
        <f t="shared" si="38"/>
        <v>0.85654088352028901</v>
      </c>
      <c r="CF31" t="e">
        <f t="shared" si="10"/>
        <v>#N/A</v>
      </c>
      <c r="CG31" t="e">
        <f t="shared" si="11"/>
        <v>#N/A</v>
      </c>
      <c r="CH31" t="e">
        <f t="shared" si="12"/>
        <v>#N/A</v>
      </c>
      <c r="CI31">
        <f t="shared" si="13"/>
        <v>10.076391900956374</v>
      </c>
      <c r="CK31">
        <f t="shared" si="39"/>
        <v>36.708895008012384</v>
      </c>
      <c r="CL31">
        <f t="shared" si="40"/>
        <v>37.800000000000004</v>
      </c>
      <c r="CN31" t="e">
        <f t="shared" si="14"/>
        <v>#VALUE!</v>
      </c>
      <c r="CO31" t="e">
        <f t="shared" si="41"/>
        <v>#VALUE!</v>
      </c>
      <c r="CP31" s="17" t="e">
        <f t="shared" si="53"/>
        <v>#VALUE!</v>
      </c>
      <c r="CQ31" s="18" t="str">
        <f t="shared" si="15"/>
        <v/>
      </c>
      <c r="CR31">
        <v>27</v>
      </c>
      <c r="CV31" t="s">
        <v>316</v>
      </c>
      <c r="CW31" s="38" t="str">
        <f t="shared" ref="CW31:CW70" si="59">IF(OR($BS$5=$BR$34, $Z$1=1), "", CX31)</f>
        <v/>
      </c>
      <c r="CX31">
        <v>0.1</v>
      </c>
      <c r="DA31" s="1"/>
      <c r="DD31" t="e">
        <f t="shared" si="17"/>
        <v>#VALUE!</v>
      </c>
      <c r="DE31" t="e">
        <f t="shared" si="18"/>
        <v>#VALUE!</v>
      </c>
      <c r="DF31" s="19" t="e">
        <f t="shared" si="54"/>
        <v>#VALUE!</v>
      </c>
      <c r="DG31">
        <v>27</v>
      </c>
      <c r="DK31" s="17" t="str">
        <f t="shared" si="42"/>
        <v/>
      </c>
      <c r="DL31" t="str">
        <f t="shared" si="43"/>
        <v/>
      </c>
      <c r="DM31" s="18" t="str">
        <f t="shared" si="44"/>
        <v/>
      </c>
      <c r="DN31">
        <v>27</v>
      </c>
      <c r="DS31" t="e">
        <f t="shared" si="45"/>
        <v>#VALUE!</v>
      </c>
      <c r="DT31" t="e">
        <f t="shared" si="46"/>
        <v>#VALUE!</v>
      </c>
      <c r="DU31" s="17" t="e">
        <f t="shared" si="55"/>
        <v>#VALUE!</v>
      </c>
      <c r="DV31" s="18" t="e">
        <f t="shared" si="56"/>
        <v>#VALUE!</v>
      </c>
      <c r="DW31" s="17" t="e">
        <f t="shared" si="57"/>
        <v>#VALUE!</v>
      </c>
      <c r="DX31" s="18" t="e">
        <f t="shared" si="58"/>
        <v>#VALUE!</v>
      </c>
      <c r="DY31">
        <v>27</v>
      </c>
      <c r="EF31">
        <f>'Calcs-control1'!BD41</f>
        <v>10.076391900956374</v>
      </c>
      <c r="EG31">
        <f>'Calcs-control1'!AO113</f>
        <v>6.5242580447303213</v>
      </c>
      <c r="EH31">
        <f>'Calcs-control1'!BA113</f>
        <v>15.414496405679966</v>
      </c>
      <c r="EO31">
        <f t="shared" si="47"/>
        <v>35.945905560190674</v>
      </c>
      <c r="EP31">
        <f t="shared" si="19"/>
        <v>37.800000000000004</v>
      </c>
    </row>
    <row r="32" spans="1:146" x14ac:dyDescent="0.3">
      <c r="A32" s="11">
        <v>0.28999999999999998</v>
      </c>
      <c r="B32" s="2">
        <f t="shared" si="20"/>
        <v>0.28999999999999998</v>
      </c>
      <c r="D32">
        <v>19</v>
      </c>
      <c r="E32" s="61">
        <f t="shared" si="21"/>
        <v>19</v>
      </c>
      <c r="G32" s="2">
        <v>300</v>
      </c>
      <c r="H32" s="2" t="str">
        <f t="shared" si="22"/>
        <v/>
      </c>
      <c r="J32">
        <v>28</v>
      </c>
      <c r="K32">
        <f t="shared" si="23"/>
        <v>37.14191308932137</v>
      </c>
      <c r="L32">
        <f t="shared" si="24"/>
        <v>10.769114785449149</v>
      </c>
      <c r="M32">
        <f t="shared" si="25"/>
        <v>1.2380637696440457</v>
      </c>
      <c r="S32">
        <f t="shared" si="0"/>
        <v>37.14191308932137</v>
      </c>
      <c r="T32" t="e">
        <f t="shared" si="26"/>
        <v>#N/A</v>
      </c>
      <c r="U32" t="e">
        <f t="shared" si="1"/>
        <v>#N/A</v>
      </c>
      <c r="V32">
        <f t="shared" si="2"/>
        <v>11.144824862087972</v>
      </c>
      <c r="X32">
        <f t="shared" si="27"/>
        <v>37.14191308932137</v>
      </c>
      <c r="Y32">
        <f t="shared" si="28"/>
        <v>39.20000000000001</v>
      </c>
      <c r="AA32">
        <f t="shared" si="29"/>
        <v>0</v>
      </c>
      <c r="AB32">
        <f t="shared" si="30"/>
        <v>0.5</v>
      </c>
      <c r="AC32" s="17" t="str">
        <f t="shared" si="48"/>
        <v/>
      </c>
      <c r="AD32" s="19" t="str">
        <f t="shared" si="3"/>
        <v/>
      </c>
      <c r="AE32" s="18">
        <v>28</v>
      </c>
      <c r="AH32" s="38">
        <f t="shared" ref="AH32:AH70" si="60">IF(OR($F$5=$E$34, $Z$1=1), "", AI32)</f>
        <v>0.2</v>
      </c>
      <c r="AI32">
        <v>0.2</v>
      </c>
      <c r="AO32">
        <f t="shared" si="31"/>
        <v>9.6714520527189016</v>
      </c>
      <c r="AP32">
        <f t="shared" si="32"/>
        <v>0.9999369457511319</v>
      </c>
      <c r="AQ32" s="19" t="str">
        <f t="shared" si="33"/>
        <v/>
      </c>
      <c r="AR32">
        <v>28</v>
      </c>
      <c r="AV32" s="17" t="str">
        <f t="shared" si="5"/>
        <v/>
      </c>
      <c r="AW32" t="str">
        <f t="shared" si="6"/>
        <v/>
      </c>
      <c r="AX32" s="18">
        <f t="shared" si="7"/>
        <v>37.14191308932137</v>
      </c>
      <c r="AY32">
        <v>28</v>
      </c>
      <c r="BD32">
        <f t="shared" si="8"/>
        <v>0.5</v>
      </c>
      <c r="BE32">
        <f t="shared" si="9"/>
        <v>0.9999369457511319</v>
      </c>
      <c r="BF32" s="17" t="str">
        <f t="shared" si="49"/>
        <v/>
      </c>
      <c r="BG32" s="18" t="str">
        <f t="shared" si="50"/>
        <v/>
      </c>
      <c r="BH32" s="17" t="str">
        <f t="shared" si="51"/>
        <v/>
      </c>
      <c r="BI32" s="18" t="str">
        <f t="shared" si="52"/>
        <v/>
      </c>
      <c r="BJ32">
        <v>28</v>
      </c>
      <c r="BN32" s="4">
        <v>0.28999999999999998</v>
      </c>
      <c r="BO32" s="2" t="str">
        <f t="shared" si="34"/>
        <v/>
      </c>
      <c r="BQ32">
        <v>19</v>
      </c>
      <c r="BR32" s="61" t="str">
        <f t="shared" si="35"/>
        <v/>
      </c>
      <c r="BW32">
        <v>28</v>
      </c>
      <c r="BX32">
        <f t="shared" si="36"/>
        <v>37.930289048068886</v>
      </c>
      <c r="BY32">
        <f t="shared" si="37"/>
        <v>15.653740506839496</v>
      </c>
      <c r="BZ32">
        <f t="shared" si="38"/>
        <v>0.88504007778827409</v>
      </c>
      <c r="CF32" t="e">
        <f t="shared" si="10"/>
        <v>#N/A</v>
      </c>
      <c r="CG32" t="e">
        <f t="shared" si="11"/>
        <v>#N/A</v>
      </c>
      <c r="CH32" t="e">
        <f t="shared" si="12"/>
        <v>#N/A</v>
      </c>
      <c r="CI32">
        <f t="shared" si="13"/>
        <v>11.144824862087972</v>
      </c>
      <c r="CK32">
        <f t="shared" si="39"/>
        <v>37.930289048068886</v>
      </c>
      <c r="CL32">
        <f t="shared" si="40"/>
        <v>39.20000000000001</v>
      </c>
      <c r="CN32" t="e">
        <f t="shared" si="14"/>
        <v>#VALUE!</v>
      </c>
      <c r="CO32" t="e">
        <f t="shared" si="41"/>
        <v>#VALUE!</v>
      </c>
      <c r="CP32" s="17" t="e">
        <f t="shared" si="53"/>
        <v>#VALUE!</v>
      </c>
      <c r="CQ32" s="18" t="str">
        <f t="shared" si="15"/>
        <v/>
      </c>
      <c r="CR32">
        <v>28</v>
      </c>
      <c r="CW32" s="38" t="str">
        <f t="shared" si="59"/>
        <v/>
      </c>
      <c r="CX32">
        <v>0.2</v>
      </c>
      <c r="DA32" s="1"/>
      <c r="DD32" t="e">
        <f t="shared" si="17"/>
        <v>#VALUE!</v>
      </c>
      <c r="DE32" t="e">
        <f t="shared" si="18"/>
        <v>#VALUE!</v>
      </c>
      <c r="DF32" s="19" t="e">
        <f t="shared" si="54"/>
        <v>#VALUE!</v>
      </c>
      <c r="DG32">
        <v>28</v>
      </c>
      <c r="DK32" s="17" t="str">
        <f t="shared" si="42"/>
        <v/>
      </c>
      <c r="DL32" t="str">
        <f t="shared" si="43"/>
        <v/>
      </c>
      <c r="DM32" s="18" t="str">
        <f t="shared" si="44"/>
        <v/>
      </c>
      <c r="DN32">
        <v>28</v>
      </c>
      <c r="DS32" t="e">
        <f>CO32</f>
        <v>#VALUE!</v>
      </c>
      <c r="DT32" t="e">
        <f t="shared" si="46"/>
        <v>#VALUE!</v>
      </c>
      <c r="DU32" s="17" t="e">
        <f t="shared" si="55"/>
        <v>#VALUE!</v>
      </c>
      <c r="DV32" s="18" t="e">
        <f t="shared" si="56"/>
        <v>#VALUE!</v>
      </c>
      <c r="DW32" s="17" t="e">
        <f t="shared" si="57"/>
        <v>#VALUE!</v>
      </c>
      <c r="DX32" s="18" t="e">
        <f t="shared" si="58"/>
        <v>#VALUE!</v>
      </c>
      <c r="DY32">
        <v>28</v>
      </c>
      <c r="EF32">
        <f>'Calcs-control1'!BD42</f>
        <v>11.144824862087972</v>
      </c>
      <c r="EG32">
        <f>'Calcs-control1'!AO114</f>
        <v>6.9522614604578035</v>
      </c>
      <c r="EH32">
        <f>'Calcs-control1'!BA114</f>
        <v>16.39862060538076</v>
      </c>
      <c r="EO32">
        <f t="shared" si="47"/>
        <v>37.14191308932137</v>
      </c>
      <c r="EP32">
        <f t="shared" si="19"/>
        <v>39.20000000000001</v>
      </c>
    </row>
    <row r="33" spans="1:146" x14ac:dyDescent="0.3">
      <c r="A33" s="11">
        <v>0.3</v>
      </c>
      <c r="B33" s="2">
        <f t="shared" si="20"/>
        <v>0.3</v>
      </c>
      <c r="D33">
        <v>20</v>
      </c>
      <c r="E33" s="61">
        <f t="shared" si="21"/>
        <v>20</v>
      </c>
      <c r="G33" s="2">
        <v>320</v>
      </c>
      <c r="H33" s="2" t="str">
        <f t="shared" si="22"/>
        <v/>
      </c>
      <c r="J33">
        <v>29</v>
      </c>
      <c r="K33">
        <f t="shared" si="23"/>
        <v>38.333655830962506</v>
      </c>
      <c r="L33">
        <f t="shared" si="24"/>
        <v>10.681782549006948</v>
      </c>
      <c r="M33">
        <f t="shared" si="25"/>
        <v>1.2777885276987502</v>
      </c>
      <c r="S33">
        <f t="shared" si="0"/>
        <v>38.333655830962506</v>
      </c>
      <c r="T33" t="e">
        <f t="shared" si="26"/>
        <v>#N/A</v>
      </c>
      <c r="U33" t="e">
        <f t="shared" si="1"/>
        <v>#N/A</v>
      </c>
      <c r="V33">
        <f t="shared" si="2"/>
        <v>12.326547282745668</v>
      </c>
      <c r="X33">
        <f t="shared" si="27"/>
        <v>38.333655830962506</v>
      </c>
      <c r="Y33">
        <f t="shared" si="28"/>
        <v>40.6</v>
      </c>
      <c r="AA33">
        <f t="shared" si="29"/>
        <v>0</v>
      </c>
      <c r="AB33">
        <f t="shared" si="30"/>
        <v>0.5</v>
      </c>
      <c r="AC33" s="17" t="str">
        <f t="shared" si="48"/>
        <v/>
      </c>
      <c r="AD33" s="19" t="str">
        <f t="shared" si="3"/>
        <v/>
      </c>
      <c r="AE33" s="18">
        <v>29</v>
      </c>
      <c r="AH33" s="38">
        <f t="shared" si="60"/>
        <v>0.3</v>
      </c>
      <c r="AI33">
        <v>0.3</v>
      </c>
      <c r="AK33" s="1"/>
      <c r="AO33">
        <f t="shared" si="31"/>
        <v>10.48228360445292</v>
      </c>
      <c r="AP33">
        <f t="shared" si="32"/>
        <v>0.99997197214252898</v>
      </c>
      <c r="AQ33" s="19" t="str">
        <f t="shared" si="33"/>
        <v/>
      </c>
      <c r="AR33">
        <v>29</v>
      </c>
      <c r="AV33" s="17" t="str">
        <f t="shared" si="5"/>
        <v/>
      </c>
      <c r="AW33" t="str">
        <f t="shared" si="6"/>
        <v/>
      </c>
      <c r="AX33" s="18">
        <f t="shared" si="7"/>
        <v>38.333655830962506</v>
      </c>
      <c r="AY33">
        <v>29</v>
      </c>
      <c r="BD33">
        <f t="shared" si="8"/>
        <v>0.5</v>
      </c>
      <c r="BE33">
        <f t="shared" si="9"/>
        <v>0.99997197214252898</v>
      </c>
      <c r="BF33" s="17" t="str">
        <f t="shared" si="49"/>
        <v/>
      </c>
      <c r="BG33" s="18" t="str">
        <f t="shared" si="50"/>
        <v/>
      </c>
      <c r="BH33" s="17" t="str">
        <f t="shared" si="51"/>
        <v/>
      </c>
      <c r="BI33" s="18" t="str">
        <f t="shared" si="52"/>
        <v/>
      </c>
      <c r="BJ33">
        <v>29</v>
      </c>
      <c r="BN33" s="4">
        <v>0.3</v>
      </c>
      <c r="BO33" s="2" t="str">
        <f t="shared" si="34"/>
        <v/>
      </c>
      <c r="BQ33">
        <v>20</v>
      </c>
      <c r="BR33" s="61" t="str">
        <f t="shared" si="35"/>
        <v/>
      </c>
      <c r="BW33">
        <v>29</v>
      </c>
      <c r="BX33">
        <f t="shared" si="36"/>
        <v>39.14732777606006</v>
      </c>
      <c r="BY33">
        <f t="shared" si="37"/>
        <v>15.703671145754718</v>
      </c>
      <c r="BZ33">
        <f t="shared" si="38"/>
        <v>0.91343764810806816</v>
      </c>
      <c r="CF33" t="e">
        <f t="shared" si="10"/>
        <v>#N/A</v>
      </c>
      <c r="CG33" t="e">
        <f t="shared" si="11"/>
        <v>#N/A</v>
      </c>
      <c r="CH33" t="e">
        <f t="shared" si="12"/>
        <v>#N/A</v>
      </c>
      <c r="CI33">
        <f t="shared" si="13"/>
        <v>12.326547282745668</v>
      </c>
      <c r="CK33">
        <f t="shared" si="39"/>
        <v>39.14732777606006</v>
      </c>
      <c r="CL33">
        <f t="shared" si="40"/>
        <v>40.6</v>
      </c>
      <c r="CN33" t="e">
        <f t="shared" si="14"/>
        <v>#VALUE!</v>
      </c>
      <c r="CO33" t="e">
        <f t="shared" si="41"/>
        <v>#VALUE!</v>
      </c>
      <c r="CP33" s="17" t="e">
        <f t="shared" si="53"/>
        <v>#VALUE!</v>
      </c>
      <c r="CQ33" s="18" t="str">
        <f t="shared" si="15"/>
        <v/>
      </c>
      <c r="CR33">
        <v>29</v>
      </c>
      <c r="CW33" s="38" t="str">
        <f t="shared" si="59"/>
        <v/>
      </c>
      <c r="CX33">
        <v>0.3</v>
      </c>
      <c r="CZ33" s="1"/>
      <c r="DD33" t="e">
        <f t="shared" si="17"/>
        <v>#VALUE!</v>
      </c>
      <c r="DE33" t="e">
        <f t="shared" si="18"/>
        <v>#VALUE!</v>
      </c>
      <c r="DF33" s="19" t="e">
        <f t="shared" si="54"/>
        <v>#VALUE!</v>
      </c>
      <c r="DG33">
        <v>29</v>
      </c>
      <c r="DK33" s="17" t="str">
        <f t="shared" si="42"/>
        <v/>
      </c>
      <c r="DL33" t="str">
        <f t="shared" si="43"/>
        <v/>
      </c>
      <c r="DM33" s="18" t="str">
        <f t="shared" si="44"/>
        <v/>
      </c>
      <c r="DN33">
        <v>29</v>
      </c>
      <c r="DS33" t="e">
        <f t="shared" ref="DS33:DS49" si="61">CO33</f>
        <v>#VALUE!</v>
      </c>
      <c r="DT33" t="e">
        <f t="shared" si="46"/>
        <v>#VALUE!</v>
      </c>
      <c r="DU33" s="17" t="e">
        <f t="shared" si="55"/>
        <v>#VALUE!</v>
      </c>
      <c r="DV33" s="18" t="e">
        <f t="shared" si="56"/>
        <v>#VALUE!</v>
      </c>
      <c r="DW33" s="17" t="e">
        <f t="shared" si="57"/>
        <v>#VALUE!</v>
      </c>
      <c r="DX33" s="18" t="e">
        <f t="shared" si="58"/>
        <v>#VALUE!</v>
      </c>
      <c r="DY33">
        <v>29</v>
      </c>
      <c r="EF33">
        <f>'Calcs-control1'!BD43</f>
        <v>12.326547282745668</v>
      </c>
      <c r="EG33">
        <f>'Calcs-control1'!AO115</f>
        <v>7.4023672631131596</v>
      </c>
      <c r="EH33">
        <f>'Calcs-control1'!BA115</f>
        <v>17.391497702821979</v>
      </c>
      <c r="EO33">
        <f t="shared" si="47"/>
        <v>38.333655830962506</v>
      </c>
      <c r="EP33">
        <f t="shared" si="19"/>
        <v>40.6</v>
      </c>
    </row>
    <row r="34" spans="1:146" x14ac:dyDescent="0.3">
      <c r="A34" s="11">
        <v>0.31</v>
      </c>
      <c r="B34" s="2">
        <f t="shared" si="20"/>
        <v>0.31</v>
      </c>
      <c r="E34" s="61" t="s">
        <v>171</v>
      </c>
      <c r="G34" s="2">
        <v>340</v>
      </c>
      <c r="H34" s="2" t="str">
        <f t="shared" si="22"/>
        <v/>
      </c>
      <c r="J34">
        <v>30</v>
      </c>
      <c r="K34">
        <f t="shared" si="23"/>
        <v>39.521295339411687</v>
      </c>
      <c r="L34">
        <f t="shared" si="24"/>
        <v>10.585267097309924</v>
      </c>
      <c r="M34">
        <f t="shared" si="25"/>
        <v>1.3173765113137228</v>
      </c>
      <c r="S34">
        <f t="shared" si="0"/>
        <v>39.521295339411687</v>
      </c>
      <c r="T34" t="e">
        <f t="shared" si="26"/>
        <v>#N/A</v>
      </c>
      <c r="U34" t="e">
        <f t="shared" si="1"/>
        <v>#N/A</v>
      </c>
      <c r="V34">
        <f t="shared" si="2"/>
        <v>13.633571616781603</v>
      </c>
      <c r="X34">
        <f t="shared" si="27"/>
        <v>39.521295339411687</v>
      </c>
      <c r="Y34">
        <f t="shared" si="28"/>
        <v>42</v>
      </c>
      <c r="AA34">
        <f t="shared" si="29"/>
        <v>0</v>
      </c>
      <c r="AB34">
        <f t="shared" si="30"/>
        <v>0.5</v>
      </c>
      <c r="AC34" s="17" t="str">
        <f t="shared" si="48"/>
        <v/>
      </c>
      <c r="AD34" s="19" t="str">
        <f t="shared" si="3"/>
        <v/>
      </c>
      <c r="AE34" s="18">
        <v>30</v>
      </c>
      <c r="AH34" s="38">
        <f t="shared" si="60"/>
        <v>0.4</v>
      </c>
      <c r="AI34">
        <v>0.4</v>
      </c>
      <c r="AO34">
        <f t="shared" si="31"/>
        <v>11.293115156186939</v>
      </c>
      <c r="AP34">
        <f t="shared" ref="AP34:AP74" si="62">EXP(AO34)/(1+EXP(AO34))</f>
        <v>0.99998754175137794</v>
      </c>
      <c r="AQ34" s="19" t="str">
        <f t="shared" si="33"/>
        <v/>
      </c>
      <c r="AR34">
        <v>30</v>
      </c>
      <c r="AV34" s="17" t="str">
        <f t="shared" si="5"/>
        <v/>
      </c>
      <c r="AW34" t="str">
        <f t="shared" si="6"/>
        <v/>
      </c>
      <c r="AX34" s="18">
        <f t="shared" si="7"/>
        <v>39.521295339411687</v>
      </c>
      <c r="AY34">
        <v>30</v>
      </c>
      <c r="BD34">
        <f t="shared" si="8"/>
        <v>0.5</v>
      </c>
      <c r="BE34">
        <f t="shared" si="9"/>
        <v>0.99998754175137794</v>
      </c>
      <c r="BF34" s="17" t="str">
        <f t="shared" si="49"/>
        <v/>
      </c>
      <c r="BG34" s="18" t="str">
        <f t="shared" si="50"/>
        <v/>
      </c>
      <c r="BH34" s="17" t="str">
        <f t="shared" si="51"/>
        <v/>
      </c>
      <c r="BI34" s="18" t="str">
        <f t="shared" si="52"/>
        <v/>
      </c>
      <c r="BJ34">
        <v>30</v>
      </c>
      <c r="BN34" s="4">
        <v>0.31</v>
      </c>
      <c r="BO34" s="2" t="str">
        <f t="shared" si="34"/>
        <v/>
      </c>
      <c r="BR34" s="61" t="s">
        <v>171</v>
      </c>
      <c r="BW34">
        <v>30</v>
      </c>
      <c r="BX34">
        <f t="shared" si="36"/>
        <v>40.360176175442461</v>
      </c>
      <c r="BY34">
        <f t="shared" si="37"/>
        <v>15.738439826110387</v>
      </c>
      <c r="BZ34">
        <f t="shared" si="38"/>
        <v>0.94173744409365745</v>
      </c>
      <c r="CF34" t="e">
        <f t="shared" si="10"/>
        <v>#N/A</v>
      </c>
      <c r="CG34" t="e">
        <f t="shared" si="11"/>
        <v>#N/A</v>
      </c>
      <c r="CH34" t="e">
        <f t="shared" si="12"/>
        <v>#N/A</v>
      </c>
      <c r="CI34">
        <f t="shared" si="13"/>
        <v>13.633571616781603</v>
      </c>
      <c r="CK34">
        <f t="shared" si="39"/>
        <v>40.360176175442461</v>
      </c>
      <c r="CL34">
        <f t="shared" si="40"/>
        <v>42</v>
      </c>
      <c r="CN34" t="e">
        <f t="shared" si="14"/>
        <v>#VALUE!</v>
      </c>
      <c r="CO34" t="e">
        <f t="shared" si="41"/>
        <v>#VALUE!</v>
      </c>
      <c r="CP34" s="17" t="e">
        <f t="shared" si="53"/>
        <v>#VALUE!</v>
      </c>
      <c r="CQ34" s="18" t="str">
        <f t="shared" si="15"/>
        <v/>
      </c>
      <c r="CR34">
        <v>30</v>
      </c>
      <c r="CW34" s="38" t="str">
        <f t="shared" si="59"/>
        <v/>
      </c>
      <c r="CX34">
        <v>0.4</v>
      </c>
      <c r="DA34" s="1"/>
      <c r="DD34" t="e">
        <f t="shared" si="17"/>
        <v>#VALUE!</v>
      </c>
      <c r="DE34" t="e">
        <f t="shared" si="18"/>
        <v>#VALUE!</v>
      </c>
      <c r="DF34" s="19" t="e">
        <f t="shared" si="54"/>
        <v>#VALUE!</v>
      </c>
      <c r="DG34">
        <v>30</v>
      </c>
      <c r="DK34" s="17" t="str">
        <f>IFERROR(CH34, "")</f>
        <v/>
      </c>
      <c r="DL34" t="str">
        <f t="shared" si="43"/>
        <v/>
      </c>
      <c r="DM34" s="18" t="str">
        <f t="shared" si="44"/>
        <v/>
      </c>
      <c r="DN34">
        <v>30</v>
      </c>
      <c r="DS34" t="e">
        <f t="shared" si="61"/>
        <v>#VALUE!</v>
      </c>
      <c r="DT34" t="e">
        <f t="shared" si="46"/>
        <v>#VALUE!</v>
      </c>
      <c r="DU34" s="17" t="e">
        <f t="shared" si="55"/>
        <v>#VALUE!</v>
      </c>
      <c r="DV34" s="18" t="e">
        <f t="shared" si="56"/>
        <v>#VALUE!</v>
      </c>
      <c r="DW34" s="17" t="e">
        <f t="shared" si="57"/>
        <v>#VALUE!</v>
      </c>
      <c r="DX34" s="18" t="e">
        <f t="shared" si="58"/>
        <v>#VALUE!</v>
      </c>
      <c r="DY34">
        <v>30</v>
      </c>
      <c r="EF34">
        <f>'Calcs-control1'!BD44</f>
        <v>13.633571616781603</v>
      </c>
      <c r="EG34">
        <f>'Calcs-control1'!AO116</f>
        <v>7.8749911191512796</v>
      </c>
      <c r="EH34">
        <f>'Calcs-control1'!BA116</f>
        <v>18.386915056770484</v>
      </c>
      <c r="EO34">
        <f t="shared" si="47"/>
        <v>39.521295339411687</v>
      </c>
      <c r="EP34">
        <f t="shared" si="19"/>
        <v>42</v>
      </c>
    </row>
    <row r="35" spans="1:146" x14ac:dyDescent="0.3">
      <c r="A35" s="11">
        <v>0.32</v>
      </c>
      <c r="B35" s="2">
        <f t="shared" si="20"/>
        <v>0.32</v>
      </c>
      <c r="G35" s="2">
        <v>360</v>
      </c>
      <c r="H35" s="2" t="str">
        <f t="shared" si="22"/>
        <v/>
      </c>
      <c r="J35">
        <v>31</v>
      </c>
      <c r="K35">
        <f t="shared" si="23"/>
        <v>40.704981872612152</v>
      </c>
      <c r="L35">
        <f t="shared" si="24"/>
        <v>10.480514388946535</v>
      </c>
      <c r="M35">
        <f t="shared" si="25"/>
        <v>1.3568327290870716</v>
      </c>
      <c r="S35">
        <f t="shared" si="0"/>
        <v>40.704981872612152</v>
      </c>
      <c r="T35" t="e">
        <f t="shared" si="26"/>
        <v>#N/A</v>
      </c>
      <c r="U35" t="e">
        <f t="shared" si="1"/>
        <v>#N/A</v>
      </c>
      <c r="V35">
        <f t="shared" si="2"/>
        <v>15.079184038022913</v>
      </c>
      <c r="X35">
        <f t="shared" si="27"/>
        <v>40.704981872612152</v>
      </c>
      <c r="Y35">
        <f t="shared" si="28"/>
        <v>43.4</v>
      </c>
      <c r="AA35">
        <f t="shared" si="29"/>
        <v>0</v>
      </c>
      <c r="AB35">
        <f t="shared" si="30"/>
        <v>0.5</v>
      </c>
      <c r="AC35" s="17" t="str">
        <f t="shared" si="48"/>
        <v/>
      </c>
      <c r="AD35" s="19" t="str">
        <f t="shared" si="3"/>
        <v/>
      </c>
      <c r="AE35" s="18">
        <v>31</v>
      </c>
      <c r="AH35" s="38">
        <f t="shared" si="60"/>
        <v>0.5</v>
      </c>
      <c r="AI35">
        <v>0.5</v>
      </c>
      <c r="AO35">
        <f t="shared" si="31"/>
        <v>12.103946707920958</v>
      </c>
      <c r="AP35">
        <f t="shared" si="62"/>
        <v>0.99999446241595635</v>
      </c>
      <c r="AQ35" s="19" t="str">
        <f t="shared" si="33"/>
        <v/>
      </c>
      <c r="AR35">
        <v>31</v>
      </c>
      <c r="AV35" s="17" t="str">
        <f t="shared" si="5"/>
        <v/>
      </c>
      <c r="AW35" t="str">
        <f t="shared" si="6"/>
        <v/>
      </c>
      <c r="AX35" s="18">
        <f t="shared" si="7"/>
        <v>40.704981872612152</v>
      </c>
      <c r="AY35">
        <v>31</v>
      </c>
      <c r="BD35">
        <f t="shared" si="8"/>
        <v>0.5</v>
      </c>
      <c r="BE35">
        <f t="shared" si="9"/>
        <v>0.99999446241595635</v>
      </c>
      <c r="BF35" s="17" t="str">
        <f t="shared" si="49"/>
        <v/>
      </c>
      <c r="BG35" s="18" t="str">
        <f t="shared" si="50"/>
        <v/>
      </c>
      <c r="BH35" s="17" t="str">
        <f t="shared" si="51"/>
        <v/>
      </c>
      <c r="BI35" s="18" t="str">
        <f t="shared" si="52"/>
        <v/>
      </c>
      <c r="BJ35">
        <v>31</v>
      </c>
      <c r="BN35" s="4">
        <v>0.32</v>
      </c>
      <c r="BO35" s="2" t="str">
        <f t="shared" si="34"/>
        <v/>
      </c>
      <c r="BW35">
        <v>31</v>
      </c>
      <c r="BX35">
        <f t="shared" si="36"/>
        <v>41.568987693541374</v>
      </c>
      <c r="BY35">
        <f t="shared" si="37"/>
        <v>15.758995655152368</v>
      </c>
      <c r="BZ35">
        <f t="shared" si="38"/>
        <v>0.96994304618263216</v>
      </c>
      <c r="CF35" t="e">
        <f t="shared" si="10"/>
        <v>#N/A</v>
      </c>
      <c r="CG35" t="e">
        <f t="shared" si="11"/>
        <v>#N/A</v>
      </c>
      <c r="CH35" t="e">
        <f t="shared" si="12"/>
        <v>#N/A</v>
      </c>
      <c r="CI35">
        <f t="shared" si="13"/>
        <v>15.079184038022913</v>
      </c>
      <c r="CK35">
        <f t="shared" si="39"/>
        <v>41.568987693541374</v>
      </c>
      <c r="CL35">
        <f t="shared" si="40"/>
        <v>43.4</v>
      </c>
      <c r="CN35" t="e">
        <f t="shared" si="14"/>
        <v>#VALUE!</v>
      </c>
      <c r="CO35" t="e">
        <f t="shared" si="41"/>
        <v>#VALUE!</v>
      </c>
      <c r="CP35" s="17" t="e">
        <f t="shared" si="53"/>
        <v>#VALUE!</v>
      </c>
      <c r="CQ35" s="18" t="str">
        <f t="shared" si="15"/>
        <v/>
      </c>
      <c r="CR35">
        <v>31</v>
      </c>
      <c r="CW35" s="38" t="str">
        <f t="shared" si="59"/>
        <v/>
      </c>
      <c r="CX35">
        <v>0.5</v>
      </c>
      <c r="DA35" s="1"/>
      <c r="DD35" t="e">
        <f t="shared" si="17"/>
        <v>#VALUE!</v>
      </c>
      <c r="DE35" t="e">
        <f t="shared" si="18"/>
        <v>#VALUE!</v>
      </c>
      <c r="DF35" s="19" t="e">
        <f t="shared" si="54"/>
        <v>#VALUE!</v>
      </c>
      <c r="DG35">
        <v>31</v>
      </c>
      <c r="DK35" s="17" t="str">
        <f t="shared" si="42"/>
        <v/>
      </c>
      <c r="DL35" t="str">
        <f t="shared" si="43"/>
        <v/>
      </c>
      <c r="DM35" s="18" t="str">
        <f t="shared" si="44"/>
        <v/>
      </c>
      <c r="DN35">
        <v>31</v>
      </c>
      <c r="DS35" t="e">
        <f t="shared" si="61"/>
        <v>#VALUE!</v>
      </c>
      <c r="DT35" t="e">
        <f t="shared" si="46"/>
        <v>#VALUE!</v>
      </c>
      <c r="DU35" s="17" t="e">
        <f t="shared" si="55"/>
        <v>#VALUE!</v>
      </c>
      <c r="DV35" s="18" t="e">
        <f t="shared" si="56"/>
        <v>#VALUE!</v>
      </c>
      <c r="DW35" s="17" t="e">
        <f t="shared" si="57"/>
        <v>#VALUE!</v>
      </c>
      <c r="DX35" s="18" t="e">
        <f t="shared" si="58"/>
        <v>#VALUE!</v>
      </c>
      <c r="DY35">
        <v>31</v>
      </c>
      <c r="EF35">
        <f>'Calcs-control1'!BD45</f>
        <v>15.079184038022913</v>
      </c>
      <c r="EG35">
        <f>'Calcs-control1'!AO117</f>
        <v>8.3704609911220995</v>
      </c>
      <c r="EH35">
        <f>'Calcs-control1'!BA117</f>
        <v>19.378384656738067</v>
      </c>
      <c r="EO35">
        <f t="shared" si="47"/>
        <v>40.704981872612152</v>
      </c>
      <c r="EP35">
        <f t="shared" si="19"/>
        <v>43.4</v>
      </c>
    </row>
    <row r="36" spans="1:146" x14ac:dyDescent="0.3">
      <c r="A36" s="11">
        <v>0.33</v>
      </c>
      <c r="B36" s="2">
        <f t="shared" si="20"/>
        <v>0.33</v>
      </c>
      <c r="G36" s="2">
        <v>380</v>
      </c>
      <c r="H36" s="2" t="str">
        <f t="shared" si="22"/>
        <v/>
      </c>
      <c r="J36">
        <v>32</v>
      </c>
      <c r="K36">
        <f t="shared" si="23"/>
        <v>41.884855520770429</v>
      </c>
      <c r="L36">
        <f t="shared" si="24"/>
        <v>10.368397390982492</v>
      </c>
      <c r="M36">
        <f t="shared" si="25"/>
        <v>1.3961618506923477</v>
      </c>
      <c r="S36">
        <f t="shared" ref="S36:S67" si="63">IF(J36&gt;=AT$8, K36, NA())</f>
        <v>41.884855520770429</v>
      </c>
      <c r="T36" t="e">
        <f t="shared" si="26"/>
        <v>#N/A</v>
      </c>
      <c r="U36" t="e">
        <f t="shared" ref="U36:U67" si="64">IF(J36&lt;AT$7,V36, NA())</f>
        <v>#N/A</v>
      </c>
      <c r="V36">
        <f t="shared" ref="V36:V67" si="65">IF($V$2=1,$EF36, IF($V$2=2, $EG36, $EH36))</f>
        <v>16.678079496988136</v>
      </c>
      <c r="X36">
        <f t="shared" si="27"/>
        <v>41.884855520770429</v>
      </c>
      <c r="Y36">
        <f t="shared" si="28"/>
        <v>44.8</v>
      </c>
      <c r="AA36">
        <f t="shared" si="29"/>
        <v>0</v>
      </c>
      <c r="AB36">
        <f t="shared" si="30"/>
        <v>0.5</v>
      </c>
      <c r="AC36" s="17" t="str">
        <f t="shared" si="48"/>
        <v/>
      </c>
      <c r="AD36" s="19" t="str">
        <f t="shared" ref="AD36:AD67" si="66">IF(AND(M36&gt;=1, M35&lt;1), 90, "")</f>
        <v/>
      </c>
      <c r="AE36" s="18">
        <v>32</v>
      </c>
      <c r="AH36" s="38">
        <f t="shared" si="60"/>
        <v>0.6</v>
      </c>
      <c r="AI36">
        <v>0.6</v>
      </c>
      <c r="AO36">
        <f t="shared" si="31"/>
        <v>12.914778259654973</v>
      </c>
      <c r="AP36">
        <f t="shared" si="62"/>
        <v>0.9999975386011245</v>
      </c>
      <c r="AQ36" s="19" t="str">
        <f t="shared" si="33"/>
        <v/>
      </c>
      <c r="AR36">
        <v>32</v>
      </c>
      <c r="AV36" s="17" t="str">
        <f t="shared" ref="AV36:AV67" si="67">IFERROR(U36, "")</f>
        <v/>
      </c>
      <c r="AW36" t="str">
        <f t="shared" ref="AW36:AW67" si="68">IFERROR(T36, "")</f>
        <v/>
      </c>
      <c r="AX36" s="18">
        <f t="shared" ref="AX36:AX67" si="69">IFERROR(S36, "")</f>
        <v>41.884855520770429</v>
      </c>
      <c r="AY36">
        <v>32</v>
      </c>
      <c r="BD36">
        <f t="shared" ref="BD36:BD67" si="70">AB36</f>
        <v>0.5</v>
      </c>
      <c r="BE36">
        <f t="shared" ref="BE36:BE67" si="71">AP36</f>
        <v>0.9999975386011245</v>
      </c>
      <c r="BF36" s="17" t="str">
        <f t="shared" si="49"/>
        <v/>
      </c>
      <c r="BG36" s="18" t="str">
        <f t="shared" si="50"/>
        <v/>
      </c>
      <c r="BH36" s="17" t="str">
        <f t="shared" si="51"/>
        <v/>
      </c>
      <c r="BI36" s="18" t="str">
        <f t="shared" si="52"/>
        <v/>
      </c>
      <c r="BJ36">
        <v>32</v>
      </c>
      <c r="BN36" s="4">
        <v>0.33</v>
      </c>
      <c r="BO36" s="2" t="str">
        <f t="shared" si="34"/>
        <v/>
      </c>
      <c r="BW36">
        <v>32</v>
      </c>
      <c r="BX36">
        <f t="shared" si="36"/>
        <v>42.773905394124498</v>
      </c>
      <c r="BY36">
        <f t="shared" si="37"/>
        <v>15.766231989450645</v>
      </c>
      <c r="BZ36">
        <f t="shared" si="38"/>
        <v>0.99805779252957172</v>
      </c>
      <c r="CF36" t="e">
        <f t="shared" ref="CF36:CF67" si="72">IF(BW36&gt;=DI$8, BX36, NA())</f>
        <v>#N/A</v>
      </c>
      <c r="CG36" t="e">
        <f t="shared" ref="CG36:CG67" si="73">IF(AND($DJ$7&lt;1, BW36&gt;=$DI$7, BW36&lt;$DI$8), BY36, NA())</f>
        <v>#N/A</v>
      </c>
      <c r="CH36" t="e">
        <f t="shared" ref="CH36:CH67" si="74">IF(BW36&lt;DI$7,CI36, NA())</f>
        <v>#N/A</v>
      </c>
      <c r="CI36">
        <f t="shared" ref="CI36:CI67" si="75">IF($CI$2=1,$EF36, IF($V$2=2, $EG36, $EH36))</f>
        <v>16.678079496988136</v>
      </c>
      <c r="CK36">
        <f t="shared" si="39"/>
        <v>42.773905394124498</v>
      </c>
      <c r="CL36">
        <f t="shared" si="40"/>
        <v>44.8</v>
      </c>
      <c r="CN36" t="e">
        <f t="shared" ref="CN36:CN67" si="76">IF($BS$5="None", NA(), $Z$4+$Z$5*$BS$5+$Z$6*BW36+$Z$7*$Q$1+$Z$8*$I$5)</f>
        <v>#VALUE!</v>
      </c>
      <c r="CO36" t="e">
        <f t="shared" si="41"/>
        <v>#VALUE!</v>
      </c>
      <c r="CP36" s="17" t="e">
        <f t="shared" si="53"/>
        <v>#VALUE!</v>
      </c>
      <c r="CQ36" s="18" t="str">
        <f t="shared" si="15"/>
        <v/>
      </c>
      <c r="CR36">
        <v>32</v>
      </c>
      <c r="CW36" s="38" t="str">
        <f t="shared" si="59"/>
        <v/>
      </c>
      <c r="CX36">
        <v>0.6</v>
      </c>
      <c r="DA36" s="1"/>
      <c r="DD36" t="e">
        <f t="shared" ref="DD36:DD67" si="77">$DC$3+$DC$4*BW36+$DC$5*$BS$5^1.5+$DC$6*$CZ$26+$DC$8*$CB$1*BW36</f>
        <v>#VALUE!</v>
      </c>
      <c r="DE36" t="e">
        <f t="shared" ref="DE36:DE66" si="78">EXP(DD36)/(1+EXP(DD36))</f>
        <v>#VALUE!</v>
      </c>
      <c r="DF36" s="19" t="e">
        <f t="shared" si="54"/>
        <v>#VALUE!</v>
      </c>
      <c r="DG36">
        <v>32</v>
      </c>
      <c r="DK36" s="17" t="str">
        <f t="shared" si="42"/>
        <v/>
      </c>
      <c r="DL36" t="str">
        <f t="shared" si="43"/>
        <v/>
      </c>
      <c r="DM36" s="18" t="str">
        <f t="shared" si="44"/>
        <v/>
      </c>
      <c r="DN36">
        <v>32</v>
      </c>
      <c r="DS36" t="e">
        <f t="shared" si="61"/>
        <v>#VALUE!</v>
      </c>
      <c r="DT36" t="e">
        <f t="shared" si="46"/>
        <v>#VALUE!</v>
      </c>
      <c r="DU36" s="17" t="e">
        <f t="shared" si="55"/>
        <v>#VALUE!</v>
      </c>
      <c r="DV36" s="18" t="e">
        <f t="shared" si="56"/>
        <v>#VALUE!</v>
      </c>
      <c r="DW36" s="17" t="e">
        <f t="shared" si="57"/>
        <v>#VALUE!</v>
      </c>
      <c r="DX36" s="18" t="e">
        <f t="shared" si="58"/>
        <v>#VALUE!</v>
      </c>
      <c r="DY36">
        <v>32</v>
      </c>
      <c r="EF36">
        <f>'Calcs-control1'!BD46</f>
        <v>16.678079496988136</v>
      </c>
      <c r="EG36">
        <f>'Calcs-control1'!AO118</f>
        <v>8.8890040385624101</v>
      </c>
      <c r="EH36">
        <f>'Calcs-control1'!BA118</f>
        <v>20.359265748104963</v>
      </c>
      <c r="EO36">
        <f t="shared" si="47"/>
        <v>41.884855520770429</v>
      </c>
      <c r="EP36">
        <f t="shared" ref="EP36:EP67" si="79">0.084*J36*1000/60</f>
        <v>44.8</v>
      </c>
    </row>
    <row r="37" spans="1:146" x14ac:dyDescent="0.3">
      <c r="A37" s="11">
        <v>0.34</v>
      </c>
      <c r="B37" s="2">
        <f t="shared" si="20"/>
        <v>0.34</v>
      </c>
      <c r="G37" s="2">
        <v>400</v>
      </c>
      <c r="H37" s="2" t="str">
        <f t="shared" si="22"/>
        <v/>
      </c>
      <c r="J37">
        <v>33</v>
      </c>
      <c r="K37">
        <f t="shared" si="23"/>
        <v>43.061047190473829</v>
      </c>
      <c r="L37">
        <f t="shared" si="24"/>
        <v>10.249721877265067</v>
      </c>
      <c r="M37">
        <f t="shared" si="25"/>
        <v>1.435368239682461</v>
      </c>
      <c r="S37">
        <f t="shared" si="63"/>
        <v>43.061047190473829</v>
      </c>
      <c r="T37" t="e">
        <f t="shared" si="26"/>
        <v>#N/A</v>
      </c>
      <c r="U37" t="e">
        <f t="shared" si="64"/>
        <v>#N/A</v>
      </c>
      <c r="V37">
        <f t="shared" si="65"/>
        <v>18.44651109811155</v>
      </c>
      <c r="X37">
        <f t="shared" si="27"/>
        <v>43.061047190473829</v>
      </c>
      <c r="Y37">
        <f t="shared" si="28"/>
        <v>46.20000000000001</v>
      </c>
      <c r="AA37">
        <f t="shared" si="29"/>
        <v>0</v>
      </c>
      <c r="AB37">
        <f t="shared" si="30"/>
        <v>0.5</v>
      </c>
      <c r="AC37" s="17" t="str">
        <f t="shared" si="48"/>
        <v/>
      </c>
      <c r="AD37" s="19" t="str">
        <f t="shared" si="66"/>
        <v/>
      </c>
      <c r="AE37" s="18">
        <v>33</v>
      </c>
      <c r="AH37" s="38">
        <f t="shared" si="60"/>
        <v>0.7</v>
      </c>
      <c r="AI37">
        <v>0.7</v>
      </c>
      <c r="AO37">
        <f t="shared" si="31"/>
        <v>13.725609811388992</v>
      </c>
      <c r="AP37">
        <f t="shared" si="62"/>
        <v>0.99999890593550844</v>
      </c>
      <c r="AQ37" s="19" t="str">
        <f t="shared" ref="AQ37:AQ68" si="80">IF(AND(AP37&gt;=$AQ$1, AP36&lt;$AQ$1), 10, "")</f>
        <v/>
      </c>
      <c r="AR37">
        <v>33</v>
      </c>
      <c r="AV37" s="17" t="str">
        <f t="shared" si="67"/>
        <v/>
      </c>
      <c r="AW37" t="str">
        <f t="shared" si="68"/>
        <v/>
      </c>
      <c r="AX37" s="18">
        <f t="shared" si="69"/>
        <v>43.061047190473829</v>
      </c>
      <c r="AY37">
        <v>33</v>
      </c>
      <c r="BD37">
        <f t="shared" si="70"/>
        <v>0.5</v>
      </c>
      <c r="BE37">
        <f t="shared" si="71"/>
        <v>0.99999890593550844</v>
      </c>
      <c r="BF37" s="17" t="str">
        <f t="shared" si="49"/>
        <v/>
      </c>
      <c r="BG37" s="18" t="str">
        <f t="shared" si="50"/>
        <v/>
      </c>
      <c r="BH37" s="17" t="str">
        <f t="shared" si="51"/>
        <v/>
      </c>
      <c r="BI37" s="18" t="str">
        <f t="shared" si="52"/>
        <v/>
      </c>
      <c r="BJ37">
        <v>33</v>
      </c>
      <c r="BN37" s="4">
        <v>0.34</v>
      </c>
      <c r="BO37" s="2" t="str">
        <f t="shared" si="34"/>
        <v/>
      </c>
      <c r="BW37">
        <v>33</v>
      </c>
      <c r="BX37">
        <f t="shared" si="36"/>
        <v>43.97506296240838</v>
      </c>
      <c r="BY37">
        <f t="shared" si="37"/>
        <v>15.760990318813985</v>
      </c>
      <c r="BZ37">
        <f t="shared" si="38"/>
        <v>1.0260848024561957</v>
      </c>
      <c r="CF37" t="e">
        <f t="shared" si="72"/>
        <v>#N/A</v>
      </c>
      <c r="CG37" t="e">
        <f t="shared" si="73"/>
        <v>#N/A</v>
      </c>
      <c r="CH37" t="e">
        <f t="shared" si="74"/>
        <v>#N/A</v>
      </c>
      <c r="CI37">
        <f t="shared" si="75"/>
        <v>18.44651109811155</v>
      </c>
      <c r="CK37">
        <f t="shared" si="39"/>
        <v>43.97506296240838</v>
      </c>
      <c r="CL37">
        <f t="shared" si="40"/>
        <v>46.20000000000001</v>
      </c>
      <c r="CN37" t="e">
        <f t="shared" si="76"/>
        <v>#VALUE!</v>
      </c>
      <c r="CO37" t="e">
        <f t="shared" si="41"/>
        <v>#VALUE!</v>
      </c>
      <c r="CP37" s="17" t="e">
        <f t="shared" si="53"/>
        <v>#VALUE!</v>
      </c>
      <c r="CQ37" s="18">
        <f t="shared" si="15"/>
        <v>90</v>
      </c>
      <c r="CR37">
        <v>33</v>
      </c>
      <c r="CW37" s="38" t="str">
        <f t="shared" si="59"/>
        <v/>
      </c>
      <c r="CX37">
        <v>0.7</v>
      </c>
      <c r="DA37" s="1"/>
      <c r="DD37" t="e">
        <f t="shared" si="77"/>
        <v>#VALUE!</v>
      </c>
      <c r="DE37" t="e">
        <f t="shared" si="78"/>
        <v>#VALUE!</v>
      </c>
      <c r="DF37" s="19" t="e">
        <f t="shared" si="54"/>
        <v>#VALUE!</v>
      </c>
      <c r="DG37">
        <v>33</v>
      </c>
      <c r="DK37" s="17" t="str">
        <f t="shared" si="42"/>
        <v/>
      </c>
      <c r="DL37" t="str">
        <f t="shared" si="43"/>
        <v/>
      </c>
      <c r="DM37" s="18" t="str">
        <f t="shared" si="44"/>
        <v/>
      </c>
      <c r="DN37">
        <v>33</v>
      </c>
      <c r="DS37" t="e">
        <f t="shared" si="61"/>
        <v>#VALUE!</v>
      </c>
      <c r="DT37" t="e">
        <f t="shared" si="46"/>
        <v>#VALUE!</v>
      </c>
      <c r="DU37" s="17" t="e">
        <f t="shared" si="55"/>
        <v>#VALUE!</v>
      </c>
      <c r="DV37" s="18" t="e">
        <f t="shared" si="56"/>
        <v>#VALUE!</v>
      </c>
      <c r="DW37" s="17" t="e">
        <f t="shared" si="57"/>
        <v>#VALUE!</v>
      </c>
      <c r="DX37" s="18" t="e">
        <f t="shared" si="58"/>
        <v>#VALUE!</v>
      </c>
      <c r="DY37">
        <v>33</v>
      </c>
      <c r="EF37">
        <f>'Calcs-control1'!BD47</f>
        <v>18.44651109811155</v>
      </c>
      <c r="EG37">
        <f>'Calcs-control1'!AO119</f>
        <v>9.4307330129482398</v>
      </c>
      <c r="EH37">
        <f>'Calcs-control1'!BA119</f>
        <v>21.322900147084127</v>
      </c>
      <c r="EO37">
        <f t="shared" si="47"/>
        <v>43.061047190473829</v>
      </c>
      <c r="EP37">
        <f t="shared" si="79"/>
        <v>46.20000000000001</v>
      </c>
    </row>
    <row r="38" spans="1:146" x14ac:dyDescent="0.3">
      <c r="A38" s="11">
        <v>0.35</v>
      </c>
      <c r="B38" s="2">
        <f t="shared" si="20"/>
        <v>0.35</v>
      </c>
      <c r="G38" s="2">
        <v>420</v>
      </c>
      <c r="H38" s="2" t="str">
        <f t="shared" si="22"/>
        <v/>
      </c>
      <c r="J38">
        <v>34</v>
      </c>
      <c r="K38">
        <f t="shared" si="23"/>
        <v>44.233679466627287</v>
      </c>
      <c r="L38">
        <f t="shared" si="24"/>
        <v>10.125231688921019</v>
      </c>
      <c r="M38">
        <f t="shared" si="25"/>
        <v>1.4744559822209096</v>
      </c>
      <c r="S38">
        <f t="shared" si="63"/>
        <v>44.233679466627287</v>
      </c>
      <c r="T38" t="e">
        <f t="shared" si="26"/>
        <v>#N/A</v>
      </c>
      <c r="U38" t="e">
        <f t="shared" si="64"/>
        <v>#N/A</v>
      </c>
      <c r="V38">
        <f t="shared" si="65"/>
        <v>20.402455315925447</v>
      </c>
      <c r="X38">
        <f t="shared" si="27"/>
        <v>44.233679466627287</v>
      </c>
      <c r="Y38">
        <f t="shared" si="28"/>
        <v>47.600000000000009</v>
      </c>
      <c r="AA38">
        <f t="shared" si="29"/>
        <v>0</v>
      </c>
      <c r="AB38">
        <f>EXP(AA38)/(1+EXP(AA38))</f>
        <v>0.5</v>
      </c>
      <c r="AC38" s="17" t="str">
        <f t="shared" si="48"/>
        <v/>
      </c>
      <c r="AD38" s="19" t="str">
        <f t="shared" si="66"/>
        <v/>
      </c>
      <c r="AE38" s="18">
        <v>34</v>
      </c>
      <c r="AH38" s="38">
        <f t="shared" si="60"/>
        <v>0.8</v>
      </c>
      <c r="AI38">
        <v>0.8</v>
      </c>
      <c r="AO38">
        <f t="shared" si="31"/>
        <v>14.536441363123018</v>
      </c>
      <c r="AP38">
        <f t="shared" si="62"/>
        <v>0.99999951370084128</v>
      </c>
      <c r="AQ38" s="19" t="str">
        <f t="shared" si="80"/>
        <v/>
      </c>
      <c r="AR38">
        <v>34</v>
      </c>
      <c r="AV38" s="17" t="str">
        <f t="shared" si="67"/>
        <v/>
      </c>
      <c r="AW38" t="str">
        <f t="shared" si="68"/>
        <v/>
      </c>
      <c r="AX38" s="18">
        <f t="shared" si="69"/>
        <v>44.233679466627287</v>
      </c>
      <c r="AY38">
        <v>34</v>
      </c>
      <c r="BD38">
        <f t="shared" si="70"/>
        <v>0.5</v>
      </c>
      <c r="BE38">
        <f t="shared" si="71"/>
        <v>0.99999951370084128</v>
      </c>
      <c r="BF38" s="17" t="str">
        <f t="shared" si="49"/>
        <v/>
      </c>
      <c r="BG38" s="18" t="str">
        <f t="shared" si="50"/>
        <v/>
      </c>
      <c r="BH38" s="17" t="str">
        <f t="shared" si="51"/>
        <v/>
      </c>
      <c r="BI38" s="18" t="str">
        <f t="shared" si="52"/>
        <v/>
      </c>
      <c r="BJ38">
        <v>34</v>
      </c>
      <c r="BN38" s="4">
        <v>0.35</v>
      </c>
      <c r="BO38" s="2" t="str">
        <f t="shared" si="34"/>
        <v/>
      </c>
      <c r="BW38">
        <v>34</v>
      </c>
      <c r="BX38">
        <f t="shared" si="36"/>
        <v>45.172585585290811</v>
      </c>
      <c r="BY38">
        <f t="shared" si="37"/>
        <v>15.744063793788063</v>
      </c>
      <c r="BZ38">
        <f t="shared" si="38"/>
        <v>1.054026996990119</v>
      </c>
      <c r="CF38" t="e">
        <f t="shared" si="72"/>
        <v>#N/A</v>
      </c>
      <c r="CG38" t="e">
        <f t="shared" si="73"/>
        <v>#N/A</v>
      </c>
      <c r="CH38" t="e">
        <f t="shared" si="74"/>
        <v>#N/A</v>
      </c>
      <c r="CI38">
        <f t="shared" si="75"/>
        <v>20.402455315925447</v>
      </c>
      <c r="CK38">
        <f t="shared" si="39"/>
        <v>45.172585585290811</v>
      </c>
      <c r="CL38">
        <f t="shared" si="40"/>
        <v>47.600000000000009</v>
      </c>
      <c r="CN38" t="e">
        <f t="shared" si="76"/>
        <v>#VALUE!</v>
      </c>
      <c r="CO38" t="e">
        <f t="shared" si="41"/>
        <v>#VALUE!</v>
      </c>
      <c r="CP38" s="17" t="e">
        <f t="shared" si="53"/>
        <v>#VALUE!</v>
      </c>
      <c r="CQ38" s="18" t="str">
        <f t="shared" si="15"/>
        <v/>
      </c>
      <c r="CR38">
        <v>34</v>
      </c>
      <c r="CW38" s="38" t="str">
        <f t="shared" si="59"/>
        <v/>
      </c>
      <c r="CX38">
        <v>0.8</v>
      </c>
      <c r="DA38" s="1"/>
      <c r="DD38" t="e">
        <f t="shared" si="77"/>
        <v>#VALUE!</v>
      </c>
      <c r="DE38" t="e">
        <f t="shared" si="78"/>
        <v>#VALUE!</v>
      </c>
      <c r="DF38" s="19" t="e">
        <f t="shared" si="54"/>
        <v>#VALUE!</v>
      </c>
      <c r="DG38">
        <v>34</v>
      </c>
      <c r="DK38" s="17" t="str">
        <f t="shared" si="42"/>
        <v/>
      </c>
      <c r="DL38" t="str">
        <f t="shared" si="43"/>
        <v/>
      </c>
      <c r="DM38" s="18" t="str">
        <f t="shared" si="44"/>
        <v/>
      </c>
      <c r="DN38">
        <v>34</v>
      </c>
      <c r="DS38" t="e">
        <f t="shared" si="61"/>
        <v>#VALUE!</v>
      </c>
      <c r="DT38" t="e">
        <f t="shared" si="46"/>
        <v>#VALUE!</v>
      </c>
      <c r="DU38" s="17" t="e">
        <f t="shared" si="55"/>
        <v>#VALUE!</v>
      </c>
      <c r="DV38" s="18" t="e">
        <f t="shared" si="56"/>
        <v>#VALUE!</v>
      </c>
      <c r="DW38" s="17" t="e">
        <f t="shared" si="57"/>
        <v>#VALUE!</v>
      </c>
      <c r="DX38" s="18" t="e">
        <f t="shared" si="58"/>
        <v>#VALUE!</v>
      </c>
      <c r="DY38">
        <v>34</v>
      </c>
      <c r="EF38">
        <f>'Calcs-control1'!BD48</f>
        <v>20.402455315925447</v>
      </c>
      <c r="EG38">
        <f>'Calcs-control1'!AO120</f>
        <v>9.9956323008684898</v>
      </c>
      <c r="EH38">
        <f>'Calcs-control1'!BA120</f>
        <v>22.26275606615323</v>
      </c>
      <c r="EO38">
        <f t="shared" si="47"/>
        <v>44.233679466627287</v>
      </c>
      <c r="EP38">
        <f t="shared" si="79"/>
        <v>47.600000000000009</v>
      </c>
    </row>
    <row r="39" spans="1:146" x14ac:dyDescent="0.3">
      <c r="G39" s="2">
        <v>440</v>
      </c>
      <c r="H39" s="2" t="str">
        <f t="shared" si="22"/>
        <v/>
      </c>
      <c r="J39">
        <v>35</v>
      </c>
      <c r="K39">
        <f t="shared" si="23"/>
        <v>45.402867370526103</v>
      </c>
      <c r="L39">
        <f t="shared" si="24"/>
        <v>9.9956135188333946</v>
      </c>
      <c r="M39">
        <f t="shared" si="25"/>
        <v>1.5134289123508702</v>
      </c>
      <c r="S39">
        <f t="shared" si="63"/>
        <v>45.402867370526103</v>
      </c>
      <c r="T39" t="e">
        <f t="shared" si="26"/>
        <v>#N/A</v>
      </c>
      <c r="U39" t="e">
        <f t="shared" si="64"/>
        <v>#N/A</v>
      </c>
      <c r="V39">
        <f t="shared" si="65"/>
        <v>22.565794729657497</v>
      </c>
      <c r="X39">
        <f t="shared" si="27"/>
        <v>45.402867370526103</v>
      </c>
      <c r="Y39">
        <f t="shared" si="28"/>
        <v>49.000000000000007</v>
      </c>
      <c r="AA39">
        <f t="shared" si="29"/>
        <v>0</v>
      </c>
      <c r="AB39">
        <f t="shared" si="30"/>
        <v>0.5</v>
      </c>
      <c r="AC39" s="17" t="str">
        <f t="shared" si="48"/>
        <v/>
      </c>
      <c r="AD39" s="19" t="str">
        <f t="shared" si="66"/>
        <v/>
      </c>
      <c r="AE39" s="18">
        <v>35</v>
      </c>
      <c r="AH39" s="38">
        <f t="shared" si="60"/>
        <v>0.9</v>
      </c>
      <c r="AI39">
        <v>0.9</v>
      </c>
      <c r="AO39">
        <f t="shared" si="31"/>
        <v>15.347272914857029</v>
      </c>
      <c r="AP39">
        <f t="shared" si="62"/>
        <v>0.99999978384565646</v>
      </c>
      <c r="AQ39" s="19" t="str">
        <f t="shared" si="80"/>
        <v/>
      </c>
      <c r="AR39">
        <v>35</v>
      </c>
      <c r="AV39" s="17" t="str">
        <f t="shared" si="67"/>
        <v/>
      </c>
      <c r="AW39" t="str">
        <f t="shared" si="68"/>
        <v/>
      </c>
      <c r="AX39" s="18">
        <f t="shared" si="69"/>
        <v>45.402867370526103</v>
      </c>
      <c r="AY39">
        <v>35</v>
      </c>
      <c r="BD39">
        <f t="shared" si="70"/>
        <v>0.5</v>
      </c>
      <c r="BE39">
        <f t="shared" si="71"/>
        <v>0.99999978384565646</v>
      </c>
      <c r="BF39" s="17" t="str">
        <f t="shared" si="49"/>
        <v/>
      </c>
      <c r="BG39" s="18" t="str">
        <f t="shared" si="50"/>
        <v/>
      </c>
      <c r="BH39" s="17" t="str">
        <f t="shared" si="51"/>
        <v/>
      </c>
      <c r="BI39" s="18" t="str">
        <f t="shared" si="52"/>
        <v/>
      </c>
      <c r="BJ39">
        <v>35</v>
      </c>
      <c r="BW39">
        <v>35</v>
      </c>
      <c r="BX39">
        <f t="shared" si="36"/>
        <v>46.366590725514406</v>
      </c>
      <c r="BY39">
        <f t="shared" si="37"/>
        <v>15.716200439931255</v>
      </c>
      <c r="BZ39">
        <f t="shared" si="38"/>
        <v>1.0818871169286695</v>
      </c>
      <c r="CF39" t="e">
        <f t="shared" si="72"/>
        <v>#N/A</v>
      </c>
      <c r="CG39" t="e">
        <f t="shared" si="73"/>
        <v>#N/A</v>
      </c>
      <c r="CH39" t="e">
        <f t="shared" si="74"/>
        <v>#N/A</v>
      </c>
      <c r="CI39">
        <f t="shared" si="75"/>
        <v>22.565794729657497</v>
      </c>
      <c r="CK39">
        <f t="shared" si="39"/>
        <v>46.366590725514406</v>
      </c>
      <c r="CL39">
        <f t="shared" si="40"/>
        <v>49.000000000000007</v>
      </c>
      <c r="CN39" t="e">
        <f t="shared" si="76"/>
        <v>#VALUE!</v>
      </c>
      <c r="CO39" t="e">
        <f t="shared" si="41"/>
        <v>#VALUE!</v>
      </c>
      <c r="CP39" s="17" t="e">
        <f t="shared" si="53"/>
        <v>#VALUE!</v>
      </c>
      <c r="CQ39" s="18" t="str">
        <f t="shared" si="15"/>
        <v/>
      </c>
      <c r="CR39">
        <v>35</v>
      </c>
      <c r="CW39" s="38" t="str">
        <f t="shared" si="59"/>
        <v/>
      </c>
      <c r="CX39">
        <v>0.9</v>
      </c>
      <c r="DA39" s="1"/>
      <c r="DD39" t="e">
        <f t="shared" si="77"/>
        <v>#VALUE!</v>
      </c>
      <c r="DE39" t="e">
        <f t="shared" si="78"/>
        <v>#VALUE!</v>
      </c>
      <c r="DF39" s="19" t="e">
        <f t="shared" si="54"/>
        <v>#VALUE!</v>
      </c>
      <c r="DG39">
        <v>35</v>
      </c>
      <c r="DK39" s="17" t="str">
        <f t="shared" si="42"/>
        <v/>
      </c>
      <c r="DL39" t="str">
        <f t="shared" si="43"/>
        <v/>
      </c>
      <c r="DM39" s="18" t="str">
        <f t="shared" si="44"/>
        <v/>
      </c>
      <c r="DN39">
        <v>35</v>
      </c>
      <c r="DS39" t="e">
        <f t="shared" si="61"/>
        <v>#VALUE!</v>
      </c>
      <c r="DT39" t="e">
        <f t="shared" si="46"/>
        <v>#VALUE!</v>
      </c>
      <c r="DU39" s="17" t="e">
        <f t="shared" si="55"/>
        <v>#VALUE!</v>
      </c>
      <c r="DV39" s="18" t="e">
        <f t="shared" si="56"/>
        <v>#VALUE!</v>
      </c>
      <c r="DW39" s="17" t="e">
        <f t="shared" si="57"/>
        <v>#VALUE!</v>
      </c>
      <c r="DX39" s="18" t="e">
        <f t="shared" si="58"/>
        <v>#VALUE!</v>
      </c>
      <c r="DY39">
        <v>35</v>
      </c>
      <c r="EF39">
        <f>'Calcs-control1'!BD49</f>
        <v>22.565794729657497</v>
      </c>
      <c r="EG39">
        <f>'Calcs-control1'!AO121</f>
        <v>10.583543805954958</v>
      </c>
      <c r="EH39">
        <f>'Calcs-control1'!BA121</f>
        <v>23.172575477182981</v>
      </c>
      <c r="EO39">
        <f t="shared" si="47"/>
        <v>45.402867370526103</v>
      </c>
      <c r="EP39">
        <f t="shared" si="79"/>
        <v>49.000000000000007</v>
      </c>
    </row>
    <row r="40" spans="1:146" x14ac:dyDescent="0.3">
      <c r="G40" s="2">
        <v>460</v>
      </c>
      <c r="H40" s="2" t="str">
        <f t="shared" si="22"/>
        <v/>
      </c>
      <c r="J40">
        <v>36</v>
      </c>
      <c r="K40">
        <f t="shared" si="23"/>
        <v>46.568719029190852</v>
      </c>
      <c r="L40">
        <f t="shared" si="24"/>
        <v>9.861501273082963</v>
      </c>
      <c r="M40">
        <f t="shared" si="25"/>
        <v>1.5522906343063618</v>
      </c>
      <c r="S40">
        <f t="shared" si="63"/>
        <v>46.568719029190852</v>
      </c>
      <c r="T40" t="e">
        <f t="shared" si="26"/>
        <v>#N/A</v>
      </c>
      <c r="U40" t="e">
        <f t="shared" si="64"/>
        <v>#N/A</v>
      </c>
      <c r="V40">
        <f t="shared" si="65"/>
        <v>24.958520133778343</v>
      </c>
      <c r="X40">
        <f t="shared" si="27"/>
        <v>46.568719029190852</v>
      </c>
      <c r="Y40">
        <f t="shared" si="28"/>
        <v>50.4</v>
      </c>
      <c r="AA40">
        <f t="shared" si="29"/>
        <v>0</v>
      </c>
      <c r="AB40">
        <f t="shared" si="30"/>
        <v>0.5</v>
      </c>
      <c r="AC40" s="17" t="str">
        <f t="shared" si="48"/>
        <v/>
      </c>
      <c r="AD40" s="19" t="str">
        <f t="shared" si="66"/>
        <v/>
      </c>
      <c r="AE40" s="18">
        <v>36</v>
      </c>
      <c r="AH40" s="38">
        <f t="shared" si="60"/>
        <v>1</v>
      </c>
      <c r="AI40">
        <v>1</v>
      </c>
      <c r="AO40">
        <f t="shared" si="31"/>
        <v>16.158104466591055</v>
      </c>
      <c r="AP40">
        <f t="shared" si="62"/>
        <v>0.99999990392191229</v>
      </c>
      <c r="AQ40" s="19" t="str">
        <f t="shared" si="80"/>
        <v/>
      </c>
      <c r="AR40">
        <v>36</v>
      </c>
      <c r="AV40" s="17" t="str">
        <f t="shared" si="67"/>
        <v/>
      </c>
      <c r="AW40" t="str">
        <f t="shared" si="68"/>
        <v/>
      </c>
      <c r="AX40" s="18">
        <f t="shared" si="69"/>
        <v>46.568719029190852</v>
      </c>
      <c r="AY40">
        <v>36</v>
      </c>
      <c r="BD40">
        <f t="shared" si="70"/>
        <v>0.5</v>
      </c>
      <c r="BE40">
        <f t="shared" si="71"/>
        <v>0.99999990392191229</v>
      </c>
      <c r="BF40" s="17" t="str">
        <f t="shared" si="49"/>
        <v/>
      </c>
      <c r="BG40" s="18" t="str">
        <f t="shared" si="50"/>
        <v/>
      </c>
      <c r="BH40" s="17" t="str">
        <f t="shared" si="51"/>
        <v/>
      </c>
      <c r="BI40" s="18" t="str">
        <f t="shared" si="52"/>
        <v/>
      </c>
      <c r="BJ40">
        <v>36</v>
      </c>
      <c r="BW40">
        <v>36</v>
      </c>
      <c r="BX40">
        <f t="shared" si="36"/>
        <v>47.557188805208867</v>
      </c>
      <c r="BY40">
        <f t="shared" si="37"/>
        <v>15.678106095515041</v>
      </c>
      <c r="BZ40">
        <f t="shared" si="38"/>
        <v>1.109667738788207</v>
      </c>
      <c r="CF40" t="e">
        <f t="shared" si="72"/>
        <v>#N/A</v>
      </c>
      <c r="CG40" t="e">
        <f t="shared" si="73"/>
        <v>#N/A</v>
      </c>
      <c r="CH40" t="e">
        <f t="shared" si="74"/>
        <v>#N/A</v>
      </c>
      <c r="CI40">
        <f t="shared" si="75"/>
        <v>24.958520133778343</v>
      </c>
      <c r="CK40">
        <f t="shared" si="39"/>
        <v>47.557188805208867</v>
      </c>
      <c r="CL40">
        <f t="shared" si="40"/>
        <v>50.4</v>
      </c>
      <c r="CN40" t="e">
        <f t="shared" si="76"/>
        <v>#VALUE!</v>
      </c>
      <c r="CO40" t="e">
        <f t="shared" si="41"/>
        <v>#VALUE!</v>
      </c>
      <c r="CP40" s="17" t="e">
        <f t="shared" si="53"/>
        <v>#VALUE!</v>
      </c>
      <c r="CQ40" s="18" t="str">
        <f t="shared" si="15"/>
        <v/>
      </c>
      <c r="CR40">
        <v>36</v>
      </c>
      <c r="CW40" s="38" t="str">
        <f t="shared" si="59"/>
        <v/>
      </c>
      <c r="CX40">
        <v>1</v>
      </c>
      <c r="DD40" t="e">
        <f t="shared" si="77"/>
        <v>#VALUE!</v>
      </c>
      <c r="DE40" t="e">
        <f t="shared" si="78"/>
        <v>#VALUE!</v>
      </c>
      <c r="DF40" s="19" t="e">
        <f t="shared" si="54"/>
        <v>#VALUE!</v>
      </c>
      <c r="DG40">
        <v>36</v>
      </c>
      <c r="DK40" s="17" t="str">
        <f t="shared" si="42"/>
        <v/>
      </c>
      <c r="DL40" t="str">
        <f t="shared" si="43"/>
        <v/>
      </c>
      <c r="DM40" s="18" t="str">
        <f t="shared" si="44"/>
        <v/>
      </c>
      <c r="DN40">
        <v>36</v>
      </c>
      <c r="DS40" t="e">
        <f t="shared" si="61"/>
        <v>#VALUE!</v>
      </c>
      <c r="DT40" t="e">
        <f t="shared" si="46"/>
        <v>#VALUE!</v>
      </c>
      <c r="DU40" s="17" t="e">
        <f t="shared" si="55"/>
        <v>#VALUE!</v>
      </c>
      <c r="DV40" s="18" t="e">
        <f t="shared" si="56"/>
        <v>#VALUE!</v>
      </c>
      <c r="DW40" s="17" t="e">
        <f t="shared" si="57"/>
        <v>#VALUE!</v>
      </c>
      <c r="DX40" s="18" t="e">
        <f t="shared" si="58"/>
        <v>#VALUE!</v>
      </c>
      <c r="DY40">
        <v>36</v>
      </c>
      <c r="EF40">
        <f>'Calcs-control1'!BD50</f>
        <v>24.958520133778343</v>
      </c>
      <c r="EG40">
        <f>'Calcs-control1'!AO122</f>
        <v>11.19415289880455</v>
      </c>
      <c r="EH40">
        <f>'Calcs-control1'!BA122</f>
        <v>24.046519454839157</v>
      </c>
      <c r="EO40">
        <f t="shared" si="47"/>
        <v>46.568719029190852</v>
      </c>
      <c r="EP40">
        <f t="shared" si="79"/>
        <v>50.4</v>
      </c>
    </row>
    <row r="41" spans="1:146" x14ac:dyDescent="0.3">
      <c r="G41" s="2">
        <v>480</v>
      </c>
      <c r="H41" s="2" t="str">
        <f t="shared" si="22"/>
        <v/>
      </c>
      <c r="J41">
        <v>37</v>
      </c>
      <c r="K41">
        <f t="shared" si="23"/>
        <v>47.731336268527293</v>
      </c>
      <c r="L41">
        <f t="shared" si="24"/>
        <v>9.7234800550441776</v>
      </c>
      <c r="M41">
        <f t="shared" si="25"/>
        <v>1.5910445422842432</v>
      </c>
      <c r="S41">
        <f t="shared" si="63"/>
        <v>47.731336268527293</v>
      </c>
      <c r="T41" t="e">
        <f t="shared" si="26"/>
        <v>#N/A</v>
      </c>
      <c r="U41" t="e">
        <f t="shared" si="64"/>
        <v>#N/A</v>
      </c>
      <c r="V41">
        <f t="shared" si="65"/>
        <v>27.60495407899484</v>
      </c>
      <c r="X41">
        <f t="shared" si="27"/>
        <v>47.731336268527293</v>
      </c>
      <c r="Y41">
        <f t="shared" si="28"/>
        <v>51.8</v>
      </c>
      <c r="AA41">
        <f t="shared" si="29"/>
        <v>0</v>
      </c>
      <c r="AB41">
        <f t="shared" si="30"/>
        <v>0.5</v>
      </c>
      <c r="AC41" s="17" t="str">
        <f t="shared" si="48"/>
        <v/>
      </c>
      <c r="AD41" s="19" t="str">
        <f t="shared" si="66"/>
        <v/>
      </c>
      <c r="AE41" s="18">
        <v>37</v>
      </c>
      <c r="AH41" s="38">
        <f t="shared" si="60"/>
        <v>1.1000000000000001</v>
      </c>
      <c r="AI41">
        <v>1.1000000000000001</v>
      </c>
      <c r="AO41">
        <f t="shared" si="31"/>
        <v>16.968936018325063</v>
      </c>
      <c r="AP41">
        <f t="shared" si="62"/>
        <v>0.99999995729441205</v>
      </c>
      <c r="AQ41" s="19" t="str">
        <f t="shared" si="80"/>
        <v/>
      </c>
      <c r="AR41">
        <v>37</v>
      </c>
      <c r="AV41" s="17" t="str">
        <f t="shared" si="67"/>
        <v/>
      </c>
      <c r="AW41" t="str">
        <f t="shared" si="68"/>
        <v/>
      </c>
      <c r="AX41" s="18">
        <f t="shared" si="69"/>
        <v>47.731336268527293</v>
      </c>
      <c r="AY41">
        <v>37</v>
      </c>
      <c r="BD41">
        <f t="shared" si="70"/>
        <v>0.5</v>
      </c>
      <c r="BE41">
        <f t="shared" si="71"/>
        <v>0.99999995729441205</v>
      </c>
      <c r="BF41" s="17" t="str">
        <f t="shared" si="49"/>
        <v/>
      </c>
      <c r="BG41" s="18" t="str">
        <f t="shared" si="50"/>
        <v/>
      </c>
      <c r="BH41" s="17" t="str">
        <f t="shared" si="51"/>
        <v/>
      </c>
      <c r="BI41" s="18" t="str">
        <f t="shared" si="52"/>
        <v/>
      </c>
      <c r="BJ41">
        <v>37</v>
      </c>
      <c r="BW41">
        <v>37</v>
      </c>
      <c r="BX41">
        <f t="shared" si="36"/>
        <v>48.74448381164131</v>
      </c>
      <c r="BY41">
        <f t="shared" si="37"/>
        <v>15.630447103923583</v>
      </c>
      <c r="BZ41">
        <f t="shared" si="38"/>
        <v>1.1373712889382972</v>
      </c>
      <c r="CF41" t="e">
        <f t="shared" si="72"/>
        <v>#N/A</v>
      </c>
      <c r="CG41" t="e">
        <f t="shared" si="73"/>
        <v>#N/A</v>
      </c>
      <c r="CH41" t="e">
        <f t="shared" si="74"/>
        <v>#N/A</v>
      </c>
      <c r="CI41">
        <f t="shared" si="75"/>
        <v>27.60495407899484</v>
      </c>
      <c r="CK41">
        <f t="shared" si="39"/>
        <v>48.74448381164131</v>
      </c>
      <c r="CL41">
        <f t="shared" si="40"/>
        <v>51.8</v>
      </c>
      <c r="CN41" t="e">
        <f t="shared" si="76"/>
        <v>#VALUE!</v>
      </c>
      <c r="CO41" t="e">
        <f t="shared" si="41"/>
        <v>#VALUE!</v>
      </c>
      <c r="CP41" s="17" t="e">
        <f t="shared" si="53"/>
        <v>#VALUE!</v>
      </c>
      <c r="CQ41" s="18" t="str">
        <f t="shared" si="15"/>
        <v/>
      </c>
      <c r="CR41">
        <v>37</v>
      </c>
      <c r="CW41" s="38" t="str">
        <f t="shared" si="59"/>
        <v/>
      </c>
      <c r="CX41">
        <v>1.1000000000000001</v>
      </c>
      <c r="DD41" t="e">
        <f t="shared" si="77"/>
        <v>#VALUE!</v>
      </c>
      <c r="DE41" t="e">
        <f t="shared" si="78"/>
        <v>#VALUE!</v>
      </c>
      <c r="DF41" s="19" t="e">
        <f t="shared" si="54"/>
        <v>#VALUE!</v>
      </c>
      <c r="DG41">
        <v>37</v>
      </c>
      <c r="DK41" s="17" t="str">
        <f t="shared" si="42"/>
        <v/>
      </c>
      <c r="DL41" t="str">
        <f t="shared" si="43"/>
        <v/>
      </c>
      <c r="DM41" s="18" t="str">
        <f t="shared" si="44"/>
        <v/>
      </c>
      <c r="DN41">
        <v>37</v>
      </c>
      <c r="DS41" t="e">
        <f t="shared" si="61"/>
        <v>#VALUE!</v>
      </c>
      <c r="DT41" t="e">
        <f t="shared" si="46"/>
        <v>#VALUE!</v>
      </c>
      <c r="DU41" s="17" t="e">
        <f t="shared" si="55"/>
        <v>#VALUE!</v>
      </c>
      <c r="DV41" s="18" t="e">
        <f t="shared" si="56"/>
        <v>#VALUE!</v>
      </c>
      <c r="DW41" s="17" t="e">
        <f t="shared" si="57"/>
        <v>#VALUE!</v>
      </c>
      <c r="DX41" s="18" t="e">
        <f t="shared" si="58"/>
        <v>#VALUE!</v>
      </c>
      <c r="DY41">
        <v>37</v>
      </c>
      <c r="EF41">
        <f>'Calcs-control1'!BD51</f>
        <v>27.60495407899484</v>
      </c>
      <c r="EG41">
        <f>'Calcs-control1'!AO123</f>
        <v>11.826974704392503</v>
      </c>
      <c r="EH41">
        <f>'Calcs-control1'!BA123</f>
        <v>24.879305631475354</v>
      </c>
      <c r="EO41">
        <f t="shared" si="47"/>
        <v>47.731336268527293</v>
      </c>
      <c r="EP41">
        <f t="shared" si="79"/>
        <v>51.8</v>
      </c>
    </row>
    <row r="42" spans="1:146" x14ac:dyDescent="0.3">
      <c r="G42" s="2">
        <v>500</v>
      </c>
      <c r="H42" s="2" t="str">
        <f t="shared" si="22"/>
        <v/>
      </c>
      <c r="J42">
        <v>38</v>
      </c>
      <c r="K42">
        <f t="shared" si="23"/>
        <v>48.89081514080614</v>
      </c>
      <c r="L42">
        <f t="shared" si="24"/>
        <v>9.5820898117355533</v>
      </c>
      <c r="M42">
        <f t="shared" si="25"/>
        <v>1.6296938380268713</v>
      </c>
      <c r="S42">
        <f t="shared" si="63"/>
        <v>48.89081514080614</v>
      </c>
      <c r="T42" t="e">
        <f t="shared" si="26"/>
        <v>#N/A</v>
      </c>
      <c r="U42" t="e">
        <f t="shared" si="64"/>
        <v>#N/A</v>
      </c>
      <c r="V42">
        <f t="shared" si="65"/>
        <v>30.531998116029861</v>
      </c>
      <c r="X42">
        <f t="shared" si="27"/>
        <v>48.89081514080614</v>
      </c>
      <c r="Y42">
        <f t="shared" si="28"/>
        <v>53.2</v>
      </c>
      <c r="AA42">
        <f t="shared" si="29"/>
        <v>0</v>
      </c>
      <c r="AB42">
        <f t="shared" si="30"/>
        <v>0.5</v>
      </c>
      <c r="AC42" s="17" t="str">
        <f t="shared" si="48"/>
        <v/>
      </c>
      <c r="AD42" s="19" t="str">
        <f t="shared" si="66"/>
        <v/>
      </c>
      <c r="AE42" s="18">
        <v>38</v>
      </c>
      <c r="AH42" s="38">
        <f t="shared" si="60"/>
        <v>1.2</v>
      </c>
      <c r="AI42">
        <v>1.2</v>
      </c>
      <c r="AO42">
        <f t="shared" si="31"/>
        <v>17.779767570059089</v>
      </c>
      <c r="AP42">
        <f t="shared" si="62"/>
        <v>0.99999998101786547</v>
      </c>
      <c r="AQ42" s="19" t="str">
        <f t="shared" si="80"/>
        <v/>
      </c>
      <c r="AR42">
        <v>38</v>
      </c>
      <c r="AV42" s="17" t="str">
        <f t="shared" si="67"/>
        <v/>
      </c>
      <c r="AW42" t="str">
        <f t="shared" si="68"/>
        <v/>
      </c>
      <c r="AX42" s="18">
        <f t="shared" si="69"/>
        <v>48.89081514080614</v>
      </c>
      <c r="AY42">
        <v>38</v>
      </c>
      <c r="BD42">
        <f t="shared" si="70"/>
        <v>0.5</v>
      </c>
      <c r="BE42">
        <f t="shared" si="71"/>
        <v>0.99999998101786547</v>
      </c>
      <c r="BF42" s="17" t="str">
        <f t="shared" si="49"/>
        <v/>
      </c>
      <c r="BG42" s="18" t="str">
        <f t="shared" si="50"/>
        <v/>
      </c>
      <c r="BH42" s="17" t="str">
        <f t="shared" si="51"/>
        <v/>
      </c>
      <c r="BI42" s="18" t="str">
        <f t="shared" si="52"/>
        <v/>
      </c>
      <c r="BJ42">
        <v>38</v>
      </c>
      <c r="BW42">
        <v>38</v>
      </c>
      <c r="BX42">
        <f t="shared" si="36"/>
        <v>49.928573835892379</v>
      </c>
      <c r="BY42">
        <f t="shared" si="37"/>
        <v>15.573852787588965</v>
      </c>
      <c r="BZ42">
        <f t="shared" si="38"/>
        <v>1.1650000561708223</v>
      </c>
      <c r="CF42" t="e">
        <f t="shared" si="72"/>
        <v>#N/A</v>
      </c>
      <c r="CG42" t="e">
        <f t="shared" si="73"/>
        <v>#N/A</v>
      </c>
      <c r="CH42" t="e">
        <f t="shared" si="74"/>
        <v>#N/A</v>
      </c>
      <c r="CI42">
        <f t="shared" si="75"/>
        <v>30.531998116029861</v>
      </c>
      <c r="CK42">
        <f t="shared" si="39"/>
        <v>49.928573835892379</v>
      </c>
      <c r="CL42">
        <f t="shared" si="40"/>
        <v>53.2</v>
      </c>
      <c r="CN42" t="e">
        <f t="shared" si="76"/>
        <v>#VALUE!</v>
      </c>
      <c r="CO42" t="e">
        <f t="shared" si="41"/>
        <v>#VALUE!</v>
      </c>
      <c r="CP42" s="17" t="e">
        <f t="shared" si="53"/>
        <v>#VALUE!</v>
      </c>
      <c r="CQ42" s="18" t="str">
        <f t="shared" si="15"/>
        <v/>
      </c>
      <c r="CR42">
        <v>38</v>
      </c>
      <c r="CW42" s="38" t="str">
        <f t="shared" si="59"/>
        <v/>
      </c>
      <c r="CX42">
        <v>1.2</v>
      </c>
      <c r="DD42" t="e">
        <f t="shared" si="77"/>
        <v>#VALUE!</v>
      </c>
      <c r="DE42" t="e">
        <f t="shared" si="78"/>
        <v>#VALUE!</v>
      </c>
      <c r="DF42" s="19" t="e">
        <f t="shared" si="54"/>
        <v>#VALUE!</v>
      </c>
      <c r="DG42">
        <v>38</v>
      </c>
      <c r="DK42" s="17" t="str">
        <f t="shared" si="42"/>
        <v/>
      </c>
      <c r="DL42" t="str">
        <f t="shared" si="43"/>
        <v/>
      </c>
      <c r="DM42" s="18" t="str">
        <f t="shared" si="44"/>
        <v/>
      </c>
      <c r="DN42">
        <v>38</v>
      </c>
      <c r="DS42" t="e">
        <f t="shared" si="61"/>
        <v>#VALUE!</v>
      </c>
      <c r="DT42" t="e">
        <f t="shared" si="46"/>
        <v>#VALUE!</v>
      </c>
      <c r="DU42" s="17" t="e">
        <f t="shared" si="55"/>
        <v>#VALUE!</v>
      </c>
      <c r="DV42" s="18" t="e">
        <f t="shared" si="56"/>
        <v>#VALUE!</v>
      </c>
      <c r="DW42" s="17" t="e">
        <f t="shared" si="57"/>
        <v>#VALUE!</v>
      </c>
      <c r="DX42" s="18" t="e">
        <f t="shared" si="58"/>
        <v>#VALUE!</v>
      </c>
      <c r="DY42">
        <v>38</v>
      </c>
      <c r="EF42">
        <f>'Calcs-control1'!BD52</f>
        <v>30.531998116029861</v>
      </c>
      <c r="EG42">
        <f>'Calcs-control1'!AO124</f>
        <v>12.481341037274994</v>
      </c>
      <c r="EH42">
        <f>'Calcs-control1'!BA124</f>
        <v>25.666331906742723</v>
      </c>
      <c r="EO42">
        <f t="shared" si="47"/>
        <v>48.89081514080614</v>
      </c>
      <c r="EP42">
        <f t="shared" si="79"/>
        <v>53.2</v>
      </c>
    </row>
    <row r="43" spans="1:146" x14ac:dyDescent="0.3">
      <c r="G43" s="2">
        <v>520</v>
      </c>
      <c r="H43" s="2" t="str">
        <f t="shared" si="22"/>
        <v/>
      </c>
      <c r="J43">
        <v>39</v>
      </c>
      <c r="K43">
        <f t="shared" si="23"/>
        <v>50.04724639527123</v>
      </c>
      <c r="L43">
        <f>K43*EXP(-M43)</f>
        <v>9.4378286769103532</v>
      </c>
      <c r="M43">
        <f t="shared" si="25"/>
        <v>1.668241546509041</v>
      </c>
      <c r="S43">
        <f t="shared" si="63"/>
        <v>50.04724639527123</v>
      </c>
      <c r="T43" t="e">
        <f t="shared" si="26"/>
        <v>#N/A</v>
      </c>
      <c r="U43" t="e">
        <f t="shared" si="64"/>
        <v>#N/A</v>
      </c>
      <c r="V43">
        <f t="shared" si="65"/>
        <v>33.769406255472916</v>
      </c>
      <c r="X43">
        <f t="shared" si="27"/>
        <v>50.04724639527123</v>
      </c>
      <c r="Y43">
        <f t="shared" si="28"/>
        <v>54.600000000000009</v>
      </c>
      <c r="AA43">
        <f t="shared" si="29"/>
        <v>0</v>
      </c>
      <c r="AB43">
        <f t="shared" si="30"/>
        <v>0.5</v>
      </c>
      <c r="AC43" s="17" t="str">
        <f t="shared" si="48"/>
        <v/>
      </c>
      <c r="AD43" s="19" t="str">
        <f t="shared" si="66"/>
        <v/>
      </c>
      <c r="AE43" s="18">
        <v>39</v>
      </c>
      <c r="AH43" s="38">
        <f t="shared" si="60"/>
        <v>1.3</v>
      </c>
      <c r="AI43">
        <v>1.3</v>
      </c>
      <c r="AO43">
        <f t="shared" si="31"/>
        <v>18.590599121793101</v>
      </c>
      <c r="AP43">
        <f t="shared" si="62"/>
        <v>0.99999999156266328</v>
      </c>
      <c r="AQ43" s="19" t="str">
        <f t="shared" si="80"/>
        <v/>
      </c>
      <c r="AR43">
        <v>39</v>
      </c>
      <c r="AV43" s="17" t="str">
        <f t="shared" si="67"/>
        <v/>
      </c>
      <c r="AW43" t="str">
        <f t="shared" si="68"/>
        <v/>
      </c>
      <c r="AX43" s="18">
        <f t="shared" si="69"/>
        <v>50.04724639527123</v>
      </c>
      <c r="AY43">
        <v>39</v>
      </c>
      <c r="BD43">
        <f t="shared" si="70"/>
        <v>0.5</v>
      </c>
      <c r="BE43">
        <f t="shared" si="71"/>
        <v>0.99999999156266328</v>
      </c>
      <c r="BF43" s="17" t="str">
        <f t="shared" si="49"/>
        <v/>
      </c>
      <c r="BG43" s="18" t="str">
        <f t="shared" si="50"/>
        <v/>
      </c>
      <c r="BH43" s="17" t="str">
        <f t="shared" si="51"/>
        <v/>
      </c>
      <c r="BI43" s="18" t="str">
        <f t="shared" si="52"/>
        <v/>
      </c>
      <c r="BJ43">
        <v>39</v>
      </c>
      <c r="BW43">
        <v>39</v>
      </c>
      <c r="BX43">
        <f t="shared" si="36"/>
        <v>51.109551553453535</v>
      </c>
      <c r="BY43">
        <f t="shared" si="37"/>
        <v>15.508917726610221</v>
      </c>
      <c r="BZ43">
        <f t="shared" si="38"/>
        <v>1.1925562029139158</v>
      </c>
      <c r="CF43" t="e">
        <f t="shared" si="72"/>
        <v>#N/A</v>
      </c>
      <c r="CG43" t="e">
        <f t="shared" si="73"/>
        <v>#N/A</v>
      </c>
      <c r="CH43" t="e">
        <f t="shared" si="74"/>
        <v>#N/A</v>
      </c>
      <c r="CI43">
        <f t="shared" si="75"/>
        <v>33.769406255472916</v>
      </c>
      <c r="CK43">
        <f t="shared" si="39"/>
        <v>51.109551553453535</v>
      </c>
      <c r="CL43">
        <f t="shared" si="40"/>
        <v>54.600000000000009</v>
      </c>
      <c r="CN43" t="e">
        <f t="shared" si="76"/>
        <v>#VALUE!</v>
      </c>
      <c r="CO43" t="e">
        <f t="shared" si="41"/>
        <v>#VALUE!</v>
      </c>
      <c r="CP43" s="17" t="e">
        <f t="shared" si="53"/>
        <v>#VALUE!</v>
      </c>
      <c r="CQ43" s="18" t="str">
        <f t="shared" si="15"/>
        <v/>
      </c>
      <c r="CR43">
        <v>39</v>
      </c>
      <c r="CW43" s="38" t="str">
        <f t="shared" si="59"/>
        <v/>
      </c>
      <c r="CX43">
        <v>1.3</v>
      </c>
      <c r="DD43" t="e">
        <f t="shared" si="77"/>
        <v>#VALUE!</v>
      </c>
      <c r="DE43" t="e">
        <f t="shared" si="78"/>
        <v>#VALUE!</v>
      </c>
      <c r="DF43" s="19" t="e">
        <f t="shared" si="54"/>
        <v>#VALUE!</v>
      </c>
      <c r="DG43">
        <v>39</v>
      </c>
      <c r="DK43" s="17" t="str">
        <f t="shared" si="42"/>
        <v/>
      </c>
      <c r="DL43" t="str">
        <f t="shared" si="43"/>
        <v/>
      </c>
      <c r="DM43" s="18" t="str">
        <f t="shared" si="44"/>
        <v/>
      </c>
      <c r="DN43">
        <v>39</v>
      </c>
      <c r="DS43" t="e">
        <f t="shared" si="61"/>
        <v>#VALUE!</v>
      </c>
      <c r="DT43" t="e">
        <f t="shared" si="46"/>
        <v>#VALUE!</v>
      </c>
      <c r="DU43" s="17" t="e">
        <f t="shared" si="55"/>
        <v>#VALUE!</v>
      </c>
      <c r="DV43" s="18" t="e">
        <f t="shared" si="56"/>
        <v>#VALUE!</v>
      </c>
      <c r="DW43" s="17" t="e">
        <f t="shared" si="57"/>
        <v>#VALUE!</v>
      </c>
      <c r="DX43" s="18" t="e">
        <f t="shared" si="58"/>
        <v>#VALUE!</v>
      </c>
      <c r="DY43">
        <v>39</v>
      </c>
      <c r="EF43">
        <f>'Calcs-control1'!BD53</f>
        <v>33.769406255472916</v>
      </c>
      <c r="EG43">
        <f>'Calcs-control1'!AO125</f>
        <v>13.156388334903268</v>
      </c>
      <c r="EH43">
        <f>'Calcs-control1'!BA125</f>
        <v>26.403780919449058</v>
      </c>
      <c r="EO43">
        <f t="shared" si="47"/>
        <v>50.04724639527123</v>
      </c>
      <c r="EP43">
        <f t="shared" si="79"/>
        <v>54.600000000000009</v>
      </c>
    </row>
    <row r="44" spans="1:146" x14ac:dyDescent="0.3">
      <c r="G44" s="2">
        <v>540</v>
      </c>
      <c r="H44" s="2" t="str">
        <f t="shared" si="22"/>
        <v/>
      </c>
      <c r="J44">
        <v>40</v>
      </c>
      <c r="K44">
        <f t="shared" si="23"/>
        <v>51.200715899309493</v>
      </c>
      <c r="L44">
        <f t="shared" si="24"/>
        <v>9.2911560410532843</v>
      </c>
      <c r="M44">
        <f t="shared" si="25"/>
        <v>1.706690529976983</v>
      </c>
      <c r="S44">
        <f t="shared" si="63"/>
        <v>51.200715899309493</v>
      </c>
      <c r="T44" t="e">
        <f t="shared" si="26"/>
        <v>#N/A</v>
      </c>
      <c r="U44" t="e">
        <f t="shared" si="64"/>
        <v>#N/A</v>
      </c>
      <c r="V44">
        <f t="shared" si="65"/>
        <v>37.35008742347776</v>
      </c>
      <c r="X44">
        <f t="shared" si="27"/>
        <v>51.200715899309493</v>
      </c>
      <c r="Y44">
        <f t="shared" si="28"/>
        <v>56.000000000000007</v>
      </c>
      <c r="AA44">
        <f t="shared" si="29"/>
        <v>0</v>
      </c>
      <c r="AB44">
        <f t="shared" si="30"/>
        <v>0.5</v>
      </c>
      <c r="AC44" s="17" t="str">
        <f t="shared" si="48"/>
        <v/>
      </c>
      <c r="AD44" s="19" t="str">
        <f t="shared" si="66"/>
        <v/>
      </c>
      <c r="AE44" s="18">
        <v>40</v>
      </c>
      <c r="AH44" s="38">
        <f t="shared" si="60"/>
        <v>1.4</v>
      </c>
      <c r="AI44">
        <v>1.4</v>
      </c>
      <c r="AO44">
        <f t="shared" si="31"/>
        <v>19.401430673527127</v>
      </c>
      <c r="AP44">
        <f t="shared" si="62"/>
        <v>0.99999999624970259</v>
      </c>
      <c r="AQ44" s="19" t="str">
        <f t="shared" si="80"/>
        <v/>
      </c>
      <c r="AR44">
        <v>40</v>
      </c>
      <c r="AV44" s="17" t="str">
        <f t="shared" si="67"/>
        <v/>
      </c>
      <c r="AW44" t="str">
        <f t="shared" si="68"/>
        <v/>
      </c>
      <c r="AX44" s="18">
        <f t="shared" si="69"/>
        <v>51.200715899309493</v>
      </c>
      <c r="AY44">
        <v>40</v>
      </c>
      <c r="BD44">
        <f t="shared" si="70"/>
        <v>0.5</v>
      </c>
      <c r="BE44">
        <f t="shared" si="71"/>
        <v>0.99999999624970259</v>
      </c>
      <c r="BF44" s="17" t="str">
        <f t="shared" si="49"/>
        <v/>
      </c>
      <c r="BG44" s="18" t="str">
        <f t="shared" si="50"/>
        <v/>
      </c>
      <c r="BH44" s="17" t="str">
        <f t="shared" si="51"/>
        <v/>
      </c>
      <c r="BI44" s="18" t="str">
        <f t="shared" si="52"/>
        <v/>
      </c>
      <c r="BJ44">
        <v>40</v>
      </c>
      <c r="BW44">
        <v>40</v>
      </c>
      <c r="BX44">
        <f t="shared" si="36"/>
        <v>52.287504654336836</v>
      </c>
      <c r="BY44">
        <f t="shared" si="37"/>
        <v>15.436203862119347</v>
      </c>
      <c r="BZ44">
        <f t="shared" si="38"/>
        <v>1.2200417752678596</v>
      </c>
      <c r="CF44" t="e">
        <f t="shared" si="72"/>
        <v>#N/A</v>
      </c>
      <c r="CG44" t="e">
        <f t="shared" si="73"/>
        <v>#N/A</v>
      </c>
      <c r="CH44" t="e">
        <f t="shared" si="74"/>
        <v>#N/A</v>
      </c>
      <c r="CI44">
        <f t="shared" si="75"/>
        <v>37.35008742347776</v>
      </c>
      <c r="CK44">
        <f t="shared" si="39"/>
        <v>52.287504654336836</v>
      </c>
      <c r="CL44">
        <f t="shared" si="40"/>
        <v>56.000000000000007</v>
      </c>
      <c r="CN44" t="e">
        <f t="shared" si="76"/>
        <v>#VALUE!</v>
      </c>
      <c r="CO44" t="e">
        <f t="shared" si="41"/>
        <v>#VALUE!</v>
      </c>
      <c r="CP44" s="17" t="e">
        <f t="shared" si="53"/>
        <v>#VALUE!</v>
      </c>
      <c r="CQ44" s="18" t="str">
        <f t="shared" si="15"/>
        <v/>
      </c>
      <c r="CR44">
        <v>40</v>
      </c>
      <c r="CW44" s="38" t="str">
        <f t="shared" si="59"/>
        <v/>
      </c>
      <c r="CX44">
        <v>1.4</v>
      </c>
      <c r="DD44" t="e">
        <f t="shared" si="77"/>
        <v>#VALUE!</v>
      </c>
      <c r="DE44" t="e">
        <f t="shared" si="78"/>
        <v>#VALUE!</v>
      </c>
      <c r="DF44" s="19" t="e">
        <f t="shared" si="54"/>
        <v>#VALUE!</v>
      </c>
      <c r="DG44">
        <v>40</v>
      </c>
      <c r="DK44" s="17" t="str">
        <f t="shared" si="42"/>
        <v/>
      </c>
      <c r="DL44" t="str">
        <f t="shared" si="43"/>
        <v/>
      </c>
      <c r="DM44" s="18" t="str">
        <f t="shared" si="44"/>
        <v/>
      </c>
      <c r="DN44">
        <v>40</v>
      </c>
      <c r="DS44" t="e">
        <f t="shared" si="61"/>
        <v>#VALUE!</v>
      </c>
      <c r="DT44" t="e">
        <f t="shared" si="46"/>
        <v>#VALUE!</v>
      </c>
      <c r="DU44" s="17" t="e">
        <f t="shared" si="55"/>
        <v>#VALUE!</v>
      </c>
      <c r="DV44" s="18" t="e">
        <f t="shared" si="56"/>
        <v>#VALUE!</v>
      </c>
      <c r="DW44" s="17" t="e">
        <f t="shared" si="57"/>
        <v>#VALUE!</v>
      </c>
      <c r="DX44" s="18" t="e">
        <f t="shared" si="58"/>
        <v>#VALUE!</v>
      </c>
      <c r="DY44">
        <v>40</v>
      </c>
      <c r="EF44">
        <f>'Calcs-control1'!BD54</f>
        <v>37.35008742347776</v>
      </c>
      <c r="EG44">
        <f>'Calcs-control1'!AO126</f>
        <v>13.85104697700479</v>
      </c>
      <c r="EH44">
        <f>'Calcs-control1'!BA126</f>
        <v>27.088700508270747</v>
      </c>
      <c r="EO44">
        <f t="shared" si="47"/>
        <v>51.200715899309493</v>
      </c>
      <c r="EP44">
        <f t="shared" si="79"/>
        <v>56.000000000000007</v>
      </c>
    </row>
    <row r="45" spans="1:146" x14ac:dyDescent="0.3">
      <c r="G45" s="2">
        <v>560</v>
      </c>
      <c r="H45" s="2" t="str">
        <f t="shared" si="22"/>
        <v/>
      </c>
      <c r="J45">
        <v>41</v>
      </c>
      <c r="K45">
        <f t="shared" si="23"/>
        <v>52.35130501648181</v>
      </c>
      <c r="L45">
        <f t="shared" si="24"/>
        <v>9.1424953747796973</v>
      </c>
      <c r="M45">
        <f t="shared" si="25"/>
        <v>1.7450435005493936</v>
      </c>
      <c r="S45">
        <f t="shared" si="63"/>
        <v>52.35130501648181</v>
      </c>
      <c r="T45" t="e">
        <f t="shared" si="26"/>
        <v>#N/A</v>
      </c>
      <c r="U45" t="e">
        <f t="shared" si="64"/>
        <v>#N/A</v>
      </c>
      <c r="V45">
        <f t="shared" si="65"/>
        <v>40.92960933067026</v>
      </c>
      <c r="X45">
        <f t="shared" si="27"/>
        <v>52.35130501648181</v>
      </c>
      <c r="Y45">
        <f t="shared" si="28"/>
        <v>57.400000000000006</v>
      </c>
      <c r="AA45">
        <f t="shared" si="29"/>
        <v>0</v>
      </c>
      <c r="AB45">
        <f t="shared" si="30"/>
        <v>0.5</v>
      </c>
      <c r="AC45" s="17" t="str">
        <f t="shared" si="48"/>
        <v/>
      </c>
      <c r="AD45" s="19" t="str">
        <f t="shared" si="66"/>
        <v/>
      </c>
      <c r="AE45" s="18">
        <v>41</v>
      </c>
      <c r="AH45" s="38">
        <f t="shared" si="60"/>
        <v>1.5</v>
      </c>
      <c r="AI45">
        <v>1.5</v>
      </c>
      <c r="AO45">
        <f t="shared" si="31"/>
        <v>20.212262225261153</v>
      </c>
      <c r="AP45">
        <f t="shared" si="62"/>
        <v>0.99999999833303665</v>
      </c>
      <c r="AQ45" s="19" t="str">
        <f t="shared" si="80"/>
        <v/>
      </c>
      <c r="AR45">
        <v>41</v>
      </c>
      <c r="AV45" s="17" t="str">
        <f t="shared" si="67"/>
        <v/>
      </c>
      <c r="AW45" t="str">
        <f t="shared" si="68"/>
        <v/>
      </c>
      <c r="AX45" s="18">
        <f t="shared" si="69"/>
        <v>52.35130501648181</v>
      </c>
      <c r="AY45">
        <v>41</v>
      </c>
      <c r="BD45">
        <f t="shared" si="70"/>
        <v>0.5</v>
      </c>
      <c r="BE45">
        <f t="shared" si="71"/>
        <v>0.99999999833303665</v>
      </c>
      <c r="BF45" s="17" t="str">
        <f t="shared" si="49"/>
        <v/>
      </c>
      <c r="BG45" s="18" t="str">
        <f t="shared" si="50"/>
        <v/>
      </c>
      <c r="BH45" s="17" t="str">
        <f t="shared" si="51"/>
        <v/>
      </c>
      <c r="BI45" s="18" t="str">
        <f t="shared" si="52"/>
        <v/>
      </c>
      <c r="BJ45">
        <v>41</v>
      </c>
      <c r="BW45">
        <v>41</v>
      </c>
      <c r="BX45">
        <f t="shared" si="36"/>
        <v>53.462516229129839</v>
      </c>
      <c r="BY45">
        <f t="shared" si="37"/>
        <v>15.356242441864406</v>
      </c>
      <c r="BZ45">
        <f t="shared" si="38"/>
        <v>1.2474587120130296</v>
      </c>
      <c r="CF45" t="e">
        <f t="shared" si="72"/>
        <v>#N/A</v>
      </c>
      <c r="CG45" t="e">
        <f t="shared" si="73"/>
        <v>#N/A</v>
      </c>
      <c r="CH45" t="e">
        <f t="shared" si="74"/>
        <v>#N/A</v>
      </c>
      <c r="CI45">
        <f t="shared" si="75"/>
        <v>40.92960933067026</v>
      </c>
      <c r="CK45">
        <f t="shared" si="39"/>
        <v>53.462516229129839</v>
      </c>
      <c r="CL45">
        <f t="shared" si="40"/>
        <v>57.400000000000006</v>
      </c>
      <c r="CN45" t="e">
        <f t="shared" si="76"/>
        <v>#VALUE!</v>
      </c>
      <c r="CO45" t="e">
        <f t="shared" si="41"/>
        <v>#VALUE!</v>
      </c>
      <c r="CP45" s="17" t="e">
        <f t="shared" si="53"/>
        <v>#VALUE!</v>
      </c>
      <c r="CQ45" s="18" t="str">
        <f t="shared" si="15"/>
        <v/>
      </c>
      <c r="CR45">
        <v>41</v>
      </c>
      <c r="CW45" s="38" t="str">
        <f t="shared" si="59"/>
        <v/>
      </c>
      <c r="CX45">
        <v>1.5</v>
      </c>
      <c r="DD45" t="e">
        <f t="shared" si="77"/>
        <v>#VALUE!</v>
      </c>
      <c r="DE45" t="e">
        <f t="shared" si="78"/>
        <v>#VALUE!</v>
      </c>
      <c r="DF45" s="19" t="e">
        <f t="shared" si="54"/>
        <v>#VALUE!</v>
      </c>
      <c r="DG45">
        <v>41</v>
      </c>
      <c r="DK45" s="17" t="str">
        <f t="shared" si="42"/>
        <v/>
      </c>
      <c r="DL45" t="str">
        <f t="shared" si="43"/>
        <v/>
      </c>
      <c r="DM45" s="18" t="str">
        <f t="shared" si="44"/>
        <v/>
      </c>
      <c r="DN45">
        <v>41</v>
      </c>
      <c r="DS45" t="e">
        <f t="shared" si="61"/>
        <v>#VALUE!</v>
      </c>
      <c r="DT45" t="e">
        <f t="shared" si="46"/>
        <v>#VALUE!</v>
      </c>
      <c r="DU45" s="17" t="e">
        <f t="shared" si="55"/>
        <v>#VALUE!</v>
      </c>
      <c r="DV45" s="18" t="e">
        <f t="shared" si="56"/>
        <v>#VALUE!</v>
      </c>
      <c r="DW45" s="17" t="e">
        <f t="shared" si="57"/>
        <v>#VALUE!</v>
      </c>
      <c r="DX45" s="18" t="e">
        <f t="shared" si="58"/>
        <v>#VALUE!</v>
      </c>
      <c r="DY45">
        <v>41</v>
      </c>
      <c r="EF45">
        <f>'Calcs-control1'!BD55</f>
        <v>40.92960933067026</v>
      </c>
      <c r="EG45">
        <f>'Calcs-control1'!AO127</f>
        <v>14.49778392436912</v>
      </c>
      <c r="EH45">
        <f>'Calcs-control1'!BA127</f>
        <v>27.663440422697555</v>
      </c>
      <c r="EO45">
        <f t="shared" si="47"/>
        <v>52.35130501648181</v>
      </c>
      <c r="EP45">
        <f t="shared" si="79"/>
        <v>57.400000000000006</v>
      </c>
    </row>
    <row r="46" spans="1:146" x14ac:dyDescent="0.3">
      <c r="G46" s="2">
        <v>580</v>
      </c>
      <c r="H46" s="2" t="str">
        <f t="shared" si="22"/>
        <v/>
      </c>
      <c r="J46">
        <v>42</v>
      </c>
      <c r="K46">
        <f t="shared" si="23"/>
        <v>53.49909094677772</v>
      </c>
      <c r="L46">
        <f t="shared" si="24"/>
        <v>8.9922368290014774</v>
      </c>
      <c r="M46">
        <f t="shared" si="25"/>
        <v>1.7833030315592573</v>
      </c>
      <c r="S46">
        <f t="shared" si="63"/>
        <v>53.49909094677772</v>
      </c>
      <c r="T46" t="e">
        <f t="shared" si="26"/>
        <v>#N/A</v>
      </c>
      <c r="U46" t="e">
        <f t="shared" si="64"/>
        <v>#N/A</v>
      </c>
      <c r="V46">
        <f t="shared" si="65"/>
        <v>44.390577427248836</v>
      </c>
      <c r="X46">
        <f t="shared" si="27"/>
        <v>53.49909094677772</v>
      </c>
      <c r="Y46">
        <f t="shared" si="28"/>
        <v>58.8</v>
      </c>
      <c r="AA46">
        <f t="shared" si="29"/>
        <v>0</v>
      </c>
      <c r="AB46">
        <f t="shared" si="30"/>
        <v>0.5</v>
      </c>
      <c r="AC46" s="17" t="str">
        <f t="shared" si="48"/>
        <v/>
      </c>
      <c r="AD46" s="19" t="str">
        <f t="shared" si="66"/>
        <v/>
      </c>
      <c r="AE46" s="18">
        <v>42</v>
      </c>
      <c r="AH46" s="38">
        <f t="shared" si="60"/>
        <v>1.6</v>
      </c>
      <c r="AI46">
        <v>1.6</v>
      </c>
      <c r="AO46">
        <f t="shared" si="31"/>
        <v>21.023093776995164</v>
      </c>
      <c r="AP46">
        <f t="shared" si="62"/>
        <v>0.99999999925905425</v>
      </c>
      <c r="AQ46" s="19" t="str">
        <f t="shared" si="80"/>
        <v/>
      </c>
      <c r="AR46">
        <v>42</v>
      </c>
      <c r="AV46" s="17" t="str">
        <f t="shared" si="67"/>
        <v/>
      </c>
      <c r="AW46" t="str">
        <f t="shared" si="68"/>
        <v/>
      </c>
      <c r="AX46" s="18">
        <f t="shared" si="69"/>
        <v>53.49909094677772</v>
      </c>
      <c r="AY46">
        <v>42</v>
      </c>
      <c r="BD46">
        <f t="shared" si="70"/>
        <v>0.5</v>
      </c>
      <c r="BE46">
        <f t="shared" si="71"/>
        <v>0.99999999925905425</v>
      </c>
      <c r="BF46" s="17" t="str">
        <f t="shared" si="49"/>
        <v/>
      </c>
      <c r="BG46" s="18" t="str">
        <f t="shared" si="50"/>
        <v/>
      </c>
      <c r="BH46" s="17" t="str">
        <f t="shared" si="51"/>
        <v/>
      </c>
      <c r="BI46" s="18" t="str">
        <f t="shared" si="52"/>
        <v/>
      </c>
      <c r="BJ46">
        <v>42</v>
      </c>
      <c r="BW46">
        <v>42</v>
      </c>
      <c r="BX46">
        <f t="shared" si="36"/>
        <v>54.634665116472632</v>
      </c>
      <c r="BY46">
        <f t="shared" si="37"/>
        <v>15.269535823287072</v>
      </c>
      <c r="BZ46">
        <f t="shared" si="38"/>
        <v>1.2748088527176948</v>
      </c>
      <c r="CF46" t="e">
        <f t="shared" si="72"/>
        <v>#N/A</v>
      </c>
      <c r="CG46" t="e">
        <f t="shared" si="73"/>
        <v>#N/A</v>
      </c>
      <c r="CH46" t="e">
        <f t="shared" si="74"/>
        <v>#N/A</v>
      </c>
      <c r="CI46">
        <f t="shared" si="75"/>
        <v>44.390577427248836</v>
      </c>
      <c r="CK46">
        <f t="shared" si="39"/>
        <v>54.634665116472632</v>
      </c>
      <c r="CL46">
        <f t="shared" si="40"/>
        <v>58.8</v>
      </c>
      <c r="CN46" t="e">
        <f t="shared" si="76"/>
        <v>#VALUE!</v>
      </c>
      <c r="CO46" t="e">
        <f t="shared" si="41"/>
        <v>#VALUE!</v>
      </c>
      <c r="CP46" s="17" t="e">
        <f t="shared" si="53"/>
        <v>#VALUE!</v>
      </c>
      <c r="CQ46" s="18" t="str">
        <f t="shared" si="15"/>
        <v/>
      </c>
      <c r="CR46">
        <v>42</v>
      </c>
      <c r="CW46" s="38" t="str">
        <f t="shared" si="59"/>
        <v/>
      </c>
      <c r="CX46">
        <v>1.6</v>
      </c>
      <c r="DD46" t="e">
        <f t="shared" si="77"/>
        <v>#VALUE!</v>
      </c>
      <c r="DE46" t="e">
        <f t="shared" si="78"/>
        <v>#VALUE!</v>
      </c>
      <c r="DF46" s="19" t="e">
        <f t="shared" si="54"/>
        <v>#VALUE!</v>
      </c>
      <c r="DG46">
        <v>42</v>
      </c>
      <c r="DK46" s="17" t="str">
        <f t="shared" si="42"/>
        <v/>
      </c>
      <c r="DL46" t="str">
        <f t="shared" si="43"/>
        <v/>
      </c>
      <c r="DM46" s="18" t="str">
        <f t="shared" si="44"/>
        <v/>
      </c>
      <c r="DN46">
        <v>42</v>
      </c>
      <c r="DS46" t="e">
        <f t="shared" si="61"/>
        <v>#VALUE!</v>
      </c>
      <c r="DT46" t="e">
        <f t="shared" si="46"/>
        <v>#VALUE!</v>
      </c>
      <c r="DU46" s="17" t="e">
        <f t="shared" si="55"/>
        <v>#VALUE!</v>
      </c>
      <c r="DV46" s="18" t="e">
        <f t="shared" si="56"/>
        <v>#VALUE!</v>
      </c>
      <c r="DW46" s="17" t="e">
        <f t="shared" si="57"/>
        <v>#VALUE!</v>
      </c>
      <c r="DX46" s="18" t="e">
        <f t="shared" si="58"/>
        <v>#VALUE!</v>
      </c>
      <c r="DY46">
        <v>42</v>
      </c>
      <c r="EF46">
        <f>'Calcs-control1'!BD56</f>
        <v>44.390577427248836</v>
      </c>
      <c r="EG46">
        <f>'Calcs-control1'!AO128</f>
        <v>15.083166305654746</v>
      </c>
      <c r="EH46">
        <f>'Calcs-control1'!BA128</f>
        <v>28.134849574443813</v>
      </c>
      <c r="EO46">
        <f t="shared" si="47"/>
        <v>53.49909094677772</v>
      </c>
      <c r="EP46">
        <f t="shared" si="79"/>
        <v>58.8</v>
      </c>
    </row>
    <row r="47" spans="1:146" x14ac:dyDescent="0.3">
      <c r="G47" s="2">
        <v>600</v>
      </c>
      <c r="H47" s="2" t="str">
        <f t="shared" si="22"/>
        <v/>
      </c>
      <c r="J47">
        <v>43</v>
      </c>
      <c r="K47">
        <f t="shared" si="23"/>
        <v>54.644147033678536</v>
      </c>
      <c r="L47">
        <f t="shared" si="24"/>
        <v>8.8407396325364651</v>
      </c>
      <c r="M47">
        <f t="shared" si="25"/>
        <v>1.8214715677892845</v>
      </c>
      <c r="S47">
        <f t="shared" si="63"/>
        <v>54.644147033678536</v>
      </c>
      <c r="T47" t="e">
        <f t="shared" si="26"/>
        <v>#N/A</v>
      </c>
      <c r="U47" t="e">
        <f t="shared" si="64"/>
        <v>#N/A</v>
      </c>
      <c r="V47">
        <f t="shared" si="65"/>
        <v>47.704044184467008</v>
      </c>
      <c r="X47">
        <f t="shared" si="27"/>
        <v>54.644147033678536</v>
      </c>
      <c r="Y47">
        <f t="shared" si="28"/>
        <v>60.2</v>
      </c>
      <c r="AA47">
        <f t="shared" si="29"/>
        <v>0</v>
      </c>
      <c r="AB47">
        <f t="shared" si="30"/>
        <v>0.5</v>
      </c>
      <c r="AC47" s="17" t="str">
        <f t="shared" si="48"/>
        <v/>
      </c>
      <c r="AD47" s="19" t="str">
        <f t="shared" si="66"/>
        <v/>
      </c>
      <c r="AE47" s="18">
        <v>43</v>
      </c>
      <c r="AH47" s="38">
        <f t="shared" si="60"/>
        <v>1.7</v>
      </c>
      <c r="AI47">
        <v>1.7</v>
      </c>
      <c r="AO47">
        <f t="shared" si="31"/>
        <v>21.83392532872919</v>
      </c>
      <c r="AP47">
        <f t="shared" si="62"/>
        <v>0.99999999967065833</v>
      </c>
      <c r="AQ47" s="19" t="str">
        <f t="shared" si="80"/>
        <v/>
      </c>
      <c r="AR47">
        <v>43</v>
      </c>
      <c r="AV47" s="17" t="str">
        <f t="shared" si="67"/>
        <v/>
      </c>
      <c r="AW47" t="str">
        <f t="shared" si="68"/>
        <v/>
      </c>
      <c r="AX47" s="18">
        <f t="shared" si="69"/>
        <v>54.644147033678536</v>
      </c>
      <c r="AY47">
        <v>43</v>
      </c>
      <c r="BD47">
        <f t="shared" si="70"/>
        <v>0.5</v>
      </c>
      <c r="BE47">
        <f t="shared" si="71"/>
        <v>0.99999999967065833</v>
      </c>
      <c r="BF47" s="17" t="str">
        <f t="shared" si="49"/>
        <v/>
      </c>
      <c r="BG47" s="18" t="str">
        <f t="shared" si="50"/>
        <v/>
      </c>
      <c r="BH47" s="17" t="str">
        <f t="shared" si="51"/>
        <v/>
      </c>
      <c r="BI47" s="18" t="str">
        <f t="shared" si="52"/>
        <v/>
      </c>
      <c r="BJ47">
        <v>43</v>
      </c>
      <c r="BW47">
        <v>43</v>
      </c>
      <c r="BX47">
        <f t="shared" si="36"/>
        <v>55.804026216638626</v>
      </c>
      <c r="BY47">
        <f t="shared" si="37"/>
        <v>15.176559147509748</v>
      </c>
      <c r="BZ47">
        <f t="shared" si="38"/>
        <v>1.3020939450549014</v>
      </c>
      <c r="CF47" t="e">
        <f t="shared" si="72"/>
        <v>#N/A</v>
      </c>
      <c r="CG47" t="e">
        <f t="shared" si="73"/>
        <v>#N/A</v>
      </c>
      <c r="CH47" t="e">
        <f t="shared" si="74"/>
        <v>#N/A</v>
      </c>
      <c r="CI47">
        <f t="shared" si="75"/>
        <v>47.704044184467008</v>
      </c>
      <c r="CK47">
        <f t="shared" si="39"/>
        <v>55.804026216638626</v>
      </c>
      <c r="CL47">
        <f t="shared" si="40"/>
        <v>60.2</v>
      </c>
      <c r="CN47" t="e">
        <f t="shared" si="76"/>
        <v>#VALUE!</v>
      </c>
      <c r="CO47" t="e">
        <f t="shared" si="41"/>
        <v>#VALUE!</v>
      </c>
      <c r="CP47" s="17" t="e">
        <f t="shared" si="53"/>
        <v>#VALUE!</v>
      </c>
      <c r="CQ47" s="18" t="str">
        <f t="shared" si="15"/>
        <v/>
      </c>
      <c r="CR47">
        <v>43</v>
      </c>
      <c r="CW47" s="38" t="str">
        <f t="shared" si="59"/>
        <v/>
      </c>
      <c r="CX47">
        <v>1.7</v>
      </c>
      <c r="DD47" t="e">
        <f t="shared" si="77"/>
        <v>#VALUE!</v>
      </c>
      <c r="DE47" t="e">
        <f t="shared" si="78"/>
        <v>#VALUE!</v>
      </c>
      <c r="DF47" s="19" t="e">
        <f t="shared" si="54"/>
        <v>#VALUE!</v>
      </c>
      <c r="DG47">
        <v>43</v>
      </c>
      <c r="DK47" s="17" t="str">
        <f t="shared" si="42"/>
        <v/>
      </c>
      <c r="DL47" t="str">
        <f t="shared" si="43"/>
        <v/>
      </c>
      <c r="DM47" s="18" t="str">
        <f t="shared" si="44"/>
        <v/>
      </c>
      <c r="DN47">
        <v>43</v>
      </c>
      <c r="DS47" t="e">
        <f t="shared" si="61"/>
        <v>#VALUE!</v>
      </c>
      <c r="DT47" t="e">
        <f t="shared" si="46"/>
        <v>#VALUE!</v>
      </c>
      <c r="DU47" s="17" t="e">
        <f t="shared" si="55"/>
        <v>#VALUE!</v>
      </c>
      <c r="DV47" s="18" t="e">
        <f t="shared" si="56"/>
        <v>#VALUE!</v>
      </c>
      <c r="DW47" s="17" t="e">
        <f t="shared" si="57"/>
        <v>#VALUE!</v>
      </c>
      <c r="DX47" s="18" t="e">
        <f t="shared" si="58"/>
        <v>#VALUE!</v>
      </c>
      <c r="DY47">
        <v>43</v>
      </c>
      <c r="EF47">
        <f>'Calcs-control1'!BD57</f>
        <v>47.704044184467008</v>
      </c>
      <c r="EG47">
        <f>'Calcs-control1'!AO129</f>
        <v>15.610820257888683</v>
      </c>
      <c r="EH47">
        <f>'Calcs-control1'!BA129</f>
        <v>28.522578267882011</v>
      </c>
      <c r="EO47">
        <f t="shared" si="47"/>
        <v>54.644147033678536</v>
      </c>
      <c r="EP47">
        <f t="shared" si="79"/>
        <v>60.2</v>
      </c>
    </row>
    <row r="48" spans="1:146" x14ac:dyDescent="0.3">
      <c r="G48" s="2">
        <v>620</v>
      </c>
      <c r="H48" s="2" t="str">
        <f t="shared" si="22"/>
        <v/>
      </c>
      <c r="J48">
        <v>44</v>
      </c>
      <c r="K48">
        <f t="shared" si="23"/>
        <v>55.786543041962695</v>
      </c>
      <c r="L48">
        <f t="shared" si="24"/>
        <v>8.6883343055226145</v>
      </c>
      <c r="M48">
        <f t="shared" si="25"/>
        <v>1.8595514347320898</v>
      </c>
      <c r="S48">
        <f t="shared" si="63"/>
        <v>55.786543041962695</v>
      </c>
      <c r="T48" t="e">
        <f t="shared" si="26"/>
        <v>#N/A</v>
      </c>
      <c r="U48" t="e">
        <f t="shared" si="64"/>
        <v>#N/A</v>
      </c>
      <c r="V48">
        <f t="shared" si="65"/>
        <v>50.86283030076688</v>
      </c>
      <c r="X48">
        <f t="shared" si="27"/>
        <v>55.786543041962695</v>
      </c>
      <c r="Y48">
        <f t="shared" si="28"/>
        <v>61.6</v>
      </c>
      <c r="AA48">
        <f t="shared" si="29"/>
        <v>0</v>
      </c>
      <c r="AB48">
        <f t="shared" si="30"/>
        <v>0.5</v>
      </c>
      <c r="AC48" s="17" t="str">
        <f t="shared" si="48"/>
        <v/>
      </c>
      <c r="AD48" s="19" t="str">
        <f t="shared" si="66"/>
        <v/>
      </c>
      <c r="AE48" s="18">
        <v>44</v>
      </c>
      <c r="AH48" s="38">
        <f t="shared" si="60"/>
        <v>1.8</v>
      </c>
      <c r="AI48">
        <v>1.8</v>
      </c>
      <c r="AO48">
        <f t="shared" si="31"/>
        <v>22.644756880463198</v>
      </c>
      <c r="AP48">
        <f t="shared" si="62"/>
        <v>0.99999999985361143</v>
      </c>
      <c r="AQ48" s="19" t="str">
        <f t="shared" si="80"/>
        <v/>
      </c>
      <c r="AR48">
        <v>44</v>
      </c>
      <c r="AV48" s="17" t="str">
        <f t="shared" si="67"/>
        <v/>
      </c>
      <c r="AW48" t="str">
        <f t="shared" si="68"/>
        <v/>
      </c>
      <c r="AX48" s="18">
        <f t="shared" si="69"/>
        <v>55.786543041962695</v>
      </c>
      <c r="AY48">
        <v>44</v>
      </c>
      <c r="BD48">
        <f t="shared" si="70"/>
        <v>0.5</v>
      </c>
      <c r="BE48">
        <f t="shared" si="71"/>
        <v>0.99999999985361143</v>
      </c>
      <c r="BF48" s="17" t="str">
        <f t="shared" si="49"/>
        <v/>
      </c>
      <c r="BG48" s="18" t="str">
        <f t="shared" si="50"/>
        <v/>
      </c>
      <c r="BH48" s="17" t="str">
        <f t="shared" si="51"/>
        <v/>
      </c>
      <c r="BI48" s="18" t="str">
        <f t="shared" si="52"/>
        <v/>
      </c>
      <c r="BJ48">
        <v>44</v>
      </c>
      <c r="BW48">
        <v>44</v>
      </c>
      <c r="BX48">
        <f t="shared" si="36"/>
        <v>56.970670775236663</v>
      </c>
      <c r="BY48">
        <f t="shared" si="37"/>
        <v>15.077761896057376</v>
      </c>
      <c r="BZ48">
        <f t="shared" si="38"/>
        <v>1.3293156514221889</v>
      </c>
      <c r="CF48" t="e">
        <f t="shared" si="72"/>
        <v>#N/A</v>
      </c>
      <c r="CG48" t="e">
        <f t="shared" si="73"/>
        <v>#N/A</v>
      </c>
      <c r="CH48" t="e">
        <f t="shared" si="74"/>
        <v>#N/A</v>
      </c>
      <c r="CI48">
        <f t="shared" si="75"/>
        <v>50.86283030076688</v>
      </c>
      <c r="CK48">
        <f t="shared" si="39"/>
        <v>56.970670775236663</v>
      </c>
      <c r="CL48">
        <f t="shared" si="40"/>
        <v>61.6</v>
      </c>
      <c r="CN48" t="e">
        <f t="shared" si="76"/>
        <v>#VALUE!</v>
      </c>
      <c r="CO48" t="e">
        <f t="shared" si="41"/>
        <v>#VALUE!</v>
      </c>
      <c r="CP48" s="17" t="e">
        <f t="shared" si="53"/>
        <v>#VALUE!</v>
      </c>
      <c r="CQ48" s="18" t="str">
        <f t="shared" si="15"/>
        <v/>
      </c>
      <c r="CR48">
        <v>44</v>
      </c>
      <c r="CW48" s="38" t="str">
        <f t="shared" si="59"/>
        <v/>
      </c>
      <c r="CX48">
        <v>1.8</v>
      </c>
      <c r="DD48" t="e">
        <f t="shared" si="77"/>
        <v>#VALUE!</v>
      </c>
      <c r="DE48" t="e">
        <f t="shared" si="78"/>
        <v>#VALUE!</v>
      </c>
      <c r="DF48" s="19" t="e">
        <f t="shared" si="54"/>
        <v>#VALUE!</v>
      </c>
      <c r="DG48">
        <v>44</v>
      </c>
      <c r="DK48" s="17" t="str">
        <f t="shared" si="42"/>
        <v/>
      </c>
      <c r="DL48" t="str">
        <f t="shared" si="43"/>
        <v/>
      </c>
      <c r="DM48" s="18" t="str">
        <f t="shared" si="44"/>
        <v/>
      </c>
      <c r="DN48">
        <v>44</v>
      </c>
      <c r="DS48" t="e">
        <f t="shared" si="61"/>
        <v>#VALUE!</v>
      </c>
      <c r="DT48" t="e">
        <f t="shared" si="46"/>
        <v>#VALUE!</v>
      </c>
      <c r="DU48" s="17" t="e">
        <f t="shared" si="55"/>
        <v>#VALUE!</v>
      </c>
      <c r="DV48" s="18" t="e">
        <f t="shared" si="56"/>
        <v>#VALUE!</v>
      </c>
      <c r="DW48" s="17" t="e">
        <f t="shared" si="57"/>
        <v>#VALUE!</v>
      </c>
      <c r="DX48" s="18" t="e">
        <f t="shared" si="58"/>
        <v>#VALUE!</v>
      </c>
      <c r="DY48">
        <v>44</v>
      </c>
      <c r="EF48">
        <f>'Calcs-control1'!BD58</f>
        <v>50.86283030076688</v>
      </c>
      <c r="EG48">
        <f>'Calcs-control1'!AO130</f>
        <v>16.086930277088712</v>
      </c>
      <c r="EH48">
        <f>'Calcs-control1'!BA130</f>
        <v>28.843989565247227</v>
      </c>
      <c r="EO48">
        <f t="shared" si="47"/>
        <v>55.786543041962695</v>
      </c>
      <c r="EP48">
        <f t="shared" si="79"/>
        <v>61.6</v>
      </c>
    </row>
    <row r="49" spans="7:146" x14ac:dyDescent="0.3">
      <c r="G49" s="2">
        <v>640</v>
      </c>
      <c r="H49" s="2" t="str">
        <f t="shared" si="22"/>
        <v/>
      </c>
      <c r="J49">
        <v>45</v>
      </c>
      <c r="K49">
        <f t="shared" si="23"/>
        <v>56.926345409642934</v>
      </c>
      <c r="L49">
        <f t="shared" si="24"/>
        <v>8.5353247049937</v>
      </c>
      <c r="M49">
        <f t="shared" si="25"/>
        <v>1.8975448469880978</v>
      </c>
      <c r="S49">
        <f t="shared" si="63"/>
        <v>56.926345409642934</v>
      </c>
      <c r="T49" t="e">
        <f t="shared" si="26"/>
        <v>#N/A</v>
      </c>
      <c r="U49" t="e">
        <f t="shared" si="64"/>
        <v>#N/A</v>
      </c>
      <c r="V49">
        <f t="shared" si="65"/>
        <v>53.863152289552801</v>
      </c>
      <c r="X49">
        <f t="shared" si="27"/>
        <v>56.926345409642934</v>
      </c>
      <c r="Y49">
        <f t="shared" si="28"/>
        <v>63.000000000000007</v>
      </c>
      <c r="AA49">
        <f t="shared" si="29"/>
        <v>0</v>
      </c>
      <c r="AB49">
        <f t="shared" si="30"/>
        <v>0.5</v>
      </c>
      <c r="AC49" s="17" t="str">
        <f t="shared" si="48"/>
        <v/>
      </c>
      <c r="AD49" s="19" t="str">
        <f t="shared" si="66"/>
        <v/>
      </c>
      <c r="AE49" s="18">
        <v>45</v>
      </c>
      <c r="AH49" s="38">
        <f t="shared" si="60"/>
        <v>1.9</v>
      </c>
      <c r="AI49">
        <v>1.9</v>
      </c>
      <c r="AO49">
        <f t="shared" si="31"/>
        <v>23.455588432197224</v>
      </c>
      <c r="AP49">
        <f t="shared" si="62"/>
        <v>0.99999999993493205</v>
      </c>
      <c r="AQ49" s="19" t="str">
        <f t="shared" si="80"/>
        <v/>
      </c>
      <c r="AR49">
        <v>45</v>
      </c>
      <c r="AV49" s="17" t="str">
        <f t="shared" si="67"/>
        <v/>
      </c>
      <c r="AW49" t="str">
        <f t="shared" si="68"/>
        <v/>
      </c>
      <c r="AX49" s="18">
        <f t="shared" si="69"/>
        <v>56.926345409642934</v>
      </c>
      <c r="AY49">
        <v>45</v>
      </c>
      <c r="BD49">
        <f t="shared" si="70"/>
        <v>0.5</v>
      </c>
      <c r="BE49">
        <f t="shared" si="71"/>
        <v>0.99999999993493205</v>
      </c>
      <c r="BF49" s="17" t="str">
        <f t="shared" si="49"/>
        <v/>
      </c>
      <c r="BG49" s="18" t="str">
        <f t="shared" si="50"/>
        <v/>
      </c>
      <c r="BH49" s="17" t="str">
        <f t="shared" si="51"/>
        <v/>
      </c>
      <c r="BI49" s="18" t="str">
        <f t="shared" si="52"/>
        <v/>
      </c>
      <c r="BJ49">
        <v>45</v>
      </c>
      <c r="BW49">
        <v>45</v>
      </c>
      <c r="BX49">
        <f t="shared" si="36"/>
        <v>58.134666640495816</v>
      </c>
      <c r="BY49">
        <f t="shared" si="37"/>
        <v>14.973569340775869</v>
      </c>
      <c r="BZ49">
        <f t="shared" si="38"/>
        <v>1.3564755549449026</v>
      </c>
      <c r="CF49" t="e">
        <f t="shared" si="72"/>
        <v>#N/A</v>
      </c>
      <c r="CG49" t="e">
        <f t="shared" si="73"/>
        <v>#N/A</v>
      </c>
      <c r="CH49" t="e">
        <f t="shared" si="74"/>
        <v>#N/A</v>
      </c>
      <c r="CI49">
        <f t="shared" si="75"/>
        <v>53.863152289552801</v>
      </c>
      <c r="CK49">
        <f t="shared" si="39"/>
        <v>58.134666640495816</v>
      </c>
      <c r="CL49">
        <f t="shared" si="40"/>
        <v>63.000000000000007</v>
      </c>
      <c r="CN49" t="e">
        <f t="shared" si="76"/>
        <v>#VALUE!</v>
      </c>
      <c r="CO49" t="e">
        <f t="shared" si="41"/>
        <v>#VALUE!</v>
      </c>
      <c r="CP49" s="17" t="e">
        <f t="shared" si="53"/>
        <v>#VALUE!</v>
      </c>
      <c r="CQ49" s="18" t="str">
        <f t="shared" si="15"/>
        <v/>
      </c>
      <c r="CR49">
        <v>45</v>
      </c>
      <c r="CW49" s="38" t="str">
        <f t="shared" si="59"/>
        <v/>
      </c>
      <c r="CX49">
        <v>1.9</v>
      </c>
      <c r="DD49" t="e">
        <f t="shared" si="77"/>
        <v>#VALUE!</v>
      </c>
      <c r="DE49" t="e">
        <f t="shared" si="78"/>
        <v>#VALUE!</v>
      </c>
      <c r="DF49" s="19" t="e">
        <f t="shared" si="54"/>
        <v>#VALUE!</v>
      </c>
      <c r="DG49">
        <v>45</v>
      </c>
      <c r="DK49" s="17" t="str">
        <f t="shared" si="42"/>
        <v/>
      </c>
      <c r="DL49" t="str">
        <f t="shared" si="43"/>
        <v/>
      </c>
      <c r="DM49" s="18" t="str">
        <f t="shared" si="44"/>
        <v/>
      </c>
      <c r="DN49">
        <v>45</v>
      </c>
      <c r="DS49" t="e">
        <f t="shared" si="61"/>
        <v>#VALUE!</v>
      </c>
      <c r="DT49" t="e">
        <f t="shared" si="46"/>
        <v>#VALUE!</v>
      </c>
      <c r="DU49" s="17" t="e">
        <f t="shared" si="55"/>
        <v>#VALUE!</v>
      </c>
      <c r="DV49" s="18" t="e">
        <f t="shared" si="56"/>
        <v>#VALUE!</v>
      </c>
      <c r="DW49" s="17" t="e">
        <f t="shared" si="57"/>
        <v>#VALUE!</v>
      </c>
      <c r="DX49" s="18" t="e">
        <f t="shared" si="58"/>
        <v>#VALUE!</v>
      </c>
      <c r="DY49">
        <v>45</v>
      </c>
      <c r="EF49">
        <f>'Calcs-control1'!BD59</f>
        <v>53.863152289552801</v>
      </c>
      <c r="EG49">
        <f>'Calcs-control1'!AO131</f>
        <v>16.517003875813732</v>
      </c>
      <c r="EH49">
        <f>'Calcs-control1'!BA131</f>
        <v>29.11243034959076</v>
      </c>
      <c r="EO49">
        <f t="shared" si="47"/>
        <v>56.926345409642934</v>
      </c>
      <c r="EP49">
        <f t="shared" si="79"/>
        <v>63.000000000000007</v>
      </c>
    </row>
    <row r="50" spans="7:146" x14ac:dyDescent="0.3">
      <c r="G50" s="2">
        <v>660</v>
      </c>
      <c r="H50" s="2" t="str">
        <f t="shared" si="22"/>
        <v/>
      </c>
      <c r="J50">
        <v>46</v>
      </c>
      <c r="K50">
        <f t="shared" si="23"/>
        <v>58.063617476965021</v>
      </c>
      <c r="L50">
        <f t="shared" si="24"/>
        <v>8.3819899172314347</v>
      </c>
      <c r="M50">
        <f t="shared" si="25"/>
        <v>1.935453915898834</v>
      </c>
      <c r="S50">
        <f t="shared" si="63"/>
        <v>58.063617476965021</v>
      </c>
      <c r="T50" t="e">
        <f t="shared" si="26"/>
        <v>#N/A</v>
      </c>
      <c r="U50" t="e">
        <f t="shared" si="64"/>
        <v>#N/A</v>
      </c>
      <c r="V50">
        <f t="shared" si="65"/>
        <v>56.703928369374403</v>
      </c>
      <c r="X50">
        <f t="shared" si="27"/>
        <v>58.063617476965021</v>
      </c>
      <c r="Y50">
        <f t="shared" si="28"/>
        <v>64.400000000000006</v>
      </c>
      <c r="AA50">
        <f t="shared" si="29"/>
        <v>0</v>
      </c>
      <c r="AB50">
        <f t="shared" si="30"/>
        <v>0.5</v>
      </c>
      <c r="AC50" s="17" t="str">
        <f t="shared" si="48"/>
        <v/>
      </c>
      <c r="AD50" s="19" t="str">
        <f t="shared" si="66"/>
        <v/>
      </c>
      <c r="AE50" s="18">
        <v>46</v>
      </c>
      <c r="AH50" s="38">
        <f t="shared" si="60"/>
        <v>2</v>
      </c>
      <c r="AI50">
        <v>2</v>
      </c>
      <c r="AO50">
        <f t="shared" si="31"/>
        <v>24.266419983931236</v>
      </c>
      <c r="AP50">
        <f t="shared" si="62"/>
        <v>0.99999999997107802</v>
      </c>
      <c r="AQ50" s="19" t="str">
        <f t="shared" si="80"/>
        <v/>
      </c>
      <c r="AR50">
        <v>46</v>
      </c>
      <c r="AV50" s="17" t="str">
        <f t="shared" si="67"/>
        <v/>
      </c>
      <c r="AW50" t="str">
        <f t="shared" si="68"/>
        <v/>
      </c>
      <c r="AX50" s="18">
        <f t="shared" si="69"/>
        <v>58.063617476965021</v>
      </c>
      <c r="AY50">
        <v>46</v>
      </c>
      <c r="BD50">
        <f t="shared" si="70"/>
        <v>0.5</v>
      </c>
      <c r="BE50">
        <f t="shared" si="71"/>
        <v>0.99999999997107802</v>
      </c>
      <c r="BF50" s="17" t="str">
        <f t="shared" si="49"/>
        <v/>
      </c>
      <c r="BG50" s="18" t="str">
        <f t="shared" si="50"/>
        <v/>
      </c>
      <c r="BH50" s="17" t="str">
        <f t="shared" si="51"/>
        <v/>
      </c>
      <c r="BI50" s="18" t="str">
        <f t="shared" si="52"/>
        <v/>
      </c>
      <c r="BJ50">
        <v>46</v>
      </c>
      <c r="BW50">
        <v>46</v>
      </c>
      <c r="BX50">
        <f t="shared" si="36"/>
        <v>59.296078497124817</v>
      </c>
      <c r="BY50">
        <f t="shared" si="37"/>
        <v>14.864383896235225</v>
      </c>
      <c r="BZ50">
        <f t="shared" si="38"/>
        <v>1.3835751649329124</v>
      </c>
      <c r="CF50" t="e">
        <f t="shared" si="72"/>
        <v>#N/A</v>
      </c>
      <c r="CG50" t="e">
        <f t="shared" si="73"/>
        <v>#N/A</v>
      </c>
      <c r="CH50" t="e">
        <f t="shared" si="74"/>
        <v>#N/A</v>
      </c>
      <c r="CI50">
        <f t="shared" si="75"/>
        <v>56.703928369374403</v>
      </c>
      <c r="CK50">
        <f t="shared" si="39"/>
        <v>59.296078497124817</v>
      </c>
      <c r="CL50">
        <f t="shared" si="40"/>
        <v>64.400000000000006</v>
      </c>
      <c r="CN50" t="e">
        <f t="shared" si="76"/>
        <v>#VALUE!</v>
      </c>
      <c r="CO50" t="e">
        <f t="shared" si="41"/>
        <v>#VALUE!</v>
      </c>
      <c r="CP50" s="17" t="e">
        <f t="shared" si="53"/>
        <v>#VALUE!</v>
      </c>
      <c r="CQ50" s="18" t="str">
        <f t="shared" si="15"/>
        <v/>
      </c>
      <c r="CR50">
        <v>46</v>
      </c>
      <c r="CW50" s="38" t="str">
        <f t="shared" si="59"/>
        <v/>
      </c>
      <c r="CX50">
        <v>2</v>
      </c>
      <c r="DD50" t="e">
        <f t="shared" si="77"/>
        <v>#VALUE!</v>
      </c>
      <c r="DE50" t="e">
        <f t="shared" si="78"/>
        <v>#VALUE!</v>
      </c>
      <c r="DF50" s="19" t="e">
        <f>IF(AND(DE50&gt;=$DF$1, DE49&lt;$DF$1), 10, "")</f>
        <v>#VALUE!</v>
      </c>
      <c r="DG50">
        <v>46</v>
      </c>
      <c r="DK50" s="17" t="str">
        <f t="shared" si="42"/>
        <v/>
      </c>
      <c r="DL50" t="str">
        <f t="shared" si="43"/>
        <v/>
      </c>
      <c r="DM50" s="18" t="str">
        <f t="shared" si="44"/>
        <v/>
      </c>
      <c r="DN50">
        <v>46</v>
      </c>
      <c r="DS50" t="e">
        <f>CO50</f>
        <v>#VALUE!</v>
      </c>
      <c r="DT50" t="e">
        <f t="shared" si="46"/>
        <v>#VALUE!</v>
      </c>
      <c r="DU50" s="17" t="e">
        <f t="shared" si="55"/>
        <v>#VALUE!</v>
      </c>
      <c r="DV50" s="18" t="e">
        <f t="shared" si="56"/>
        <v>#VALUE!</v>
      </c>
      <c r="DW50" s="17" t="e">
        <f t="shared" si="57"/>
        <v>#VALUE!</v>
      </c>
      <c r="DX50" s="18" t="e">
        <f t="shared" si="58"/>
        <v>#VALUE!</v>
      </c>
      <c r="DY50">
        <v>46</v>
      </c>
      <c r="EF50">
        <f>'Calcs-control1'!BD60</f>
        <v>56.703928369374403</v>
      </c>
      <c r="EG50">
        <f>'Calcs-control1'!AO132</f>
        <v>16.90592998996113</v>
      </c>
      <c r="EH50">
        <f>'Calcs-control1'!BA132</f>
        <v>29.338228432598754</v>
      </c>
      <c r="EO50">
        <f t="shared" si="47"/>
        <v>58.063617476965021</v>
      </c>
      <c r="EP50">
        <f t="shared" si="79"/>
        <v>64.400000000000006</v>
      </c>
    </row>
    <row r="51" spans="7:146" x14ac:dyDescent="0.3">
      <c r="G51" s="2">
        <v>680</v>
      </c>
      <c r="H51" s="2" t="str">
        <f t="shared" si="22"/>
        <v/>
      </c>
      <c r="J51">
        <v>47</v>
      </c>
      <c r="K51">
        <f t="shared" si="23"/>
        <v>59.198419695009726</v>
      </c>
      <c r="L51">
        <f t="shared" si="24"/>
        <v>8.2285860099893871</v>
      </c>
      <c r="M51">
        <f t="shared" si="25"/>
        <v>1.9732806565003242</v>
      </c>
      <c r="S51">
        <f t="shared" si="63"/>
        <v>59.198419695009726</v>
      </c>
      <c r="T51" t="e">
        <f t="shared" si="26"/>
        <v>#N/A</v>
      </c>
      <c r="U51" t="e">
        <f t="shared" si="64"/>
        <v>#N/A</v>
      </c>
      <c r="V51">
        <f t="shared" si="65"/>
        <v>59.386203373087803</v>
      </c>
      <c r="X51">
        <f t="shared" si="27"/>
        <v>59.198419695009726</v>
      </c>
      <c r="Y51">
        <f t="shared" si="28"/>
        <v>65.800000000000011</v>
      </c>
      <c r="AA51">
        <f t="shared" si="29"/>
        <v>0</v>
      </c>
      <c r="AB51">
        <f t="shared" si="30"/>
        <v>0.5</v>
      </c>
      <c r="AC51" s="17" t="str">
        <f t="shared" si="48"/>
        <v/>
      </c>
      <c r="AD51" s="19" t="str">
        <f t="shared" si="66"/>
        <v/>
      </c>
      <c r="AE51" s="18">
        <v>47</v>
      </c>
      <c r="AH51" s="38">
        <f t="shared" si="60"/>
        <v>2.1</v>
      </c>
      <c r="AI51">
        <v>2.1</v>
      </c>
      <c r="AO51">
        <f t="shared" si="31"/>
        <v>25.077251535665248</v>
      </c>
      <c r="AP51">
        <f t="shared" si="62"/>
        <v>0.99999999998714451</v>
      </c>
      <c r="AQ51" s="19" t="str">
        <f t="shared" si="80"/>
        <v/>
      </c>
      <c r="AR51">
        <v>47</v>
      </c>
      <c r="AV51" s="17" t="str">
        <f t="shared" si="67"/>
        <v/>
      </c>
      <c r="AW51" t="str">
        <f t="shared" si="68"/>
        <v/>
      </c>
      <c r="AX51" s="18">
        <f t="shared" si="69"/>
        <v>59.198419695009726</v>
      </c>
      <c r="AY51">
        <v>47</v>
      </c>
      <c r="BD51">
        <f t="shared" si="70"/>
        <v>0.5</v>
      </c>
      <c r="BE51">
        <f t="shared" si="71"/>
        <v>0.99999999998714451</v>
      </c>
      <c r="BF51" s="17" t="str">
        <f t="shared" si="49"/>
        <v/>
      </c>
      <c r="BG51" s="18" t="str">
        <f t="shared" si="50"/>
        <v/>
      </c>
      <c r="BH51" s="17" t="str">
        <f t="shared" si="51"/>
        <v/>
      </c>
      <c r="BI51" s="18" t="str">
        <f t="shared" si="52"/>
        <v/>
      </c>
      <c r="BJ51">
        <v>47</v>
      </c>
      <c r="BW51">
        <v>47</v>
      </c>
      <c r="BX51">
        <f t="shared" si="36"/>
        <v>60.454968079341853</v>
      </c>
      <c r="BY51">
        <f t="shared" si="37"/>
        <v>14.750586382890175</v>
      </c>
      <c r="BZ51">
        <f t="shared" si="38"/>
        <v>1.4106159218513099</v>
      </c>
      <c r="CF51" t="e">
        <f t="shared" si="72"/>
        <v>#N/A</v>
      </c>
      <c r="CG51" t="e">
        <f t="shared" si="73"/>
        <v>#N/A</v>
      </c>
      <c r="CH51" t="e">
        <f t="shared" si="74"/>
        <v>#N/A</v>
      </c>
      <c r="CI51">
        <f t="shared" si="75"/>
        <v>59.386203373087803</v>
      </c>
      <c r="CK51">
        <f t="shared" si="39"/>
        <v>60.454968079341853</v>
      </c>
      <c r="CL51">
        <f t="shared" si="40"/>
        <v>65.800000000000011</v>
      </c>
      <c r="CN51" t="e">
        <f t="shared" si="76"/>
        <v>#VALUE!</v>
      </c>
      <c r="CO51" t="e">
        <f t="shared" si="41"/>
        <v>#VALUE!</v>
      </c>
      <c r="CP51" s="17" t="e">
        <f t="shared" si="53"/>
        <v>#VALUE!</v>
      </c>
      <c r="CQ51" s="18" t="str">
        <f t="shared" si="15"/>
        <v/>
      </c>
      <c r="CR51">
        <v>47</v>
      </c>
      <c r="CW51" s="38" t="str">
        <f t="shared" si="59"/>
        <v/>
      </c>
      <c r="CX51">
        <v>2.1</v>
      </c>
      <c r="DD51" t="e">
        <f t="shared" si="77"/>
        <v>#VALUE!</v>
      </c>
      <c r="DE51" t="e">
        <f t="shared" si="78"/>
        <v>#VALUE!</v>
      </c>
      <c r="DF51" s="19" t="e">
        <f t="shared" si="54"/>
        <v>#VALUE!</v>
      </c>
      <c r="DG51">
        <v>47</v>
      </c>
      <c r="DK51" s="17" t="str">
        <f t="shared" si="42"/>
        <v/>
      </c>
      <c r="DL51" t="str">
        <f t="shared" si="43"/>
        <v/>
      </c>
      <c r="DM51" s="18" t="str">
        <f t="shared" si="44"/>
        <v/>
      </c>
      <c r="DN51">
        <v>47</v>
      </c>
      <c r="DS51" t="e">
        <f t="shared" ref="DS51:DS63" si="81">CO51</f>
        <v>#VALUE!</v>
      </c>
      <c r="DT51" t="e">
        <f t="shared" si="46"/>
        <v>#VALUE!</v>
      </c>
      <c r="DU51" s="17" t="e">
        <f t="shared" si="55"/>
        <v>#VALUE!</v>
      </c>
      <c r="DV51" s="18" t="e">
        <f t="shared" si="56"/>
        <v>#VALUE!</v>
      </c>
      <c r="DW51" s="17" t="e">
        <f t="shared" si="57"/>
        <v>#VALUE!</v>
      </c>
      <c r="DX51" s="18" t="e">
        <f t="shared" si="58"/>
        <v>#VALUE!</v>
      </c>
      <c r="DY51">
        <v>47</v>
      </c>
      <c r="EF51">
        <f>'Calcs-control1'!BD61</f>
        <v>59.386203373087803</v>
      </c>
      <c r="EG51">
        <f>'Calcs-control1'!AO133</f>
        <v>17.258041180448611</v>
      </c>
      <c r="EH51">
        <f>'Calcs-control1'!BA133</f>
        <v>29.529432540857261</v>
      </c>
      <c r="EO51">
        <f t="shared" si="47"/>
        <v>59.198419695009726</v>
      </c>
      <c r="EP51">
        <f t="shared" si="79"/>
        <v>65.800000000000011</v>
      </c>
    </row>
    <row r="52" spans="7:146" x14ac:dyDescent="0.3">
      <c r="G52" s="2">
        <v>700</v>
      </c>
      <c r="H52" s="2" t="str">
        <f t="shared" si="22"/>
        <v/>
      </c>
      <c r="J52">
        <v>48</v>
      </c>
      <c r="K52">
        <f t="shared" si="23"/>
        <v>60.330809816110218</v>
      </c>
      <c r="L52">
        <f t="shared" si="24"/>
        <v>8.0753476563533244</v>
      </c>
      <c r="M52">
        <f t="shared" si="25"/>
        <v>2.0110269938703405</v>
      </c>
      <c r="S52">
        <f t="shared" si="63"/>
        <v>60.330809816110218</v>
      </c>
      <c r="T52" t="e">
        <f t="shared" si="26"/>
        <v>#N/A</v>
      </c>
      <c r="U52" t="e">
        <f t="shared" si="64"/>
        <v>#N/A</v>
      </c>
      <c r="V52">
        <f t="shared" si="65"/>
        <v>61.912673593410531</v>
      </c>
      <c r="X52">
        <f t="shared" si="27"/>
        <v>60.330809816110218</v>
      </c>
      <c r="Y52">
        <f t="shared" si="28"/>
        <v>67.2</v>
      </c>
      <c r="AA52">
        <f t="shared" si="29"/>
        <v>0</v>
      </c>
      <c r="AB52">
        <f t="shared" si="30"/>
        <v>0.5</v>
      </c>
      <c r="AC52" s="17" t="str">
        <f t="shared" si="48"/>
        <v/>
      </c>
      <c r="AD52" s="19" t="str">
        <f t="shared" si="66"/>
        <v/>
      </c>
      <c r="AE52" s="18">
        <v>48</v>
      </c>
      <c r="AH52" s="38">
        <f t="shared" si="60"/>
        <v>2.2000000000000002</v>
      </c>
      <c r="AI52">
        <v>2.2000000000000002</v>
      </c>
      <c r="AO52">
        <f t="shared" si="31"/>
        <v>25.888083087399274</v>
      </c>
      <c r="AP52">
        <f t="shared" si="62"/>
        <v>0.9999999999942859</v>
      </c>
      <c r="AQ52" s="19" t="str">
        <f t="shared" si="80"/>
        <v/>
      </c>
      <c r="AR52">
        <v>48</v>
      </c>
      <c r="AV52" s="17" t="str">
        <f t="shared" si="67"/>
        <v/>
      </c>
      <c r="AW52" t="str">
        <f t="shared" si="68"/>
        <v/>
      </c>
      <c r="AX52" s="18">
        <f t="shared" si="69"/>
        <v>60.330809816110218</v>
      </c>
      <c r="AY52">
        <v>48</v>
      </c>
      <c r="BD52">
        <f t="shared" si="70"/>
        <v>0.5</v>
      </c>
      <c r="BE52">
        <f t="shared" si="71"/>
        <v>0.9999999999942859</v>
      </c>
      <c r="BF52" s="17" t="str">
        <f t="shared" si="49"/>
        <v/>
      </c>
      <c r="BG52" s="18" t="str">
        <f t="shared" si="50"/>
        <v/>
      </c>
      <c r="BH52" s="17" t="str">
        <f t="shared" si="51"/>
        <v/>
      </c>
      <c r="BI52" s="18" t="str">
        <f t="shared" si="52"/>
        <v/>
      </c>
      <c r="BJ52">
        <v>48</v>
      </c>
      <c r="BW52">
        <v>48</v>
      </c>
      <c r="BX52">
        <f t="shared" si="36"/>
        <v>61.611394365333794</v>
      </c>
      <c r="BY52">
        <f t="shared" si="37"/>
        <v>14.632537208390302</v>
      </c>
      <c r="BZ52">
        <f t="shared" si="38"/>
        <v>1.4375992018577886</v>
      </c>
      <c r="CF52" t="e">
        <f t="shared" si="72"/>
        <v>#N/A</v>
      </c>
      <c r="CG52" t="e">
        <f t="shared" si="73"/>
        <v>#N/A</v>
      </c>
      <c r="CH52" t="e">
        <f t="shared" si="74"/>
        <v>#N/A</v>
      </c>
      <c r="CI52">
        <f t="shared" si="75"/>
        <v>61.912673593410531</v>
      </c>
      <c r="CK52">
        <f t="shared" si="39"/>
        <v>61.611394365333794</v>
      </c>
      <c r="CL52">
        <f t="shared" si="40"/>
        <v>67.2</v>
      </c>
      <c r="CN52" t="e">
        <f t="shared" si="76"/>
        <v>#VALUE!</v>
      </c>
      <c r="CO52" t="e">
        <f t="shared" si="41"/>
        <v>#VALUE!</v>
      </c>
      <c r="CP52" s="17" t="e">
        <f t="shared" si="53"/>
        <v>#VALUE!</v>
      </c>
      <c r="CQ52" s="18" t="str">
        <f t="shared" si="15"/>
        <v/>
      </c>
      <c r="CR52">
        <v>48</v>
      </c>
      <c r="CW52" s="38" t="str">
        <f t="shared" si="59"/>
        <v/>
      </c>
      <c r="CX52">
        <v>2.2000000000000002</v>
      </c>
      <c r="DD52" t="e">
        <f t="shared" si="77"/>
        <v>#VALUE!</v>
      </c>
      <c r="DE52" t="e">
        <f t="shared" si="78"/>
        <v>#VALUE!</v>
      </c>
      <c r="DF52" s="19" t="e">
        <f t="shared" si="54"/>
        <v>#VALUE!</v>
      </c>
      <c r="DG52">
        <v>48</v>
      </c>
      <c r="DK52" s="17" t="str">
        <f t="shared" si="42"/>
        <v/>
      </c>
      <c r="DL52" t="str">
        <f t="shared" si="43"/>
        <v/>
      </c>
      <c r="DM52" s="18" t="str">
        <f t="shared" si="44"/>
        <v/>
      </c>
      <c r="DN52">
        <v>48</v>
      </c>
      <c r="DS52" t="e">
        <f t="shared" si="81"/>
        <v>#VALUE!</v>
      </c>
      <c r="DT52" t="e">
        <f t="shared" si="46"/>
        <v>#VALUE!</v>
      </c>
      <c r="DU52" s="17" t="e">
        <f t="shared" si="55"/>
        <v>#VALUE!</v>
      </c>
      <c r="DV52" s="18" t="e">
        <f t="shared" si="56"/>
        <v>#VALUE!</v>
      </c>
      <c r="DW52" s="17" t="e">
        <f t="shared" si="57"/>
        <v>#VALUE!</v>
      </c>
      <c r="DX52" s="18" t="e">
        <f t="shared" si="58"/>
        <v>#VALUE!</v>
      </c>
      <c r="DY52">
        <v>48</v>
      </c>
      <c r="EF52">
        <f>'Calcs-control1'!BD62</f>
        <v>61.912673593410531</v>
      </c>
      <c r="EG52">
        <f>'Calcs-control1'!AO134</f>
        <v>17.577174558432116</v>
      </c>
      <c r="EH52">
        <f>'Calcs-control1'!BA134</f>
        <v>29.692361439170433</v>
      </c>
      <c r="EO52">
        <f t="shared" si="47"/>
        <v>60.330809816110218</v>
      </c>
      <c r="EP52">
        <f t="shared" si="79"/>
        <v>67.2</v>
      </c>
    </row>
    <row r="53" spans="7:146" x14ac:dyDescent="0.3">
      <c r="G53" s="2">
        <v>720</v>
      </c>
      <c r="H53" s="2" t="str">
        <f t="shared" si="22"/>
        <v/>
      </c>
      <c r="J53">
        <v>49</v>
      </c>
      <c r="K53">
        <f t="shared" si="23"/>
        <v>61.460843068015251</v>
      </c>
      <c r="L53">
        <f t="shared" si="24"/>
        <v>7.9224896408336667</v>
      </c>
      <c r="M53">
        <f t="shared" si="25"/>
        <v>2.0486947689338417</v>
      </c>
      <c r="S53">
        <f t="shared" si="63"/>
        <v>61.460843068015251</v>
      </c>
      <c r="T53" t="e">
        <f t="shared" si="26"/>
        <v>#N/A</v>
      </c>
      <c r="U53" t="e">
        <f t="shared" si="64"/>
        <v>#N/A</v>
      </c>
      <c r="V53">
        <f t="shared" si="65"/>
        <v>64.287295450202123</v>
      </c>
      <c r="X53">
        <f t="shared" si="27"/>
        <v>61.460843068015251</v>
      </c>
      <c r="Y53">
        <f t="shared" si="28"/>
        <v>68.600000000000009</v>
      </c>
      <c r="AA53">
        <f t="shared" si="29"/>
        <v>0</v>
      </c>
      <c r="AB53">
        <f t="shared" si="30"/>
        <v>0.5</v>
      </c>
      <c r="AC53" s="17" t="str">
        <f t="shared" si="48"/>
        <v/>
      </c>
      <c r="AD53" s="19" t="str">
        <f t="shared" si="66"/>
        <v/>
      </c>
      <c r="AE53" s="18">
        <v>49</v>
      </c>
      <c r="AH53" s="38">
        <f t="shared" si="60"/>
        <v>2.2999999999999998</v>
      </c>
      <c r="AI53">
        <v>2.2999999999999998</v>
      </c>
      <c r="AO53">
        <f t="shared" si="31"/>
        <v>26.698914639133285</v>
      </c>
      <c r="AP53">
        <f t="shared" si="62"/>
        <v>0.99999999999746014</v>
      </c>
      <c r="AQ53" s="19" t="str">
        <f t="shared" si="80"/>
        <v/>
      </c>
      <c r="AR53">
        <v>49</v>
      </c>
      <c r="AV53" s="17" t="str">
        <f t="shared" si="67"/>
        <v/>
      </c>
      <c r="AW53" t="str">
        <f t="shared" si="68"/>
        <v/>
      </c>
      <c r="AX53" s="18">
        <f t="shared" si="69"/>
        <v>61.460843068015251</v>
      </c>
      <c r="AY53">
        <v>49</v>
      </c>
      <c r="BD53">
        <f t="shared" si="70"/>
        <v>0.5</v>
      </c>
      <c r="BE53">
        <f t="shared" si="71"/>
        <v>0.99999999999746014</v>
      </c>
      <c r="BF53" s="17" t="str">
        <f t="shared" si="49"/>
        <v/>
      </c>
      <c r="BG53" s="18" t="str">
        <f t="shared" si="50"/>
        <v/>
      </c>
      <c r="BH53" s="17" t="str">
        <f t="shared" si="51"/>
        <v/>
      </c>
      <c r="BI53" s="18" t="str">
        <f t="shared" si="52"/>
        <v/>
      </c>
      <c r="BJ53">
        <v>49</v>
      </c>
      <c r="BW53">
        <v>49</v>
      </c>
      <c r="BX53">
        <f t="shared" si="36"/>
        <v>62.765413755116121</v>
      </c>
      <c r="BY53">
        <f t="shared" si="37"/>
        <v>14.510577473663705</v>
      </c>
      <c r="BZ53">
        <f t="shared" si="38"/>
        <v>1.4645263209527095</v>
      </c>
      <c r="CF53" t="e">
        <f t="shared" si="72"/>
        <v>#N/A</v>
      </c>
      <c r="CG53" t="e">
        <f t="shared" si="73"/>
        <v>#N/A</v>
      </c>
      <c r="CH53" t="e">
        <f t="shared" si="74"/>
        <v>#N/A</v>
      </c>
      <c r="CI53">
        <f t="shared" si="75"/>
        <v>64.287295450202123</v>
      </c>
      <c r="CK53">
        <f t="shared" si="39"/>
        <v>62.765413755116121</v>
      </c>
      <c r="CL53">
        <f t="shared" si="40"/>
        <v>68.600000000000009</v>
      </c>
      <c r="CN53" t="e">
        <f t="shared" si="76"/>
        <v>#VALUE!</v>
      </c>
      <c r="CO53" t="e">
        <f t="shared" si="41"/>
        <v>#VALUE!</v>
      </c>
      <c r="CP53" s="17" t="e">
        <f t="shared" si="53"/>
        <v>#VALUE!</v>
      </c>
      <c r="CQ53" s="18" t="str">
        <f t="shared" si="15"/>
        <v/>
      </c>
      <c r="CR53">
        <v>49</v>
      </c>
      <c r="CW53" s="38" t="str">
        <f t="shared" si="59"/>
        <v/>
      </c>
      <c r="CX53">
        <v>2.2999999999999998</v>
      </c>
      <c r="DD53" t="e">
        <f t="shared" si="77"/>
        <v>#VALUE!</v>
      </c>
      <c r="DE53" t="e">
        <f t="shared" si="78"/>
        <v>#VALUE!</v>
      </c>
      <c r="DF53" s="19" t="e">
        <f t="shared" si="54"/>
        <v>#VALUE!</v>
      </c>
      <c r="DG53">
        <v>49</v>
      </c>
      <c r="DK53" s="17" t="str">
        <f t="shared" si="42"/>
        <v/>
      </c>
      <c r="DL53" t="str">
        <f t="shared" si="43"/>
        <v/>
      </c>
      <c r="DM53" s="18" t="str">
        <f t="shared" si="44"/>
        <v/>
      </c>
      <c r="DN53">
        <v>49</v>
      </c>
      <c r="DS53" t="e">
        <f t="shared" si="81"/>
        <v>#VALUE!</v>
      </c>
      <c r="DT53" t="e">
        <f t="shared" si="46"/>
        <v>#VALUE!</v>
      </c>
      <c r="DU53" s="17" t="e">
        <f t="shared" si="55"/>
        <v>#VALUE!</v>
      </c>
      <c r="DV53" s="18" t="e">
        <f t="shared" si="56"/>
        <v>#VALUE!</v>
      </c>
      <c r="DW53" s="17" t="e">
        <f t="shared" si="57"/>
        <v>#VALUE!</v>
      </c>
      <c r="DX53" s="18" t="e">
        <f t="shared" si="58"/>
        <v>#VALUE!</v>
      </c>
      <c r="DY53">
        <v>49</v>
      </c>
      <c r="EF53">
        <f>'Calcs-control1'!BD63</f>
        <v>64.287295450202123</v>
      </c>
      <c r="EG53">
        <f>'Calcs-control1'!AO135</f>
        <v>17.866728828358923</v>
      </c>
      <c r="EH53">
        <f>'Calcs-control1'!BA135</f>
        <v>29.832012498987883</v>
      </c>
      <c r="EO53">
        <f t="shared" si="47"/>
        <v>61.460843068015251</v>
      </c>
      <c r="EP53">
        <f t="shared" si="79"/>
        <v>68.600000000000009</v>
      </c>
    </row>
    <row r="54" spans="7:146" x14ac:dyDescent="0.3">
      <c r="G54" s="2">
        <v>740</v>
      </c>
      <c r="H54" s="2" t="str">
        <f t="shared" si="22"/>
        <v/>
      </c>
      <c r="J54">
        <v>50</v>
      </c>
      <c r="K54">
        <f t="shared" si="23"/>
        <v>62.588572313489585</v>
      </c>
      <c r="L54">
        <f t="shared" si="24"/>
        <v>7.7702082572550779</v>
      </c>
      <c r="M54">
        <f t="shared" si="25"/>
        <v>2.086285743782986</v>
      </c>
      <c r="S54">
        <f t="shared" si="63"/>
        <v>62.588572313489585</v>
      </c>
      <c r="T54" t="e">
        <f t="shared" si="26"/>
        <v>#N/A</v>
      </c>
      <c r="U54" t="e">
        <f t="shared" si="64"/>
        <v>#N/A</v>
      </c>
      <c r="V54">
        <f t="shared" si="65"/>
        <v>66.514964377893378</v>
      </c>
      <c r="X54">
        <f t="shared" si="27"/>
        <v>62.588572313489585</v>
      </c>
      <c r="Y54">
        <f t="shared" si="28"/>
        <v>70</v>
      </c>
      <c r="AA54">
        <f t="shared" si="29"/>
        <v>0</v>
      </c>
      <c r="AB54">
        <f t="shared" si="30"/>
        <v>0.5</v>
      </c>
      <c r="AC54" s="17" t="str">
        <f t="shared" si="48"/>
        <v/>
      </c>
      <c r="AD54" s="19" t="str">
        <f t="shared" si="66"/>
        <v/>
      </c>
      <c r="AE54" s="18">
        <v>50</v>
      </c>
      <c r="AH54" s="38">
        <f t="shared" si="60"/>
        <v>2.4</v>
      </c>
      <c r="AI54">
        <v>2.4</v>
      </c>
      <c r="AO54">
        <f t="shared" si="31"/>
        <v>27.509746190867311</v>
      </c>
      <c r="AP54">
        <f t="shared" si="62"/>
        <v>0.99999999999887101</v>
      </c>
      <c r="AQ54" s="19" t="str">
        <f t="shared" si="80"/>
        <v/>
      </c>
      <c r="AR54">
        <v>50</v>
      </c>
      <c r="AV54" s="17" t="str">
        <f t="shared" si="67"/>
        <v/>
      </c>
      <c r="AW54" t="str">
        <f t="shared" si="68"/>
        <v/>
      </c>
      <c r="AX54" s="18">
        <f t="shared" si="69"/>
        <v>62.588572313489585</v>
      </c>
      <c r="AY54">
        <v>50</v>
      </c>
      <c r="BD54">
        <f t="shared" si="70"/>
        <v>0.5</v>
      </c>
      <c r="BE54">
        <f t="shared" si="71"/>
        <v>0.99999999999887101</v>
      </c>
      <c r="BF54" s="17" t="str">
        <f t="shared" si="49"/>
        <v/>
      </c>
      <c r="BG54" s="18" t="str">
        <f t="shared" si="50"/>
        <v/>
      </c>
      <c r="BH54" s="17" t="str">
        <f t="shared" si="51"/>
        <v/>
      </c>
      <c r="BI54" s="18" t="str">
        <f t="shared" si="52"/>
        <v/>
      </c>
      <c r="BJ54">
        <v>50</v>
      </c>
      <c r="BW54">
        <v>50</v>
      </c>
      <c r="BX54">
        <f t="shared" si="36"/>
        <v>63.917080233521105</v>
      </c>
      <c r="BY54">
        <f t="shared" si="37"/>
        <v>14.385030009727181</v>
      </c>
      <c r="BZ54">
        <f t="shared" si="38"/>
        <v>1.4913985387821593</v>
      </c>
      <c r="CF54" t="e">
        <f t="shared" si="72"/>
        <v>#N/A</v>
      </c>
      <c r="CG54" t="e">
        <f t="shared" si="73"/>
        <v>#N/A</v>
      </c>
      <c r="CH54" t="e">
        <f t="shared" si="74"/>
        <v>#N/A</v>
      </c>
      <c r="CI54">
        <f t="shared" si="75"/>
        <v>66.514964377893378</v>
      </c>
      <c r="CK54">
        <f t="shared" si="39"/>
        <v>63.917080233521105</v>
      </c>
      <c r="CL54">
        <f t="shared" si="40"/>
        <v>70</v>
      </c>
      <c r="CN54" t="e">
        <f t="shared" si="76"/>
        <v>#VALUE!</v>
      </c>
      <c r="CO54" t="e">
        <f t="shared" si="41"/>
        <v>#VALUE!</v>
      </c>
      <c r="CP54" s="17" t="e">
        <f t="shared" si="53"/>
        <v>#VALUE!</v>
      </c>
      <c r="CQ54" s="18" t="str">
        <f t="shared" si="15"/>
        <v/>
      </c>
      <c r="CR54">
        <v>50</v>
      </c>
      <c r="CW54" s="38" t="str">
        <f t="shared" si="59"/>
        <v/>
      </c>
      <c r="CX54">
        <v>2.4</v>
      </c>
      <c r="DD54" t="e">
        <f t="shared" si="77"/>
        <v>#VALUE!</v>
      </c>
      <c r="DE54" t="e">
        <f t="shared" si="78"/>
        <v>#VALUE!</v>
      </c>
      <c r="DF54" s="19" t="e">
        <f t="shared" si="54"/>
        <v>#VALUE!</v>
      </c>
      <c r="DG54">
        <v>50</v>
      </c>
      <c r="DK54" s="17" t="str">
        <f t="shared" si="42"/>
        <v/>
      </c>
      <c r="DL54" t="str">
        <f t="shared" si="43"/>
        <v/>
      </c>
      <c r="DM54" s="18" t="str">
        <f t="shared" si="44"/>
        <v/>
      </c>
      <c r="DN54">
        <v>50</v>
      </c>
      <c r="DS54" t="e">
        <f t="shared" si="81"/>
        <v>#VALUE!</v>
      </c>
      <c r="DT54" t="e">
        <f t="shared" si="46"/>
        <v>#VALUE!</v>
      </c>
      <c r="DU54" s="17" t="e">
        <f t="shared" si="55"/>
        <v>#VALUE!</v>
      </c>
      <c r="DV54" s="18" t="e">
        <f t="shared" si="56"/>
        <v>#VALUE!</v>
      </c>
      <c r="DW54" s="17" t="e">
        <f t="shared" si="57"/>
        <v>#VALUE!</v>
      </c>
      <c r="DX54" s="18" t="e">
        <f t="shared" si="58"/>
        <v>#VALUE!</v>
      </c>
      <c r="DY54">
        <v>50</v>
      </c>
      <c r="EF54">
        <f>'Calcs-control1'!BD64</f>
        <v>66.514964377893378</v>
      </c>
      <c r="EG54">
        <f>'Calcs-control1'!AO136</f>
        <v>18.129716278276227</v>
      </c>
      <c r="EH54">
        <f>'Calcs-control1'!BA136</f>
        <v>29.952367007554216</v>
      </c>
      <c r="EO54">
        <f t="shared" si="47"/>
        <v>62.588572313489585</v>
      </c>
      <c r="EP54">
        <f t="shared" si="79"/>
        <v>70</v>
      </c>
    </row>
    <row r="55" spans="7:146" x14ac:dyDescent="0.3">
      <c r="G55" s="2">
        <v>760</v>
      </c>
      <c r="H55" s="2" t="str">
        <f t="shared" si="22"/>
        <v/>
      </c>
      <c r="J55">
        <v>51</v>
      </c>
      <c r="K55">
        <f t="shared" si="23"/>
        <v>63.714048196835719</v>
      </c>
      <c r="L55">
        <f t="shared" si="24"/>
        <v>7.6186826070969138</v>
      </c>
      <c r="M55">
        <f t="shared" si="25"/>
        <v>2.1238016065611904</v>
      </c>
      <c r="S55">
        <f t="shared" si="63"/>
        <v>63.714048196835719</v>
      </c>
      <c r="T55" t="e">
        <f t="shared" si="26"/>
        <v>#N/A</v>
      </c>
      <c r="U55" t="e">
        <f t="shared" si="64"/>
        <v>#N/A</v>
      </c>
      <c r="V55">
        <f t="shared" si="65"/>
        <v>68.601252458936131</v>
      </c>
      <c r="X55">
        <f t="shared" si="27"/>
        <v>63.714048196835719</v>
      </c>
      <c r="Y55">
        <f t="shared" si="28"/>
        <v>71.40000000000002</v>
      </c>
      <c r="AA55">
        <f t="shared" si="29"/>
        <v>0</v>
      </c>
      <c r="AB55">
        <f t="shared" si="30"/>
        <v>0.5</v>
      </c>
      <c r="AC55" s="17" t="str">
        <f t="shared" si="48"/>
        <v/>
      </c>
      <c r="AD55" s="19" t="str">
        <f t="shared" si="66"/>
        <v/>
      </c>
      <c r="AE55" s="18">
        <v>51</v>
      </c>
      <c r="AH55" s="38">
        <f t="shared" si="60"/>
        <v>2.5</v>
      </c>
      <c r="AI55">
        <v>2.5</v>
      </c>
      <c r="AO55">
        <f t="shared" si="31"/>
        <v>28.320577742601323</v>
      </c>
      <c r="AP55">
        <f t="shared" si="62"/>
        <v>0.99999999999949818</v>
      </c>
      <c r="AQ55" s="19" t="str">
        <f t="shared" si="80"/>
        <v/>
      </c>
      <c r="AR55">
        <v>51</v>
      </c>
      <c r="AV55" s="17" t="str">
        <f t="shared" si="67"/>
        <v/>
      </c>
      <c r="AW55" t="str">
        <f t="shared" si="68"/>
        <v/>
      </c>
      <c r="AX55" s="18">
        <f t="shared" si="69"/>
        <v>63.714048196835719</v>
      </c>
      <c r="AY55">
        <v>51</v>
      </c>
      <c r="BD55">
        <f t="shared" si="70"/>
        <v>0.5</v>
      </c>
      <c r="BE55">
        <f t="shared" si="71"/>
        <v>0.99999999999949818</v>
      </c>
      <c r="BF55" s="17" t="str">
        <f t="shared" si="49"/>
        <v/>
      </c>
      <c r="BG55" s="18" t="str">
        <f t="shared" si="50"/>
        <v/>
      </c>
      <c r="BH55" s="17" t="str">
        <f t="shared" si="51"/>
        <v/>
      </c>
      <c r="BI55" s="18" t="str">
        <f t="shared" si="52"/>
        <v/>
      </c>
      <c r="BJ55">
        <v>51</v>
      </c>
      <c r="BW55">
        <v>51</v>
      </c>
      <c r="BX55">
        <f t="shared" si="36"/>
        <v>65.0664455198295</v>
      </c>
      <c r="BY55">
        <f t="shared" si="37"/>
        <v>14.256200350587021</v>
      </c>
      <c r="BZ55">
        <f t="shared" si="38"/>
        <v>1.5182170621293551</v>
      </c>
      <c r="CF55" t="e">
        <f t="shared" si="72"/>
        <v>#N/A</v>
      </c>
      <c r="CG55" t="e">
        <f t="shared" si="73"/>
        <v>#N/A</v>
      </c>
      <c r="CH55" t="e">
        <f t="shared" si="74"/>
        <v>#N/A</v>
      </c>
      <c r="CI55">
        <f t="shared" si="75"/>
        <v>68.601252458936131</v>
      </c>
      <c r="CK55">
        <f t="shared" si="39"/>
        <v>65.0664455198295</v>
      </c>
      <c r="CL55">
        <f t="shared" si="40"/>
        <v>71.40000000000002</v>
      </c>
      <c r="CN55" t="e">
        <f t="shared" si="76"/>
        <v>#VALUE!</v>
      </c>
      <c r="CO55" t="e">
        <f t="shared" si="41"/>
        <v>#VALUE!</v>
      </c>
      <c r="CP55" s="17" t="e">
        <f t="shared" si="53"/>
        <v>#VALUE!</v>
      </c>
      <c r="CQ55" s="18" t="str">
        <f t="shared" si="15"/>
        <v/>
      </c>
      <c r="CR55">
        <v>51</v>
      </c>
      <c r="CW55" s="38" t="str">
        <f t="shared" si="59"/>
        <v/>
      </c>
      <c r="CX55">
        <v>2.5</v>
      </c>
      <c r="DD55" t="e">
        <f t="shared" si="77"/>
        <v>#VALUE!</v>
      </c>
      <c r="DE55" t="e">
        <f t="shared" si="78"/>
        <v>#VALUE!</v>
      </c>
      <c r="DF55" s="19" t="e">
        <f t="shared" si="54"/>
        <v>#VALUE!</v>
      </c>
      <c r="DG55">
        <v>51</v>
      </c>
      <c r="DK55" s="17" t="str">
        <f t="shared" si="42"/>
        <v/>
      </c>
      <c r="DL55" t="str">
        <f t="shared" si="43"/>
        <v/>
      </c>
      <c r="DM55" s="18" t="str">
        <f t="shared" si="44"/>
        <v/>
      </c>
      <c r="DN55">
        <v>51</v>
      </c>
      <c r="DS55" t="e">
        <f t="shared" si="81"/>
        <v>#VALUE!</v>
      </c>
      <c r="DT55" t="e">
        <f t="shared" si="46"/>
        <v>#VALUE!</v>
      </c>
      <c r="DU55" s="17" t="e">
        <f t="shared" si="55"/>
        <v>#VALUE!</v>
      </c>
      <c r="DV55" s="18" t="e">
        <f t="shared" si="56"/>
        <v>#VALUE!</v>
      </c>
      <c r="DW55" s="17" t="e">
        <f t="shared" si="57"/>
        <v>#VALUE!</v>
      </c>
      <c r="DX55" s="18" t="e">
        <f t="shared" si="58"/>
        <v>#VALUE!</v>
      </c>
      <c r="DY55">
        <v>51</v>
      </c>
      <c r="EF55">
        <f>'Calcs-control1'!BD65</f>
        <v>68.601252458936131</v>
      </c>
      <c r="EG55">
        <f>'Calcs-control1'!AO137</f>
        <v>18.368809367669019</v>
      </c>
      <c r="EH55">
        <f>'Calcs-control1'!BA137</f>
        <v>30.056619542590166</v>
      </c>
      <c r="EO55">
        <f t="shared" si="47"/>
        <v>63.714048196835719</v>
      </c>
      <c r="EP55">
        <f t="shared" si="79"/>
        <v>71.40000000000002</v>
      </c>
    </row>
    <row r="56" spans="7:146" x14ac:dyDescent="0.3">
      <c r="G56" s="2">
        <v>780</v>
      </c>
      <c r="H56" s="2" t="str">
        <f t="shared" si="22"/>
        <v/>
      </c>
      <c r="J56">
        <v>52</v>
      </c>
      <c r="K56">
        <f t="shared" si="23"/>
        <v>64.837319278644117</v>
      </c>
      <c r="L56">
        <f t="shared" si="24"/>
        <v>7.4680758061301811</v>
      </c>
      <c r="M56">
        <f t="shared" si="25"/>
        <v>2.1612439759548039</v>
      </c>
      <c r="S56">
        <f t="shared" si="63"/>
        <v>64.837319278644117</v>
      </c>
      <c r="T56" t="e">
        <f t="shared" si="26"/>
        <v>#N/A</v>
      </c>
      <c r="U56" t="e">
        <f t="shared" si="64"/>
        <v>#N/A</v>
      </c>
      <c r="V56">
        <f t="shared" si="65"/>
        <v>70.552195129656425</v>
      </c>
      <c r="X56">
        <f t="shared" si="27"/>
        <v>64.837319278644117</v>
      </c>
      <c r="Y56">
        <f t="shared" si="28"/>
        <v>72.8</v>
      </c>
      <c r="AA56">
        <f t="shared" si="29"/>
        <v>0</v>
      </c>
      <c r="AB56">
        <f>EXP(AA56)/(1+EXP(AA56))</f>
        <v>0.5</v>
      </c>
      <c r="AC56" s="17" t="str">
        <f>IF(AND(AB56&gt;=$AC$1, AB55&lt;$AC$1), 10, "")</f>
        <v/>
      </c>
      <c r="AD56" s="19" t="str">
        <f t="shared" si="66"/>
        <v/>
      </c>
      <c r="AE56" s="18">
        <v>52</v>
      </c>
      <c r="AH56" s="38">
        <f t="shared" si="60"/>
        <v>2.6</v>
      </c>
      <c r="AI56">
        <v>2.6</v>
      </c>
      <c r="AO56">
        <f t="shared" si="31"/>
        <v>29.131409294335349</v>
      </c>
      <c r="AP56">
        <f t="shared" si="62"/>
        <v>0.99999999999977696</v>
      </c>
      <c r="AQ56" s="19" t="str">
        <f t="shared" si="80"/>
        <v/>
      </c>
      <c r="AR56">
        <v>52</v>
      </c>
      <c r="AV56" s="17" t="str">
        <f t="shared" si="67"/>
        <v/>
      </c>
      <c r="AW56" t="str">
        <f t="shared" si="68"/>
        <v/>
      </c>
      <c r="AX56" s="18">
        <f t="shared" si="69"/>
        <v>64.837319278644117</v>
      </c>
      <c r="AY56">
        <v>52</v>
      </c>
      <c r="BD56">
        <f t="shared" si="70"/>
        <v>0.5</v>
      </c>
      <c r="BE56">
        <f t="shared" si="71"/>
        <v>0.99999999999977696</v>
      </c>
      <c r="BF56" s="17" t="str">
        <f t="shared" si="49"/>
        <v/>
      </c>
      <c r="BG56" s="18" t="str">
        <f t="shared" si="50"/>
        <v/>
      </c>
      <c r="BH56" s="17" t="str">
        <f t="shared" si="51"/>
        <v/>
      </c>
      <c r="BI56" s="18" t="str">
        <f t="shared" si="52"/>
        <v/>
      </c>
      <c r="BJ56">
        <v>52</v>
      </c>
      <c r="BW56">
        <v>52</v>
      </c>
      <c r="BX56">
        <f t="shared" si="36"/>
        <v>66.213559205381131</v>
      </c>
      <c r="BY56">
        <f t="shared" si="37"/>
        <v>14.12437764707613</v>
      </c>
      <c r="BZ56">
        <f t="shared" si="38"/>
        <v>1.5449830481255598</v>
      </c>
      <c r="CF56" t="e">
        <f t="shared" si="72"/>
        <v>#N/A</v>
      </c>
      <c r="CG56" t="e">
        <f t="shared" si="73"/>
        <v>#N/A</v>
      </c>
      <c r="CH56" t="e">
        <f t="shared" si="74"/>
        <v>#N/A</v>
      </c>
      <c r="CI56">
        <f t="shared" si="75"/>
        <v>70.552195129656425</v>
      </c>
      <c r="CK56">
        <f t="shared" si="39"/>
        <v>66.213559205381131</v>
      </c>
      <c r="CL56">
        <f t="shared" si="40"/>
        <v>72.8</v>
      </c>
      <c r="CN56" t="e">
        <f t="shared" si="76"/>
        <v>#VALUE!</v>
      </c>
      <c r="CO56" t="e">
        <f t="shared" si="41"/>
        <v>#VALUE!</v>
      </c>
      <c r="CP56" s="17" t="e">
        <f t="shared" si="53"/>
        <v>#VALUE!</v>
      </c>
      <c r="CQ56" s="18" t="str">
        <f t="shared" si="15"/>
        <v/>
      </c>
      <c r="CR56">
        <v>52</v>
      </c>
      <c r="CW56" s="38" t="str">
        <f t="shared" si="59"/>
        <v/>
      </c>
      <c r="CX56">
        <v>2.6</v>
      </c>
      <c r="DD56" t="e">
        <f t="shared" si="77"/>
        <v>#VALUE!</v>
      </c>
      <c r="DE56" t="e">
        <f t="shared" si="78"/>
        <v>#VALUE!</v>
      </c>
      <c r="DF56" s="19" t="e">
        <f t="shared" si="54"/>
        <v>#VALUE!</v>
      </c>
      <c r="DG56">
        <v>52</v>
      </c>
      <c r="DK56" s="17" t="str">
        <f>IFERROR(CH56, "")</f>
        <v/>
      </c>
      <c r="DL56" t="str">
        <f t="shared" si="43"/>
        <v/>
      </c>
      <c r="DM56" s="18" t="str">
        <f t="shared" si="44"/>
        <v/>
      </c>
      <c r="DN56">
        <v>52</v>
      </c>
      <c r="DS56" t="e">
        <f t="shared" si="81"/>
        <v>#VALUE!</v>
      </c>
      <c r="DT56" t="e">
        <f t="shared" si="46"/>
        <v>#VALUE!</v>
      </c>
      <c r="DU56" s="17" t="e">
        <f t="shared" si="55"/>
        <v>#VALUE!</v>
      </c>
      <c r="DV56" s="18" t="e">
        <f t="shared" si="56"/>
        <v>#VALUE!</v>
      </c>
      <c r="DW56" s="17" t="e">
        <f t="shared" si="57"/>
        <v>#VALUE!</v>
      </c>
      <c r="DX56" s="18" t="e">
        <f t="shared" si="58"/>
        <v>#VALUE!</v>
      </c>
      <c r="DY56">
        <v>52</v>
      </c>
      <c r="EF56">
        <f>'Calcs-control1'!BD66</f>
        <v>70.552195129656425</v>
      </c>
      <c r="EG56">
        <f>'Calcs-control1'!AO138</f>
        <v>18.586382017203594</v>
      </c>
      <c r="EH56">
        <f>'Calcs-control1'!BA138</f>
        <v>30.147351333531091</v>
      </c>
      <c r="EO56">
        <f t="shared" si="47"/>
        <v>64.837319278644117</v>
      </c>
      <c r="EP56">
        <f t="shared" si="79"/>
        <v>72.8</v>
      </c>
    </row>
    <row r="57" spans="7:146" x14ac:dyDescent="0.3">
      <c r="G57" s="2">
        <v>800</v>
      </c>
      <c r="H57" s="2" t="str">
        <f t="shared" si="22"/>
        <v/>
      </c>
      <c r="J57">
        <v>53</v>
      </c>
      <c r="K57">
        <f t="shared" si="23"/>
        <v>65.958432159925778</v>
      </c>
      <c r="L57">
        <f t="shared" si="24"/>
        <v>7.318536106477767</v>
      </c>
      <c r="M57">
        <f t="shared" si="25"/>
        <v>2.1986144053308592</v>
      </c>
      <c r="S57">
        <f t="shared" si="63"/>
        <v>65.958432159925778</v>
      </c>
      <c r="T57" t="e">
        <f t="shared" si="26"/>
        <v>#N/A</v>
      </c>
      <c r="U57" t="e">
        <f t="shared" si="64"/>
        <v>#N/A</v>
      </c>
      <c r="V57">
        <f t="shared" si="65"/>
        <v>72.374118808264527</v>
      </c>
      <c r="X57">
        <f t="shared" si="27"/>
        <v>65.958432159925778</v>
      </c>
      <c r="Y57">
        <f t="shared" si="28"/>
        <v>74.2</v>
      </c>
      <c r="AA57">
        <f t="shared" si="29"/>
        <v>0</v>
      </c>
      <c r="AB57">
        <f t="shared" si="30"/>
        <v>0.5</v>
      </c>
      <c r="AC57" s="17" t="str">
        <f t="shared" si="48"/>
        <v/>
      </c>
      <c r="AD57" s="19" t="str">
        <f t="shared" si="66"/>
        <v/>
      </c>
      <c r="AE57" s="18">
        <v>53</v>
      </c>
      <c r="AH57" s="38">
        <f t="shared" si="60"/>
        <v>2.7</v>
      </c>
      <c r="AI57">
        <v>2.7</v>
      </c>
      <c r="AL57" s="1"/>
      <c r="AO57">
        <f t="shared" si="31"/>
        <v>29.94224084606936</v>
      </c>
      <c r="AP57">
        <f t="shared" si="62"/>
        <v>0.99999999999990086</v>
      </c>
      <c r="AQ57" s="19" t="str">
        <f t="shared" si="80"/>
        <v/>
      </c>
      <c r="AR57">
        <v>53</v>
      </c>
      <c r="AV57" s="17" t="str">
        <f t="shared" si="67"/>
        <v/>
      </c>
      <c r="AW57" t="str">
        <f t="shared" si="68"/>
        <v/>
      </c>
      <c r="AX57" s="18">
        <f t="shared" si="69"/>
        <v>65.958432159925778</v>
      </c>
      <c r="AY57">
        <v>53</v>
      </c>
      <c r="BD57">
        <f t="shared" si="70"/>
        <v>0.5</v>
      </c>
      <c r="BE57">
        <f t="shared" si="71"/>
        <v>0.99999999999990086</v>
      </c>
      <c r="BF57" s="17" t="str">
        <f t="shared" si="49"/>
        <v/>
      </c>
      <c r="BG57" s="18" t="str">
        <f t="shared" si="50"/>
        <v/>
      </c>
      <c r="BH57" s="17" t="str">
        <f t="shared" si="51"/>
        <v/>
      </c>
      <c r="BI57" s="18" t="str">
        <f t="shared" si="52"/>
        <v/>
      </c>
      <c r="BJ57">
        <v>53</v>
      </c>
      <c r="BW57">
        <v>53</v>
      </c>
      <c r="BX57">
        <f t="shared" si="36"/>
        <v>67.358468880342187</v>
      </c>
      <c r="BY57">
        <f t="shared" si="37"/>
        <v>13.989835526015833</v>
      </c>
      <c r="BZ57">
        <f t="shared" si="38"/>
        <v>1.5716976072079845</v>
      </c>
      <c r="CF57" t="e">
        <f t="shared" si="72"/>
        <v>#N/A</v>
      </c>
      <c r="CG57" t="e">
        <f t="shared" si="73"/>
        <v>#N/A</v>
      </c>
      <c r="CH57" t="e">
        <f t="shared" si="74"/>
        <v>#N/A</v>
      </c>
      <c r="CI57">
        <f t="shared" si="75"/>
        <v>72.374118808264527</v>
      </c>
      <c r="CK57">
        <f t="shared" si="39"/>
        <v>67.358468880342187</v>
      </c>
      <c r="CL57">
        <f t="shared" si="40"/>
        <v>74.2</v>
      </c>
      <c r="CN57" t="e">
        <f t="shared" si="76"/>
        <v>#VALUE!</v>
      </c>
      <c r="CO57" t="e">
        <f t="shared" si="41"/>
        <v>#VALUE!</v>
      </c>
      <c r="CP57" s="17" t="e">
        <f t="shared" si="53"/>
        <v>#VALUE!</v>
      </c>
      <c r="CQ57" s="18" t="str">
        <f t="shared" si="15"/>
        <v/>
      </c>
      <c r="CR57">
        <v>53</v>
      </c>
      <c r="CW57" s="38" t="str">
        <f t="shared" si="59"/>
        <v/>
      </c>
      <c r="CX57">
        <v>2.7</v>
      </c>
      <c r="DD57" t="e">
        <f t="shared" si="77"/>
        <v>#VALUE!</v>
      </c>
      <c r="DE57" t="e">
        <f t="shared" si="78"/>
        <v>#VALUE!</v>
      </c>
      <c r="DF57" s="19" t="e">
        <f t="shared" si="54"/>
        <v>#VALUE!</v>
      </c>
      <c r="DG57">
        <v>53</v>
      </c>
      <c r="DK57" s="17" t="str">
        <f t="shared" si="42"/>
        <v/>
      </c>
      <c r="DL57" t="str">
        <f t="shared" si="43"/>
        <v/>
      </c>
      <c r="DM57" s="18" t="str">
        <f t="shared" si="44"/>
        <v/>
      </c>
      <c r="DN57">
        <v>53</v>
      </c>
      <c r="DS57" t="e">
        <f t="shared" si="81"/>
        <v>#VALUE!</v>
      </c>
      <c r="DT57" t="e">
        <f t="shared" si="46"/>
        <v>#VALUE!</v>
      </c>
      <c r="DU57" s="17" t="e">
        <f t="shared" si="55"/>
        <v>#VALUE!</v>
      </c>
      <c r="DV57" s="18" t="e">
        <f t="shared" si="56"/>
        <v>#VALUE!</v>
      </c>
      <c r="DW57" s="17" t="e">
        <f t="shared" si="57"/>
        <v>#VALUE!</v>
      </c>
      <c r="DX57" s="18" t="e">
        <f t="shared" si="58"/>
        <v>#VALUE!</v>
      </c>
      <c r="DY57">
        <v>53</v>
      </c>
      <c r="EF57">
        <f>'Calcs-control1'!BD67</f>
        <v>72.374118808264527</v>
      </c>
      <c r="EG57">
        <f>'Calcs-control1'!AO139</f>
        <v>18.784545940612571</v>
      </c>
      <c r="EH57">
        <f>'Calcs-control1'!BA139</f>
        <v>30.226662120891906</v>
      </c>
      <c r="EO57">
        <f t="shared" si="47"/>
        <v>65.958432159925778</v>
      </c>
      <c r="EP57">
        <f t="shared" si="79"/>
        <v>74.2</v>
      </c>
    </row>
    <row r="58" spans="7:146" x14ac:dyDescent="0.3">
      <c r="J58">
        <v>54</v>
      </c>
      <c r="K58">
        <f t="shared" si="23"/>
        <v>67.077431596648537</v>
      </c>
      <c r="L58">
        <f t="shared" si="24"/>
        <v>7.1701979405837903</v>
      </c>
      <c r="M58">
        <f t="shared" si="25"/>
        <v>2.2359143865549513</v>
      </c>
      <c r="S58">
        <f t="shared" si="63"/>
        <v>67.077431596648537</v>
      </c>
      <c r="T58" t="e">
        <f t="shared" si="26"/>
        <v>#N/A</v>
      </c>
      <c r="U58" t="e">
        <f t="shared" si="64"/>
        <v>#N/A</v>
      </c>
      <c r="V58">
        <f t="shared" si="65"/>
        <v>74.073502583259966</v>
      </c>
      <c r="X58">
        <f t="shared" si="27"/>
        <v>67.077431596648537</v>
      </c>
      <c r="Y58">
        <f t="shared" si="28"/>
        <v>75.600000000000009</v>
      </c>
      <c r="AA58">
        <f t="shared" si="29"/>
        <v>0</v>
      </c>
      <c r="AB58">
        <f t="shared" si="30"/>
        <v>0.5</v>
      </c>
      <c r="AC58" s="17" t="str">
        <f t="shared" si="48"/>
        <v/>
      </c>
      <c r="AD58" s="19" t="str">
        <f t="shared" si="66"/>
        <v/>
      </c>
      <c r="AE58" s="18">
        <v>54</v>
      </c>
      <c r="AH58" s="38">
        <f t="shared" si="60"/>
        <v>2.8</v>
      </c>
      <c r="AI58">
        <v>2.8</v>
      </c>
      <c r="AL58" s="1"/>
      <c r="AO58">
        <f t="shared" si="31"/>
        <v>30.753072397803386</v>
      </c>
      <c r="AP58">
        <f t="shared" si="62"/>
        <v>0.99999999999995592</v>
      </c>
      <c r="AQ58" s="19" t="str">
        <f t="shared" si="80"/>
        <v/>
      </c>
      <c r="AR58">
        <v>54</v>
      </c>
      <c r="AV58" s="17" t="str">
        <f t="shared" si="67"/>
        <v/>
      </c>
      <c r="AW58" t="str">
        <f t="shared" si="68"/>
        <v/>
      </c>
      <c r="AX58" s="18">
        <f t="shared" si="69"/>
        <v>67.077431596648537</v>
      </c>
      <c r="AY58">
        <v>54</v>
      </c>
      <c r="BD58">
        <f t="shared" si="70"/>
        <v>0.5</v>
      </c>
      <c r="BE58">
        <f t="shared" si="71"/>
        <v>0.99999999999995592</v>
      </c>
      <c r="BF58" s="17" t="str">
        <f t="shared" si="49"/>
        <v/>
      </c>
      <c r="BG58" s="18" t="str">
        <f t="shared" si="50"/>
        <v/>
      </c>
      <c r="BH58" s="17" t="str">
        <f t="shared" si="51"/>
        <v/>
      </c>
      <c r="BI58" s="18" t="str">
        <f t="shared" si="52"/>
        <v/>
      </c>
      <c r="BJ58">
        <v>54</v>
      </c>
      <c r="BW58">
        <v>54</v>
      </c>
      <c r="BX58">
        <f t="shared" si="36"/>
        <v>68.501220250672731</v>
      </c>
      <c r="BY58">
        <f t="shared" si="37"/>
        <v>13.852832898685211</v>
      </c>
      <c r="BZ58">
        <f t="shared" si="38"/>
        <v>1.5983618058490305</v>
      </c>
      <c r="CF58" t="e">
        <f t="shared" si="72"/>
        <v>#N/A</v>
      </c>
      <c r="CG58" t="e">
        <f t="shared" si="73"/>
        <v>#N/A</v>
      </c>
      <c r="CH58" t="e">
        <f t="shared" si="74"/>
        <v>#N/A</v>
      </c>
      <c r="CI58">
        <f t="shared" si="75"/>
        <v>74.073502583259966</v>
      </c>
      <c r="CK58">
        <f t="shared" si="39"/>
        <v>68.501220250672731</v>
      </c>
      <c r="CL58">
        <f t="shared" si="40"/>
        <v>75.600000000000009</v>
      </c>
      <c r="CN58" t="e">
        <f t="shared" si="76"/>
        <v>#VALUE!</v>
      </c>
      <c r="CO58" t="e">
        <f t="shared" si="41"/>
        <v>#VALUE!</v>
      </c>
      <c r="CP58" s="17" t="e">
        <f t="shared" si="53"/>
        <v>#VALUE!</v>
      </c>
      <c r="CQ58" s="18" t="str">
        <f t="shared" si="15"/>
        <v/>
      </c>
      <c r="CR58">
        <v>54</v>
      </c>
      <c r="CW58" s="38" t="str">
        <f t="shared" si="59"/>
        <v/>
      </c>
      <c r="CX58">
        <v>2.8</v>
      </c>
      <c r="DD58" t="e">
        <f t="shared" si="77"/>
        <v>#VALUE!</v>
      </c>
      <c r="DE58" t="e">
        <f t="shared" si="78"/>
        <v>#VALUE!</v>
      </c>
      <c r="DF58" s="19" t="e">
        <f t="shared" si="54"/>
        <v>#VALUE!</v>
      </c>
      <c r="DG58">
        <v>54</v>
      </c>
      <c r="DK58" s="17" t="str">
        <f t="shared" si="42"/>
        <v/>
      </c>
      <c r="DL58" t="str">
        <f t="shared" si="43"/>
        <v/>
      </c>
      <c r="DM58" s="18" t="str">
        <f t="shared" si="44"/>
        <v/>
      </c>
      <c r="DN58">
        <v>54</v>
      </c>
      <c r="DS58" t="e">
        <f t="shared" si="81"/>
        <v>#VALUE!</v>
      </c>
      <c r="DT58" t="e">
        <f t="shared" si="46"/>
        <v>#VALUE!</v>
      </c>
      <c r="DU58" s="17" t="e">
        <f t="shared" si="55"/>
        <v>#VALUE!</v>
      </c>
      <c r="DV58" s="18" t="e">
        <f t="shared" si="56"/>
        <v>#VALUE!</v>
      </c>
      <c r="DW58" s="17" t="e">
        <f t="shared" si="57"/>
        <v>#VALUE!</v>
      </c>
      <c r="DX58" s="18" t="e">
        <f t="shared" si="58"/>
        <v>#VALUE!</v>
      </c>
      <c r="DY58">
        <v>54</v>
      </c>
      <c r="EF58">
        <f>'Calcs-control1'!BD68</f>
        <v>74.073502583259966</v>
      </c>
      <c r="EG58">
        <f>'Calcs-control1'!AO140</f>
        <v>18.965182466221215</v>
      </c>
      <c r="EH58">
        <f>'Calcs-control1'!BA140</f>
        <v>30.296271103552549</v>
      </c>
      <c r="EO58">
        <f t="shared" si="47"/>
        <v>67.077431596648537</v>
      </c>
      <c r="EP58">
        <f t="shared" si="79"/>
        <v>75.600000000000009</v>
      </c>
    </row>
    <row r="59" spans="7:146" x14ac:dyDescent="0.3">
      <c r="J59">
        <v>55</v>
      </c>
      <c r="K59">
        <f t="shared" si="23"/>
        <v>68.194360605582318</v>
      </c>
      <c r="L59">
        <f t="shared" si="24"/>
        <v>7.0231828930051332</v>
      </c>
      <c r="M59">
        <f t="shared" si="25"/>
        <v>2.2731453535194106</v>
      </c>
      <c r="S59">
        <f t="shared" si="63"/>
        <v>68.194360605582318</v>
      </c>
      <c r="T59" t="e">
        <f t="shared" si="26"/>
        <v>#N/A</v>
      </c>
      <c r="U59" t="e">
        <f t="shared" si="64"/>
        <v>#N/A</v>
      </c>
      <c r="V59">
        <f t="shared" si="65"/>
        <v>75.656868189904216</v>
      </c>
      <c r="X59">
        <f t="shared" si="27"/>
        <v>68.194360605582318</v>
      </c>
      <c r="Y59">
        <f t="shared" si="28"/>
        <v>77</v>
      </c>
      <c r="AA59">
        <f t="shared" si="29"/>
        <v>0</v>
      </c>
      <c r="AB59">
        <f>EXP(AA59)/(1+EXP(AA59))</f>
        <v>0.5</v>
      </c>
      <c r="AC59" s="17" t="str">
        <f t="shared" si="48"/>
        <v/>
      </c>
      <c r="AD59" s="19" t="str">
        <f t="shared" si="66"/>
        <v/>
      </c>
      <c r="AE59" s="18">
        <v>55</v>
      </c>
      <c r="AH59" s="38">
        <f t="shared" si="60"/>
        <v>2.9</v>
      </c>
      <c r="AI59">
        <v>2.9</v>
      </c>
      <c r="AL59" s="1"/>
      <c r="AO59">
        <f t="shared" si="31"/>
        <v>31.563903949537398</v>
      </c>
      <c r="AP59">
        <f t="shared" si="62"/>
        <v>0.99999999999998046</v>
      </c>
      <c r="AQ59" s="19" t="str">
        <f t="shared" si="80"/>
        <v/>
      </c>
      <c r="AR59">
        <v>55</v>
      </c>
      <c r="AV59" s="17" t="str">
        <f t="shared" si="67"/>
        <v/>
      </c>
      <c r="AW59" t="str">
        <f t="shared" si="68"/>
        <v/>
      </c>
      <c r="AX59" s="18">
        <f t="shared" si="69"/>
        <v>68.194360605582318</v>
      </c>
      <c r="AY59">
        <v>55</v>
      </c>
      <c r="BD59">
        <f t="shared" si="70"/>
        <v>0.5</v>
      </c>
      <c r="BE59">
        <f t="shared" si="71"/>
        <v>0.99999999999998046</v>
      </c>
      <c r="BF59" s="17" t="str">
        <f t="shared" si="49"/>
        <v/>
      </c>
      <c r="BG59" s="18" t="str">
        <f t="shared" si="50"/>
        <v/>
      </c>
      <c r="BH59" s="17" t="str">
        <f t="shared" si="51"/>
        <v/>
      </c>
      <c r="BI59" s="18" t="str">
        <f t="shared" si="52"/>
        <v/>
      </c>
      <c r="BJ59">
        <v>55</v>
      </c>
      <c r="BW59">
        <v>55</v>
      </c>
      <c r="BX59">
        <f t="shared" si="36"/>
        <v>69.641857246218663</v>
      </c>
      <c r="BY59">
        <f t="shared" si="37"/>
        <v>13.713614722221356</v>
      </c>
      <c r="BZ59">
        <f t="shared" si="38"/>
        <v>1.6249766690784355</v>
      </c>
      <c r="CF59" t="e">
        <f t="shared" si="72"/>
        <v>#N/A</v>
      </c>
      <c r="CG59" t="e">
        <f t="shared" si="73"/>
        <v>#N/A</v>
      </c>
      <c r="CH59" t="e">
        <f t="shared" si="74"/>
        <v>#N/A</v>
      </c>
      <c r="CI59">
        <f t="shared" si="75"/>
        <v>75.656868189904216</v>
      </c>
      <c r="CK59">
        <f t="shared" si="39"/>
        <v>69.641857246218663</v>
      </c>
      <c r="CL59">
        <f t="shared" si="40"/>
        <v>77</v>
      </c>
      <c r="CN59" t="e">
        <f t="shared" si="76"/>
        <v>#VALUE!</v>
      </c>
      <c r="CO59" t="e">
        <f t="shared" si="41"/>
        <v>#VALUE!</v>
      </c>
      <c r="CP59" s="17" t="e">
        <f t="shared" si="53"/>
        <v>#VALUE!</v>
      </c>
      <c r="CQ59" s="18" t="str">
        <f t="shared" si="15"/>
        <v/>
      </c>
      <c r="CR59">
        <v>55</v>
      </c>
      <c r="CW59" s="38" t="str">
        <f t="shared" si="59"/>
        <v/>
      </c>
      <c r="CX59">
        <v>2.9</v>
      </c>
      <c r="DD59" t="e">
        <f t="shared" si="77"/>
        <v>#VALUE!</v>
      </c>
      <c r="DE59" t="e">
        <f t="shared" si="78"/>
        <v>#VALUE!</v>
      </c>
      <c r="DF59" s="19" t="e">
        <f t="shared" si="54"/>
        <v>#VALUE!</v>
      </c>
      <c r="DG59">
        <v>55</v>
      </c>
      <c r="DK59" s="17" t="str">
        <f t="shared" si="42"/>
        <v/>
      </c>
      <c r="DL59" t="str">
        <f t="shared" si="43"/>
        <v/>
      </c>
      <c r="DM59" s="18" t="str">
        <f t="shared" si="44"/>
        <v/>
      </c>
      <c r="DN59">
        <v>55</v>
      </c>
      <c r="DS59" t="e">
        <f t="shared" si="81"/>
        <v>#VALUE!</v>
      </c>
      <c r="DT59" t="e">
        <f t="shared" si="46"/>
        <v>#VALUE!</v>
      </c>
      <c r="DU59" s="17" t="e">
        <f t="shared" si="55"/>
        <v>#VALUE!</v>
      </c>
      <c r="DV59" s="18" t="e">
        <f t="shared" si="56"/>
        <v>#VALUE!</v>
      </c>
      <c r="DW59" s="17" t="e">
        <f t="shared" si="57"/>
        <v>#VALUE!</v>
      </c>
      <c r="DX59" s="18" t="e">
        <f t="shared" si="58"/>
        <v>#VALUE!</v>
      </c>
      <c r="DY59">
        <v>55</v>
      </c>
      <c r="EF59">
        <f>'Calcs-control1'!BD69</f>
        <v>75.656868189904216</v>
      </c>
      <c r="EG59">
        <f>'Calcs-control1'!AO141</f>
        <v>19.129970328548161</v>
      </c>
      <c r="EH59">
        <f>'Calcs-control1'!BA141</f>
        <v>30.357594728370898</v>
      </c>
      <c r="EO59">
        <f t="shared" si="47"/>
        <v>68.194360605582318</v>
      </c>
      <c r="EP59">
        <f t="shared" si="79"/>
        <v>77</v>
      </c>
    </row>
    <row r="60" spans="7:146" x14ac:dyDescent="0.3">
      <c r="J60">
        <v>56</v>
      </c>
      <c r="K60">
        <f t="shared" si="23"/>
        <v>69.309260562259283</v>
      </c>
      <c r="L60">
        <f t="shared" si="24"/>
        <v>6.877600605424492</v>
      </c>
      <c r="M60">
        <f t="shared" si="25"/>
        <v>2.3103086854086428</v>
      </c>
      <c r="S60">
        <f t="shared" si="63"/>
        <v>69.309260562259283</v>
      </c>
      <c r="T60" t="e">
        <f t="shared" si="26"/>
        <v>#N/A</v>
      </c>
      <c r="U60" t="e">
        <f t="shared" si="64"/>
        <v>#N/A</v>
      </c>
      <c r="V60">
        <f t="shared" si="65"/>
        <v>77.130693423224528</v>
      </c>
      <c r="X60">
        <f t="shared" si="27"/>
        <v>69.309260562259283</v>
      </c>
      <c r="Y60">
        <f t="shared" si="28"/>
        <v>78.40000000000002</v>
      </c>
      <c r="AA60">
        <f t="shared" si="29"/>
        <v>0</v>
      </c>
      <c r="AB60">
        <f t="shared" si="30"/>
        <v>0.5</v>
      </c>
      <c r="AC60" s="17" t="str">
        <f t="shared" si="48"/>
        <v/>
      </c>
      <c r="AD60" s="19" t="str">
        <f t="shared" si="66"/>
        <v/>
      </c>
      <c r="AE60" s="18">
        <v>56</v>
      </c>
      <c r="AH60" s="38">
        <f t="shared" si="60"/>
        <v>3</v>
      </c>
      <c r="AI60">
        <v>3</v>
      </c>
      <c r="AL60" s="1"/>
      <c r="AO60">
        <f t="shared" si="31"/>
        <v>32.374735501271417</v>
      </c>
      <c r="AP60">
        <f t="shared" si="62"/>
        <v>0.99999999999999134</v>
      </c>
      <c r="AQ60" s="19" t="str">
        <f t="shared" si="80"/>
        <v/>
      </c>
      <c r="AR60">
        <v>56</v>
      </c>
      <c r="AV60" s="17" t="str">
        <f t="shared" si="67"/>
        <v/>
      </c>
      <c r="AW60" t="str">
        <f t="shared" si="68"/>
        <v/>
      </c>
      <c r="AX60" s="18">
        <f t="shared" si="69"/>
        <v>69.309260562259283</v>
      </c>
      <c r="AY60">
        <v>56</v>
      </c>
      <c r="BD60">
        <f t="shared" si="70"/>
        <v>0.5</v>
      </c>
      <c r="BE60">
        <f t="shared" si="71"/>
        <v>0.99999999999999134</v>
      </c>
      <c r="BF60" s="17" t="str">
        <f t="shared" si="49"/>
        <v/>
      </c>
      <c r="BG60" s="18" t="str">
        <f t="shared" si="50"/>
        <v/>
      </c>
      <c r="BH60" s="17" t="str">
        <f t="shared" si="51"/>
        <v/>
      </c>
      <c r="BI60" s="18" t="str">
        <f t="shared" si="52"/>
        <v/>
      </c>
      <c r="BJ60">
        <v>56</v>
      </c>
      <c r="BW60">
        <v>56</v>
      </c>
      <c r="BX60">
        <f t="shared" si="36"/>
        <v>70.780422120751055</v>
      </c>
      <c r="BY60">
        <f t="shared" si="37"/>
        <v>13.572412717253357</v>
      </c>
      <c r="BZ60">
        <f t="shared" si="38"/>
        <v>1.6515431828175247</v>
      </c>
      <c r="CF60" t="e">
        <f t="shared" si="72"/>
        <v>#N/A</v>
      </c>
      <c r="CG60" t="e">
        <f t="shared" si="73"/>
        <v>#N/A</v>
      </c>
      <c r="CH60" t="e">
        <f t="shared" si="74"/>
        <v>#N/A</v>
      </c>
      <c r="CI60">
        <f t="shared" si="75"/>
        <v>77.130693423224528</v>
      </c>
      <c r="CK60">
        <f t="shared" si="39"/>
        <v>70.780422120751055</v>
      </c>
      <c r="CL60">
        <f t="shared" si="40"/>
        <v>78.40000000000002</v>
      </c>
      <c r="CN60" t="e">
        <f t="shared" si="76"/>
        <v>#VALUE!</v>
      </c>
      <c r="CO60" t="e">
        <f t="shared" si="41"/>
        <v>#VALUE!</v>
      </c>
      <c r="CP60" s="17" t="e">
        <f t="shared" si="53"/>
        <v>#VALUE!</v>
      </c>
      <c r="CQ60" s="18" t="str">
        <f t="shared" si="15"/>
        <v/>
      </c>
      <c r="CR60">
        <v>56</v>
      </c>
      <c r="CW60" s="38" t="str">
        <f t="shared" si="59"/>
        <v/>
      </c>
      <c r="CX60">
        <v>3</v>
      </c>
      <c r="DD60" t="e">
        <f t="shared" si="77"/>
        <v>#VALUE!</v>
      </c>
      <c r="DE60" t="e">
        <f t="shared" si="78"/>
        <v>#VALUE!</v>
      </c>
      <c r="DF60" s="19" t="e">
        <f t="shared" si="54"/>
        <v>#VALUE!</v>
      </c>
      <c r="DG60">
        <v>56</v>
      </c>
      <c r="DK60" s="17" t="str">
        <f t="shared" si="42"/>
        <v/>
      </c>
      <c r="DL60" t="str">
        <f t="shared" si="43"/>
        <v/>
      </c>
      <c r="DM60" s="18" t="str">
        <f t="shared" si="44"/>
        <v/>
      </c>
      <c r="DN60">
        <v>56</v>
      </c>
      <c r="DS60" t="e">
        <f t="shared" si="81"/>
        <v>#VALUE!</v>
      </c>
      <c r="DT60" t="e">
        <f t="shared" si="46"/>
        <v>#VALUE!</v>
      </c>
      <c r="DU60" s="17" t="e">
        <f t="shared" si="55"/>
        <v>#VALUE!</v>
      </c>
      <c r="DV60" s="18" t="e">
        <f t="shared" si="56"/>
        <v>#VALUE!</v>
      </c>
      <c r="DW60" s="17" t="e">
        <f t="shared" si="57"/>
        <v>#VALUE!</v>
      </c>
      <c r="DX60" s="18" t="e">
        <f t="shared" si="58"/>
        <v>#VALUE!</v>
      </c>
      <c r="DY60">
        <v>56</v>
      </c>
      <c r="EF60">
        <f>'Calcs-control1'!BD70</f>
        <v>77.130693423224528</v>
      </c>
      <c r="EG60">
        <f>'Calcs-control1'!AO142</f>
        <v>19.280409901842766</v>
      </c>
      <c r="EH60">
        <f>'Calcs-control1'!BA142</f>
        <v>30.411807025856568</v>
      </c>
      <c r="EO60">
        <f t="shared" si="47"/>
        <v>69.309260562259283</v>
      </c>
      <c r="EP60">
        <f t="shared" si="79"/>
        <v>78.40000000000002</v>
      </c>
    </row>
    <row r="61" spans="7:146" x14ac:dyDescent="0.3">
      <c r="J61">
        <v>57</v>
      </c>
      <c r="K61">
        <f t="shared" si="23"/>
        <v>70.422171291766261</v>
      </c>
      <c r="L61">
        <f t="shared" si="24"/>
        <v>6.7335496198234077</v>
      </c>
      <c r="M61">
        <f t="shared" si="25"/>
        <v>2.3474057097255421</v>
      </c>
      <c r="S61">
        <f t="shared" si="63"/>
        <v>70.422171291766261</v>
      </c>
      <c r="T61" t="e">
        <f t="shared" si="26"/>
        <v>#N/A</v>
      </c>
      <c r="U61" t="e">
        <f t="shared" si="64"/>
        <v>#N/A</v>
      </c>
      <c r="V61">
        <f t="shared" si="65"/>
        <v>78.501344913936592</v>
      </c>
      <c r="X61">
        <f t="shared" si="27"/>
        <v>70.422171291766261</v>
      </c>
      <c r="Y61">
        <f t="shared" si="28"/>
        <v>79.8</v>
      </c>
      <c r="AA61">
        <f t="shared" si="29"/>
        <v>0</v>
      </c>
      <c r="AB61">
        <f t="shared" si="30"/>
        <v>0.5</v>
      </c>
      <c r="AC61" s="17" t="str">
        <f t="shared" si="48"/>
        <v/>
      </c>
      <c r="AD61" s="19" t="str">
        <f t="shared" si="66"/>
        <v/>
      </c>
      <c r="AE61" s="18">
        <v>57</v>
      </c>
      <c r="AH61" s="38">
        <f t="shared" si="60"/>
        <v>3.25</v>
      </c>
      <c r="AI61">
        <v>3.25</v>
      </c>
      <c r="AL61" s="1"/>
      <c r="AO61">
        <f t="shared" si="31"/>
        <v>33.185567053005428</v>
      </c>
      <c r="AP61">
        <f t="shared" si="62"/>
        <v>0.99999999999999611</v>
      </c>
      <c r="AQ61" s="19" t="str">
        <f t="shared" si="80"/>
        <v/>
      </c>
      <c r="AR61">
        <v>57</v>
      </c>
      <c r="AV61" s="17" t="str">
        <f t="shared" si="67"/>
        <v/>
      </c>
      <c r="AW61" t="str">
        <f t="shared" si="68"/>
        <v/>
      </c>
      <c r="AX61" s="18">
        <f t="shared" si="69"/>
        <v>70.422171291766261</v>
      </c>
      <c r="AY61">
        <v>57</v>
      </c>
      <c r="BD61">
        <f t="shared" si="70"/>
        <v>0.5</v>
      </c>
      <c r="BE61">
        <f t="shared" si="71"/>
        <v>0.99999999999999611</v>
      </c>
      <c r="BF61" s="17" t="str">
        <f t="shared" si="49"/>
        <v/>
      </c>
      <c r="BG61" s="18" t="str">
        <f t="shared" si="50"/>
        <v/>
      </c>
      <c r="BH61" s="17" t="str">
        <f t="shared" si="51"/>
        <v/>
      </c>
      <c r="BI61" s="18" t="str">
        <f t="shared" si="52"/>
        <v/>
      </c>
      <c r="BJ61">
        <v>57</v>
      </c>
      <c r="BW61">
        <v>57</v>
      </c>
      <c r="BX61">
        <f t="shared" si="36"/>
        <v>71.916955544685919</v>
      </c>
      <c r="BY61">
        <f t="shared" si="37"/>
        <v>13.429446044786854</v>
      </c>
      <c r="BZ61">
        <f t="shared" si="38"/>
        <v>1.6780622960426717</v>
      </c>
      <c r="CF61" t="e">
        <f t="shared" si="72"/>
        <v>#N/A</v>
      </c>
      <c r="CG61" t="e">
        <f t="shared" si="73"/>
        <v>#N/A</v>
      </c>
      <c r="CH61" t="e">
        <f t="shared" si="74"/>
        <v>#N/A</v>
      </c>
      <c r="CI61">
        <f t="shared" si="75"/>
        <v>78.501344913936592</v>
      </c>
      <c r="CK61">
        <f t="shared" si="39"/>
        <v>71.916955544685919</v>
      </c>
      <c r="CL61">
        <f t="shared" si="40"/>
        <v>79.8</v>
      </c>
      <c r="CN61" t="e">
        <f t="shared" si="76"/>
        <v>#VALUE!</v>
      </c>
      <c r="CO61" t="e">
        <f t="shared" si="41"/>
        <v>#VALUE!</v>
      </c>
      <c r="CP61" s="17" t="e">
        <f t="shared" si="53"/>
        <v>#VALUE!</v>
      </c>
      <c r="CQ61" s="18" t="str">
        <f t="shared" si="15"/>
        <v/>
      </c>
      <c r="CR61">
        <v>57</v>
      </c>
      <c r="CW61" s="38" t="str">
        <f t="shared" si="59"/>
        <v/>
      </c>
      <c r="CX61">
        <v>3.25</v>
      </c>
      <c r="DD61" t="e">
        <f t="shared" si="77"/>
        <v>#VALUE!</v>
      </c>
      <c r="DE61" t="e">
        <f t="shared" si="78"/>
        <v>#VALUE!</v>
      </c>
      <c r="DF61" s="19" t="e">
        <f t="shared" si="54"/>
        <v>#VALUE!</v>
      </c>
      <c r="DG61">
        <v>57</v>
      </c>
      <c r="DK61" s="17" t="str">
        <f t="shared" si="42"/>
        <v/>
      </c>
      <c r="DL61" t="str">
        <f t="shared" si="43"/>
        <v/>
      </c>
      <c r="DM61" s="18" t="str">
        <f t="shared" si="44"/>
        <v/>
      </c>
      <c r="DN61">
        <v>57</v>
      </c>
      <c r="DS61" t="e">
        <f t="shared" si="81"/>
        <v>#VALUE!</v>
      </c>
      <c r="DT61" t="e">
        <f t="shared" si="46"/>
        <v>#VALUE!</v>
      </c>
      <c r="DU61" s="17" t="e">
        <f t="shared" si="55"/>
        <v>#VALUE!</v>
      </c>
      <c r="DV61" s="18" t="e">
        <f t="shared" si="56"/>
        <v>#VALUE!</v>
      </c>
      <c r="DW61" s="17" t="e">
        <f t="shared" si="57"/>
        <v>#VALUE!</v>
      </c>
      <c r="DX61" s="18" t="e">
        <f t="shared" si="58"/>
        <v>#VALUE!</v>
      </c>
      <c r="DY61">
        <v>57</v>
      </c>
      <c r="EF61">
        <f>'Calcs-control1'!BD71</f>
        <v>78.501344913936592</v>
      </c>
      <c r="EG61">
        <f>'Calcs-control1'!AO143</f>
        <v>19.417844317095049</v>
      </c>
      <c r="EH61">
        <f>'Calcs-control1'!BA143</f>
        <v>30.459886709001456</v>
      </c>
      <c r="EO61">
        <f t="shared" si="47"/>
        <v>70.422171291766261</v>
      </c>
      <c r="EP61">
        <f t="shared" si="79"/>
        <v>79.8</v>
      </c>
    </row>
    <row r="62" spans="7:146" x14ac:dyDescent="0.3">
      <c r="J62">
        <v>58</v>
      </c>
      <c r="K62">
        <f t="shared" si="23"/>
        <v>71.533131153010629</v>
      </c>
      <c r="L62">
        <f t="shared" si="24"/>
        <v>6.59111816433846</v>
      </c>
      <c r="M62">
        <f t="shared" si="25"/>
        <v>2.3844377051003542</v>
      </c>
      <c r="S62">
        <f t="shared" si="63"/>
        <v>71.533131153010629</v>
      </c>
      <c r="T62" t="e">
        <f t="shared" si="26"/>
        <v>#N/A</v>
      </c>
      <c r="U62" t="e">
        <f t="shared" si="64"/>
        <v>#N/A</v>
      </c>
      <c r="V62">
        <f t="shared" si="65"/>
        <v>79.775026850605016</v>
      </c>
      <c r="X62">
        <f t="shared" si="27"/>
        <v>71.533131153010629</v>
      </c>
      <c r="Y62">
        <f t="shared" si="28"/>
        <v>81.2</v>
      </c>
      <c r="AA62">
        <f t="shared" si="29"/>
        <v>0</v>
      </c>
      <c r="AB62">
        <f t="shared" si="30"/>
        <v>0.5</v>
      </c>
      <c r="AC62" s="17" t="str">
        <f t="shared" si="48"/>
        <v/>
      </c>
      <c r="AD62" s="19" t="str">
        <f t="shared" si="66"/>
        <v/>
      </c>
      <c r="AE62" s="18">
        <v>58</v>
      </c>
      <c r="AH62" s="38">
        <f t="shared" si="60"/>
        <v>3.5</v>
      </c>
      <c r="AI62">
        <v>3.5</v>
      </c>
      <c r="AL62" s="1"/>
      <c r="AO62">
        <f t="shared" si="31"/>
        <v>33.996398604739454</v>
      </c>
      <c r="AP62">
        <f t="shared" si="62"/>
        <v>0.99999999999999833</v>
      </c>
      <c r="AQ62" s="19" t="str">
        <f t="shared" si="80"/>
        <v/>
      </c>
      <c r="AR62">
        <v>58</v>
      </c>
      <c r="AV62" s="17" t="str">
        <f t="shared" si="67"/>
        <v/>
      </c>
      <c r="AW62" t="str">
        <f t="shared" si="68"/>
        <v/>
      </c>
      <c r="AX62" s="18">
        <f t="shared" si="69"/>
        <v>71.533131153010629</v>
      </c>
      <c r="AY62">
        <v>58</v>
      </c>
      <c r="BD62">
        <f t="shared" si="70"/>
        <v>0.5</v>
      </c>
      <c r="BE62">
        <f t="shared" si="71"/>
        <v>0.99999999999999833</v>
      </c>
      <c r="BF62" s="17" t="str">
        <f t="shared" si="49"/>
        <v/>
      </c>
      <c r="BG62" s="18" t="str">
        <f t="shared" si="50"/>
        <v/>
      </c>
      <c r="BH62" s="17" t="str">
        <f t="shared" si="51"/>
        <v/>
      </c>
      <c r="BI62" s="18" t="str">
        <f t="shared" si="52"/>
        <v/>
      </c>
      <c r="BJ62">
        <v>58</v>
      </c>
      <c r="BW62">
        <v>58</v>
      </c>
      <c r="BX62">
        <f t="shared" si="36"/>
        <v>73.05149669113851</v>
      </c>
      <c r="BY62">
        <f t="shared" si="37"/>
        <v>13.284921945100168</v>
      </c>
      <c r="BZ62">
        <f t="shared" si="38"/>
        <v>1.704534922793232</v>
      </c>
      <c r="CF62" t="e">
        <f t="shared" si="72"/>
        <v>#N/A</v>
      </c>
      <c r="CG62" t="e">
        <f t="shared" si="73"/>
        <v>#N/A</v>
      </c>
      <c r="CH62" t="e">
        <f t="shared" si="74"/>
        <v>#N/A</v>
      </c>
      <c r="CI62">
        <f t="shared" si="75"/>
        <v>79.775026850605016</v>
      </c>
      <c r="CK62">
        <f t="shared" si="39"/>
        <v>73.05149669113851</v>
      </c>
      <c r="CL62">
        <f t="shared" si="40"/>
        <v>81.2</v>
      </c>
      <c r="CN62" t="e">
        <f t="shared" si="76"/>
        <v>#VALUE!</v>
      </c>
      <c r="CO62" t="e">
        <f t="shared" si="41"/>
        <v>#VALUE!</v>
      </c>
      <c r="CP62" s="17" t="e">
        <f t="shared" si="53"/>
        <v>#VALUE!</v>
      </c>
      <c r="CQ62" s="18" t="str">
        <f t="shared" si="15"/>
        <v/>
      </c>
      <c r="CR62">
        <v>58</v>
      </c>
      <c r="CW62" s="38" t="str">
        <f t="shared" si="59"/>
        <v/>
      </c>
      <c r="CX62">
        <v>3.5</v>
      </c>
      <c r="DD62" t="e">
        <f t="shared" si="77"/>
        <v>#VALUE!</v>
      </c>
      <c r="DE62" t="e">
        <f t="shared" si="78"/>
        <v>#VALUE!</v>
      </c>
      <c r="DF62" s="19" t="e">
        <f t="shared" si="54"/>
        <v>#VALUE!</v>
      </c>
      <c r="DG62">
        <v>58</v>
      </c>
      <c r="DK62" s="17" t="str">
        <f t="shared" si="42"/>
        <v/>
      </c>
      <c r="DL62" t="str">
        <f t="shared" si="43"/>
        <v/>
      </c>
      <c r="DM62" s="18" t="str">
        <f t="shared" si="44"/>
        <v/>
      </c>
      <c r="DN62">
        <v>58</v>
      </c>
      <c r="DS62" t="e">
        <f t="shared" si="81"/>
        <v>#VALUE!</v>
      </c>
      <c r="DT62" t="e">
        <f t="shared" si="46"/>
        <v>#VALUE!</v>
      </c>
      <c r="DU62" s="17" t="e">
        <f t="shared" si="55"/>
        <v>#VALUE!</v>
      </c>
      <c r="DV62" s="18" t="e">
        <f t="shared" si="56"/>
        <v>#VALUE!</v>
      </c>
      <c r="DW62" s="17" t="e">
        <f t="shared" si="57"/>
        <v>#VALUE!</v>
      </c>
      <c r="DX62" s="18" t="e">
        <f t="shared" si="58"/>
        <v>#VALUE!</v>
      </c>
      <c r="DY62">
        <v>58</v>
      </c>
      <c r="EF62">
        <f>'Calcs-control1'!BD72</f>
        <v>79.775026850605016</v>
      </c>
      <c r="EG62">
        <f>'Calcs-control1'!AO144</f>
        <v>19.543477863723137</v>
      </c>
      <c r="EH62">
        <f>'Calcs-control1'!BA144</f>
        <v>30.502654170666109</v>
      </c>
      <c r="EO62">
        <f t="shared" si="47"/>
        <v>71.533131153010629</v>
      </c>
      <c r="EP62">
        <f t="shared" si="79"/>
        <v>81.2</v>
      </c>
    </row>
    <row r="63" spans="7:146" x14ac:dyDescent="0.3">
      <c r="J63">
        <v>59</v>
      </c>
      <c r="K63">
        <f t="shared" si="23"/>
        <v>72.642177117033199</v>
      </c>
      <c r="L63">
        <f t="shared" si="24"/>
        <v>6.4503848859495001</v>
      </c>
      <c r="M63">
        <f t="shared" si="25"/>
        <v>2.4214059039011064</v>
      </c>
      <c r="S63">
        <f t="shared" si="63"/>
        <v>72.642177117033199</v>
      </c>
      <c r="T63" t="e">
        <f t="shared" si="26"/>
        <v>#N/A</v>
      </c>
      <c r="U63" t="e">
        <f t="shared" si="64"/>
        <v>#N/A</v>
      </c>
      <c r="V63">
        <f t="shared" si="65"/>
        <v>80.957742785837567</v>
      </c>
      <c r="X63">
        <f t="shared" si="27"/>
        <v>72.642177117033199</v>
      </c>
      <c r="Y63">
        <f t="shared" si="28"/>
        <v>82.6</v>
      </c>
      <c r="AA63">
        <f t="shared" si="29"/>
        <v>0</v>
      </c>
      <c r="AB63">
        <f t="shared" si="30"/>
        <v>0.5</v>
      </c>
      <c r="AC63" s="17" t="str">
        <f t="shared" si="48"/>
        <v/>
      </c>
      <c r="AD63" s="19" t="str">
        <f t="shared" si="66"/>
        <v/>
      </c>
      <c r="AE63" s="18">
        <v>59</v>
      </c>
      <c r="AH63" s="38">
        <f t="shared" si="60"/>
        <v>3.75</v>
      </c>
      <c r="AI63">
        <v>3.75</v>
      </c>
      <c r="AO63">
        <f t="shared" si="31"/>
        <v>34.807230156473466</v>
      </c>
      <c r="AP63">
        <f t="shared" si="62"/>
        <v>0.99999999999999922</v>
      </c>
      <c r="AQ63" s="19" t="str">
        <f t="shared" si="80"/>
        <v/>
      </c>
      <c r="AR63">
        <v>59</v>
      </c>
      <c r="AV63" s="17" t="str">
        <f t="shared" si="67"/>
        <v/>
      </c>
      <c r="AW63" t="str">
        <f t="shared" si="68"/>
        <v/>
      </c>
      <c r="AX63" s="18">
        <f t="shared" si="69"/>
        <v>72.642177117033199</v>
      </c>
      <c r="AY63">
        <v>59</v>
      </c>
      <c r="BD63">
        <f t="shared" si="70"/>
        <v>0.5</v>
      </c>
      <c r="BE63">
        <f t="shared" si="71"/>
        <v>0.99999999999999922</v>
      </c>
      <c r="BF63" s="17" t="str">
        <f t="shared" si="49"/>
        <v/>
      </c>
      <c r="BG63" s="18" t="str">
        <f t="shared" si="50"/>
        <v/>
      </c>
      <c r="BH63" s="17" t="str">
        <f t="shared" si="51"/>
        <v/>
      </c>
      <c r="BI63" s="18" t="str">
        <f t="shared" si="52"/>
        <v/>
      </c>
      <c r="BJ63">
        <v>59</v>
      </c>
      <c r="BW63">
        <v>59</v>
      </c>
      <c r="BX63">
        <f t="shared" si="36"/>
        <v>74.18408331589869</v>
      </c>
      <c r="BY63">
        <f t="shared" si="37"/>
        <v>13.139036341183131</v>
      </c>
      <c r="BZ63">
        <f t="shared" si="38"/>
        <v>1.7309619440376363</v>
      </c>
      <c r="CF63" t="e">
        <f t="shared" si="72"/>
        <v>#N/A</v>
      </c>
      <c r="CG63" t="e">
        <f t="shared" si="73"/>
        <v>#N/A</v>
      </c>
      <c r="CH63" t="e">
        <f t="shared" si="74"/>
        <v>#N/A</v>
      </c>
      <c r="CI63">
        <f t="shared" si="75"/>
        <v>80.957742785837567</v>
      </c>
      <c r="CK63">
        <f t="shared" si="39"/>
        <v>74.18408331589869</v>
      </c>
      <c r="CL63">
        <f t="shared" si="40"/>
        <v>82.6</v>
      </c>
      <c r="CN63" t="e">
        <f t="shared" si="76"/>
        <v>#VALUE!</v>
      </c>
      <c r="CO63" t="e">
        <f t="shared" si="41"/>
        <v>#VALUE!</v>
      </c>
      <c r="CP63" s="17" t="e">
        <f t="shared" si="53"/>
        <v>#VALUE!</v>
      </c>
      <c r="CQ63" s="18" t="str">
        <f t="shared" si="15"/>
        <v/>
      </c>
      <c r="CR63">
        <v>59</v>
      </c>
      <c r="CW63" s="38" t="str">
        <f t="shared" si="59"/>
        <v/>
      </c>
      <c r="CX63">
        <v>3.75</v>
      </c>
      <c r="DD63" t="e">
        <f t="shared" si="77"/>
        <v>#VALUE!</v>
      </c>
      <c r="DE63" t="e">
        <f t="shared" si="78"/>
        <v>#VALUE!</v>
      </c>
      <c r="DF63" s="19" t="e">
        <f t="shared" si="54"/>
        <v>#VALUE!</v>
      </c>
      <c r="DG63">
        <v>59</v>
      </c>
      <c r="DK63" s="17" t="str">
        <f t="shared" si="42"/>
        <v/>
      </c>
      <c r="DL63" t="str">
        <f t="shared" si="43"/>
        <v/>
      </c>
      <c r="DM63" s="18" t="str">
        <f t="shared" si="44"/>
        <v/>
      </c>
      <c r="DN63">
        <v>59</v>
      </c>
      <c r="DS63" t="e">
        <f t="shared" si="81"/>
        <v>#VALUE!</v>
      </c>
      <c r="DT63" t="e">
        <f t="shared" si="46"/>
        <v>#VALUE!</v>
      </c>
      <c r="DU63" s="17" t="e">
        <f t="shared" si="55"/>
        <v>#VALUE!</v>
      </c>
      <c r="DV63" s="18" t="e">
        <f t="shared" si="56"/>
        <v>#VALUE!</v>
      </c>
      <c r="DW63" s="17" t="e">
        <f t="shared" si="57"/>
        <v>#VALUE!</v>
      </c>
      <c r="DX63" s="18" t="e">
        <f t="shared" si="58"/>
        <v>#VALUE!</v>
      </c>
      <c r="DY63">
        <v>59</v>
      </c>
      <c r="EF63">
        <f>'Calcs-control1'!BD73</f>
        <v>80.957742785837567</v>
      </c>
      <c r="EG63">
        <f>'Calcs-control1'!AO145</f>
        <v>19.658392033655193</v>
      </c>
      <c r="EH63">
        <f>'Calcs-control1'!BA145</f>
        <v>30.540800724299068</v>
      </c>
      <c r="EO63">
        <f t="shared" si="47"/>
        <v>72.642177117033199</v>
      </c>
      <c r="EP63">
        <f t="shared" si="79"/>
        <v>82.6</v>
      </c>
    </row>
    <row r="64" spans="7:146" x14ac:dyDescent="0.3">
      <c r="J64">
        <v>60</v>
      </c>
      <c r="K64">
        <f t="shared" si="23"/>
        <v>73.749344839881928</v>
      </c>
      <c r="L64">
        <f t="shared" si="24"/>
        <v>6.311419533810505</v>
      </c>
      <c r="M64">
        <f t="shared" si="25"/>
        <v>2.4583114946627309</v>
      </c>
      <c r="S64">
        <f t="shared" si="63"/>
        <v>73.749344839881928</v>
      </c>
      <c r="T64" t="e">
        <f t="shared" si="26"/>
        <v>#N/A</v>
      </c>
      <c r="U64" t="e">
        <f t="shared" si="64"/>
        <v>#N/A</v>
      </c>
      <c r="V64">
        <f t="shared" si="65"/>
        <v>82.055268132053754</v>
      </c>
      <c r="X64">
        <f t="shared" si="27"/>
        <v>73.749344839881928</v>
      </c>
      <c r="Y64">
        <f t="shared" si="28"/>
        <v>84</v>
      </c>
      <c r="AA64">
        <f t="shared" si="29"/>
        <v>0</v>
      </c>
      <c r="AB64">
        <f t="shared" si="30"/>
        <v>0.5</v>
      </c>
      <c r="AC64" s="17" t="str">
        <f t="shared" si="48"/>
        <v/>
      </c>
      <c r="AD64" s="19" t="str">
        <f t="shared" si="66"/>
        <v/>
      </c>
      <c r="AE64" s="18">
        <v>60</v>
      </c>
      <c r="AH64" s="38">
        <f t="shared" si="60"/>
        <v>4</v>
      </c>
      <c r="AI64">
        <v>4</v>
      </c>
      <c r="AO64">
        <f t="shared" si="31"/>
        <v>35.618061708207492</v>
      </c>
      <c r="AP64">
        <f t="shared" si="62"/>
        <v>0.99999999999999967</v>
      </c>
      <c r="AQ64" s="19" t="str">
        <f t="shared" si="80"/>
        <v/>
      </c>
      <c r="AR64">
        <v>60</v>
      </c>
      <c r="AV64" s="17" t="str">
        <f t="shared" si="67"/>
        <v/>
      </c>
      <c r="AW64" t="str">
        <f t="shared" si="68"/>
        <v/>
      </c>
      <c r="AX64" s="18">
        <f t="shared" si="69"/>
        <v>73.749344839881928</v>
      </c>
      <c r="AY64">
        <v>60</v>
      </c>
      <c r="BD64">
        <f t="shared" si="70"/>
        <v>0.5</v>
      </c>
      <c r="BE64">
        <f t="shared" si="71"/>
        <v>0.99999999999999967</v>
      </c>
      <c r="BF64" s="17" t="str">
        <f t="shared" si="49"/>
        <v/>
      </c>
      <c r="BG64" s="18" t="str">
        <f t="shared" si="50"/>
        <v/>
      </c>
      <c r="BH64" s="17" t="str">
        <f t="shared" si="51"/>
        <v/>
      </c>
      <c r="BI64" s="18" t="str">
        <f t="shared" si="52"/>
        <v/>
      </c>
      <c r="BJ64">
        <v>60</v>
      </c>
      <c r="BW64">
        <v>60</v>
      </c>
      <c r="BX64">
        <f t="shared" si="36"/>
        <v>75.314751831851325</v>
      </c>
      <c r="BY64">
        <f t="shared" si="37"/>
        <v>12.991974409043669</v>
      </c>
      <c r="BZ64">
        <f t="shared" si="38"/>
        <v>1.7573442094098644</v>
      </c>
      <c r="CF64" t="e">
        <f t="shared" si="72"/>
        <v>#N/A</v>
      </c>
      <c r="CG64" t="e">
        <f t="shared" si="73"/>
        <v>#N/A</v>
      </c>
      <c r="CH64" t="e">
        <f t="shared" si="74"/>
        <v>#N/A</v>
      </c>
      <c r="CI64">
        <f t="shared" si="75"/>
        <v>82.055268132053754</v>
      </c>
      <c r="CK64">
        <f t="shared" si="39"/>
        <v>75.314751831851325</v>
      </c>
      <c r="CL64">
        <f t="shared" si="40"/>
        <v>84</v>
      </c>
      <c r="CN64" t="e">
        <f t="shared" si="76"/>
        <v>#VALUE!</v>
      </c>
      <c r="CO64" t="e">
        <f t="shared" si="41"/>
        <v>#VALUE!</v>
      </c>
      <c r="CP64" s="17" t="e">
        <f t="shared" si="53"/>
        <v>#VALUE!</v>
      </c>
      <c r="CQ64" s="18" t="str">
        <f t="shared" si="15"/>
        <v/>
      </c>
      <c r="CR64">
        <v>60</v>
      </c>
      <c r="CW64" s="38" t="str">
        <f t="shared" si="59"/>
        <v/>
      </c>
      <c r="CX64">
        <v>4</v>
      </c>
      <c r="DD64" t="e">
        <f t="shared" si="77"/>
        <v>#VALUE!</v>
      </c>
      <c r="DE64" t="e">
        <f t="shared" si="78"/>
        <v>#VALUE!</v>
      </c>
      <c r="DF64" s="19" t="e">
        <f t="shared" si="54"/>
        <v>#VALUE!</v>
      </c>
      <c r="DG64">
        <v>60</v>
      </c>
      <c r="DK64" s="17" t="str">
        <f t="shared" si="42"/>
        <v/>
      </c>
      <c r="DL64" t="str">
        <f t="shared" si="43"/>
        <v/>
      </c>
      <c r="DM64" s="18" t="str">
        <f t="shared" si="44"/>
        <v/>
      </c>
      <c r="DN64">
        <v>60</v>
      </c>
      <c r="DS64" t="e">
        <f>CO64</f>
        <v>#VALUE!</v>
      </c>
      <c r="DT64" t="e">
        <f t="shared" si="46"/>
        <v>#VALUE!</v>
      </c>
      <c r="DU64" s="17" t="e">
        <f t="shared" si="55"/>
        <v>#VALUE!</v>
      </c>
      <c r="DV64" s="18" t="e">
        <f t="shared" si="56"/>
        <v>#VALUE!</v>
      </c>
      <c r="DW64" s="17" t="e">
        <f t="shared" si="57"/>
        <v>#VALUE!</v>
      </c>
      <c r="DX64" s="18" t="e">
        <f t="shared" si="58"/>
        <v>#VALUE!</v>
      </c>
      <c r="DY64">
        <v>60</v>
      </c>
      <c r="EF64">
        <f>'Calcs-control1'!BD74</f>
        <v>82.055268132053754</v>
      </c>
      <c r="EG64">
        <f>'Calcs-control1'!AO146</f>
        <v>19.763559522732841</v>
      </c>
      <c r="EH64">
        <f>'Calcs-control1'!BA146</f>
        <v>30.574911851956173</v>
      </c>
      <c r="EO64">
        <f t="shared" si="47"/>
        <v>73.749344839881928</v>
      </c>
      <c r="EP64">
        <f t="shared" si="79"/>
        <v>84</v>
      </c>
    </row>
    <row r="65" spans="10:146" x14ac:dyDescent="0.3">
      <c r="J65">
        <v>61</v>
      </c>
      <c r="K65">
        <f t="shared" si="23"/>
        <v>74.85466873050953</v>
      </c>
      <c r="L65">
        <f>K65*EXP(-M65)</f>
        <v>6.1742835967270597</v>
      </c>
      <c r="M65">
        <f t="shared" si="25"/>
        <v>2.4951556243503177</v>
      </c>
      <c r="S65">
        <f t="shared" si="63"/>
        <v>74.85466873050953</v>
      </c>
      <c r="T65" t="e">
        <f t="shared" si="26"/>
        <v>#N/A</v>
      </c>
      <c r="U65" t="e">
        <f t="shared" si="64"/>
        <v>#N/A</v>
      </c>
      <c r="V65">
        <f t="shared" si="65"/>
        <v>83.073131346713112</v>
      </c>
      <c r="X65">
        <f t="shared" si="27"/>
        <v>74.85466873050953</v>
      </c>
      <c r="Y65">
        <f t="shared" si="28"/>
        <v>85.40000000000002</v>
      </c>
      <c r="AA65">
        <f t="shared" si="29"/>
        <v>0</v>
      </c>
      <c r="AB65">
        <f t="shared" si="30"/>
        <v>0.5</v>
      </c>
      <c r="AC65" s="17" t="str">
        <f t="shared" si="48"/>
        <v/>
      </c>
      <c r="AD65" s="19" t="str">
        <f t="shared" si="66"/>
        <v/>
      </c>
      <c r="AE65" s="18">
        <v>61</v>
      </c>
      <c r="AH65" s="38">
        <f t="shared" si="60"/>
        <v>4.25</v>
      </c>
      <c r="AI65">
        <v>4.25</v>
      </c>
      <c r="AO65">
        <f t="shared" si="31"/>
        <v>36.428893259941503</v>
      </c>
      <c r="AP65">
        <f t="shared" si="62"/>
        <v>0.99999999999999989</v>
      </c>
      <c r="AQ65" s="19" t="str">
        <f t="shared" si="80"/>
        <v/>
      </c>
      <c r="AR65">
        <v>61</v>
      </c>
      <c r="AV65" s="17" t="str">
        <f t="shared" si="67"/>
        <v/>
      </c>
      <c r="AW65" t="str">
        <f t="shared" si="68"/>
        <v/>
      </c>
      <c r="AX65" s="18">
        <f t="shared" si="69"/>
        <v>74.85466873050953</v>
      </c>
      <c r="AY65">
        <v>61</v>
      </c>
      <c r="BD65">
        <f t="shared" si="70"/>
        <v>0.5</v>
      </c>
      <c r="BE65">
        <f t="shared" si="71"/>
        <v>0.99999999999999989</v>
      </c>
      <c r="BF65" s="17" t="str">
        <f t="shared" si="49"/>
        <v/>
      </c>
      <c r="BG65" s="18" t="str">
        <f t="shared" si="50"/>
        <v/>
      </c>
      <c r="BH65" s="17" t="str">
        <f t="shared" si="51"/>
        <v/>
      </c>
      <c r="BI65" s="18" t="str">
        <f t="shared" si="52"/>
        <v/>
      </c>
      <c r="BJ65">
        <v>61</v>
      </c>
      <c r="BW65">
        <v>61</v>
      </c>
      <c r="BX65">
        <f t="shared" si="36"/>
        <v>76.443537378315142</v>
      </c>
      <c r="BY65">
        <f t="shared" si="37"/>
        <v>12.843911117020625</v>
      </c>
      <c r="BZ65">
        <f t="shared" si="38"/>
        <v>1.7836825388273534</v>
      </c>
      <c r="CF65" t="e">
        <f t="shared" si="72"/>
        <v>#N/A</v>
      </c>
      <c r="CG65" t="e">
        <f t="shared" si="73"/>
        <v>#N/A</v>
      </c>
      <c r="CH65" t="e">
        <f t="shared" si="74"/>
        <v>#N/A</v>
      </c>
      <c r="CI65">
        <f t="shared" si="75"/>
        <v>83.073131346713112</v>
      </c>
      <c r="CK65">
        <f t="shared" si="39"/>
        <v>76.443537378315142</v>
      </c>
      <c r="CL65">
        <f t="shared" si="40"/>
        <v>85.40000000000002</v>
      </c>
      <c r="CN65" t="e">
        <f t="shared" si="76"/>
        <v>#VALUE!</v>
      </c>
      <c r="CO65" t="e">
        <f t="shared" si="41"/>
        <v>#VALUE!</v>
      </c>
      <c r="CP65" s="17" t="e">
        <f t="shared" si="53"/>
        <v>#VALUE!</v>
      </c>
      <c r="CQ65" s="18" t="str">
        <f t="shared" si="15"/>
        <v/>
      </c>
      <c r="CR65">
        <v>61</v>
      </c>
      <c r="CW65" s="38" t="str">
        <f t="shared" si="59"/>
        <v/>
      </c>
      <c r="CX65">
        <v>4.25</v>
      </c>
      <c r="DD65" t="e">
        <f t="shared" si="77"/>
        <v>#VALUE!</v>
      </c>
      <c r="DE65" t="e">
        <f t="shared" si="78"/>
        <v>#VALUE!</v>
      </c>
      <c r="DF65" s="19" t="e">
        <f t="shared" si="54"/>
        <v>#VALUE!</v>
      </c>
      <c r="DG65">
        <v>61</v>
      </c>
      <c r="DK65" s="17" t="str">
        <f t="shared" si="42"/>
        <v/>
      </c>
      <c r="DL65" t="str">
        <f t="shared" si="43"/>
        <v/>
      </c>
      <c r="DM65" s="18" t="str">
        <f t="shared" si="44"/>
        <v/>
      </c>
      <c r="DN65">
        <v>61</v>
      </c>
      <c r="DS65" t="e">
        <f t="shared" ref="DS65:DS74" si="82">CO65</f>
        <v>#VALUE!</v>
      </c>
      <c r="DT65" t="e">
        <f t="shared" si="46"/>
        <v>#VALUE!</v>
      </c>
      <c r="DU65" s="17" t="e">
        <f t="shared" si="55"/>
        <v>#VALUE!</v>
      </c>
      <c r="DV65" s="18" t="e">
        <f t="shared" si="56"/>
        <v>#VALUE!</v>
      </c>
      <c r="DW65" s="17" t="e">
        <f t="shared" si="57"/>
        <v>#VALUE!</v>
      </c>
      <c r="DX65" s="18" t="e">
        <f t="shared" si="58"/>
        <v>#VALUE!</v>
      </c>
      <c r="DY65">
        <v>61</v>
      </c>
      <c r="EF65">
        <f>'Calcs-control1'!BD75</f>
        <v>83.073131346713112</v>
      </c>
      <c r="EG65">
        <f>'Calcs-control1'!AO147</f>
        <v>19.859856464307015</v>
      </c>
      <c r="EH65">
        <f>'Calcs-control1'!BA147</f>
        <v>30.605485794592401</v>
      </c>
      <c r="EO65">
        <f t="shared" si="47"/>
        <v>74.85466873050953</v>
      </c>
      <c r="EP65">
        <f t="shared" si="79"/>
        <v>85.40000000000002</v>
      </c>
    </row>
    <row r="66" spans="10:146" x14ac:dyDescent="0.3">
      <c r="J66">
        <v>62</v>
      </c>
      <c r="K66">
        <f t="shared" si="23"/>
        <v>75.958182014109667</v>
      </c>
      <c r="L66">
        <f t="shared" si="24"/>
        <v>6.0390308980068745</v>
      </c>
      <c r="M66">
        <f t="shared" si="25"/>
        <v>2.5319394004703222</v>
      </c>
      <c r="S66">
        <f t="shared" si="63"/>
        <v>75.958182014109667</v>
      </c>
      <c r="T66" t="e">
        <f t="shared" si="26"/>
        <v>#N/A</v>
      </c>
      <c r="U66" t="e">
        <f t="shared" si="64"/>
        <v>#N/A</v>
      </c>
      <c r="V66">
        <f t="shared" si="65"/>
        <v>84.016602139127613</v>
      </c>
      <c r="X66">
        <f t="shared" si="27"/>
        <v>75.958182014109667</v>
      </c>
      <c r="Y66">
        <f t="shared" si="28"/>
        <v>86.8</v>
      </c>
      <c r="AA66">
        <f t="shared" si="29"/>
        <v>0</v>
      </c>
      <c r="AB66">
        <f t="shared" si="30"/>
        <v>0.5</v>
      </c>
      <c r="AC66" s="17" t="str">
        <f t="shared" si="48"/>
        <v/>
      </c>
      <c r="AD66" s="19" t="str">
        <f t="shared" si="66"/>
        <v/>
      </c>
      <c r="AE66" s="18">
        <v>62</v>
      </c>
      <c r="AH66" s="38">
        <f t="shared" si="60"/>
        <v>4.5</v>
      </c>
      <c r="AI66">
        <v>4.5</v>
      </c>
      <c r="AO66">
        <f t="shared" si="31"/>
        <v>37.239724811675529</v>
      </c>
      <c r="AP66">
        <f t="shared" si="62"/>
        <v>0.99999999999999989</v>
      </c>
      <c r="AQ66" s="19" t="str">
        <f t="shared" si="80"/>
        <v/>
      </c>
      <c r="AR66">
        <v>62</v>
      </c>
      <c r="AV66" s="17" t="str">
        <f t="shared" si="67"/>
        <v/>
      </c>
      <c r="AW66" t="str">
        <f t="shared" si="68"/>
        <v/>
      </c>
      <c r="AX66" s="18">
        <f t="shared" si="69"/>
        <v>75.958182014109667</v>
      </c>
      <c r="AY66">
        <v>62</v>
      </c>
      <c r="BD66">
        <f t="shared" si="70"/>
        <v>0.5</v>
      </c>
      <c r="BE66">
        <f t="shared" si="71"/>
        <v>0.99999999999999989</v>
      </c>
      <c r="BF66" s="17" t="str">
        <f t="shared" si="49"/>
        <v/>
      </c>
      <c r="BG66" s="18" t="str">
        <f t="shared" si="50"/>
        <v/>
      </c>
      <c r="BH66" s="17" t="str">
        <f t="shared" si="51"/>
        <v/>
      </c>
      <c r="BI66" s="18" t="str">
        <f t="shared" si="52"/>
        <v/>
      </c>
      <c r="BJ66">
        <v>62</v>
      </c>
      <c r="BW66">
        <v>62</v>
      </c>
      <c r="BX66">
        <f t="shared" si="36"/>
        <v>77.570473885723274</v>
      </c>
      <c r="BY66">
        <f t="shared" si="37"/>
        <v>12.69501173607377</v>
      </c>
      <c r="BZ66">
        <f t="shared" si="38"/>
        <v>1.80997772400021</v>
      </c>
      <c r="CF66" t="e">
        <f t="shared" si="72"/>
        <v>#N/A</v>
      </c>
      <c r="CG66" t="e">
        <f t="shared" si="73"/>
        <v>#N/A</v>
      </c>
      <c r="CH66" t="e">
        <f t="shared" si="74"/>
        <v>#N/A</v>
      </c>
      <c r="CI66">
        <f t="shared" si="75"/>
        <v>84.016602139127613</v>
      </c>
      <c r="CK66">
        <f t="shared" si="39"/>
        <v>77.570473885723274</v>
      </c>
      <c r="CL66">
        <f t="shared" si="40"/>
        <v>86.8</v>
      </c>
      <c r="CN66" t="e">
        <f t="shared" si="76"/>
        <v>#VALUE!</v>
      </c>
      <c r="CO66" t="e">
        <f t="shared" si="41"/>
        <v>#VALUE!</v>
      </c>
      <c r="CP66" s="17" t="e">
        <f t="shared" si="53"/>
        <v>#VALUE!</v>
      </c>
      <c r="CQ66" s="18" t="str">
        <f t="shared" si="15"/>
        <v/>
      </c>
      <c r="CR66">
        <v>62</v>
      </c>
      <c r="CW66" s="38" t="str">
        <f t="shared" si="59"/>
        <v/>
      </c>
      <c r="CX66">
        <v>4.5</v>
      </c>
      <c r="DD66" t="e">
        <f t="shared" si="77"/>
        <v>#VALUE!</v>
      </c>
      <c r="DE66" t="e">
        <f t="shared" si="78"/>
        <v>#VALUE!</v>
      </c>
      <c r="DF66" s="19" t="e">
        <f t="shared" si="54"/>
        <v>#VALUE!</v>
      </c>
      <c r="DG66">
        <v>62</v>
      </c>
      <c r="DK66" s="17" t="str">
        <f t="shared" si="42"/>
        <v/>
      </c>
      <c r="DL66" t="str">
        <f t="shared" si="43"/>
        <v/>
      </c>
      <c r="DM66" s="18" t="str">
        <f t="shared" si="44"/>
        <v/>
      </c>
      <c r="DN66">
        <v>62</v>
      </c>
      <c r="DS66" t="e">
        <f t="shared" si="82"/>
        <v>#VALUE!</v>
      </c>
      <c r="DT66" t="e">
        <f t="shared" si="46"/>
        <v>#VALUE!</v>
      </c>
      <c r="DU66" s="17" t="e">
        <f t="shared" si="55"/>
        <v>#VALUE!</v>
      </c>
      <c r="DV66" s="18" t="e">
        <f t="shared" si="56"/>
        <v>#VALUE!</v>
      </c>
      <c r="DW66" s="17" t="e">
        <f t="shared" si="57"/>
        <v>#VALUE!</v>
      </c>
      <c r="DX66" s="18" t="e">
        <f t="shared" si="58"/>
        <v>#VALUE!</v>
      </c>
      <c r="DY66">
        <v>62</v>
      </c>
      <c r="EF66">
        <f>'Calcs-control1'!BD76</f>
        <v>84.016602139127613</v>
      </c>
      <c r="EG66">
        <f>'Calcs-control1'!AO148</f>
        <v>19.948073133522634</v>
      </c>
      <c r="EH66">
        <f>'Calcs-control1'!BA148</f>
        <v>30.632948500953919</v>
      </c>
      <c r="EO66">
        <f t="shared" si="47"/>
        <v>75.958182014109667</v>
      </c>
      <c r="EP66">
        <f t="shared" si="79"/>
        <v>86.8</v>
      </c>
    </row>
    <row r="67" spans="10:146" x14ac:dyDescent="0.3">
      <c r="J67">
        <v>63</v>
      </c>
      <c r="K67">
        <f t="shared" si="23"/>
        <v>77.059916791267469</v>
      </c>
      <c r="L67">
        <f t="shared" si="24"/>
        <v>5.9057081506569968</v>
      </c>
      <c r="M67">
        <f t="shared" si="25"/>
        <v>2.568663893042249</v>
      </c>
      <c r="S67">
        <f t="shared" si="63"/>
        <v>77.059916791267469</v>
      </c>
      <c r="T67" t="e">
        <f t="shared" si="26"/>
        <v>#N/A</v>
      </c>
      <c r="U67" t="e">
        <f t="shared" si="64"/>
        <v>#N/A</v>
      </c>
      <c r="V67">
        <f t="shared" si="65"/>
        <v>84.890685310694948</v>
      </c>
      <c r="X67">
        <f t="shared" si="27"/>
        <v>77.059916791267469</v>
      </c>
      <c r="Y67">
        <f t="shared" si="28"/>
        <v>88.200000000000017</v>
      </c>
      <c r="AA67">
        <f t="shared" si="29"/>
        <v>0</v>
      </c>
      <c r="AB67">
        <f t="shared" si="30"/>
        <v>0.5</v>
      </c>
      <c r="AC67" s="17" t="str">
        <f t="shared" si="48"/>
        <v/>
      </c>
      <c r="AD67" s="19" t="str">
        <f t="shared" si="66"/>
        <v/>
      </c>
      <c r="AE67" s="18">
        <v>63</v>
      </c>
      <c r="AH67" s="38">
        <f t="shared" si="60"/>
        <v>4.75</v>
      </c>
      <c r="AI67">
        <v>4.75</v>
      </c>
      <c r="AO67">
        <f t="shared" si="31"/>
        <v>38.050556363409541</v>
      </c>
      <c r="AP67">
        <f t="shared" si="62"/>
        <v>1</v>
      </c>
      <c r="AQ67" s="19" t="str">
        <f t="shared" si="80"/>
        <v/>
      </c>
      <c r="AR67">
        <v>63</v>
      </c>
      <c r="AV67" s="17" t="str">
        <f t="shared" si="67"/>
        <v/>
      </c>
      <c r="AW67" t="str">
        <f t="shared" si="68"/>
        <v/>
      </c>
      <c r="AX67" s="18">
        <f t="shared" si="69"/>
        <v>77.059916791267469</v>
      </c>
      <c r="AY67">
        <v>63</v>
      </c>
      <c r="BD67">
        <f t="shared" si="70"/>
        <v>0.5</v>
      </c>
      <c r="BE67">
        <f t="shared" si="71"/>
        <v>1</v>
      </c>
      <c r="BF67" s="17" t="str">
        <f t="shared" si="49"/>
        <v/>
      </c>
      <c r="BG67" s="18" t="str">
        <f t="shared" si="50"/>
        <v/>
      </c>
      <c r="BH67" s="17" t="str">
        <f t="shared" si="51"/>
        <v/>
      </c>
      <c r="BI67" s="18" t="str">
        <f t="shared" si="52"/>
        <v/>
      </c>
      <c r="BJ67">
        <v>63</v>
      </c>
      <c r="BW67">
        <v>63</v>
      </c>
      <c r="BX67">
        <f t="shared" si="36"/>
        <v>78.695594136029385</v>
      </c>
      <c r="BY67">
        <f t="shared" si="37"/>
        <v>12.545432322869551</v>
      </c>
      <c r="BZ67">
        <f t="shared" si="38"/>
        <v>1.8362305298406858</v>
      </c>
      <c r="CF67" t="e">
        <f t="shared" si="72"/>
        <v>#N/A</v>
      </c>
      <c r="CG67" t="e">
        <f t="shared" si="73"/>
        <v>#N/A</v>
      </c>
      <c r="CH67" t="e">
        <f t="shared" si="74"/>
        <v>#N/A</v>
      </c>
      <c r="CI67">
        <f t="shared" si="75"/>
        <v>84.890685310694948</v>
      </c>
      <c r="CK67">
        <f t="shared" si="39"/>
        <v>78.695594136029385</v>
      </c>
      <c r="CL67">
        <f t="shared" si="40"/>
        <v>88.200000000000017</v>
      </c>
      <c r="CN67" t="e">
        <f t="shared" si="76"/>
        <v>#VALUE!</v>
      </c>
      <c r="CO67" t="e">
        <f t="shared" si="41"/>
        <v>#VALUE!</v>
      </c>
      <c r="CP67" s="17" t="e">
        <f t="shared" si="53"/>
        <v>#VALUE!</v>
      </c>
      <c r="CQ67" s="18" t="str">
        <f t="shared" si="15"/>
        <v/>
      </c>
      <c r="CR67">
        <v>63</v>
      </c>
      <c r="CW67" s="38" t="str">
        <f t="shared" si="59"/>
        <v/>
      </c>
      <c r="CX67">
        <v>4.75</v>
      </c>
      <c r="DD67" t="e">
        <f t="shared" si="77"/>
        <v>#VALUE!</v>
      </c>
      <c r="DE67" t="e">
        <f t="shared" ref="DE67:DE74" si="83">EXP(DD67)/(1+EXP(DD67))</f>
        <v>#VALUE!</v>
      </c>
      <c r="DF67" s="19" t="e">
        <f t="shared" si="54"/>
        <v>#VALUE!</v>
      </c>
      <c r="DG67">
        <v>63</v>
      </c>
      <c r="DK67" s="17" t="str">
        <f t="shared" si="42"/>
        <v/>
      </c>
      <c r="DL67" t="str">
        <f t="shared" si="43"/>
        <v/>
      </c>
      <c r="DM67" s="18" t="str">
        <f t="shared" si="44"/>
        <v/>
      </c>
      <c r="DN67">
        <v>63</v>
      </c>
      <c r="DS67" t="e">
        <f t="shared" si="82"/>
        <v>#VALUE!</v>
      </c>
      <c r="DT67" t="e">
        <f t="shared" si="46"/>
        <v>#VALUE!</v>
      </c>
      <c r="DU67" s="17" t="e">
        <f t="shared" si="55"/>
        <v>#VALUE!</v>
      </c>
      <c r="DV67" s="18" t="e">
        <f t="shared" si="56"/>
        <v>#VALUE!</v>
      </c>
      <c r="DW67" s="17" t="e">
        <f t="shared" si="57"/>
        <v>#VALUE!</v>
      </c>
      <c r="DX67" s="18" t="e">
        <f t="shared" si="58"/>
        <v>#VALUE!</v>
      </c>
      <c r="DY67">
        <v>63</v>
      </c>
      <c r="EF67">
        <f>'Calcs-control1'!BD77</f>
        <v>84.890685310694948</v>
      </c>
      <c r="EG67">
        <f>'Calcs-control1'!AO149</f>
        <v>20.028923328401696</v>
      </c>
      <c r="EH67">
        <f>'Calcs-control1'!BA149</f>
        <v>30.657665713361851</v>
      </c>
      <c r="EO67">
        <f t="shared" si="47"/>
        <v>77.059916791267469</v>
      </c>
      <c r="EP67">
        <f t="shared" si="79"/>
        <v>88.200000000000017</v>
      </c>
    </row>
    <row r="68" spans="10:146" x14ac:dyDescent="0.3">
      <c r="J68">
        <v>64</v>
      </c>
      <c r="K68">
        <f t="shared" si="23"/>
        <v>78.159904093262782</v>
      </c>
      <c r="L68">
        <f t="shared" si="24"/>
        <v>5.7743554756717623</v>
      </c>
      <c r="M68">
        <f t="shared" si="25"/>
        <v>2.6053301364420927</v>
      </c>
      <c r="S68">
        <f t="shared" ref="S68:S74" si="84">IF(J68&gt;=AT$8, K68, NA())</f>
        <v>78.159904093262782</v>
      </c>
      <c r="T68" t="e">
        <f t="shared" si="26"/>
        <v>#N/A</v>
      </c>
      <c r="U68" t="e">
        <f t="shared" ref="U68:U74" si="85">IF(J68&lt;AT$7,V68, NA())</f>
        <v>#N/A</v>
      </c>
      <c r="V68">
        <f t="shared" ref="V68:V74" si="86">IF($V$2=1,$EF68, IF($V$2=2, $EG68, $EH68))</f>
        <v>85.700119075688391</v>
      </c>
      <c r="X68">
        <f t="shared" si="27"/>
        <v>78.159904093262782</v>
      </c>
      <c r="Y68">
        <f t="shared" si="28"/>
        <v>89.6</v>
      </c>
      <c r="AA68">
        <f t="shared" si="29"/>
        <v>0</v>
      </c>
      <c r="AB68">
        <f t="shared" si="30"/>
        <v>0.5</v>
      </c>
      <c r="AC68" s="17" t="str">
        <f t="shared" si="48"/>
        <v/>
      </c>
      <c r="AD68" s="19" t="str">
        <f t="shared" ref="AD68:AD74" si="87">IF(AND(M68&gt;=1, M67&lt;1), 90, "")</f>
        <v/>
      </c>
      <c r="AE68" s="18">
        <v>64</v>
      </c>
      <c r="AH68" s="38">
        <f t="shared" si="60"/>
        <v>5</v>
      </c>
      <c r="AI68">
        <v>5</v>
      </c>
      <c r="AO68">
        <f t="shared" si="31"/>
        <v>38.861387915143567</v>
      </c>
      <c r="AP68">
        <f t="shared" si="62"/>
        <v>1</v>
      </c>
      <c r="AQ68" s="19" t="str">
        <f t="shared" si="80"/>
        <v/>
      </c>
      <c r="AR68">
        <v>64</v>
      </c>
      <c r="AV68" s="17" t="str">
        <f t="shared" ref="AV68:AV74" si="88">IFERROR(U68, "")</f>
        <v/>
      </c>
      <c r="AW68" t="str">
        <f t="shared" ref="AW68:AW74" si="89">IFERROR(T68, "")</f>
        <v/>
      </c>
      <c r="AX68" s="18">
        <f t="shared" ref="AX68:AX74" si="90">IFERROR(S68, "")</f>
        <v>78.159904093262782</v>
      </c>
      <c r="AY68">
        <v>64</v>
      </c>
      <c r="BD68">
        <f t="shared" ref="BD68:BD74" si="91">AB68</f>
        <v>0.5</v>
      </c>
      <c r="BE68">
        <f t="shared" ref="BE68:BE74" si="92">AP68</f>
        <v>1</v>
      </c>
      <c r="BF68" s="17" t="str">
        <f t="shared" si="49"/>
        <v/>
      </c>
      <c r="BG68" s="18" t="str">
        <f t="shared" si="50"/>
        <v/>
      </c>
      <c r="BH68" s="17" t="str">
        <f t="shared" si="51"/>
        <v/>
      </c>
      <c r="BI68" s="18" t="str">
        <f t="shared" si="52"/>
        <v/>
      </c>
      <c r="BJ68">
        <v>64</v>
      </c>
      <c r="BW68">
        <v>64</v>
      </c>
      <c r="BX68">
        <f t="shared" si="36"/>
        <v>79.818929819184689</v>
      </c>
      <c r="BY68">
        <f t="shared" si="37"/>
        <v>12.395320177343404</v>
      </c>
      <c r="BZ68">
        <f t="shared" si="38"/>
        <v>1.8624416957809762</v>
      </c>
      <c r="CF68" t="e">
        <f t="shared" ref="CF68:CF74" si="93">IF(BW68&gt;=DI$8, BX68, NA())</f>
        <v>#N/A</v>
      </c>
      <c r="CG68" t="e">
        <f t="shared" ref="CG68:CG74" si="94">IF(AND($DJ$7&lt;1, BW68&gt;=$DI$7, BW68&lt;$DI$8), BY68, NA())</f>
        <v>#N/A</v>
      </c>
      <c r="CH68" t="e">
        <f t="shared" ref="CH68:CH74" si="95">IF(BW68&lt;DI$7,CI68, NA())</f>
        <v>#N/A</v>
      </c>
      <c r="CI68">
        <f t="shared" ref="CI68:CI74" si="96">IF($CI$2=1,$EF68, IF($V$2=2, $EG68, $EH68))</f>
        <v>85.700119075688391</v>
      </c>
      <c r="CK68">
        <f t="shared" si="39"/>
        <v>79.818929819184689</v>
      </c>
      <c r="CL68">
        <f t="shared" si="40"/>
        <v>89.6</v>
      </c>
      <c r="CN68" t="e">
        <f t="shared" ref="CN68:CN74" si="97">IF($BS$5="None", NA(), $Z$4+$Z$5*$BS$5+$Z$6*BW68+$Z$7*$Q$1+$Z$8*$I$5)</f>
        <v>#VALUE!</v>
      </c>
      <c r="CO68" t="e">
        <f t="shared" si="41"/>
        <v>#VALUE!</v>
      </c>
      <c r="CP68" s="17" t="e">
        <f t="shared" si="53"/>
        <v>#VALUE!</v>
      </c>
      <c r="CQ68" s="18" t="str">
        <f t="shared" ref="CQ68:CQ74" si="98">IF(AND(BZ68&gt;=1, BZ67&lt;1), 90, "")</f>
        <v/>
      </c>
      <c r="CR68">
        <v>64</v>
      </c>
      <c r="CW68" s="38" t="str">
        <f t="shared" si="59"/>
        <v/>
      </c>
      <c r="CX68">
        <v>5</v>
      </c>
      <c r="DD68" t="e">
        <f t="shared" ref="DD68:DD74" si="99">$DC$3+$DC$4*BW68+$DC$5*$BS$5^1.5+$DC$6*$CZ$26+$DC$8*$CB$1*BW68</f>
        <v>#VALUE!</v>
      </c>
      <c r="DE68" t="e">
        <f t="shared" si="83"/>
        <v>#VALUE!</v>
      </c>
      <c r="DF68" s="19" t="e">
        <f t="shared" si="54"/>
        <v>#VALUE!</v>
      </c>
      <c r="DG68">
        <v>64</v>
      </c>
      <c r="DK68" s="17" t="str">
        <f t="shared" si="42"/>
        <v/>
      </c>
      <c r="DL68" t="str">
        <f t="shared" si="43"/>
        <v/>
      </c>
      <c r="DM68" s="18" t="str">
        <f t="shared" si="44"/>
        <v/>
      </c>
      <c r="DN68">
        <v>64</v>
      </c>
      <c r="DS68" t="e">
        <f t="shared" si="82"/>
        <v>#VALUE!</v>
      </c>
      <c r="DT68" t="e">
        <f t="shared" si="46"/>
        <v>#VALUE!</v>
      </c>
      <c r="DU68" s="17" t="e">
        <f t="shared" si="55"/>
        <v>#VALUE!</v>
      </c>
      <c r="DV68" s="18" t="e">
        <f t="shared" si="56"/>
        <v>#VALUE!</v>
      </c>
      <c r="DW68" s="17" t="e">
        <f t="shared" si="57"/>
        <v>#VALUE!</v>
      </c>
      <c r="DX68" s="18" t="e">
        <f t="shared" si="58"/>
        <v>#VALUE!</v>
      </c>
      <c r="DY68">
        <v>64</v>
      </c>
      <c r="EF68">
        <f>'Calcs-control1'!BD78</f>
        <v>85.700119075688391</v>
      </c>
      <c r="EG68">
        <f>'Calcs-control1'!AO150</f>
        <v>20.103052605380814</v>
      </c>
      <c r="EH68">
        <f>'Calcs-control1'!BA150</f>
        <v>30.6799527898376</v>
      </c>
      <c r="EO68">
        <f t="shared" si="47"/>
        <v>78.159904093262782</v>
      </c>
      <c r="EP68">
        <f t="shared" ref="EP68:EP74" si="100">0.084*J68*1000/60</f>
        <v>89.6</v>
      </c>
    </row>
    <row r="69" spans="10:146" x14ac:dyDescent="0.3">
      <c r="J69">
        <v>65</v>
      </c>
      <c r="K69">
        <f t="shared" ref="K69:K74" si="101">IF($X$1=1, X69, Y69)</f>
        <v>79.258173933832779</v>
      </c>
      <c r="L69">
        <f t="shared" ref="L69:L74" si="102">K69*EXP(-M69)</f>
        <v>5.6450068859459286</v>
      </c>
      <c r="M69">
        <f t="shared" ref="M69:M74" si="103">K69/N$4</f>
        <v>2.6419391311277591</v>
      </c>
      <c r="S69">
        <f t="shared" si="84"/>
        <v>79.258173933832779</v>
      </c>
      <c r="T69" t="e">
        <f t="shared" ref="T69:T74" si="104">IF(AND($AU$7&lt;1, J69&gt;=$AT$7, J69&lt;$AT$8), L69, NA())</f>
        <v>#N/A</v>
      </c>
      <c r="U69" t="e">
        <f t="shared" si="85"/>
        <v>#N/A</v>
      </c>
      <c r="V69">
        <f t="shared" si="86"/>
        <v>86.449376907501033</v>
      </c>
      <c r="X69">
        <f t="shared" ref="X69:X74" si="105">Q$4*(J69^Q$5)*C$5^Q$6*EXP(-Q$7*O$2)</f>
        <v>79.258173933832779</v>
      </c>
      <c r="Y69">
        <f t="shared" ref="Y69:Y74" si="106">0.084*J69*1000/60</f>
        <v>91</v>
      </c>
      <c r="AA69">
        <f t="shared" ref="AA69:AA74" si="107">$Z$4+$Z$5*$F$5+$Z$6*J69+$Z$7*$Q$1+$Z$8*$I$5</f>
        <v>0</v>
      </c>
      <c r="AB69">
        <f t="shared" ref="AB69:AB74" si="108">EXP(AA69)/(1+EXP(AA69))</f>
        <v>0.5</v>
      </c>
      <c r="AC69" s="17" t="str">
        <f t="shared" si="48"/>
        <v/>
      </c>
      <c r="AD69" s="19" t="str">
        <f t="shared" si="87"/>
        <v/>
      </c>
      <c r="AE69" s="18">
        <v>65</v>
      </c>
      <c r="AH69" s="38">
        <f t="shared" si="60"/>
        <v>5.5</v>
      </c>
      <c r="AI69">
        <v>5.5</v>
      </c>
      <c r="AO69">
        <f t="shared" ref="AO69:AO74" si="109">$AN$3+$AN$4*J69+$AN$5*$F$5^1.5+$AN$6*$AK$26+$AN$8*$O$1*J69</f>
        <v>39.672219466877593</v>
      </c>
      <c r="AP69">
        <f t="shared" si="62"/>
        <v>1</v>
      </c>
      <c r="AQ69" s="19" t="str">
        <f t="shared" ref="AQ69:AQ74" si="110">IF(AND(AP69&gt;=$AQ$1, AP68&lt;$AQ$1), 10, "")</f>
        <v/>
      </c>
      <c r="AR69">
        <v>65</v>
      </c>
      <c r="AV69" s="17" t="str">
        <f t="shared" si="88"/>
        <v/>
      </c>
      <c r="AW69" t="str">
        <f t="shared" si="89"/>
        <v/>
      </c>
      <c r="AX69" s="18">
        <f t="shared" si="90"/>
        <v>79.258173933832779</v>
      </c>
      <c r="AY69">
        <v>65</v>
      </c>
      <c r="BD69">
        <f t="shared" si="91"/>
        <v>0.5</v>
      </c>
      <c r="BE69">
        <f t="shared" si="92"/>
        <v>1</v>
      </c>
      <c r="BF69" s="17" t="str">
        <f t="shared" si="49"/>
        <v/>
      </c>
      <c r="BG69" s="18" t="str">
        <f t="shared" si="50"/>
        <v/>
      </c>
      <c r="BH69" s="17" t="str">
        <f t="shared" si="51"/>
        <v/>
      </c>
      <c r="BI69" s="18" t="str">
        <f t="shared" si="52"/>
        <v/>
      </c>
      <c r="BJ69">
        <v>65</v>
      </c>
      <c r="BW69">
        <v>65</v>
      </c>
      <c r="BX69">
        <f t="shared" ref="BX69:BX74" si="111">IF($CL$1=1, CK69, CL69)</f>
        <v>80.940511585999317</v>
      </c>
      <c r="BY69">
        <f t="shared" ref="BY69:BY74" si="112">BX69*EXP(-BZ69)</f>
        <v>12.244814276294163</v>
      </c>
      <c r="BZ69">
        <f t="shared" ref="BZ69:BZ74" si="113">BX69/CA$4</f>
        <v>1.888611937006651</v>
      </c>
      <c r="CF69" t="e">
        <f t="shared" si="93"/>
        <v>#N/A</v>
      </c>
      <c r="CG69" t="e">
        <f t="shared" si="94"/>
        <v>#N/A</v>
      </c>
      <c r="CH69" t="e">
        <f t="shared" si="95"/>
        <v>#N/A</v>
      </c>
      <c r="CI69">
        <f t="shared" si="96"/>
        <v>86.449376907501033</v>
      </c>
      <c r="CK69">
        <f t="shared" ref="CK69:CK74" si="114">CD$4*(BW69^CD$5)*BP$5^CD$6*EXP(-CD$7*CB$2)</f>
        <v>80.940511585999317</v>
      </c>
      <c r="CL69">
        <f t="shared" ref="CL69:CL74" si="115">0.084*BW69*1000/60</f>
        <v>91</v>
      </c>
      <c r="CN69" t="e">
        <f t="shared" si="97"/>
        <v>#VALUE!</v>
      </c>
      <c r="CO69" t="e">
        <f t="shared" ref="CO69:CO74" si="116">EXP(CN69)/(1+EXP(CN69))</f>
        <v>#VALUE!</v>
      </c>
      <c r="CP69" s="17" t="e">
        <f t="shared" si="53"/>
        <v>#VALUE!</v>
      </c>
      <c r="CQ69" s="18" t="str">
        <f t="shared" si="98"/>
        <v/>
      </c>
      <c r="CR69">
        <v>65</v>
      </c>
      <c r="CW69" s="38" t="str">
        <f t="shared" si="59"/>
        <v/>
      </c>
      <c r="CX69">
        <v>5.5</v>
      </c>
      <c r="DD69" t="e">
        <f t="shared" si="99"/>
        <v>#VALUE!</v>
      </c>
      <c r="DE69" t="e">
        <f t="shared" si="83"/>
        <v>#VALUE!</v>
      </c>
      <c r="DF69" s="19" t="e">
        <f t="shared" si="54"/>
        <v>#VALUE!</v>
      </c>
      <c r="DG69">
        <v>65</v>
      </c>
      <c r="DK69" s="17" t="str">
        <f t="shared" ref="DK69:DK74" si="117">IFERROR(CH69, "")</f>
        <v/>
      </c>
      <c r="DL69" t="str">
        <f t="shared" ref="DL69:DL74" si="118">IFERROR(CG69, "")</f>
        <v/>
      </c>
      <c r="DM69" s="18" t="str">
        <f t="shared" ref="DM69:DM74" si="119">IFERROR(CF69, "")</f>
        <v/>
      </c>
      <c r="DN69">
        <v>65</v>
      </c>
      <c r="DS69" t="e">
        <f t="shared" si="82"/>
        <v>#VALUE!</v>
      </c>
      <c r="DT69" t="e">
        <f t="shared" ref="DT69:DT74" si="120">DE69</f>
        <v>#VALUE!</v>
      </c>
      <c r="DU69" s="17" t="e">
        <f t="shared" si="55"/>
        <v>#VALUE!</v>
      </c>
      <c r="DV69" s="18" t="e">
        <f t="shared" si="56"/>
        <v>#VALUE!</v>
      </c>
      <c r="DW69" s="17" t="e">
        <f t="shared" si="57"/>
        <v>#VALUE!</v>
      </c>
      <c r="DX69" s="18" t="e">
        <f t="shared" si="58"/>
        <v>#VALUE!</v>
      </c>
      <c r="DY69">
        <v>65</v>
      </c>
      <c r="EF69">
        <f>'Calcs-control1'!BD79</f>
        <v>86.449376907501033</v>
      </c>
      <c r="EG69">
        <f>'Calcs-control1'!AO151</f>
        <v>20.171045522189271</v>
      </c>
      <c r="EH69">
        <f>'Calcs-control1'!BA151</f>
        <v>30.700082726882204</v>
      </c>
      <c r="EO69">
        <f t="shared" ref="EO69:EO74" si="121">$Q$4*($J69^$Q$5)*$C$5^$Q$6*EXP(-$Q$7*$O$2)</f>
        <v>79.258173933832779</v>
      </c>
      <c r="EP69">
        <f t="shared" si="100"/>
        <v>91</v>
      </c>
    </row>
    <row r="70" spans="10:146" x14ac:dyDescent="0.3">
      <c r="J70">
        <v>66</v>
      </c>
      <c r="K70">
        <f t="shared" si="101"/>
        <v>80.354755357670854</v>
      </c>
      <c r="L70">
        <f t="shared" si="102"/>
        <v>5.517690738156463</v>
      </c>
      <c r="M70">
        <f t="shared" si="103"/>
        <v>2.6784918452556949</v>
      </c>
      <c r="S70">
        <f t="shared" si="84"/>
        <v>80.354755357670854</v>
      </c>
      <c r="T70" t="e">
        <f t="shared" si="104"/>
        <v>#N/A</v>
      </c>
      <c r="U70" t="e">
        <f t="shared" si="85"/>
        <v>#N/A</v>
      </c>
      <c r="V70">
        <f t="shared" si="86"/>
        <v>87.142672121290872</v>
      </c>
      <c r="X70">
        <f t="shared" si="105"/>
        <v>80.354755357670854</v>
      </c>
      <c r="Y70">
        <f t="shared" si="106"/>
        <v>92.40000000000002</v>
      </c>
      <c r="AA70">
        <f t="shared" si="107"/>
        <v>0</v>
      </c>
      <c r="AB70">
        <f t="shared" si="108"/>
        <v>0.5</v>
      </c>
      <c r="AC70" s="17" t="str">
        <f t="shared" ref="AC70:AC74" si="122">IF(AND(AB70&gt;=$AC$1, AB69&lt;$AC$1), 10, "")</f>
        <v/>
      </c>
      <c r="AD70" s="19" t="str">
        <f t="shared" si="87"/>
        <v/>
      </c>
      <c r="AE70" s="18">
        <v>66</v>
      </c>
      <c r="AH70" s="38">
        <f t="shared" si="60"/>
        <v>6</v>
      </c>
      <c r="AI70">
        <v>6</v>
      </c>
      <c r="AO70">
        <f t="shared" si="109"/>
        <v>40.483051018611604</v>
      </c>
      <c r="AP70">
        <f t="shared" si="62"/>
        <v>1</v>
      </c>
      <c r="AQ70" s="19" t="str">
        <f t="shared" si="110"/>
        <v/>
      </c>
      <c r="AR70">
        <v>66</v>
      </c>
      <c r="AV70" s="17" t="str">
        <f t="shared" si="88"/>
        <v/>
      </c>
      <c r="AW70" t="str">
        <f t="shared" si="89"/>
        <v/>
      </c>
      <c r="AX70" s="18">
        <f t="shared" si="90"/>
        <v>80.354755357670854</v>
      </c>
      <c r="AY70">
        <v>66</v>
      </c>
      <c r="BD70">
        <f t="shared" si="91"/>
        <v>0.5</v>
      </c>
      <c r="BE70">
        <f t="shared" si="92"/>
        <v>1</v>
      </c>
      <c r="BF70" s="17" t="str">
        <f t="shared" ref="BF70:BF74" si="123">IF(AND(BD70&gt;$BF$3, BD69&lt;$BF$3), 20, "")</f>
        <v/>
      </c>
      <c r="BG70" s="18" t="str">
        <f t="shared" ref="BG70:BG74" si="124">IF(AND(BD70&gt;$BG$3, BD69&lt;$BG$3), 80, "")</f>
        <v/>
      </c>
      <c r="BH70" s="17" t="str">
        <f t="shared" ref="BH70:BH74" si="125">IF(AND(BE70&gt;$BF$3, BE69&lt;$BF$3), 20, "")</f>
        <v/>
      </c>
      <c r="BI70" s="18" t="str">
        <f t="shared" ref="BI70:BI74" si="126">IF(AND(BE70&gt;$BG$3, BE69&lt;$BG$3), 80, "")</f>
        <v/>
      </c>
      <c r="BJ70">
        <v>66</v>
      </c>
      <c r="BW70">
        <v>66</v>
      </c>
      <c r="BX70">
        <f t="shared" si="111"/>
        <v>82.060369097670673</v>
      </c>
      <c r="BY70">
        <f t="shared" si="112"/>
        <v>12.094045684452261</v>
      </c>
      <c r="BZ70">
        <f t="shared" si="113"/>
        <v>1.9147419456123158</v>
      </c>
      <c r="CF70" t="e">
        <f t="shared" si="93"/>
        <v>#N/A</v>
      </c>
      <c r="CG70" t="e">
        <f t="shared" si="94"/>
        <v>#N/A</v>
      </c>
      <c r="CH70" t="e">
        <f t="shared" si="95"/>
        <v>#N/A</v>
      </c>
      <c r="CI70">
        <f t="shared" si="96"/>
        <v>87.142672121290872</v>
      </c>
      <c r="CK70">
        <f t="shared" si="114"/>
        <v>82.060369097670673</v>
      </c>
      <c r="CL70">
        <f t="shared" si="115"/>
        <v>92.40000000000002</v>
      </c>
      <c r="CN70" t="e">
        <f t="shared" si="97"/>
        <v>#VALUE!</v>
      </c>
      <c r="CO70" t="e">
        <f t="shared" si="116"/>
        <v>#VALUE!</v>
      </c>
      <c r="CP70" s="17" t="e">
        <f t="shared" ref="CP70:CP74" si="127">IF(AND(CO70&gt;=$CP$1, CO69&lt;$CP$1), 10, "")</f>
        <v>#VALUE!</v>
      </c>
      <c r="CQ70" s="18" t="str">
        <f t="shared" si="98"/>
        <v/>
      </c>
      <c r="CR70">
        <v>66</v>
      </c>
      <c r="CW70" s="38" t="str">
        <f t="shared" si="59"/>
        <v/>
      </c>
      <c r="CX70">
        <v>6</v>
      </c>
      <c r="DD70" t="e">
        <f t="shared" si="99"/>
        <v>#VALUE!</v>
      </c>
      <c r="DE70" t="e">
        <f t="shared" si="83"/>
        <v>#VALUE!</v>
      </c>
      <c r="DF70" s="19" t="e">
        <f t="shared" ref="DF70:DF74" si="128">IF(AND(DE70&gt;=$DF$1, DE69&lt;$DF$1), 10, "")</f>
        <v>#VALUE!</v>
      </c>
      <c r="DG70">
        <v>66</v>
      </c>
      <c r="DK70" s="17" t="str">
        <f t="shared" si="117"/>
        <v/>
      </c>
      <c r="DL70" t="str">
        <f t="shared" si="118"/>
        <v/>
      </c>
      <c r="DM70" s="18" t="str">
        <f t="shared" si="119"/>
        <v/>
      </c>
      <c r="DN70">
        <v>66</v>
      </c>
      <c r="DS70" t="e">
        <f t="shared" si="82"/>
        <v>#VALUE!</v>
      </c>
      <c r="DT70" t="e">
        <f t="shared" si="120"/>
        <v>#VALUE!</v>
      </c>
      <c r="DU70" s="17" t="e">
        <f t="shared" ref="DU70:DU74" si="129">IF(AND(DS70&gt;$BF$3, DS69&lt;$BF$3), 20, "")</f>
        <v>#VALUE!</v>
      </c>
      <c r="DV70" s="18" t="e">
        <f t="shared" ref="DV70:DV74" si="130">IF(AND(DS70&gt;$BG$3, DS69&lt;$BG$3), 80, "")</f>
        <v>#VALUE!</v>
      </c>
      <c r="DW70" s="17" t="e">
        <f t="shared" ref="DW70:DW74" si="131">IF(AND(DT70&gt;$BF$3, DT69&lt;$BF$3), 20, "")</f>
        <v>#VALUE!</v>
      </c>
      <c r="DX70" s="18" t="e">
        <f t="shared" ref="DX70:DX74" si="132">IF(AND(DT70&gt;$BG$3, DT69&lt;$BG$3), 80, "")</f>
        <v>#VALUE!</v>
      </c>
      <c r="DY70">
        <v>66</v>
      </c>
      <c r="EF70">
        <f>'Calcs-control1'!BD80</f>
        <v>87.142672121290872</v>
      </c>
      <c r="EG70">
        <f>'Calcs-control1'!AO152</f>
        <v>20.233432019530206</v>
      </c>
      <c r="EH70">
        <f>'Calcs-control1'!BA152</f>
        <v>30.718292744531592</v>
      </c>
      <c r="EO70">
        <f t="shared" si="121"/>
        <v>80.354755357670854</v>
      </c>
      <c r="EP70">
        <f t="shared" si="100"/>
        <v>92.40000000000002</v>
      </c>
    </row>
    <row r="71" spans="10:146" x14ac:dyDescent="0.3">
      <c r="J71">
        <v>67</v>
      </c>
      <c r="K71">
        <f t="shared" si="101"/>
        <v>81.44967648591529</v>
      </c>
      <c r="L71">
        <f t="shared" si="102"/>
        <v>5.3924301547813265</v>
      </c>
      <c r="M71">
        <f t="shared" si="103"/>
        <v>2.7149892161971763</v>
      </c>
      <c r="S71">
        <f t="shared" si="84"/>
        <v>81.44967648591529</v>
      </c>
      <c r="T71" t="e">
        <f t="shared" si="104"/>
        <v>#N/A</v>
      </c>
      <c r="U71" t="e">
        <f t="shared" si="85"/>
        <v>#N/A</v>
      </c>
      <c r="V71">
        <f t="shared" si="86"/>
        <v>87.783964543241495</v>
      </c>
      <c r="X71">
        <f t="shared" si="105"/>
        <v>81.44967648591529</v>
      </c>
      <c r="Y71">
        <f t="shared" si="106"/>
        <v>93.8</v>
      </c>
      <c r="AA71">
        <f t="shared" si="107"/>
        <v>0</v>
      </c>
      <c r="AB71">
        <f t="shared" si="108"/>
        <v>0.5</v>
      </c>
      <c r="AC71" s="17" t="str">
        <f t="shared" si="122"/>
        <v/>
      </c>
      <c r="AD71" s="19" t="str">
        <f t="shared" si="87"/>
        <v/>
      </c>
      <c r="AE71" s="18">
        <v>67</v>
      </c>
      <c r="AO71">
        <f t="shared" si="109"/>
        <v>41.29388257034563</v>
      </c>
      <c r="AP71">
        <f t="shared" si="62"/>
        <v>1</v>
      </c>
      <c r="AQ71" s="19" t="str">
        <f t="shared" si="110"/>
        <v/>
      </c>
      <c r="AR71">
        <v>67</v>
      </c>
      <c r="AV71" s="17" t="str">
        <f t="shared" si="88"/>
        <v/>
      </c>
      <c r="AW71" t="str">
        <f t="shared" si="89"/>
        <v/>
      </c>
      <c r="AX71" s="18">
        <f t="shared" si="90"/>
        <v>81.44967648591529</v>
      </c>
      <c r="AY71">
        <v>67</v>
      </c>
      <c r="BD71">
        <f t="shared" si="91"/>
        <v>0.5</v>
      </c>
      <c r="BE71">
        <f t="shared" si="92"/>
        <v>1</v>
      </c>
      <c r="BF71" s="17" t="str">
        <f t="shared" si="123"/>
        <v/>
      </c>
      <c r="BG71" s="18" t="str">
        <f t="shared" si="124"/>
        <v/>
      </c>
      <c r="BH71" s="17" t="str">
        <f t="shared" si="125"/>
        <v/>
      </c>
      <c r="BI71" s="18" t="str">
        <f t="shared" si="126"/>
        <v/>
      </c>
      <c r="BJ71">
        <v>67</v>
      </c>
      <c r="BW71">
        <v>67</v>
      </c>
      <c r="BX71">
        <f t="shared" si="111"/>
        <v>83.178531072237618</v>
      </c>
      <c r="BY71">
        <f t="shared" si="112"/>
        <v>11.943137944359144</v>
      </c>
      <c r="BZ71">
        <f t="shared" si="113"/>
        <v>1.9408323916855446</v>
      </c>
      <c r="CF71" t="e">
        <f t="shared" si="93"/>
        <v>#N/A</v>
      </c>
      <c r="CG71" t="e">
        <f t="shared" si="94"/>
        <v>#N/A</v>
      </c>
      <c r="CH71" t="e">
        <f t="shared" si="95"/>
        <v>#N/A</v>
      </c>
      <c r="CI71">
        <f t="shared" si="96"/>
        <v>87.783964543241495</v>
      </c>
      <c r="CK71">
        <f t="shared" si="114"/>
        <v>83.178531072237618</v>
      </c>
      <c r="CL71">
        <f t="shared" si="115"/>
        <v>93.8</v>
      </c>
      <c r="CN71" t="e">
        <f t="shared" si="97"/>
        <v>#VALUE!</v>
      </c>
      <c r="CO71" t="e">
        <f t="shared" si="116"/>
        <v>#VALUE!</v>
      </c>
      <c r="CP71" s="17" t="e">
        <f t="shared" si="127"/>
        <v>#VALUE!</v>
      </c>
      <c r="CQ71" s="18" t="str">
        <f t="shared" si="98"/>
        <v/>
      </c>
      <c r="CR71">
        <v>67</v>
      </c>
      <c r="DD71" t="e">
        <f t="shared" si="99"/>
        <v>#VALUE!</v>
      </c>
      <c r="DE71" t="e">
        <f t="shared" si="83"/>
        <v>#VALUE!</v>
      </c>
      <c r="DF71" s="19" t="e">
        <f t="shared" si="128"/>
        <v>#VALUE!</v>
      </c>
      <c r="DG71">
        <v>67</v>
      </c>
      <c r="DK71" s="17" t="str">
        <f t="shared" si="117"/>
        <v/>
      </c>
      <c r="DL71" t="str">
        <f t="shared" si="118"/>
        <v/>
      </c>
      <c r="DM71" s="18" t="str">
        <f t="shared" si="119"/>
        <v/>
      </c>
      <c r="DN71">
        <v>67</v>
      </c>
      <c r="DS71" t="e">
        <f t="shared" si="82"/>
        <v>#VALUE!</v>
      </c>
      <c r="DT71" t="e">
        <f t="shared" si="120"/>
        <v>#VALUE!</v>
      </c>
      <c r="DU71" s="17" t="e">
        <f t="shared" si="129"/>
        <v>#VALUE!</v>
      </c>
      <c r="DV71" s="18" t="e">
        <f t="shared" si="130"/>
        <v>#VALUE!</v>
      </c>
      <c r="DW71" s="17" t="e">
        <f t="shared" si="131"/>
        <v>#VALUE!</v>
      </c>
      <c r="DX71" s="18" t="e">
        <f t="shared" si="132"/>
        <v>#VALUE!</v>
      </c>
      <c r="DY71">
        <v>67</v>
      </c>
      <c r="EF71">
        <f>'Calcs-control1'!BD81</f>
        <v>87.783964543241495</v>
      </c>
      <c r="EG71">
        <f>'Calcs-control1'!AO153</f>
        <v>20.290693054578593</v>
      </c>
      <c r="EH71">
        <f>'Calcs-control1'!BA153</f>
        <v>30.734789716840911</v>
      </c>
      <c r="EO71">
        <f t="shared" si="121"/>
        <v>81.44967648591529</v>
      </c>
      <c r="EP71">
        <f t="shared" si="100"/>
        <v>93.8</v>
      </c>
    </row>
    <row r="72" spans="10:146" x14ac:dyDescent="0.3">
      <c r="J72">
        <v>68</v>
      </c>
      <c r="K72">
        <f t="shared" si="101"/>
        <v>82.542964558855019</v>
      </c>
      <c r="L72">
        <f t="shared" si="102"/>
        <v>5.2692434182640175</v>
      </c>
      <c r="M72">
        <f t="shared" si="103"/>
        <v>2.7514321519618341</v>
      </c>
      <c r="S72">
        <f t="shared" si="84"/>
        <v>82.542964558855019</v>
      </c>
      <c r="T72" t="e">
        <f t="shared" si="104"/>
        <v>#N/A</v>
      </c>
      <c r="U72" t="e">
        <f t="shared" si="85"/>
        <v>#N/A</v>
      </c>
      <c r="V72">
        <f t="shared" si="86"/>
        <v>88.376968733317312</v>
      </c>
      <c r="X72">
        <f t="shared" si="105"/>
        <v>82.542964558855019</v>
      </c>
      <c r="Y72">
        <f t="shared" si="106"/>
        <v>95.200000000000017</v>
      </c>
      <c r="AA72">
        <f t="shared" si="107"/>
        <v>0</v>
      </c>
      <c r="AB72">
        <f t="shared" si="108"/>
        <v>0.5</v>
      </c>
      <c r="AC72" s="17" t="str">
        <f t="shared" si="122"/>
        <v/>
      </c>
      <c r="AD72" s="19" t="str">
        <f t="shared" si="87"/>
        <v/>
      </c>
      <c r="AE72" s="18">
        <v>68</v>
      </c>
      <c r="AO72">
        <f t="shared" si="109"/>
        <v>42.104714122079642</v>
      </c>
      <c r="AP72">
        <f t="shared" si="62"/>
        <v>1</v>
      </c>
      <c r="AQ72" s="19" t="str">
        <f t="shared" si="110"/>
        <v/>
      </c>
      <c r="AR72">
        <v>68</v>
      </c>
      <c r="AV72" s="17" t="str">
        <f t="shared" si="88"/>
        <v/>
      </c>
      <c r="AW72" t="str">
        <f t="shared" si="89"/>
        <v/>
      </c>
      <c r="AX72" s="18">
        <f t="shared" si="90"/>
        <v>82.542964558855019</v>
      </c>
      <c r="AY72">
        <v>68</v>
      </c>
      <c r="BD72">
        <f t="shared" si="91"/>
        <v>0.5</v>
      </c>
      <c r="BE72">
        <f t="shared" si="92"/>
        <v>1</v>
      </c>
      <c r="BF72" s="17" t="str">
        <f t="shared" si="123"/>
        <v/>
      </c>
      <c r="BG72" s="18" t="str">
        <f t="shared" si="124"/>
        <v/>
      </c>
      <c r="BH72" s="17" t="str">
        <f t="shared" si="125"/>
        <v/>
      </c>
      <c r="BI72" s="18" t="str">
        <f t="shared" si="126"/>
        <v/>
      </c>
      <c r="BJ72">
        <v>68</v>
      </c>
      <c r="BW72">
        <v>68</v>
      </c>
      <c r="BX72">
        <f t="shared" si="111"/>
        <v>84.295025328192693</v>
      </c>
      <c r="BY72">
        <f t="shared" si="112"/>
        <v>11.792207446300978</v>
      </c>
      <c r="BZ72">
        <f t="shared" si="113"/>
        <v>1.9668839243244962</v>
      </c>
      <c r="CF72" t="e">
        <f t="shared" si="93"/>
        <v>#N/A</v>
      </c>
      <c r="CG72" t="e">
        <f t="shared" si="94"/>
        <v>#N/A</v>
      </c>
      <c r="CH72" t="e">
        <f t="shared" si="95"/>
        <v>#N/A</v>
      </c>
      <c r="CI72">
        <f t="shared" si="96"/>
        <v>88.376968733317312</v>
      </c>
      <c r="CK72">
        <f t="shared" si="114"/>
        <v>84.295025328192693</v>
      </c>
      <c r="CL72">
        <f t="shared" si="115"/>
        <v>95.200000000000017</v>
      </c>
      <c r="CN72" t="e">
        <f t="shared" si="97"/>
        <v>#VALUE!</v>
      </c>
      <c r="CO72" t="e">
        <f t="shared" si="116"/>
        <v>#VALUE!</v>
      </c>
      <c r="CP72" s="17" t="e">
        <f t="shared" si="127"/>
        <v>#VALUE!</v>
      </c>
      <c r="CQ72" s="18" t="str">
        <f t="shared" si="98"/>
        <v/>
      </c>
      <c r="CR72">
        <v>68</v>
      </c>
      <c r="DD72" t="e">
        <f t="shared" si="99"/>
        <v>#VALUE!</v>
      </c>
      <c r="DE72" t="e">
        <f t="shared" si="83"/>
        <v>#VALUE!</v>
      </c>
      <c r="DF72" s="19" t="e">
        <f t="shared" si="128"/>
        <v>#VALUE!</v>
      </c>
      <c r="DG72">
        <v>68</v>
      </c>
      <c r="DK72" s="17" t="str">
        <f t="shared" si="117"/>
        <v/>
      </c>
      <c r="DL72" t="str">
        <f t="shared" si="118"/>
        <v/>
      </c>
      <c r="DM72" s="18" t="str">
        <f t="shared" si="119"/>
        <v/>
      </c>
      <c r="DN72">
        <v>68</v>
      </c>
      <c r="DS72" t="e">
        <f t="shared" si="82"/>
        <v>#VALUE!</v>
      </c>
      <c r="DT72" t="e">
        <f t="shared" si="120"/>
        <v>#VALUE!</v>
      </c>
      <c r="DU72" s="17" t="e">
        <f t="shared" si="129"/>
        <v>#VALUE!</v>
      </c>
      <c r="DV72" s="18" t="e">
        <f t="shared" si="130"/>
        <v>#VALUE!</v>
      </c>
      <c r="DW72" s="17" t="e">
        <f t="shared" si="131"/>
        <v>#VALUE!</v>
      </c>
      <c r="DX72" s="18" t="e">
        <f t="shared" si="132"/>
        <v>#VALUE!</v>
      </c>
      <c r="DY72">
        <v>68</v>
      </c>
      <c r="EF72">
        <f>'Calcs-control1'!BD82</f>
        <v>88.376968733317312</v>
      </c>
      <c r="EG72">
        <f>'Calcs-control1'!AO154</f>
        <v>20.343265583473066</v>
      </c>
      <c r="EH72">
        <f>'Calcs-control1'!BA154</f>
        <v>30.749754670663773</v>
      </c>
      <c r="EO72">
        <f t="shared" si="121"/>
        <v>82.542964558855019</v>
      </c>
      <c r="EP72">
        <f t="shared" si="100"/>
        <v>95.200000000000017</v>
      </c>
    </row>
    <row r="73" spans="10:146" x14ac:dyDescent="0.3">
      <c r="J73">
        <v>69</v>
      </c>
      <c r="K73">
        <f t="shared" si="101"/>
        <v>83.634645976062217</v>
      </c>
      <c r="L73">
        <f t="shared" si="102"/>
        <v>5.1481443391856807</v>
      </c>
      <c r="M73">
        <f t="shared" si="103"/>
        <v>2.7878215325354074</v>
      </c>
      <c r="S73">
        <f t="shared" si="84"/>
        <v>83.634645976062217</v>
      </c>
      <c r="T73" t="e">
        <f t="shared" si="104"/>
        <v>#N/A</v>
      </c>
      <c r="U73" t="e">
        <f t="shared" si="85"/>
        <v>#N/A</v>
      </c>
      <c r="V73">
        <f t="shared" si="86"/>
        <v>88.925163325990212</v>
      </c>
      <c r="X73">
        <f t="shared" si="105"/>
        <v>83.634645976062217</v>
      </c>
      <c r="Y73">
        <f t="shared" si="106"/>
        <v>96.6</v>
      </c>
      <c r="AA73">
        <f t="shared" si="107"/>
        <v>0</v>
      </c>
      <c r="AB73">
        <f t="shared" si="108"/>
        <v>0.5</v>
      </c>
      <c r="AC73" s="17" t="str">
        <f t="shared" si="122"/>
        <v/>
      </c>
      <c r="AD73" s="19" t="str">
        <f t="shared" si="87"/>
        <v/>
      </c>
      <c r="AE73" s="18">
        <v>69</v>
      </c>
      <c r="AO73">
        <f t="shared" si="109"/>
        <v>42.915545673813668</v>
      </c>
      <c r="AP73">
        <f t="shared" si="62"/>
        <v>1</v>
      </c>
      <c r="AQ73" s="19" t="str">
        <f t="shared" si="110"/>
        <v/>
      </c>
      <c r="AR73">
        <v>69</v>
      </c>
      <c r="AV73" s="17" t="str">
        <f t="shared" si="88"/>
        <v/>
      </c>
      <c r="AW73" t="str">
        <f t="shared" si="89"/>
        <v/>
      </c>
      <c r="AX73" s="18">
        <f t="shared" si="90"/>
        <v>83.634645976062217</v>
      </c>
      <c r="AY73">
        <v>69</v>
      </c>
      <c r="BD73">
        <f t="shared" si="91"/>
        <v>0.5</v>
      </c>
      <c r="BE73">
        <f t="shared" si="92"/>
        <v>1</v>
      </c>
      <c r="BF73" s="17" t="str">
        <f t="shared" si="123"/>
        <v/>
      </c>
      <c r="BG73" s="18" t="str">
        <f t="shared" si="124"/>
        <v/>
      </c>
      <c r="BH73" s="17" t="str">
        <f t="shared" si="125"/>
        <v/>
      </c>
      <c r="BI73" s="18" t="str">
        <f t="shared" si="126"/>
        <v/>
      </c>
      <c r="BJ73">
        <v>69</v>
      </c>
      <c r="BW73">
        <v>69</v>
      </c>
      <c r="BX73">
        <f t="shared" si="111"/>
        <v>85.409878825466635</v>
      </c>
      <c r="BY73">
        <f t="shared" si="112"/>
        <v>11.64136377945235</v>
      </c>
      <c r="BZ73">
        <f t="shared" si="113"/>
        <v>1.9928971725942217</v>
      </c>
      <c r="CF73" t="e">
        <f t="shared" si="93"/>
        <v>#N/A</v>
      </c>
      <c r="CG73" t="e">
        <f t="shared" si="94"/>
        <v>#N/A</v>
      </c>
      <c r="CH73" t="e">
        <f t="shared" si="95"/>
        <v>#N/A</v>
      </c>
      <c r="CI73">
        <f t="shared" si="96"/>
        <v>88.925163325990212</v>
      </c>
      <c r="CK73">
        <f t="shared" si="114"/>
        <v>85.409878825466635</v>
      </c>
      <c r="CL73">
        <f t="shared" si="115"/>
        <v>96.6</v>
      </c>
      <c r="CN73" t="e">
        <f t="shared" si="97"/>
        <v>#VALUE!</v>
      </c>
      <c r="CO73" t="e">
        <f t="shared" si="116"/>
        <v>#VALUE!</v>
      </c>
      <c r="CP73" s="17" t="e">
        <f t="shared" si="127"/>
        <v>#VALUE!</v>
      </c>
      <c r="CQ73" s="18" t="str">
        <f t="shared" si="98"/>
        <v/>
      </c>
      <c r="CR73">
        <v>69</v>
      </c>
      <c r="DD73" t="e">
        <f t="shared" si="99"/>
        <v>#VALUE!</v>
      </c>
      <c r="DE73" t="e">
        <f t="shared" si="83"/>
        <v>#VALUE!</v>
      </c>
      <c r="DF73" s="19" t="e">
        <f t="shared" si="128"/>
        <v>#VALUE!</v>
      </c>
      <c r="DG73">
        <v>69</v>
      </c>
      <c r="DK73" s="17" t="str">
        <f t="shared" si="117"/>
        <v/>
      </c>
      <c r="DL73" t="str">
        <f t="shared" si="118"/>
        <v/>
      </c>
      <c r="DM73" s="18" t="str">
        <f t="shared" si="119"/>
        <v/>
      </c>
      <c r="DN73">
        <v>69</v>
      </c>
      <c r="DS73" t="e">
        <f t="shared" si="82"/>
        <v>#VALUE!</v>
      </c>
      <c r="DT73" t="e">
        <f t="shared" si="120"/>
        <v>#VALUE!</v>
      </c>
      <c r="DU73" s="17" t="e">
        <f t="shared" si="129"/>
        <v>#VALUE!</v>
      </c>
      <c r="DV73" s="18" t="e">
        <f t="shared" si="130"/>
        <v>#VALUE!</v>
      </c>
      <c r="DW73" s="17" t="e">
        <f t="shared" si="131"/>
        <v>#VALUE!</v>
      </c>
      <c r="DX73" s="18" t="e">
        <f t="shared" si="132"/>
        <v>#VALUE!</v>
      </c>
      <c r="DY73">
        <v>69</v>
      </c>
      <c r="EF73">
        <f>'Calcs-control1'!BD83</f>
        <v>88.925163325990212</v>
      </c>
      <c r="EG73">
        <f>'Calcs-control1'!AO155</f>
        <v>20.391546976409426</v>
      </c>
      <c r="EH73">
        <f>'Calcs-control1'!BA155</f>
        <v>30.763346529026553</v>
      </c>
      <c r="EO73">
        <f t="shared" si="121"/>
        <v>83.634645976062217</v>
      </c>
      <c r="EP73">
        <f t="shared" si="100"/>
        <v>96.6</v>
      </c>
    </row>
    <row r="74" spans="10:146" x14ac:dyDescent="0.3">
      <c r="J74">
        <v>70</v>
      </c>
      <c r="K74">
        <f t="shared" si="101"/>
        <v>84.724746334141784</v>
      </c>
      <c r="L74">
        <f t="shared" si="102"/>
        <v>5.0291426001721042</v>
      </c>
      <c r="M74">
        <f t="shared" si="103"/>
        <v>2.8241582111380596</v>
      </c>
      <c r="S74">
        <f t="shared" si="84"/>
        <v>84.724746334141784</v>
      </c>
      <c r="T74" t="e">
        <f t="shared" si="104"/>
        <v>#N/A</v>
      </c>
      <c r="U74" t="e">
        <f t="shared" si="85"/>
        <v>#N/A</v>
      </c>
      <c r="V74">
        <f t="shared" si="86"/>
        <v>89.431801134934886</v>
      </c>
      <c r="X74">
        <f t="shared" si="105"/>
        <v>84.724746334141784</v>
      </c>
      <c r="Y74">
        <f t="shared" si="106"/>
        <v>98.000000000000014</v>
      </c>
      <c r="AA74">
        <f t="shared" si="107"/>
        <v>0</v>
      </c>
      <c r="AB74">
        <f t="shared" si="108"/>
        <v>0.5</v>
      </c>
      <c r="AC74" s="17" t="str">
        <f t="shared" si="122"/>
        <v/>
      </c>
      <c r="AD74" s="151" t="str">
        <f t="shared" si="87"/>
        <v/>
      </c>
      <c r="AE74" s="67">
        <v>70</v>
      </c>
      <c r="AO74">
        <f t="shared" si="109"/>
        <v>43.726377225547679</v>
      </c>
      <c r="AP74">
        <f t="shared" si="62"/>
        <v>1</v>
      </c>
      <c r="AQ74" s="19" t="str">
        <f t="shared" si="110"/>
        <v/>
      </c>
      <c r="AR74">
        <v>70</v>
      </c>
      <c r="AV74" s="65" t="str">
        <f t="shared" si="88"/>
        <v/>
      </c>
      <c r="AW74" s="66" t="str">
        <f t="shared" si="89"/>
        <v/>
      </c>
      <c r="AX74" s="67">
        <f t="shared" si="90"/>
        <v>84.724746334141784</v>
      </c>
      <c r="AY74">
        <v>70</v>
      </c>
      <c r="BD74">
        <f t="shared" si="91"/>
        <v>0.5</v>
      </c>
      <c r="BE74">
        <f t="shared" si="92"/>
        <v>1</v>
      </c>
      <c r="BF74" s="65" t="str">
        <f t="shared" si="123"/>
        <v/>
      </c>
      <c r="BG74" s="67" t="str">
        <f t="shared" si="124"/>
        <v/>
      </c>
      <c r="BH74" s="65" t="str">
        <f t="shared" si="125"/>
        <v/>
      </c>
      <c r="BI74" s="67" t="str">
        <f t="shared" si="126"/>
        <v/>
      </c>
      <c r="BJ74">
        <v>70</v>
      </c>
      <c r="BW74">
        <v>70</v>
      </c>
      <c r="BX74">
        <f t="shared" si="111"/>
        <v>86.52311770397904</v>
      </c>
      <c r="BY74">
        <f t="shared" si="112"/>
        <v>11.490710065306569</v>
      </c>
      <c r="BZ74">
        <f t="shared" si="113"/>
        <v>2.0188727464261778</v>
      </c>
      <c r="CF74" t="e">
        <f t="shared" si="93"/>
        <v>#N/A</v>
      </c>
      <c r="CG74" t="e">
        <f t="shared" si="94"/>
        <v>#N/A</v>
      </c>
      <c r="CH74" t="e">
        <f t="shared" si="95"/>
        <v>#N/A</v>
      </c>
      <c r="CI74">
        <f t="shared" si="96"/>
        <v>89.431801134934886</v>
      </c>
      <c r="CK74">
        <f t="shared" si="114"/>
        <v>86.52311770397904</v>
      </c>
      <c r="CL74">
        <f t="shared" si="115"/>
        <v>98.000000000000014</v>
      </c>
      <c r="CN74" t="e">
        <f t="shared" si="97"/>
        <v>#VALUE!</v>
      </c>
      <c r="CO74" t="e">
        <f t="shared" si="116"/>
        <v>#VALUE!</v>
      </c>
      <c r="CP74" s="17" t="e">
        <f t="shared" si="127"/>
        <v>#VALUE!</v>
      </c>
      <c r="CQ74" s="67" t="str">
        <f t="shared" si="98"/>
        <v/>
      </c>
      <c r="CR74">
        <v>70</v>
      </c>
      <c r="DD74" t="e">
        <f t="shared" si="99"/>
        <v>#VALUE!</v>
      </c>
      <c r="DE74" t="e">
        <f t="shared" si="83"/>
        <v>#VALUE!</v>
      </c>
      <c r="DF74" s="19" t="e">
        <f t="shared" si="128"/>
        <v>#VALUE!</v>
      </c>
      <c r="DG74">
        <v>70</v>
      </c>
      <c r="DK74" s="65" t="str">
        <f t="shared" si="117"/>
        <v/>
      </c>
      <c r="DL74" s="66" t="str">
        <f t="shared" si="118"/>
        <v/>
      </c>
      <c r="DM74" s="67" t="str">
        <f t="shared" si="119"/>
        <v/>
      </c>
      <c r="DN74">
        <v>70</v>
      </c>
      <c r="DS74" t="e">
        <f t="shared" si="82"/>
        <v>#VALUE!</v>
      </c>
      <c r="DT74" t="e">
        <f t="shared" si="120"/>
        <v>#VALUE!</v>
      </c>
      <c r="DU74" s="65" t="e">
        <f t="shared" si="129"/>
        <v>#VALUE!</v>
      </c>
      <c r="DV74" s="67" t="e">
        <f t="shared" si="130"/>
        <v>#VALUE!</v>
      </c>
      <c r="DW74" s="65" t="e">
        <f t="shared" si="131"/>
        <v>#VALUE!</v>
      </c>
      <c r="DX74" s="67" t="e">
        <f t="shared" si="132"/>
        <v>#VALUE!</v>
      </c>
      <c r="DY74">
        <v>70</v>
      </c>
      <c r="EF74">
        <f>'Calcs-control1'!BD84</f>
        <v>89.431801134934886</v>
      </c>
      <c r="EG74">
        <f>'Calcs-control1'!AO156</f>
        <v>20.435898937332762</v>
      </c>
      <c r="EH74">
        <f>'Calcs-control1'!BA156</f>
        <v>30.775705239244701</v>
      </c>
      <c r="EO74">
        <f t="shared" si="121"/>
        <v>84.724746334141784</v>
      </c>
      <c r="EP74">
        <f t="shared" si="100"/>
        <v>98.000000000000014</v>
      </c>
    </row>
    <row r="75" spans="10:146" x14ac:dyDescent="0.3">
      <c r="AC75" t="e">
        <f>IF(MAX(AC4:AC74)&lt;&gt;10, 10, NA())</f>
        <v>#N/A</v>
      </c>
      <c r="AE75">
        <v>0</v>
      </c>
      <c r="AQ75" t="e">
        <f>IF(MAX(AQ4:AQ74)&lt;&gt;10, 10, NA())</f>
        <v>#N/A</v>
      </c>
      <c r="AR75">
        <v>500</v>
      </c>
      <c r="CP75" t="e">
        <f>IF(MAX($CP$4:$CP$74)&lt;&gt;10, 10, NA())</f>
        <v>#VALUE!</v>
      </c>
      <c r="CR75">
        <v>0</v>
      </c>
      <c r="DF75" t="e">
        <f>IF(MAX(DF4:DF74)&lt;&gt;10, 10, NA())</f>
        <v>#VALUE!</v>
      </c>
      <c r="DG75">
        <v>500</v>
      </c>
    </row>
    <row r="76" spans="10:146" x14ac:dyDescent="0.3">
      <c r="J76" s="1"/>
      <c r="K76" s="1"/>
      <c r="AD76" t="e">
        <f>IF(MAX($AD$4:$AD$74)&lt;&gt;90, 90, NA())</f>
        <v>#N/A</v>
      </c>
      <c r="AE76">
        <v>100</v>
      </c>
      <c r="CQ76" t="e">
        <f>IF(MAX($CQ$4:$CQ$74)&lt;&gt;90, 90, NA())</f>
        <v>#N/A</v>
      </c>
      <c r="CR76">
        <v>100</v>
      </c>
      <c r="DC76" s="1"/>
      <c r="DD76" s="57"/>
      <c r="DE76" s="1"/>
      <c r="ED76" s="1"/>
      <c r="EE76" s="1"/>
      <c r="EF76" s="57"/>
      <c r="EG76" s="1"/>
    </row>
    <row r="81" spans="10:137" x14ac:dyDescent="0.3">
      <c r="J81" s="1"/>
      <c r="K81" s="1"/>
      <c r="DC81" s="1"/>
      <c r="DD81" s="57"/>
      <c r="DE81" s="1"/>
      <c r="ED81" s="1"/>
      <c r="EE81" s="1"/>
      <c r="EF81" s="57"/>
      <c r="EG81" s="1"/>
    </row>
    <row r="83" spans="10:137" x14ac:dyDescent="0.3">
      <c r="BN83"/>
    </row>
  </sheetData>
  <pageMargins left="0.7" right="0.7" top="0.75" bottom="0.75" header="0.3" footer="0.3"/>
  <pageSetup paperSize="0" orientation="portrait" horizontalDpi="0" verticalDpi="0" copies="0"/>
  <headerFooter>
    <oddHeader>&amp;R&amp;"Calibri"&amp;12&amp;K000000 UNCLASSIFIED - NON CLASSIFIÉ&amp;1#_x000D_</oddHeader>
  </headerFooter>
</worksheet>
</file>

<file path=docMetadata/LabelInfo.xml><?xml version="1.0" encoding="utf-8"?>
<clbl:labelList xmlns:clbl="http://schemas.microsoft.com/office/2020/mipLabelMetadata">
  <clbl:label id="{219619fd-75dc-48cb-820d-8f683a95dd8b}" enabled="1" method="Privileged" siteId="{05c95b33-90ca-49d5-b644-288b930b912b}"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ROS Graph</vt:lpstr>
      <vt:lpstr>Advanced Settings</vt:lpstr>
      <vt:lpstr>Calculation Tools</vt:lpstr>
      <vt:lpstr>Ladder Fuels</vt:lpstr>
      <vt:lpstr>Settings</vt:lpstr>
      <vt:lpstr>Calcs-control1</vt:lpstr>
      <vt:lpstr>Calcs-control3</vt:lpstr>
      <vt:lpstr>FBP outputs</vt:lpstr>
      <vt:lpstr>CCP Calcs</vt:lpstr>
      <vt:lpstr>'Calcs-control1'!ISI</vt:lpstr>
      <vt:lpstr>'Calcs-control3'!ISI</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dperraki</dc:creator>
  <cp:lastModifiedBy>Perrakis, Daniel</cp:lastModifiedBy>
  <cp:lastPrinted>2011-03-01T18:19:51Z</cp:lastPrinted>
  <dcterms:created xsi:type="dcterms:W3CDTF">2010-09-22T17:53:04Z</dcterms:created>
  <dcterms:modified xsi:type="dcterms:W3CDTF">2023-08-28T19:11:57Z</dcterms:modified>
</cp:coreProperties>
</file>