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icators - Industrial_2020\Nonmanufacturing\Agriculture\"/>
    </mc:Choice>
  </mc:AlternateContent>
  <xr:revisionPtr revIDLastSave="0" documentId="13_ncr:1_{337B64B3-3FEC-45DC-A1F3-0BB8719A8657}" xr6:coauthVersionLast="45" xr6:coauthVersionMax="45" xr10:uidLastSave="{00000000-0000-0000-0000-000000000000}"/>
  <bookViews>
    <workbookView xWindow="3990" yWindow="915" windowWidth="17100" windowHeight="14055" firstSheet="2" activeTab="3" xr2:uid="{00000000-000D-0000-FFFF-FFFF00000000}"/>
  </bookViews>
  <sheets>
    <sheet name="NEA_Data" sheetId="1" r:id="rId1"/>
    <sheet name="BB5AF8A8-8847-3795-A9E8-C8C2807" sheetId="9" r:id="rId2"/>
    <sheet name="Ag Cons by Use" sheetId="10" r:id="rId3"/>
    <sheet name="Farms" sheetId="2" r:id="rId4"/>
    <sheet name="Intensity_estimates" sheetId="8" r:id="rId5"/>
    <sheet name="stb0303" sheetId="7" r:id="rId6"/>
    <sheet name="stb0304" sheetId="4" r:id="rId7"/>
    <sheet name="stb0523a" sheetId="5" r:id="rId8"/>
    <sheet name="stb0523" sheetId="12" r:id="rId9"/>
    <sheet name="stb0524" sheetId="6" r:id="rId10"/>
    <sheet name="Petroleum_prices_fr_Constructio" sheetId="11" r:id="rId11"/>
    <sheet name="Petroleum_prices_2013" sheetId="3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\j" localSheetId="10">#REF!</definedName>
    <definedName name="\j" localSheetId="8">#REF!</definedName>
    <definedName name="\j">#REF!</definedName>
    <definedName name="_1982" localSheetId="10">[1]RECS_2!#REF!</definedName>
    <definedName name="_1982" localSheetId="8">[1]RECS_2!#REF!</definedName>
    <definedName name="_1982">[1]RECS_2!#REF!</definedName>
    <definedName name="AllData" localSheetId="10">#REF!</definedName>
    <definedName name="AllData" localSheetId="8">#REF!</definedName>
    <definedName name="AllData">#REF!</definedName>
    <definedName name="base_row">[2]General_inputs!$M$6</definedName>
    <definedName name="Base_year">[2]General_inputs!$F$6</definedName>
    <definedName name="Base_year2">[2]General_inputs!$F$7</definedName>
    <definedName name="Fuel_type">[3]General_inputs!$F$16</definedName>
    <definedName name="HTML_CodePage" hidden="1">1252</definedName>
    <definedName name="HTML_Control" localSheetId="10" hidden="1">{"'Sheet1'!$A$1:$K$41"}</definedName>
    <definedName name="HTML_Control" localSheetId="8" hidden="1">{"'Sheet1'!$A$1:$K$41"}</definedName>
    <definedName name="HTML_Control" hidden="1">{"'Sheet1'!$A$1:$K$41"}</definedName>
    <definedName name="HTML_Description" hidden="1">""</definedName>
    <definedName name="HTML_Email" hidden="1">""</definedName>
    <definedName name="HTML_Header" hidden="1">""</definedName>
    <definedName name="HTML_LastUpdate" hidden="1">"7/26/00"</definedName>
    <definedName name="HTML_LineAfter" hidden="1">FALSE</definedName>
    <definedName name="HTML_LineBefore" hidden="1">FALSE</definedName>
    <definedName name="HTML_Name" hidden="1">"Stephanie Battles"</definedName>
    <definedName name="HTML_OBDlg2" hidden="1">TRUE</definedName>
    <definedName name="HTML_OBDlg4" hidden="1">TRUE</definedName>
    <definedName name="HTML_OS" hidden="1">0</definedName>
    <definedName name="HTML_PathFile" hidden="1">"C:\WEBSHARE\WWWROOT\efficiency\spreadsheets\MyHTML.htm"</definedName>
    <definedName name="HTML_Title" hidden="1">"Total Square Feet in U.S. Housing Units"</definedName>
    <definedName name="index_label">[2]General_inputs!$U$6</definedName>
    <definedName name="_xlnm.Print_Area" localSheetId="2">'Ag Cons by Use'!$B$6:$AM$49</definedName>
    <definedName name="Print_Area_MI" localSheetId="10">[4]Price!#REF!</definedName>
    <definedName name="Print_Area_MI" localSheetId="8">[4]Price!#REF!</definedName>
    <definedName name="Print_Area_MI">[4]Price!#REF!</definedName>
    <definedName name="_xlnm.Print_Titles" localSheetId="2">'Ag Cons by Use'!$A:$A,'Ag Cons by Use'!$1:$4</definedName>
    <definedName name="QtrData" localSheetId="10">'[5]Authnot Prelim'!#REF!</definedName>
    <definedName name="QtrData" localSheetId="8">'[5]Authnot Prelim'!#REF!</definedName>
    <definedName name="QtrData">'[5]Authnot Prelim'!#REF!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6" i="8" l="1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B53" i="8" l="1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P141" i="2" l="1"/>
  <c r="N141" i="2"/>
  <c r="F91" i="2" l="1"/>
  <c r="E91" i="2"/>
  <c r="L91" i="2"/>
  <c r="L88" i="2"/>
  <c r="L89" i="2"/>
  <c r="L90" i="2"/>
  <c r="O90" i="2"/>
  <c r="O65" i="2"/>
  <c r="O66" i="2"/>
  <c r="T75" i="6"/>
  <c r="O88" i="2" s="1"/>
  <c r="U75" i="6"/>
  <c r="O64" i="2" s="1"/>
  <c r="T76" i="6"/>
  <c r="O89" i="2" s="1"/>
  <c r="U76" i="6"/>
  <c r="T77" i="6"/>
  <c r="U77" i="6"/>
  <c r="T78" i="6"/>
  <c r="U78" i="6"/>
  <c r="V61" i="6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AA51" i="8" l="1"/>
  <c r="AA52" i="8"/>
  <c r="AA53" i="8"/>
  <c r="A8" i="8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7" i="8"/>
  <c r="G51" i="8" l="1"/>
  <c r="G53" i="8"/>
  <c r="G52" i="8"/>
  <c r="G18" i="8" l="1"/>
  <c r="G40" i="8"/>
  <c r="G41" i="8"/>
  <c r="G50" i="8"/>
  <c r="G24" i="8"/>
  <c r="G7" i="8"/>
  <c r="G8" i="8"/>
  <c r="G9" i="8"/>
  <c r="G10" i="8"/>
  <c r="G11" i="8"/>
  <c r="G12" i="8"/>
  <c r="G13" i="8"/>
  <c r="G14" i="8"/>
  <c r="G15" i="8"/>
  <c r="G16" i="8"/>
  <c r="G17" i="8"/>
  <c r="G19" i="8"/>
  <c r="G20" i="8"/>
  <c r="G21" i="8"/>
  <c r="G22" i="8"/>
  <c r="G23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2" i="8"/>
  <c r="G43" i="8"/>
  <c r="G44" i="8"/>
  <c r="G45" i="8"/>
  <c r="G46" i="8"/>
  <c r="G47" i="8"/>
  <c r="G48" i="8"/>
  <c r="G49" i="8"/>
  <c r="AA50" i="8" l="1"/>
  <c r="AA49" i="8"/>
  <c r="AA48" i="8"/>
  <c r="AA47" i="8"/>
  <c r="M123" i="2" l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U71" i="6"/>
  <c r="O60" i="2" s="1"/>
  <c r="U72" i="6"/>
  <c r="O61" i="2" s="1"/>
  <c r="U73" i="6"/>
  <c r="O62" i="2" s="1"/>
  <c r="U74" i="6"/>
  <c r="O63" i="2" s="1"/>
  <c r="T71" i="6" l="1"/>
  <c r="O84" i="2" s="1"/>
  <c r="T72" i="6"/>
  <c r="O85" i="2" s="1"/>
  <c r="T73" i="6"/>
  <c r="O86" i="2" s="1"/>
  <c r="T74" i="6"/>
  <c r="O87" i="2" s="1"/>
  <c r="T70" i="6"/>
  <c r="O83" i="2" s="1"/>
  <c r="U70" i="6"/>
  <c r="O59" i="2" s="1"/>
  <c r="L85" i="2"/>
  <c r="L86" i="2"/>
  <c r="L87" i="2"/>
  <c r="G83" i="2"/>
  <c r="H52" i="7"/>
  <c r="H53" i="7" s="1"/>
  <c r="AB20" i="12"/>
  <c r="AB21" i="12" s="1"/>
  <c r="AA20" i="12"/>
  <c r="AA21" i="12" s="1"/>
  <c r="AA22" i="12" s="1"/>
  <c r="Z20" i="12"/>
  <c r="Z21" i="12" s="1"/>
  <c r="AB19" i="12"/>
  <c r="AF19" i="12" s="1"/>
  <c r="AA19" i="12"/>
  <c r="AE19" i="12" s="1"/>
  <c r="N58" i="2" s="1"/>
  <c r="Z19" i="12"/>
  <c r="AD19" i="12" s="1"/>
  <c r="AB18" i="12"/>
  <c r="AF18" i="12" s="1"/>
  <c r="AA18" i="12"/>
  <c r="AE18" i="12" s="1"/>
  <c r="Z18" i="12"/>
  <c r="AD18" i="12" s="1"/>
  <c r="F81" i="2" s="1"/>
  <c r="Y5" i="12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AB4" i="12" a="1"/>
  <c r="AB17" i="12" s="1"/>
  <c r="AF17" i="12" s="1"/>
  <c r="AA4" i="12" a="1"/>
  <c r="AA17" i="12" s="1"/>
  <c r="AE17" i="12" s="1"/>
  <c r="Z4" i="12" a="1"/>
  <c r="Z17" i="12" s="1"/>
  <c r="AD17" i="12" s="1"/>
  <c r="F80" i="2" s="1"/>
  <c r="H24" i="2"/>
  <c r="H23" i="2"/>
  <c r="H22" i="2"/>
  <c r="H21" i="2"/>
  <c r="G24" i="2"/>
  <c r="G23" i="2"/>
  <c r="G22" i="2"/>
  <c r="G21" i="2"/>
  <c r="F24" i="2"/>
  <c r="F23" i="2"/>
  <c r="F22" i="2"/>
  <c r="F21" i="2"/>
  <c r="E24" i="2"/>
  <c r="E23" i="2"/>
  <c r="E22" i="2"/>
  <c r="E21" i="2"/>
  <c r="F43" i="11"/>
  <c r="E43" i="11"/>
  <c r="K42" i="11"/>
  <c r="J42" i="11"/>
  <c r="F42" i="11"/>
  <c r="M42" i="11" s="1"/>
  <c r="N42" i="11" s="1"/>
  <c r="E42" i="11"/>
  <c r="K41" i="11"/>
  <c r="J41" i="11"/>
  <c r="F41" i="11"/>
  <c r="M41" i="11" s="1"/>
  <c r="N41" i="11" s="1"/>
  <c r="E41" i="11"/>
  <c r="K40" i="11"/>
  <c r="J40" i="11"/>
  <c r="I40" i="11"/>
  <c r="I41" i="11" s="1"/>
  <c r="I42" i="11" s="1"/>
  <c r="F40" i="11"/>
  <c r="E40" i="11"/>
  <c r="K39" i="11"/>
  <c r="J39" i="11"/>
  <c r="F39" i="11"/>
  <c r="E39" i="11"/>
  <c r="AB38" i="11"/>
  <c r="AA38" i="11"/>
  <c r="Z38" i="11"/>
  <c r="K38" i="11"/>
  <c r="J38" i="11"/>
  <c r="F38" i="11"/>
  <c r="E38" i="11"/>
  <c r="D38" i="11"/>
  <c r="AB37" i="11"/>
  <c r="AA37" i="11"/>
  <c r="Z37" i="11"/>
  <c r="K37" i="11"/>
  <c r="J37" i="11"/>
  <c r="I37" i="11"/>
  <c r="I38" i="11" s="1"/>
  <c r="I39" i="11" s="1"/>
  <c r="F37" i="11"/>
  <c r="M37" i="11" s="1"/>
  <c r="N37" i="11" s="1"/>
  <c r="E37" i="11"/>
  <c r="D37" i="11"/>
  <c r="AB36" i="11"/>
  <c r="AA36" i="11"/>
  <c r="Z36" i="11"/>
  <c r="K36" i="11"/>
  <c r="J36" i="11"/>
  <c r="I36" i="11"/>
  <c r="F36" i="11"/>
  <c r="E36" i="11"/>
  <c r="D36" i="11"/>
  <c r="AB35" i="11"/>
  <c r="AA35" i="11"/>
  <c r="Z35" i="11"/>
  <c r="K35" i="11"/>
  <c r="J35" i="11"/>
  <c r="I35" i="11"/>
  <c r="F35" i="11"/>
  <c r="E35" i="11"/>
  <c r="D35" i="11"/>
  <c r="AB34" i="11"/>
  <c r="AA34" i="11"/>
  <c r="Z34" i="11"/>
  <c r="K34" i="11"/>
  <c r="J34" i="11"/>
  <c r="I34" i="11"/>
  <c r="F34" i="11"/>
  <c r="E34" i="11"/>
  <c r="D34" i="11"/>
  <c r="AB33" i="11"/>
  <c r="AA33" i="11"/>
  <c r="Z33" i="11"/>
  <c r="K33" i="11"/>
  <c r="J33" i="11"/>
  <c r="I33" i="11"/>
  <c r="F33" i="11"/>
  <c r="M33" i="11" s="1"/>
  <c r="N33" i="11" s="1"/>
  <c r="E33" i="11"/>
  <c r="D33" i="11"/>
  <c r="AB32" i="11"/>
  <c r="AA32" i="11"/>
  <c r="Z32" i="11"/>
  <c r="K32" i="11"/>
  <c r="J32" i="11"/>
  <c r="I32" i="11"/>
  <c r="F32" i="11"/>
  <c r="E32" i="11"/>
  <c r="D32" i="11"/>
  <c r="AB31" i="11"/>
  <c r="AA31" i="11"/>
  <c r="Z31" i="11"/>
  <c r="K31" i="11"/>
  <c r="J31" i="11"/>
  <c r="I31" i="11"/>
  <c r="F31" i="11"/>
  <c r="M31" i="11" s="1"/>
  <c r="N31" i="11" s="1"/>
  <c r="E31" i="11"/>
  <c r="D31" i="11"/>
  <c r="AB30" i="11"/>
  <c r="AA30" i="11"/>
  <c r="Z30" i="11"/>
  <c r="K30" i="11"/>
  <c r="J30" i="11"/>
  <c r="I30" i="11"/>
  <c r="F30" i="11"/>
  <c r="E30" i="11"/>
  <c r="D30" i="11"/>
  <c r="AB29" i="11"/>
  <c r="AA29" i="11"/>
  <c r="Z29" i="11"/>
  <c r="K29" i="11"/>
  <c r="J29" i="11"/>
  <c r="I29" i="11"/>
  <c r="F29" i="11"/>
  <c r="M29" i="11" s="1"/>
  <c r="N29" i="11" s="1"/>
  <c r="E29" i="11"/>
  <c r="D29" i="11"/>
  <c r="AB28" i="11"/>
  <c r="AA28" i="11"/>
  <c r="Z28" i="11"/>
  <c r="K28" i="11"/>
  <c r="J28" i="11"/>
  <c r="I28" i="11"/>
  <c r="F28" i="11"/>
  <c r="E28" i="11"/>
  <c r="D28" i="11"/>
  <c r="AB27" i="11"/>
  <c r="AA27" i="11"/>
  <c r="Z27" i="11"/>
  <c r="K27" i="11"/>
  <c r="J27" i="11"/>
  <c r="I27" i="11"/>
  <c r="F27" i="11"/>
  <c r="M27" i="11" s="1"/>
  <c r="N27" i="11" s="1"/>
  <c r="E27" i="11"/>
  <c r="D27" i="11"/>
  <c r="AB26" i="11"/>
  <c r="AA26" i="11"/>
  <c r="Z26" i="11"/>
  <c r="K26" i="11"/>
  <c r="J26" i="11"/>
  <c r="I26" i="11"/>
  <c r="F26" i="11"/>
  <c r="E26" i="11"/>
  <c r="D26" i="11"/>
  <c r="AB25" i="11"/>
  <c r="AA25" i="11"/>
  <c r="Z25" i="11"/>
  <c r="K25" i="11"/>
  <c r="J25" i="11"/>
  <c r="I25" i="11"/>
  <c r="F25" i="11"/>
  <c r="M25" i="11" s="1"/>
  <c r="N25" i="11" s="1"/>
  <c r="E25" i="11"/>
  <c r="D25" i="11"/>
  <c r="AB24" i="11"/>
  <c r="AA24" i="11"/>
  <c r="Z24" i="11"/>
  <c r="K24" i="11"/>
  <c r="J24" i="11"/>
  <c r="I24" i="11"/>
  <c r="F24" i="11"/>
  <c r="E24" i="11"/>
  <c r="D24" i="11"/>
  <c r="AB23" i="11"/>
  <c r="AA23" i="11"/>
  <c r="Z23" i="11"/>
  <c r="K23" i="11"/>
  <c r="J23" i="11"/>
  <c r="I23" i="11"/>
  <c r="F23" i="11"/>
  <c r="M23" i="11" s="1"/>
  <c r="N23" i="11" s="1"/>
  <c r="E23" i="11"/>
  <c r="D23" i="11"/>
  <c r="AB22" i="11"/>
  <c r="AA22" i="11"/>
  <c r="Z22" i="11"/>
  <c r="K22" i="11"/>
  <c r="J22" i="11"/>
  <c r="I22" i="11"/>
  <c r="F22" i="11"/>
  <c r="E22" i="11"/>
  <c r="D22" i="11"/>
  <c r="Z21" i="11"/>
  <c r="I21" i="11"/>
  <c r="D21" i="11"/>
  <c r="F21" i="11" s="1"/>
  <c r="Z20" i="11"/>
  <c r="I20" i="11"/>
  <c r="D20" i="11"/>
  <c r="Z19" i="11"/>
  <c r="I19" i="11"/>
  <c r="D19" i="11"/>
  <c r="Z18" i="11"/>
  <c r="I18" i="11"/>
  <c r="D18" i="11"/>
  <c r="Z17" i="11"/>
  <c r="I17" i="11"/>
  <c r="D17" i="11"/>
  <c r="F17" i="11" s="1"/>
  <c r="Z16" i="11"/>
  <c r="I16" i="11"/>
  <c r="D16" i="11"/>
  <c r="Z15" i="11"/>
  <c r="I15" i="11"/>
  <c r="D15" i="11"/>
  <c r="Z14" i="11"/>
  <c r="I14" i="11"/>
  <c r="D14" i="11"/>
  <c r="Z13" i="11"/>
  <c r="I13" i="11"/>
  <c r="D13" i="11"/>
  <c r="F13" i="11" s="1"/>
  <c r="Z12" i="11"/>
  <c r="I12" i="11"/>
  <c r="D12" i="11"/>
  <c r="Z11" i="11"/>
  <c r="I11" i="11"/>
  <c r="D11" i="11"/>
  <c r="Z10" i="11"/>
  <c r="I10" i="11"/>
  <c r="D10" i="11"/>
  <c r="Z9" i="11"/>
  <c r="I9" i="11"/>
  <c r="D9" i="11"/>
  <c r="F9" i="11" s="1"/>
  <c r="Z8" i="11"/>
  <c r="I8" i="11"/>
  <c r="D8" i="11"/>
  <c r="Z7" i="11"/>
  <c r="I7" i="11"/>
  <c r="D7" i="11"/>
  <c r="Z6" i="11"/>
  <c r="I6" i="11"/>
  <c r="D6" i="11"/>
  <c r="Z5" i="11"/>
  <c r="Y5" i="1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I5" i="11"/>
  <c r="H5" i="1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D5" i="11"/>
  <c r="E5" i="11" s="1"/>
  <c r="C5" i="1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F82" i="2" l="1"/>
  <c r="N82" i="2"/>
  <c r="F7" i="11"/>
  <c r="F11" i="11"/>
  <c r="F15" i="11"/>
  <c r="K7" i="11"/>
  <c r="K11" i="11"/>
  <c r="K15" i="11"/>
  <c r="M15" i="11" s="1"/>
  <c r="N15" i="11" s="1"/>
  <c r="F8" i="11"/>
  <c r="M8" i="11" s="1"/>
  <c r="N8" i="11" s="1"/>
  <c r="F12" i="11"/>
  <c r="M12" i="11" s="1"/>
  <c r="N12" i="11" s="1"/>
  <c r="F16" i="11"/>
  <c r="M16" i="11" s="1"/>
  <c r="N16" i="11" s="1"/>
  <c r="F20" i="11"/>
  <c r="Z16" i="12"/>
  <c r="AD16" i="12" s="1"/>
  <c r="F79" i="2" s="1"/>
  <c r="M39" i="11"/>
  <c r="N39" i="11" s="1"/>
  <c r="AA5" i="12"/>
  <c r="AE5" i="12" s="1"/>
  <c r="E6" i="11"/>
  <c r="F10" i="11"/>
  <c r="F14" i="11"/>
  <c r="M14" i="11" s="1"/>
  <c r="N14" i="11" s="1"/>
  <c r="AB14" i="12"/>
  <c r="AF14" i="12" s="1"/>
  <c r="E82" i="2"/>
  <c r="N56" i="2"/>
  <c r="E80" i="2"/>
  <c r="G84" i="2"/>
  <c r="N109" i="2" s="1"/>
  <c r="P109" i="2" s="1"/>
  <c r="H54" i="7"/>
  <c r="N57" i="2"/>
  <c r="E81" i="2"/>
  <c r="AB7" i="11"/>
  <c r="AB11" i="11"/>
  <c r="AB15" i="11"/>
  <c r="AB19" i="11"/>
  <c r="AB16" i="12"/>
  <c r="AF16" i="12" s="1"/>
  <c r="K8" i="11"/>
  <c r="K12" i="11"/>
  <c r="K16" i="11"/>
  <c r="K20" i="11"/>
  <c r="M20" i="11" s="1"/>
  <c r="N20" i="11" s="1"/>
  <c r="AA9" i="12"/>
  <c r="AE9" i="12" s="1"/>
  <c r="AB8" i="11"/>
  <c r="AB12" i="11"/>
  <c r="AB16" i="11"/>
  <c r="AB20" i="11"/>
  <c r="AA13" i="12"/>
  <c r="AE13" i="12" s="1"/>
  <c r="K9" i="11"/>
  <c r="M9" i="11" s="1"/>
  <c r="N9" i="11" s="1"/>
  <c r="Z4" i="12"/>
  <c r="AD4" i="12" s="1"/>
  <c r="AE20" i="12"/>
  <c r="N81" i="2"/>
  <c r="AB5" i="11"/>
  <c r="AB21" i="11"/>
  <c r="M35" i="11"/>
  <c r="N35" i="11" s="1"/>
  <c r="Z6" i="12"/>
  <c r="AD6" i="12" s="1"/>
  <c r="AB4" i="12"/>
  <c r="AF4" i="12" s="1"/>
  <c r="N80" i="2"/>
  <c r="AB13" i="11"/>
  <c r="F18" i="11"/>
  <c r="M18" i="11" s="1"/>
  <c r="N18" i="11" s="1"/>
  <c r="Z8" i="12"/>
  <c r="AD8" i="12" s="1"/>
  <c r="AB6" i="12"/>
  <c r="AF6" i="12" s="1"/>
  <c r="N79" i="2"/>
  <c r="K17" i="11"/>
  <c r="M17" i="11" s="1"/>
  <c r="N17" i="11" s="1"/>
  <c r="AB17" i="11"/>
  <c r="J6" i="11"/>
  <c r="K10" i="11"/>
  <c r="K14" i="11"/>
  <c r="K18" i="11"/>
  <c r="Z10" i="12"/>
  <c r="AD10" i="12" s="1"/>
  <c r="AB8" i="12"/>
  <c r="AF8" i="12" s="1"/>
  <c r="AB9" i="11"/>
  <c r="AA6" i="11"/>
  <c r="AB10" i="11"/>
  <c r="AB14" i="11"/>
  <c r="AB18" i="11"/>
  <c r="M38" i="11"/>
  <c r="N38" i="11" s="1"/>
  <c r="Z12" i="12"/>
  <c r="AD12" i="12" s="1"/>
  <c r="AB10" i="12"/>
  <c r="AF10" i="12" s="1"/>
  <c r="J5" i="11"/>
  <c r="K13" i="11"/>
  <c r="M13" i="11" s="1"/>
  <c r="N13" i="11" s="1"/>
  <c r="F19" i="11"/>
  <c r="Z14" i="12"/>
  <c r="AD14" i="12" s="1"/>
  <c r="AB12" i="12"/>
  <c r="AF12" i="12" s="1"/>
  <c r="K19" i="11"/>
  <c r="M19" i="11" s="1"/>
  <c r="N19" i="11" s="1"/>
  <c r="K21" i="11"/>
  <c r="M22" i="11"/>
  <c r="N22" i="11" s="1"/>
  <c r="M24" i="11"/>
  <c r="N24" i="11" s="1"/>
  <c r="M26" i="11"/>
  <c r="N26" i="11" s="1"/>
  <c r="M28" i="11"/>
  <c r="N28" i="11" s="1"/>
  <c r="M30" i="11"/>
  <c r="N30" i="11" s="1"/>
  <c r="M21" i="11"/>
  <c r="N21" i="11" s="1"/>
  <c r="M40" i="11"/>
  <c r="N40" i="11" s="1"/>
  <c r="AA12" i="11"/>
  <c r="E13" i="11"/>
  <c r="J13" i="11"/>
  <c r="AA13" i="11"/>
  <c r="E14" i="11"/>
  <c r="J14" i="11"/>
  <c r="AA14" i="11"/>
  <c r="E15" i="11"/>
  <c r="J15" i="11"/>
  <c r="AA15" i="11"/>
  <c r="E16" i="11"/>
  <c r="J16" i="11"/>
  <c r="AA16" i="11"/>
  <c r="E17" i="11"/>
  <c r="J17" i="11"/>
  <c r="AA17" i="11"/>
  <c r="E18" i="11"/>
  <c r="J18" i="11"/>
  <c r="AA18" i="11"/>
  <c r="E19" i="11"/>
  <c r="J19" i="11"/>
  <c r="AA19" i="11"/>
  <c r="E20" i="11"/>
  <c r="J20" i="11"/>
  <c r="AA20" i="11"/>
  <c r="E21" i="11"/>
  <c r="J21" i="11"/>
  <c r="AA21" i="11"/>
  <c r="M32" i="11"/>
  <c r="N32" i="11" s="1"/>
  <c r="M34" i="11"/>
  <c r="N34" i="11" s="1"/>
  <c r="M36" i="11"/>
  <c r="N36" i="11" s="1"/>
  <c r="Z22" i="12"/>
  <c r="AD21" i="12"/>
  <c r="AB22" i="12"/>
  <c r="AF21" i="12"/>
  <c r="AA23" i="12"/>
  <c r="AE22" i="12"/>
  <c r="AA16" i="12"/>
  <c r="AE16" i="12" s="1"/>
  <c r="AA14" i="12"/>
  <c r="AE14" i="12" s="1"/>
  <c r="AA12" i="12"/>
  <c r="AE12" i="12" s="1"/>
  <c r="AA10" i="12"/>
  <c r="AE10" i="12" s="1"/>
  <c r="AA8" i="12"/>
  <c r="AE8" i="12" s="1"/>
  <c r="AA6" i="12"/>
  <c r="AE6" i="12" s="1"/>
  <c r="AA4" i="12"/>
  <c r="AE4" i="12" s="1"/>
  <c r="AA7" i="12"/>
  <c r="AE7" i="12" s="1"/>
  <c r="AA11" i="12"/>
  <c r="AE11" i="12" s="1"/>
  <c r="AA15" i="12"/>
  <c r="AE15" i="12" s="1"/>
  <c r="Z5" i="12"/>
  <c r="AD5" i="12" s="1"/>
  <c r="Z7" i="12"/>
  <c r="AD7" i="12" s="1"/>
  <c r="Z9" i="12"/>
  <c r="AD9" i="12" s="1"/>
  <c r="Z11" i="12"/>
  <c r="AD11" i="12" s="1"/>
  <c r="Z13" i="12"/>
  <c r="AD13" i="12" s="1"/>
  <c r="Z15" i="12"/>
  <c r="AD15" i="12" s="1"/>
  <c r="AB5" i="12"/>
  <c r="AF5" i="12" s="1"/>
  <c r="AB7" i="12"/>
  <c r="AF7" i="12" s="1"/>
  <c r="AB9" i="12"/>
  <c r="AF9" i="12" s="1"/>
  <c r="AB11" i="12"/>
  <c r="AF11" i="12" s="1"/>
  <c r="AB13" i="12"/>
  <c r="AF13" i="12" s="1"/>
  <c r="AB15" i="12"/>
  <c r="AF15" i="12" s="1"/>
  <c r="AD20" i="12"/>
  <c r="AF20" i="12"/>
  <c r="AE21" i="12"/>
  <c r="M7" i="11"/>
  <c r="N7" i="11" s="1"/>
  <c r="M11" i="11"/>
  <c r="N11" i="11" s="1"/>
  <c r="F5" i="11"/>
  <c r="K5" i="11"/>
  <c r="F6" i="11"/>
  <c r="K6" i="11"/>
  <c r="AB6" i="11"/>
  <c r="AA5" i="11"/>
  <c r="E7" i="11"/>
  <c r="J7" i="11"/>
  <c r="AA7" i="11"/>
  <c r="E8" i="11"/>
  <c r="J8" i="11"/>
  <c r="AA8" i="11"/>
  <c r="E9" i="11"/>
  <c r="J9" i="11"/>
  <c r="AA9" i="11"/>
  <c r="E10" i="11"/>
  <c r="J10" i="11"/>
  <c r="AA10" i="11"/>
  <c r="E11" i="11"/>
  <c r="J11" i="11"/>
  <c r="AA11" i="11"/>
  <c r="E12" i="11"/>
  <c r="J12" i="11"/>
  <c r="AD22" i="12" l="1"/>
  <c r="F85" i="2" s="1"/>
  <c r="Z23" i="12"/>
  <c r="M10" i="11"/>
  <c r="N10" i="11" s="1"/>
  <c r="F84" i="2"/>
  <c r="N84" i="2"/>
  <c r="N52" i="2"/>
  <c r="E76" i="2"/>
  <c r="N77" i="2"/>
  <c r="F77" i="2"/>
  <c r="N59" i="2"/>
  <c r="E83" i="2"/>
  <c r="F78" i="2"/>
  <c r="N78" i="2"/>
  <c r="N49" i="2"/>
  <c r="E73" i="2"/>
  <c r="N53" i="2"/>
  <c r="E77" i="2"/>
  <c r="N60" i="2"/>
  <c r="E84" i="2"/>
  <c r="N55" i="2"/>
  <c r="E79" i="2"/>
  <c r="G85" i="2"/>
  <c r="N110" i="2" s="1"/>
  <c r="P110" i="2" s="1"/>
  <c r="H55" i="7"/>
  <c r="N75" i="2"/>
  <c r="F75" i="2"/>
  <c r="N61" i="2"/>
  <c r="E85" i="2"/>
  <c r="F73" i="2"/>
  <c r="N73" i="2"/>
  <c r="N51" i="2"/>
  <c r="E75" i="2"/>
  <c r="F83" i="2"/>
  <c r="N83" i="2"/>
  <c r="N50" i="2"/>
  <c r="E74" i="2"/>
  <c r="N76" i="2"/>
  <c r="F76" i="2"/>
  <c r="N74" i="2"/>
  <c r="F74" i="2"/>
  <c r="N54" i="2"/>
  <c r="E78" i="2"/>
  <c r="Z24" i="12"/>
  <c r="AD23" i="12"/>
  <c r="AA24" i="12"/>
  <c r="AE23" i="12"/>
  <c r="AB23" i="12"/>
  <c r="AF22" i="12"/>
  <c r="M6" i="11"/>
  <c r="N6" i="11" s="1"/>
  <c r="M5" i="11"/>
  <c r="N5" i="11" s="1"/>
  <c r="AE24" i="12" l="1"/>
  <c r="AA25" i="12"/>
  <c r="N85" i="2"/>
  <c r="AD24" i="12"/>
  <c r="F87" i="2" s="1"/>
  <c r="Z25" i="12"/>
  <c r="N63" i="2"/>
  <c r="E87" i="2"/>
  <c r="G86" i="2"/>
  <c r="N111" i="2" s="1"/>
  <c r="P111" i="2" s="1"/>
  <c r="H56" i="7"/>
  <c r="F86" i="2"/>
  <c r="N86" i="2"/>
  <c r="N62" i="2"/>
  <c r="E86" i="2"/>
  <c r="AB24" i="12"/>
  <c r="AF23" i="12"/>
  <c r="Z26" i="12" l="1"/>
  <c r="AD25" i="12"/>
  <c r="N87" i="2"/>
  <c r="AF24" i="12"/>
  <c r="AB25" i="12"/>
  <c r="AE25" i="12"/>
  <c r="AA26" i="12"/>
  <c r="G87" i="2"/>
  <c r="N112" i="2" s="1"/>
  <c r="P112" i="2" s="1"/>
  <c r="H57" i="7"/>
  <c r="AB75" i="2"/>
  <c r="X81" i="2" s="1"/>
  <c r="G88" i="2" l="1"/>
  <c r="H58" i="7"/>
  <c r="AA27" i="12"/>
  <c r="AE27" i="12" s="1"/>
  <c r="AE26" i="12"/>
  <c r="E88" i="2"/>
  <c r="N64" i="2"/>
  <c r="AB26" i="12"/>
  <c r="AF25" i="12"/>
  <c r="F88" i="2"/>
  <c r="N88" i="2"/>
  <c r="Z27" i="12"/>
  <c r="AD26" i="12"/>
  <c r="W75" i="2"/>
  <c r="W80" i="2"/>
  <c r="W78" i="2"/>
  <c r="W76" i="2"/>
  <c r="X76" i="2"/>
  <c r="X78" i="2"/>
  <c r="X80" i="2"/>
  <c r="W81" i="2"/>
  <c r="Y81" i="2" s="1"/>
  <c r="W79" i="2"/>
  <c r="W77" i="2"/>
  <c r="X75" i="2"/>
  <c r="X77" i="2"/>
  <c r="X79" i="2"/>
  <c r="E32" i="8"/>
  <c r="I32" i="8" s="1"/>
  <c r="E33" i="8"/>
  <c r="I33" i="8" s="1"/>
  <c r="E34" i="8"/>
  <c r="I34" i="8" s="1"/>
  <c r="D13" i="8"/>
  <c r="H13" i="8" s="1"/>
  <c r="D22" i="8"/>
  <c r="H22" i="8" s="1"/>
  <c r="D23" i="8"/>
  <c r="H23" i="8" s="1"/>
  <c r="D35" i="8"/>
  <c r="H35" i="8" s="1"/>
  <c r="E2" i="8"/>
  <c r="D24" i="8" s="1"/>
  <c r="H24" i="8" s="1"/>
  <c r="C6" i="8"/>
  <c r="D6" i="8" s="1"/>
  <c r="H6" i="8" s="1"/>
  <c r="C7" i="8"/>
  <c r="C8" i="8"/>
  <c r="D8" i="8" s="1"/>
  <c r="H8" i="8" s="1"/>
  <c r="C9" i="8"/>
  <c r="C10" i="8"/>
  <c r="D10" i="8" s="1"/>
  <c r="H10" i="8" s="1"/>
  <c r="C11" i="8"/>
  <c r="D11" i="8" s="1"/>
  <c r="H11" i="8" s="1"/>
  <c r="C12" i="8"/>
  <c r="D12" i="8" s="1"/>
  <c r="H12" i="8" s="1"/>
  <c r="C13" i="8"/>
  <c r="C14" i="8"/>
  <c r="C15" i="8"/>
  <c r="D15" i="8" s="1"/>
  <c r="H15" i="8" s="1"/>
  <c r="C16" i="8"/>
  <c r="C17" i="8"/>
  <c r="D17" i="8" s="1"/>
  <c r="H17" i="8" s="1"/>
  <c r="C18" i="8"/>
  <c r="D18" i="8" s="1"/>
  <c r="H18" i="8" s="1"/>
  <c r="C19" i="8"/>
  <c r="C20" i="8"/>
  <c r="C21" i="8"/>
  <c r="C22" i="8"/>
  <c r="C23" i="8"/>
  <c r="C24" i="8"/>
  <c r="C25" i="8"/>
  <c r="D25" i="8" s="1"/>
  <c r="H25" i="8" s="1"/>
  <c r="C26" i="8"/>
  <c r="C27" i="8"/>
  <c r="D27" i="8" s="1"/>
  <c r="H27" i="8" s="1"/>
  <c r="C28" i="8"/>
  <c r="C29" i="8"/>
  <c r="D29" i="8" s="1"/>
  <c r="H29" i="8" s="1"/>
  <c r="C30" i="8"/>
  <c r="D30" i="8" s="1"/>
  <c r="H30" i="8" s="1"/>
  <c r="C31" i="8"/>
  <c r="C32" i="8"/>
  <c r="C33" i="8"/>
  <c r="C34" i="8"/>
  <c r="C35" i="8"/>
  <c r="C36" i="8"/>
  <c r="C37" i="8"/>
  <c r="D37" i="8" s="1"/>
  <c r="H37" i="8" s="1"/>
  <c r="C38" i="8"/>
  <c r="G6" i="8"/>
  <c r="D75" i="2"/>
  <c r="B2" i="2"/>
  <c r="D32" i="2"/>
  <c r="D96" i="2" s="1"/>
  <c r="D33" i="2"/>
  <c r="D97" i="2" s="1"/>
  <c r="D34" i="2"/>
  <c r="D98" i="2" s="1"/>
  <c r="AA50" i="2"/>
  <c r="U56" i="2" s="1"/>
  <c r="V56" i="2" s="1"/>
  <c r="AA51" i="2"/>
  <c r="U55" i="2" s="1"/>
  <c r="V55" i="2" s="1"/>
  <c r="AA52" i="2"/>
  <c r="U54" i="2" s="1"/>
  <c r="V54" i="2" s="1"/>
  <c r="AA53" i="2"/>
  <c r="U53" i="2" s="1"/>
  <c r="V53" i="2" s="1"/>
  <c r="AA54" i="2"/>
  <c r="U52" i="2" s="1"/>
  <c r="V52" i="2" s="1"/>
  <c r="AA55" i="2"/>
  <c r="U51" i="2" s="1"/>
  <c r="V51" i="2" s="1"/>
  <c r="AA49" i="2"/>
  <c r="U57" i="2" s="1"/>
  <c r="V57" i="2" s="1"/>
  <c r="M99" i="2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Z98" i="2"/>
  <c r="AA98" i="2" s="1"/>
  <c r="U106" i="2" s="1"/>
  <c r="Z99" i="2"/>
  <c r="AA99" i="2" s="1"/>
  <c r="U105" i="2" s="1"/>
  <c r="Z100" i="2"/>
  <c r="AA100" i="2" s="1"/>
  <c r="U104" i="2" s="1"/>
  <c r="Z101" i="2"/>
  <c r="AA101" i="2" s="1"/>
  <c r="U103" i="2" s="1"/>
  <c r="Z102" i="2"/>
  <c r="AA102" i="2" s="1"/>
  <c r="U102" i="2" s="1"/>
  <c r="Z103" i="2"/>
  <c r="AA103" i="2" s="1"/>
  <c r="U101" i="2" s="1"/>
  <c r="Z104" i="2"/>
  <c r="AA104" i="2" s="1"/>
  <c r="U100" i="2" s="1"/>
  <c r="J37" i="2"/>
  <c r="H76" i="2"/>
  <c r="H73" i="2"/>
  <c r="N123" i="2" s="1"/>
  <c r="P123" i="2" s="1"/>
  <c r="H74" i="2"/>
  <c r="N124" i="2" s="1"/>
  <c r="P124" i="2" s="1"/>
  <c r="H75" i="2"/>
  <c r="N125" i="2" s="1"/>
  <c r="P125" i="2" s="1"/>
  <c r="H77" i="2"/>
  <c r="N127" i="2" s="1"/>
  <c r="P127" i="2" s="1"/>
  <c r="H78" i="2"/>
  <c r="N128" i="2" s="1"/>
  <c r="P128" i="2" s="1"/>
  <c r="H79" i="2"/>
  <c r="N129" i="2" s="1"/>
  <c r="P129" i="2" s="1"/>
  <c r="H80" i="2"/>
  <c r="N130" i="2" s="1"/>
  <c r="P130" i="2" s="1"/>
  <c r="H81" i="2"/>
  <c r="N131" i="2" s="1"/>
  <c r="P131" i="2" s="1"/>
  <c r="H82" i="2"/>
  <c r="N132" i="2" s="1"/>
  <c r="P132" i="2" s="1"/>
  <c r="N108" i="2"/>
  <c r="P108" i="2" s="1"/>
  <c r="L51" i="2"/>
  <c r="L50" i="2"/>
  <c r="L74" i="2" s="1"/>
  <c r="Q71" i="2"/>
  <c r="D126" i="2"/>
  <c r="D134" i="2" s="1"/>
  <c r="C96" i="2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Q47" i="2"/>
  <c r="H32" i="2"/>
  <c r="H96" i="2" s="1"/>
  <c r="H33" i="2"/>
  <c r="H97" i="2" s="1"/>
  <c r="H34" i="2"/>
  <c r="H98" i="2" s="1"/>
  <c r="F32" i="2"/>
  <c r="F96" i="2" s="1"/>
  <c r="F33" i="2"/>
  <c r="F97" i="2" s="1"/>
  <c r="F34" i="2"/>
  <c r="F98" i="2" s="1"/>
  <c r="G32" i="2"/>
  <c r="G96" i="2" s="1"/>
  <c r="G33" i="2"/>
  <c r="G97" i="2" s="1"/>
  <c r="G34" i="2"/>
  <c r="G98" i="2" s="1"/>
  <c r="E32" i="2"/>
  <c r="E96" i="2" s="1"/>
  <c r="E33" i="2"/>
  <c r="E97" i="2" s="1"/>
  <c r="E34" i="2"/>
  <c r="E98" i="2" s="1"/>
  <c r="AM89" i="10"/>
  <c r="AM88" i="10"/>
  <c r="AB88" i="10"/>
  <c r="AA88" i="10"/>
  <c r="Z88" i="10"/>
  <c r="AM87" i="10"/>
  <c r="AB87" i="10"/>
  <c r="AA87" i="10"/>
  <c r="Z87" i="10"/>
  <c r="AM86" i="10"/>
  <c r="AB86" i="10"/>
  <c r="AA86" i="10"/>
  <c r="Z86" i="10"/>
  <c r="AM85" i="10"/>
  <c r="AB85" i="10"/>
  <c r="AA85" i="10"/>
  <c r="Z85" i="10"/>
  <c r="AM84" i="10"/>
  <c r="AB84" i="10"/>
  <c r="AA84" i="10"/>
  <c r="Z84" i="10"/>
  <c r="AM83" i="10"/>
  <c r="AB83" i="10"/>
  <c r="AA83" i="10"/>
  <c r="Z83" i="10"/>
  <c r="AM82" i="10"/>
  <c r="AB82" i="10"/>
  <c r="AA82" i="10"/>
  <c r="Z82" i="10"/>
  <c r="AM81" i="10"/>
  <c r="AB81" i="10"/>
  <c r="AA81" i="10"/>
  <c r="Z81" i="10"/>
  <c r="AM80" i="10"/>
  <c r="AB80" i="10"/>
  <c r="AA80" i="10"/>
  <c r="Z80" i="10"/>
  <c r="AM79" i="10"/>
  <c r="AB79" i="10"/>
  <c r="AA79" i="10"/>
  <c r="Z79" i="10"/>
  <c r="AM78" i="10"/>
  <c r="AB78" i="10"/>
  <c r="AA78" i="10"/>
  <c r="Z78" i="10"/>
  <c r="AM77" i="10"/>
  <c r="AB77" i="10"/>
  <c r="AA77" i="10"/>
  <c r="Z77" i="10"/>
  <c r="AM76" i="10"/>
  <c r="AB76" i="10"/>
  <c r="AA76" i="10"/>
  <c r="Z76" i="10"/>
  <c r="AM75" i="10"/>
  <c r="AB75" i="10"/>
  <c r="AA75" i="10"/>
  <c r="Z75" i="10"/>
  <c r="AM74" i="10"/>
  <c r="AB74" i="10"/>
  <c r="AA74" i="10"/>
  <c r="Z74" i="10"/>
  <c r="AM73" i="10"/>
  <c r="AB73" i="10"/>
  <c r="AA73" i="10"/>
  <c r="Z73" i="10"/>
  <c r="AM72" i="10"/>
  <c r="AB72" i="10"/>
  <c r="AA72" i="10"/>
  <c r="Z72" i="10"/>
  <c r="AM71" i="10"/>
  <c r="AB71" i="10"/>
  <c r="AA71" i="10"/>
  <c r="Z71" i="10"/>
  <c r="AM70" i="10"/>
  <c r="AB70" i="10"/>
  <c r="AA70" i="10"/>
  <c r="Z70" i="10"/>
  <c r="AM69" i="10"/>
  <c r="AB69" i="10"/>
  <c r="AA69" i="10"/>
  <c r="Z69" i="10"/>
  <c r="AM68" i="10"/>
  <c r="AB68" i="10"/>
  <c r="AA68" i="10"/>
  <c r="Z68" i="10"/>
  <c r="AM67" i="10"/>
  <c r="AB67" i="10"/>
  <c r="AA67" i="10"/>
  <c r="Z67" i="10"/>
  <c r="AM66" i="10"/>
  <c r="AB66" i="10"/>
  <c r="AA66" i="10"/>
  <c r="Z66" i="10"/>
  <c r="AM65" i="10"/>
  <c r="AB65" i="10"/>
  <c r="AA65" i="10"/>
  <c r="Z65" i="10"/>
  <c r="AM64" i="10"/>
  <c r="AB64" i="10"/>
  <c r="AA64" i="10"/>
  <c r="Z64" i="10"/>
  <c r="AM63" i="10"/>
  <c r="AB63" i="10"/>
  <c r="AA63" i="10"/>
  <c r="Z63" i="10"/>
  <c r="AM62" i="10"/>
  <c r="AB62" i="10"/>
  <c r="AA62" i="10"/>
  <c r="Z62" i="10"/>
  <c r="AM61" i="10"/>
  <c r="AB61" i="10"/>
  <c r="AA61" i="10"/>
  <c r="Z61" i="10"/>
  <c r="O60" i="10"/>
  <c r="O59" i="10"/>
  <c r="CQ58" i="10"/>
  <c r="CP58" i="10"/>
  <c r="CO58" i="10"/>
  <c r="CN58" i="10"/>
  <c r="CM58" i="10"/>
  <c r="CL58" i="10"/>
  <c r="CK58" i="10"/>
  <c r="CJ58" i="10"/>
  <c r="CI58" i="10"/>
  <c r="CH58" i="10"/>
  <c r="CG58" i="10"/>
  <c r="CF58" i="10"/>
  <c r="CE58" i="10"/>
  <c r="CD58" i="10"/>
  <c r="CC58" i="10"/>
  <c r="CB58" i="10"/>
  <c r="CA58" i="10"/>
  <c r="BZ58" i="10"/>
  <c r="BY58" i="10"/>
  <c r="BX58" i="10"/>
  <c r="BW58" i="10"/>
  <c r="BV58" i="10"/>
  <c r="BU58" i="10"/>
  <c r="BT58" i="10"/>
  <c r="BS58" i="10"/>
  <c r="BR58" i="10"/>
  <c r="BQ58" i="10"/>
  <c r="BP58" i="10"/>
  <c r="BO58" i="10"/>
  <c r="BN58" i="10"/>
  <c r="BM58" i="10"/>
  <c r="BL58" i="10"/>
  <c r="BK58" i="10"/>
  <c r="BJ58" i="10"/>
  <c r="BI58" i="10"/>
  <c r="BH58" i="10"/>
  <c r="BG58" i="10"/>
  <c r="BF58" i="10"/>
  <c r="O58" i="10"/>
  <c r="O57" i="10"/>
  <c r="O56" i="10"/>
  <c r="O55" i="10"/>
  <c r="O54" i="10"/>
  <c r="CR53" i="10"/>
  <c r="O53" i="10"/>
  <c r="A53" i="10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CR52" i="10"/>
  <c r="O52" i="10"/>
  <c r="G50" i="10"/>
  <c r="W49" i="10"/>
  <c r="W48" i="10"/>
  <c r="W47" i="10"/>
  <c r="U44" i="10"/>
  <c r="U90" i="10" s="1"/>
  <c r="BC43" i="10"/>
  <c r="BB43" i="10"/>
  <c r="BA43" i="10"/>
  <c r="AZ43" i="10"/>
  <c r="AY43" i="10"/>
  <c r="AM43" i="10"/>
  <c r="U43" i="10"/>
  <c r="U89" i="10" s="1"/>
  <c r="O43" i="10"/>
  <c r="AR43" i="10" s="1"/>
  <c r="G43" i="10"/>
  <c r="AQ43" i="10" s="1"/>
  <c r="BC42" i="10"/>
  <c r="BB42" i="10"/>
  <c r="BA42" i="10"/>
  <c r="AZ42" i="10"/>
  <c r="AY42" i="10"/>
  <c r="AM42" i="10"/>
  <c r="AB42" i="10"/>
  <c r="AA42" i="10"/>
  <c r="Z42" i="10"/>
  <c r="U42" i="10"/>
  <c r="U88" i="10" s="1"/>
  <c r="O42" i="10"/>
  <c r="N42" i="10"/>
  <c r="G42" i="10"/>
  <c r="AQ42" i="10" s="1"/>
  <c r="BC41" i="10"/>
  <c r="BB41" i="10"/>
  <c r="BA41" i="10"/>
  <c r="AZ41" i="10"/>
  <c r="AY41" i="10"/>
  <c r="AM41" i="10"/>
  <c r="AB41" i="10"/>
  <c r="AA41" i="10"/>
  <c r="Z41" i="10"/>
  <c r="U41" i="10"/>
  <c r="U87" i="10" s="1"/>
  <c r="N41" i="10"/>
  <c r="O41" i="10" s="1"/>
  <c r="G41" i="10"/>
  <c r="AQ41" i="10" s="1"/>
  <c r="BC40" i="10"/>
  <c r="BB40" i="10"/>
  <c r="BA40" i="10"/>
  <c r="AZ40" i="10"/>
  <c r="AY40" i="10"/>
  <c r="AM40" i="10"/>
  <c r="AB40" i="10"/>
  <c r="AA40" i="10"/>
  <c r="Z40" i="10"/>
  <c r="U40" i="10"/>
  <c r="U86" i="10" s="1"/>
  <c r="O40" i="10"/>
  <c r="N40" i="10"/>
  <c r="G40" i="10"/>
  <c r="AQ40" i="10" s="1"/>
  <c r="BC39" i="10"/>
  <c r="BB39" i="10"/>
  <c r="BA39" i="10"/>
  <c r="AZ39" i="10"/>
  <c r="AY39" i="10"/>
  <c r="AM39" i="10"/>
  <c r="AB39" i="10"/>
  <c r="AA39" i="10"/>
  <c r="Z39" i="10"/>
  <c r="U39" i="10"/>
  <c r="U85" i="10" s="1"/>
  <c r="O39" i="10"/>
  <c r="N39" i="10"/>
  <c r="G39" i="10"/>
  <c r="AQ39" i="10" s="1"/>
  <c r="BC38" i="10"/>
  <c r="BB38" i="10"/>
  <c r="BA38" i="10"/>
  <c r="AZ38" i="10"/>
  <c r="AY38" i="10"/>
  <c r="AM38" i="10"/>
  <c r="AB38" i="10"/>
  <c r="AA38" i="10"/>
  <c r="Z38" i="10"/>
  <c r="U38" i="10"/>
  <c r="U84" i="10" s="1"/>
  <c r="N38" i="10"/>
  <c r="O38" i="10" s="1"/>
  <c r="G38" i="10"/>
  <c r="AQ38" i="10" s="1"/>
  <c r="BC37" i="10"/>
  <c r="BB37" i="10"/>
  <c r="BA37" i="10"/>
  <c r="AZ37" i="10"/>
  <c r="AY37" i="10"/>
  <c r="AM37" i="10"/>
  <c r="AB37" i="10"/>
  <c r="AA37" i="10"/>
  <c r="Z37" i="10"/>
  <c r="U37" i="10"/>
  <c r="U83" i="10" s="1"/>
  <c r="N37" i="10"/>
  <c r="G37" i="10"/>
  <c r="AQ37" i="10" s="1"/>
  <c r="BC36" i="10"/>
  <c r="BB36" i="10"/>
  <c r="BA36" i="10"/>
  <c r="AZ36" i="10"/>
  <c r="AY36" i="10"/>
  <c r="AM36" i="10"/>
  <c r="AB36" i="10"/>
  <c r="AA36" i="10"/>
  <c r="Z36" i="10"/>
  <c r="U36" i="10"/>
  <c r="U82" i="10" s="1"/>
  <c r="N36" i="10"/>
  <c r="G36" i="10"/>
  <c r="AQ36" i="10" s="1"/>
  <c r="BC35" i="10"/>
  <c r="BB35" i="10"/>
  <c r="BA35" i="10"/>
  <c r="AZ35" i="10"/>
  <c r="AY35" i="10"/>
  <c r="AM35" i="10"/>
  <c r="AB35" i="10"/>
  <c r="AA35" i="10"/>
  <c r="Z35" i="10"/>
  <c r="U35" i="10"/>
  <c r="U81" i="10" s="1"/>
  <c r="N35" i="10"/>
  <c r="G35" i="10"/>
  <c r="AQ35" i="10" s="1"/>
  <c r="BC34" i="10"/>
  <c r="BB34" i="10"/>
  <c r="BA34" i="10"/>
  <c r="AZ34" i="10"/>
  <c r="AY34" i="10"/>
  <c r="AM34" i="10"/>
  <c r="AB34" i="10"/>
  <c r="AA34" i="10"/>
  <c r="Z34" i="10"/>
  <c r="U34" i="10"/>
  <c r="U80" i="10" s="1"/>
  <c r="N34" i="10"/>
  <c r="G34" i="10"/>
  <c r="AQ34" i="10" s="1"/>
  <c r="BC33" i="10"/>
  <c r="BB33" i="10"/>
  <c r="BA33" i="10"/>
  <c r="AZ33" i="10"/>
  <c r="AY33" i="10"/>
  <c r="AM33" i="10"/>
  <c r="AB33" i="10"/>
  <c r="AA33" i="10"/>
  <c r="Z33" i="10"/>
  <c r="U33" i="10"/>
  <c r="U79" i="10" s="1"/>
  <c r="N33" i="10"/>
  <c r="G33" i="10"/>
  <c r="AQ33" i="10" s="1"/>
  <c r="BC32" i="10"/>
  <c r="BB32" i="10"/>
  <c r="BA32" i="10"/>
  <c r="AZ32" i="10"/>
  <c r="AY32" i="10"/>
  <c r="AM32" i="10"/>
  <c r="AB32" i="10"/>
  <c r="AA32" i="10"/>
  <c r="Z32" i="10"/>
  <c r="U32" i="10"/>
  <c r="U78" i="10" s="1"/>
  <c r="N32" i="10"/>
  <c r="G32" i="10"/>
  <c r="AQ32" i="10" s="1"/>
  <c r="BC31" i="10"/>
  <c r="BB31" i="10"/>
  <c r="BA31" i="10"/>
  <c r="AZ31" i="10"/>
  <c r="AY31" i="10"/>
  <c r="AQ31" i="10"/>
  <c r="AM31" i="10"/>
  <c r="AB31" i="10"/>
  <c r="AA31" i="10"/>
  <c r="Z31" i="10"/>
  <c r="U31" i="10"/>
  <c r="U77" i="10" s="1"/>
  <c r="N31" i="10"/>
  <c r="G31" i="10"/>
  <c r="E31" i="8" s="1"/>
  <c r="I31" i="8" s="1"/>
  <c r="BC30" i="10"/>
  <c r="BB30" i="10"/>
  <c r="BA30" i="10"/>
  <c r="AZ30" i="10"/>
  <c r="AY30" i="10"/>
  <c r="AM30" i="10"/>
  <c r="AB30" i="10"/>
  <c r="AA30" i="10"/>
  <c r="Z30" i="10"/>
  <c r="U30" i="10"/>
  <c r="U76" i="10" s="1"/>
  <c r="N30" i="10"/>
  <c r="G30" i="10"/>
  <c r="AQ30" i="10" s="1"/>
  <c r="BC29" i="10"/>
  <c r="BB29" i="10"/>
  <c r="BA29" i="10"/>
  <c r="AZ29" i="10"/>
  <c r="AY29" i="10"/>
  <c r="AM29" i="10"/>
  <c r="AB29" i="10"/>
  <c r="AA29" i="10"/>
  <c r="Z29" i="10"/>
  <c r="U29" i="10"/>
  <c r="U75" i="10" s="1"/>
  <c r="N29" i="10"/>
  <c r="G29" i="10"/>
  <c r="AQ29" i="10" s="1"/>
  <c r="BC28" i="10"/>
  <c r="BB28" i="10"/>
  <c r="BA28" i="10"/>
  <c r="AZ28" i="10"/>
  <c r="AY28" i="10"/>
  <c r="AM28" i="10"/>
  <c r="AB28" i="10"/>
  <c r="AA28" i="10"/>
  <c r="Z28" i="10"/>
  <c r="U28" i="10"/>
  <c r="U74" i="10" s="1"/>
  <c r="N28" i="10"/>
  <c r="G28" i="10"/>
  <c r="AQ28" i="10" s="1"/>
  <c r="AT28" i="10" s="1"/>
  <c r="BC27" i="10"/>
  <c r="BB27" i="10"/>
  <c r="BA27" i="10"/>
  <c r="AZ27" i="10"/>
  <c r="AY27" i="10"/>
  <c r="AQ27" i="10"/>
  <c r="AM27" i="10"/>
  <c r="AB27" i="10"/>
  <c r="AA27" i="10"/>
  <c r="Z27" i="10"/>
  <c r="U27" i="10"/>
  <c r="U73" i="10" s="1"/>
  <c r="N27" i="10"/>
  <c r="O27" i="10" s="1"/>
  <c r="G27" i="10"/>
  <c r="E27" i="8" s="1"/>
  <c r="I27" i="8" s="1"/>
  <c r="BC26" i="10"/>
  <c r="BB26" i="10"/>
  <c r="BA26" i="10"/>
  <c r="AZ26" i="10"/>
  <c r="AY26" i="10"/>
  <c r="AM26" i="10"/>
  <c r="AB26" i="10"/>
  <c r="AA26" i="10"/>
  <c r="Z26" i="10"/>
  <c r="U26" i="10"/>
  <c r="U72" i="10" s="1"/>
  <c r="N26" i="10"/>
  <c r="O26" i="10" s="1"/>
  <c r="G26" i="10"/>
  <c r="E26" i="8" s="1"/>
  <c r="I26" i="8" s="1"/>
  <c r="BC25" i="10"/>
  <c r="BB25" i="10"/>
  <c r="BA25" i="10"/>
  <c r="AZ25" i="10"/>
  <c r="AY25" i="10"/>
  <c r="AQ25" i="10"/>
  <c r="AM25" i="10"/>
  <c r="AB25" i="10"/>
  <c r="AA25" i="10"/>
  <c r="Z25" i="10"/>
  <c r="U25" i="10"/>
  <c r="U71" i="10" s="1"/>
  <c r="N25" i="10"/>
  <c r="O25" i="10" s="1"/>
  <c r="G25" i="10"/>
  <c r="E25" i="8" s="1"/>
  <c r="I25" i="8" s="1"/>
  <c r="BC24" i="10"/>
  <c r="BB24" i="10"/>
  <c r="BA24" i="10"/>
  <c r="AZ24" i="10"/>
  <c r="AY24" i="10"/>
  <c r="AM24" i="10"/>
  <c r="AB24" i="10"/>
  <c r="AA24" i="10"/>
  <c r="Z24" i="10"/>
  <c r="U24" i="10"/>
  <c r="U70" i="10" s="1"/>
  <c r="N24" i="10"/>
  <c r="O24" i="10" s="1"/>
  <c r="G24" i="10"/>
  <c r="E24" i="8" s="1"/>
  <c r="I24" i="8" s="1"/>
  <c r="BC23" i="10"/>
  <c r="BB23" i="10"/>
  <c r="BA23" i="10"/>
  <c r="AZ23" i="10"/>
  <c r="AY23" i="10"/>
  <c r="AM23" i="10"/>
  <c r="AB23" i="10"/>
  <c r="AA23" i="10"/>
  <c r="Z23" i="10"/>
  <c r="U23" i="10"/>
  <c r="U69" i="10" s="1"/>
  <c r="N23" i="10"/>
  <c r="O23" i="10" s="1"/>
  <c r="G23" i="10"/>
  <c r="E23" i="8" s="1"/>
  <c r="I23" i="8" s="1"/>
  <c r="BC22" i="10"/>
  <c r="BB22" i="10"/>
  <c r="BA22" i="10"/>
  <c r="AZ22" i="10"/>
  <c r="AY22" i="10"/>
  <c r="AQ22" i="10"/>
  <c r="AM22" i="10"/>
  <c r="AB22" i="10"/>
  <c r="AA22" i="10"/>
  <c r="Z22" i="10"/>
  <c r="U22" i="10"/>
  <c r="U68" i="10" s="1"/>
  <c r="N22" i="10"/>
  <c r="O22" i="10" s="1"/>
  <c r="G22" i="10"/>
  <c r="E22" i="8" s="1"/>
  <c r="I22" i="8" s="1"/>
  <c r="BC21" i="10"/>
  <c r="BB21" i="10"/>
  <c r="BA21" i="10"/>
  <c r="AZ21" i="10"/>
  <c r="AY21" i="10"/>
  <c r="AM21" i="10"/>
  <c r="AB21" i="10"/>
  <c r="AA21" i="10"/>
  <c r="Z21" i="10"/>
  <c r="U21" i="10"/>
  <c r="U67" i="10" s="1"/>
  <c r="N21" i="10"/>
  <c r="O21" i="10" s="1"/>
  <c r="G21" i="10"/>
  <c r="AQ21" i="10" s="1"/>
  <c r="BC20" i="10"/>
  <c r="BB20" i="10"/>
  <c r="BA20" i="10"/>
  <c r="AZ20" i="10"/>
  <c r="AY20" i="10"/>
  <c r="AM20" i="10"/>
  <c r="AB20" i="10"/>
  <c r="AA20" i="10"/>
  <c r="Z20" i="10"/>
  <c r="U20" i="10"/>
  <c r="U66" i="10" s="1"/>
  <c r="N20" i="10"/>
  <c r="O20" i="10" s="1"/>
  <c r="G20" i="10"/>
  <c r="AQ20" i="10" s="1"/>
  <c r="AT20" i="10" s="1"/>
  <c r="BC19" i="10"/>
  <c r="BB19" i="10"/>
  <c r="BA19" i="10"/>
  <c r="AZ19" i="10"/>
  <c r="AY19" i="10"/>
  <c r="AM19" i="10"/>
  <c r="AB19" i="10"/>
  <c r="AA19" i="10"/>
  <c r="Z19" i="10"/>
  <c r="U19" i="10"/>
  <c r="U65" i="10" s="1"/>
  <c r="N19" i="10"/>
  <c r="O19" i="10" s="1"/>
  <c r="G19" i="10"/>
  <c r="E19" i="8" s="1"/>
  <c r="I19" i="8" s="1"/>
  <c r="BC18" i="10"/>
  <c r="BB18" i="10"/>
  <c r="BA18" i="10"/>
  <c r="AZ18" i="10"/>
  <c r="AY18" i="10"/>
  <c r="AM18" i="10"/>
  <c r="AB18" i="10"/>
  <c r="AA18" i="10"/>
  <c r="Z18" i="10"/>
  <c r="U18" i="10"/>
  <c r="U64" i="10" s="1"/>
  <c r="N18" i="10"/>
  <c r="O18" i="10" s="1"/>
  <c r="G18" i="10"/>
  <c r="AQ18" i="10" s="1"/>
  <c r="AT18" i="10" s="1"/>
  <c r="BC17" i="10"/>
  <c r="BB17" i="10"/>
  <c r="BA17" i="10"/>
  <c r="AZ17" i="10"/>
  <c r="AY17" i="10"/>
  <c r="AM17" i="10"/>
  <c r="AB17" i="10"/>
  <c r="AA17" i="10"/>
  <c r="Z17" i="10"/>
  <c r="U17" i="10"/>
  <c r="U63" i="10" s="1"/>
  <c r="N17" i="10"/>
  <c r="O17" i="10" s="1"/>
  <c r="G17" i="10"/>
  <c r="AQ17" i="10" s="1"/>
  <c r="AT17" i="10" s="1"/>
  <c r="BC16" i="10"/>
  <c r="BB16" i="10"/>
  <c r="BA16" i="10"/>
  <c r="AZ16" i="10"/>
  <c r="AY16" i="10"/>
  <c r="AM16" i="10"/>
  <c r="AB16" i="10"/>
  <c r="AA16" i="10"/>
  <c r="Z16" i="10"/>
  <c r="U16" i="10"/>
  <c r="U62" i="10" s="1"/>
  <c r="N16" i="10"/>
  <c r="O16" i="10" s="1"/>
  <c r="G16" i="10"/>
  <c r="AQ16" i="10" s="1"/>
  <c r="AT16" i="10" s="1"/>
  <c r="BC15" i="10"/>
  <c r="BB15" i="10"/>
  <c r="BA15" i="10"/>
  <c r="AZ15" i="10"/>
  <c r="AY15" i="10"/>
  <c r="AM15" i="10"/>
  <c r="AB15" i="10"/>
  <c r="AA15" i="10"/>
  <c r="Z15" i="10"/>
  <c r="U15" i="10"/>
  <c r="U61" i="10" s="1"/>
  <c r="N15" i="10"/>
  <c r="O15" i="10" s="1"/>
  <c r="G15" i="10"/>
  <c r="E15" i="8" s="1"/>
  <c r="I15" i="8" s="1"/>
  <c r="BC14" i="10"/>
  <c r="BB14" i="10"/>
  <c r="BA14" i="10"/>
  <c r="AZ14" i="10"/>
  <c r="AY14" i="10"/>
  <c r="AR14" i="10"/>
  <c r="U14" i="10"/>
  <c r="U60" i="10" s="1"/>
  <c r="G14" i="10"/>
  <c r="E14" i="8" s="1"/>
  <c r="I14" i="8" s="1"/>
  <c r="CR13" i="10"/>
  <c r="CQ13" i="10"/>
  <c r="CP13" i="10"/>
  <c r="CO13" i="10"/>
  <c r="CN13" i="10"/>
  <c r="CM13" i="10"/>
  <c r="CL13" i="10"/>
  <c r="CK13" i="10"/>
  <c r="CJ13" i="10"/>
  <c r="CI13" i="10"/>
  <c r="CH13" i="10"/>
  <c r="CG13" i="10"/>
  <c r="CF13" i="10"/>
  <c r="CE13" i="10"/>
  <c r="CD13" i="10"/>
  <c r="CC13" i="10"/>
  <c r="CB13" i="10"/>
  <c r="CA13" i="10"/>
  <c r="BZ13" i="10"/>
  <c r="BY13" i="10"/>
  <c r="BX13" i="10"/>
  <c r="BW13" i="10"/>
  <c r="BV13" i="10"/>
  <c r="BU13" i="10"/>
  <c r="BT13" i="10"/>
  <c r="BS13" i="10"/>
  <c r="BR13" i="10"/>
  <c r="BQ13" i="10"/>
  <c r="BP13" i="10"/>
  <c r="BO13" i="10"/>
  <c r="BN13" i="10"/>
  <c r="BM13" i="10"/>
  <c r="BL13" i="10"/>
  <c r="BK13" i="10"/>
  <c r="BJ13" i="10"/>
  <c r="BI13" i="10"/>
  <c r="BH13" i="10"/>
  <c r="BG13" i="10"/>
  <c r="BF13" i="10"/>
  <c r="BC13" i="10"/>
  <c r="BB13" i="10"/>
  <c r="BA13" i="10"/>
  <c r="AZ13" i="10"/>
  <c r="AY13" i="10"/>
  <c r="AR13" i="10"/>
  <c r="U13" i="10"/>
  <c r="U59" i="10" s="1"/>
  <c r="G13" i="10"/>
  <c r="AQ13" i="10" s="1"/>
  <c r="BC12" i="10"/>
  <c r="BB12" i="10"/>
  <c r="BA12" i="10"/>
  <c r="AZ12" i="10"/>
  <c r="AY12" i="10"/>
  <c r="AR12" i="10"/>
  <c r="U12" i="10"/>
  <c r="U58" i="10" s="1"/>
  <c r="G12" i="10"/>
  <c r="AQ12" i="10" s="1"/>
  <c r="BC11" i="10"/>
  <c r="BB11" i="10"/>
  <c r="BA11" i="10"/>
  <c r="AZ11" i="10"/>
  <c r="AY11" i="10"/>
  <c r="AR11" i="10"/>
  <c r="U11" i="10"/>
  <c r="U57" i="10" s="1"/>
  <c r="G11" i="10"/>
  <c r="AQ11" i="10" s="1"/>
  <c r="BC10" i="10"/>
  <c r="BB10" i="10"/>
  <c r="BA10" i="10"/>
  <c r="AZ10" i="10"/>
  <c r="AY10" i="10"/>
  <c r="AR10" i="10"/>
  <c r="U10" i="10"/>
  <c r="U56" i="10" s="1"/>
  <c r="G10" i="10"/>
  <c r="AQ10" i="10" s="1"/>
  <c r="BC9" i="10"/>
  <c r="BB9" i="10"/>
  <c r="BA9" i="10"/>
  <c r="AZ9" i="10"/>
  <c r="AY9" i="10"/>
  <c r="AR9" i="10"/>
  <c r="U9" i="10"/>
  <c r="U55" i="10" s="1"/>
  <c r="G9" i="10"/>
  <c r="AQ9" i="10" s="1"/>
  <c r="BC8" i="10"/>
  <c r="BB8" i="10"/>
  <c r="BA8" i="10"/>
  <c r="AZ8" i="10"/>
  <c r="AY8" i="10"/>
  <c r="AR8" i="10"/>
  <c r="U8" i="10"/>
  <c r="U54" i="10" s="1"/>
  <c r="G8" i="10"/>
  <c r="AQ8" i="10" s="1"/>
  <c r="CR7" i="10"/>
  <c r="BC7" i="10"/>
  <c r="BB7" i="10"/>
  <c r="BA7" i="10"/>
  <c r="AZ7" i="10"/>
  <c r="AY7" i="10"/>
  <c r="AR7" i="10"/>
  <c r="AQ7" i="10"/>
  <c r="U7" i="10"/>
  <c r="U53" i="10" s="1"/>
  <c r="G7" i="10"/>
  <c r="A7" i="10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CR6" i="10"/>
  <c r="BC6" i="10"/>
  <c r="BB6" i="10"/>
  <c r="BA6" i="10"/>
  <c r="AZ6" i="10"/>
  <c r="AY6" i="10"/>
  <c r="AR6" i="10"/>
  <c r="U6" i="10"/>
  <c r="U52" i="10" s="1"/>
  <c r="G6" i="10"/>
  <c r="AQ6" i="10" s="1"/>
  <c r="BB3" i="10"/>
  <c r="BA3" i="10"/>
  <c r="AZ3" i="10"/>
  <c r="AY3" i="10"/>
  <c r="AB3" i="10"/>
  <c r="AA3" i="10"/>
  <c r="Z3" i="10"/>
  <c r="W1" i="10"/>
  <c r="G20" i="2"/>
  <c r="G9" i="2"/>
  <c r="G74" i="2"/>
  <c r="N99" i="2" s="1"/>
  <c r="P99" i="2" s="1"/>
  <c r="G75" i="2"/>
  <c r="N100" i="2" s="1"/>
  <c r="P100" i="2" s="1"/>
  <c r="G76" i="2"/>
  <c r="N101" i="2" s="1"/>
  <c r="P101" i="2" s="1"/>
  <c r="G77" i="2"/>
  <c r="N102" i="2" s="1"/>
  <c r="P102" i="2" s="1"/>
  <c r="G78" i="2"/>
  <c r="N103" i="2" s="1"/>
  <c r="P103" i="2" s="1"/>
  <c r="G79" i="2"/>
  <c r="N104" i="2" s="1"/>
  <c r="P104" i="2" s="1"/>
  <c r="G80" i="2"/>
  <c r="N105" i="2" s="1"/>
  <c r="P105" i="2" s="1"/>
  <c r="G81" i="2"/>
  <c r="G82" i="2"/>
  <c r="N107" i="2" s="1"/>
  <c r="P107" i="2" s="1"/>
  <c r="G73" i="2"/>
  <c r="N98" i="2" s="1"/>
  <c r="P98" i="2" s="1"/>
  <c r="U61" i="6"/>
  <c r="O50" i="2" s="1"/>
  <c r="U62" i="6"/>
  <c r="O51" i="2" s="1"/>
  <c r="U63" i="6"/>
  <c r="O52" i="2" s="1"/>
  <c r="U64" i="6"/>
  <c r="O53" i="2" s="1"/>
  <c r="U65" i="6"/>
  <c r="O54" i="2" s="1"/>
  <c r="U66" i="6"/>
  <c r="O55" i="2" s="1"/>
  <c r="U67" i="6"/>
  <c r="O56" i="2" s="1"/>
  <c r="U68" i="6"/>
  <c r="O57" i="2" s="1"/>
  <c r="U69" i="6"/>
  <c r="O58" i="2" s="1"/>
  <c r="U60" i="6"/>
  <c r="O49" i="2" s="1"/>
  <c r="T61" i="6"/>
  <c r="O74" i="2" s="1"/>
  <c r="T62" i="6"/>
  <c r="O75" i="2" s="1"/>
  <c r="T63" i="6"/>
  <c r="O76" i="2" s="1"/>
  <c r="T64" i="6"/>
  <c r="O77" i="2" s="1"/>
  <c r="T65" i="6"/>
  <c r="O78" i="2" s="1"/>
  <c r="T66" i="6"/>
  <c r="O79" i="2" s="1"/>
  <c r="T67" i="6"/>
  <c r="O80" i="2" s="1"/>
  <c r="T68" i="6"/>
  <c r="O81" i="2" s="1"/>
  <c r="T69" i="6"/>
  <c r="O82" i="2" s="1"/>
  <c r="T60" i="6"/>
  <c r="O73" i="2" s="1"/>
  <c r="C32" i="2"/>
  <c r="E11" i="2"/>
  <c r="E19" i="2"/>
  <c r="AC15" i="9"/>
  <c r="H20" i="2" s="1"/>
  <c r="AB15" i="9"/>
  <c r="AA15" i="9"/>
  <c r="F20" i="2" s="1"/>
  <c r="Z15" i="9"/>
  <c r="E20" i="2" s="1"/>
  <c r="Y15" i="9"/>
  <c r="AC14" i="9"/>
  <c r="H19" i="2" s="1"/>
  <c r="AB14" i="9"/>
  <c r="G19" i="2" s="1"/>
  <c r="AA14" i="9"/>
  <c r="F19" i="2" s="1"/>
  <c r="Z14" i="9"/>
  <c r="Y14" i="9"/>
  <c r="AC13" i="9"/>
  <c r="H18" i="2" s="1"/>
  <c r="AB13" i="9"/>
  <c r="G18" i="2" s="1"/>
  <c r="AA13" i="9"/>
  <c r="F18" i="2" s="1"/>
  <c r="Z13" i="9"/>
  <c r="E18" i="2" s="1"/>
  <c r="Y13" i="9"/>
  <c r="AC12" i="9"/>
  <c r="H17" i="2" s="1"/>
  <c r="AB12" i="9"/>
  <c r="G17" i="2" s="1"/>
  <c r="AA12" i="9"/>
  <c r="F17" i="2" s="1"/>
  <c r="Z12" i="9"/>
  <c r="E17" i="2" s="1"/>
  <c r="Y12" i="9"/>
  <c r="AC11" i="9"/>
  <c r="H16" i="2" s="1"/>
  <c r="AB11" i="9"/>
  <c r="G16" i="2" s="1"/>
  <c r="AA11" i="9"/>
  <c r="F16" i="2" s="1"/>
  <c r="Z11" i="9"/>
  <c r="E16" i="2" s="1"/>
  <c r="Y11" i="9"/>
  <c r="AC10" i="9"/>
  <c r="H15" i="2" s="1"/>
  <c r="AB10" i="9"/>
  <c r="G15" i="2" s="1"/>
  <c r="AA10" i="9"/>
  <c r="F15" i="2" s="1"/>
  <c r="Z10" i="9"/>
  <c r="E15" i="2" s="1"/>
  <c r="Y10" i="9"/>
  <c r="AC9" i="9"/>
  <c r="H14" i="2" s="1"/>
  <c r="H54" i="2" s="1"/>
  <c r="Q128" i="2" s="1"/>
  <c r="AB9" i="9"/>
  <c r="G14" i="2" s="1"/>
  <c r="AA9" i="9"/>
  <c r="F14" i="2" s="1"/>
  <c r="Z9" i="9"/>
  <c r="E14" i="2" s="1"/>
  <c r="Y9" i="9"/>
  <c r="AC8" i="9"/>
  <c r="H13" i="2" s="1"/>
  <c r="AB8" i="9"/>
  <c r="G13" i="2" s="1"/>
  <c r="AA8" i="9"/>
  <c r="F13" i="2" s="1"/>
  <c r="Z8" i="9"/>
  <c r="E13" i="2" s="1"/>
  <c r="Y8" i="9"/>
  <c r="AC7" i="9"/>
  <c r="H12" i="2" s="1"/>
  <c r="AB7" i="9"/>
  <c r="G12" i="2" s="1"/>
  <c r="AA7" i="9"/>
  <c r="F12" i="2" s="1"/>
  <c r="Z7" i="9"/>
  <c r="E12" i="2" s="1"/>
  <c r="Y7" i="9"/>
  <c r="AC6" i="9"/>
  <c r="H11" i="2" s="1"/>
  <c r="H51" i="2" s="1"/>
  <c r="AB6" i="9"/>
  <c r="G11" i="2" s="1"/>
  <c r="AA6" i="9"/>
  <c r="F11" i="2" s="1"/>
  <c r="Z6" i="9"/>
  <c r="Y6" i="9"/>
  <c r="AC5" i="9"/>
  <c r="H10" i="2" s="1"/>
  <c r="AB5" i="9"/>
  <c r="G10" i="2" s="1"/>
  <c r="AA5" i="9"/>
  <c r="F10" i="2" s="1"/>
  <c r="Z5" i="9"/>
  <c r="E10" i="2" s="1"/>
  <c r="Y5" i="9"/>
  <c r="X5" i="9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AC4" i="9"/>
  <c r="H9" i="2" s="1"/>
  <c r="H49" i="2" s="1"/>
  <c r="Q123" i="2" s="1"/>
  <c r="AB4" i="9"/>
  <c r="AA4" i="9"/>
  <c r="F9" i="2" s="1"/>
  <c r="Z4" i="9"/>
  <c r="E9" i="2" s="1"/>
  <c r="E49" i="2" s="1"/>
  <c r="Q49" i="2" s="1"/>
  <c r="Y4" i="9"/>
  <c r="C49" i="2"/>
  <c r="C73" i="2" s="1"/>
  <c r="C10" i="2"/>
  <c r="C50" i="2" s="1"/>
  <c r="C74" i="2" s="1"/>
  <c r="N89" i="2" l="1"/>
  <c r="P89" i="2" s="1"/>
  <c r="F112" i="2" s="1"/>
  <c r="F89" i="2"/>
  <c r="AD27" i="12"/>
  <c r="Z28" i="12"/>
  <c r="R14" i="10"/>
  <c r="D28" i="8"/>
  <c r="H28" i="8" s="1"/>
  <c r="D16" i="8"/>
  <c r="H16" i="8" s="1"/>
  <c r="D20" i="8"/>
  <c r="H20" i="8" s="1"/>
  <c r="P88" i="2"/>
  <c r="F111" i="2" s="1"/>
  <c r="AQ14" i="10"/>
  <c r="D38" i="8"/>
  <c r="H38" i="8" s="1"/>
  <c r="U38" i="8" s="1"/>
  <c r="D26" i="8"/>
  <c r="H26" i="8" s="1"/>
  <c r="U26" i="8" s="1"/>
  <c r="D14" i="8"/>
  <c r="H14" i="8" s="1"/>
  <c r="D36" i="8"/>
  <c r="H36" i="8" s="1"/>
  <c r="E21" i="8"/>
  <c r="I21" i="8" s="1"/>
  <c r="AB27" i="12"/>
  <c r="AF27" i="12" s="1"/>
  <c r="AF26" i="12"/>
  <c r="AQ15" i="10"/>
  <c r="D34" i="8"/>
  <c r="H34" i="8" s="1"/>
  <c r="E9" i="8"/>
  <c r="I9" i="8" s="1"/>
  <c r="P64" i="2"/>
  <c r="AQ19" i="10"/>
  <c r="D32" i="8"/>
  <c r="H32" i="8" s="1"/>
  <c r="U32" i="8" s="1"/>
  <c r="E8" i="8"/>
  <c r="I8" i="8" s="1"/>
  <c r="V8" i="8" s="1"/>
  <c r="E20" i="8"/>
  <c r="I20" i="8" s="1"/>
  <c r="E89" i="2"/>
  <c r="N65" i="2"/>
  <c r="P65" i="2" s="1"/>
  <c r="D33" i="8"/>
  <c r="H33" i="8" s="1"/>
  <c r="D21" i="8"/>
  <c r="H21" i="8" s="1"/>
  <c r="D9" i="8"/>
  <c r="H9" i="8" s="1"/>
  <c r="E90" i="2"/>
  <c r="N66" i="2"/>
  <c r="P66" i="2" s="1"/>
  <c r="R7" i="10"/>
  <c r="AP7" i="10" s="1"/>
  <c r="AQ23" i="10"/>
  <c r="AT23" i="10" s="1"/>
  <c r="E36" i="8"/>
  <c r="I36" i="8" s="1"/>
  <c r="V36" i="8" s="1"/>
  <c r="G89" i="2"/>
  <c r="N114" i="2" s="1"/>
  <c r="P114" i="2" s="1"/>
  <c r="H59" i="7"/>
  <c r="CR58" i="10"/>
  <c r="D31" i="8"/>
  <c r="H31" i="8" s="1"/>
  <c r="D19" i="8"/>
  <c r="H19" i="8" s="1"/>
  <c r="D7" i="8"/>
  <c r="H7" i="8" s="1"/>
  <c r="N113" i="2"/>
  <c r="P113" i="2" s="1"/>
  <c r="G50" i="2"/>
  <c r="Q99" i="2" s="1"/>
  <c r="R99" i="2" s="1"/>
  <c r="F49" i="2"/>
  <c r="G51" i="2"/>
  <c r="Q100" i="2" s="1"/>
  <c r="R100" i="2" s="1"/>
  <c r="S100" i="2" s="1"/>
  <c r="F50" i="2"/>
  <c r="Q74" i="2" s="1"/>
  <c r="F51" i="2"/>
  <c r="Q75" i="2" s="1"/>
  <c r="E101" i="2"/>
  <c r="G49" i="2"/>
  <c r="Q98" i="2" s="1"/>
  <c r="E103" i="2"/>
  <c r="E51" i="2"/>
  <c r="Q51" i="2" s="1"/>
  <c r="E50" i="2"/>
  <c r="Q50" i="2" s="1"/>
  <c r="H50" i="2"/>
  <c r="Q124" i="2" s="1"/>
  <c r="R124" i="2" s="1"/>
  <c r="U107" i="2"/>
  <c r="U108" i="2" s="1"/>
  <c r="U109" i="2" s="1"/>
  <c r="U110" i="2" s="1"/>
  <c r="AT29" i="10"/>
  <c r="AT13" i="10"/>
  <c r="AT21" i="10"/>
  <c r="E99" i="2"/>
  <c r="AQ24" i="10"/>
  <c r="AT24" i="10" s="1"/>
  <c r="E7" i="8"/>
  <c r="I7" i="8" s="1"/>
  <c r="E10" i="8"/>
  <c r="I10" i="8" s="1"/>
  <c r="V10" i="8" s="1"/>
  <c r="N106" i="2"/>
  <c r="P106" i="2" s="1"/>
  <c r="T106" i="2"/>
  <c r="AT9" i="10"/>
  <c r="AT12" i="10"/>
  <c r="AT14" i="10"/>
  <c r="AT25" i="10"/>
  <c r="E30" i="8"/>
  <c r="I30" i="8" s="1"/>
  <c r="V30" i="8" s="1"/>
  <c r="E18" i="8"/>
  <c r="I18" i="8" s="1"/>
  <c r="V18" i="8" s="1"/>
  <c r="P85" i="2"/>
  <c r="F108" i="2" s="1"/>
  <c r="P84" i="2"/>
  <c r="F107" i="2" s="1"/>
  <c r="P87" i="2"/>
  <c r="F110" i="2" s="1"/>
  <c r="P86" i="2"/>
  <c r="F109" i="2" s="1"/>
  <c r="C33" i="2"/>
  <c r="AQ26" i="10"/>
  <c r="AT26" i="10" s="1"/>
  <c r="L52" i="2"/>
  <c r="L75" i="2"/>
  <c r="E29" i="8"/>
  <c r="I29" i="8" s="1"/>
  <c r="V29" i="8" s="1"/>
  <c r="E17" i="8"/>
  <c r="I17" i="8" s="1"/>
  <c r="V17" i="8" s="1"/>
  <c r="AT15" i="10"/>
  <c r="AT27" i="10"/>
  <c r="AT35" i="10"/>
  <c r="E28" i="8"/>
  <c r="I28" i="8" s="1"/>
  <c r="V28" i="8" s="1"/>
  <c r="E16" i="8"/>
  <c r="I16" i="8" s="1"/>
  <c r="V16" i="8" s="1"/>
  <c r="AT7" i="10"/>
  <c r="E6" i="8"/>
  <c r="I6" i="8" s="1"/>
  <c r="AT6" i="10"/>
  <c r="AT8" i="10"/>
  <c r="AT11" i="10"/>
  <c r="E38" i="8"/>
  <c r="I38" i="8" s="1"/>
  <c r="J38" i="8" s="1"/>
  <c r="E104" i="2"/>
  <c r="Q6" i="10"/>
  <c r="P7" i="10"/>
  <c r="P60" i="2"/>
  <c r="P61" i="2"/>
  <c r="P62" i="2"/>
  <c r="P63" i="2"/>
  <c r="E37" i="8"/>
  <c r="I37" i="8" s="1"/>
  <c r="E13" i="8"/>
  <c r="I13" i="8" s="1"/>
  <c r="V13" i="8" s="1"/>
  <c r="E100" i="2"/>
  <c r="AT10" i="10"/>
  <c r="AT22" i="10"/>
  <c r="E102" i="2"/>
  <c r="AT19" i="10"/>
  <c r="E12" i="8"/>
  <c r="I12" i="8" s="1"/>
  <c r="V12" i="8" s="1"/>
  <c r="AT33" i="10"/>
  <c r="R98" i="2"/>
  <c r="AT31" i="10"/>
  <c r="E35" i="8"/>
  <c r="I35" i="8" s="1"/>
  <c r="V35" i="8" s="1"/>
  <c r="E11" i="8"/>
  <c r="I11" i="8" s="1"/>
  <c r="V11" i="8" s="1"/>
  <c r="Y78" i="2"/>
  <c r="P74" i="2"/>
  <c r="Y77" i="2"/>
  <c r="Y76" i="2"/>
  <c r="Y80" i="2"/>
  <c r="Y79" i="2"/>
  <c r="Y75" i="2"/>
  <c r="H104" i="2"/>
  <c r="H102" i="2"/>
  <c r="H100" i="2"/>
  <c r="G99" i="2"/>
  <c r="G101" i="2"/>
  <c r="G103" i="2"/>
  <c r="J34" i="2"/>
  <c r="J32" i="2"/>
  <c r="H105" i="2"/>
  <c r="H103" i="2"/>
  <c r="P50" i="2"/>
  <c r="G100" i="2"/>
  <c r="G102" i="2"/>
  <c r="G104" i="2"/>
  <c r="J33" i="2"/>
  <c r="U36" i="8"/>
  <c r="V34" i="8"/>
  <c r="U34" i="8"/>
  <c r="V32" i="8"/>
  <c r="U30" i="8"/>
  <c r="U28" i="8"/>
  <c r="V26" i="8"/>
  <c r="V24" i="8"/>
  <c r="U24" i="8"/>
  <c r="V22" i="8"/>
  <c r="U22" i="8"/>
  <c r="V20" i="8"/>
  <c r="U20" i="8"/>
  <c r="U18" i="8"/>
  <c r="U16" i="8"/>
  <c r="V14" i="8"/>
  <c r="U14" i="8"/>
  <c r="U12" i="8"/>
  <c r="U10" i="8"/>
  <c r="U8" i="8"/>
  <c r="U6" i="8"/>
  <c r="V6" i="8"/>
  <c r="U37" i="8"/>
  <c r="V37" i="8"/>
  <c r="U35" i="8"/>
  <c r="U33" i="8"/>
  <c r="V33" i="8"/>
  <c r="U31" i="8"/>
  <c r="V31" i="8"/>
  <c r="U29" i="8"/>
  <c r="U27" i="8"/>
  <c r="V27" i="8"/>
  <c r="U25" i="8"/>
  <c r="V25" i="8"/>
  <c r="U23" i="8"/>
  <c r="V23" i="8"/>
  <c r="U21" i="8"/>
  <c r="V21" i="8"/>
  <c r="U19" i="8"/>
  <c r="V19" i="8"/>
  <c r="U17" i="8"/>
  <c r="U15" i="8"/>
  <c r="V15" i="8"/>
  <c r="U13" i="8"/>
  <c r="U11" i="8"/>
  <c r="U9" i="8"/>
  <c r="V9" i="8"/>
  <c r="U7" i="8"/>
  <c r="V7" i="8"/>
  <c r="Q10" i="10"/>
  <c r="Q8" i="10"/>
  <c r="Q12" i="10"/>
  <c r="Q9" i="10"/>
  <c r="Q11" i="10"/>
  <c r="Q13" i="10"/>
  <c r="Q125" i="2"/>
  <c r="R125" i="2" s="1"/>
  <c r="S125" i="2" s="1"/>
  <c r="Q73" i="2"/>
  <c r="E54" i="2"/>
  <c r="Q54" i="2" s="1"/>
  <c r="F54" i="2"/>
  <c r="Q78" i="2" s="1"/>
  <c r="H101" i="2"/>
  <c r="G54" i="2"/>
  <c r="Q103" i="2" s="1"/>
  <c r="R103" i="2" s="1"/>
  <c r="S103" i="2" s="1"/>
  <c r="R128" i="2"/>
  <c r="S128" i="2" s="1"/>
  <c r="R123" i="2"/>
  <c r="P83" i="2"/>
  <c r="F106" i="2" s="1"/>
  <c r="P81" i="2"/>
  <c r="F104" i="2" s="1"/>
  <c r="P79" i="2"/>
  <c r="F102" i="2" s="1"/>
  <c r="P77" i="2"/>
  <c r="F100" i="2" s="1"/>
  <c r="P75" i="2"/>
  <c r="P73" i="2"/>
  <c r="P82" i="2"/>
  <c r="F105" i="2" s="1"/>
  <c r="P80" i="2"/>
  <c r="F103" i="2" s="1"/>
  <c r="P78" i="2"/>
  <c r="P76" i="2"/>
  <c r="F99" i="2" s="1"/>
  <c r="P54" i="2"/>
  <c r="P59" i="2"/>
  <c r="P57" i="2"/>
  <c r="P55" i="2"/>
  <c r="P53" i="2"/>
  <c r="P51" i="2"/>
  <c r="P49" i="2"/>
  <c r="P58" i="2"/>
  <c r="P56" i="2"/>
  <c r="P52" i="2"/>
  <c r="O62" i="10"/>
  <c r="R16" i="10"/>
  <c r="P16" i="10" s="1"/>
  <c r="AR16" i="10"/>
  <c r="Q16" i="10"/>
  <c r="O64" i="10"/>
  <c r="R18" i="10"/>
  <c r="P18" i="10" s="1"/>
  <c r="AR18" i="10"/>
  <c r="Q18" i="10"/>
  <c r="O66" i="10"/>
  <c r="R20" i="10"/>
  <c r="P20" i="10" s="1"/>
  <c r="AR20" i="10"/>
  <c r="Q20" i="10"/>
  <c r="O68" i="10"/>
  <c r="R22" i="10"/>
  <c r="P22" i="10" s="1"/>
  <c r="AR22" i="10"/>
  <c r="Q22" i="10"/>
  <c r="O70" i="10"/>
  <c r="R24" i="10"/>
  <c r="P24" i="10" s="1"/>
  <c r="AR24" i="10"/>
  <c r="Q24" i="10"/>
  <c r="O72" i="10"/>
  <c r="R26" i="10"/>
  <c r="P26" i="10" s="1"/>
  <c r="AR26" i="10"/>
  <c r="Q26" i="10"/>
  <c r="O61" i="10"/>
  <c r="R15" i="10"/>
  <c r="P15" i="10" s="1"/>
  <c r="AR15" i="10"/>
  <c r="Q15" i="10"/>
  <c r="O63" i="10"/>
  <c r="R17" i="10"/>
  <c r="P17" i="10" s="1"/>
  <c r="AR17" i="10"/>
  <c r="Q17" i="10"/>
  <c r="O65" i="10"/>
  <c r="R19" i="10"/>
  <c r="N65" i="10" s="1"/>
  <c r="AR19" i="10"/>
  <c r="Q19" i="10"/>
  <c r="O67" i="10"/>
  <c r="R21" i="10"/>
  <c r="P21" i="10" s="1"/>
  <c r="AR21" i="10"/>
  <c r="Q21" i="10"/>
  <c r="O69" i="10"/>
  <c r="R23" i="10"/>
  <c r="P23" i="10" s="1"/>
  <c r="AR23" i="10"/>
  <c r="Q23" i="10"/>
  <c r="O71" i="10"/>
  <c r="R25" i="10"/>
  <c r="N71" i="10" s="1"/>
  <c r="AR25" i="10"/>
  <c r="Q25" i="10"/>
  <c r="O73" i="10"/>
  <c r="R27" i="10"/>
  <c r="P27" i="10" s="1"/>
  <c r="AR27" i="10"/>
  <c r="Q27" i="10"/>
  <c r="R6" i="10"/>
  <c r="H6" i="10" s="1"/>
  <c r="H53" i="10"/>
  <c r="G53" i="10"/>
  <c r="I7" i="10"/>
  <c r="Q7" i="10"/>
  <c r="S7" i="10"/>
  <c r="H8" i="10"/>
  <c r="R8" i="10"/>
  <c r="R9" i="10"/>
  <c r="H9" i="10" s="1"/>
  <c r="R10" i="10"/>
  <c r="H56" i="10" s="1"/>
  <c r="R11" i="10"/>
  <c r="H57" i="10" s="1"/>
  <c r="R12" i="10"/>
  <c r="H12" i="10" s="1"/>
  <c r="H13" i="10"/>
  <c r="R13" i="10"/>
  <c r="H60" i="10"/>
  <c r="G60" i="10"/>
  <c r="I14" i="10"/>
  <c r="Q14" i="10"/>
  <c r="S14" i="10"/>
  <c r="G61" i="10"/>
  <c r="H61" i="10"/>
  <c r="I15" i="10"/>
  <c r="G62" i="10"/>
  <c r="H62" i="10"/>
  <c r="I16" i="10"/>
  <c r="G63" i="10"/>
  <c r="H63" i="10"/>
  <c r="I17" i="10"/>
  <c r="G64" i="10"/>
  <c r="I18" i="10"/>
  <c r="G65" i="10"/>
  <c r="I19" i="10"/>
  <c r="G66" i="10"/>
  <c r="H66" i="10"/>
  <c r="I20" i="10"/>
  <c r="G67" i="10"/>
  <c r="H67" i="10"/>
  <c r="I21" i="10"/>
  <c r="G68" i="10"/>
  <c r="H68" i="10"/>
  <c r="I22" i="10"/>
  <c r="G69" i="10"/>
  <c r="H69" i="10"/>
  <c r="I23" i="10"/>
  <c r="G70" i="10"/>
  <c r="I24" i="10"/>
  <c r="G71" i="10"/>
  <c r="I25" i="10"/>
  <c r="G72" i="10"/>
  <c r="I26" i="10"/>
  <c r="G73" i="10"/>
  <c r="H73" i="10"/>
  <c r="I27" i="10"/>
  <c r="O28" i="10"/>
  <c r="AT30" i="10"/>
  <c r="AT32" i="10"/>
  <c r="AT39" i="10"/>
  <c r="AT41" i="10"/>
  <c r="O46" i="10"/>
  <c r="AT43" i="10"/>
  <c r="G52" i="10"/>
  <c r="I6" i="10"/>
  <c r="S53" i="10"/>
  <c r="P53" i="10"/>
  <c r="F53" i="10"/>
  <c r="D53" i="10"/>
  <c r="BA53" i="10" s="1"/>
  <c r="B53" i="10"/>
  <c r="AY53" i="10" s="1"/>
  <c r="R53" i="10"/>
  <c r="E53" i="10"/>
  <c r="BB53" i="10" s="1"/>
  <c r="C53" i="10"/>
  <c r="AZ53" i="10" s="1"/>
  <c r="H54" i="10"/>
  <c r="G54" i="10"/>
  <c r="I8" i="10"/>
  <c r="G55" i="10"/>
  <c r="I9" i="10"/>
  <c r="G56" i="10"/>
  <c r="I10" i="10"/>
  <c r="G57" i="10"/>
  <c r="I11" i="10"/>
  <c r="G58" i="10"/>
  <c r="I12" i="10"/>
  <c r="G59" i="10"/>
  <c r="H59" i="10"/>
  <c r="I13" i="10"/>
  <c r="S60" i="10"/>
  <c r="P60" i="10"/>
  <c r="F60" i="10"/>
  <c r="D60" i="10"/>
  <c r="BA60" i="10" s="1"/>
  <c r="B60" i="10"/>
  <c r="AY60" i="10" s="1"/>
  <c r="R60" i="10"/>
  <c r="E60" i="10"/>
  <c r="BB60" i="10" s="1"/>
  <c r="C60" i="10"/>
  <c r="AZ60" i="10" s="1"/>
  <c r="N61" i="10"/>
  <c r="N62" i="10"/>
  <c r="N63" i="10"/>
  <c r="N64" i="10"/>
  <c r="N67" i="10"/>
  <c r="N68" i="10"/>
  <c r="N69" i="10"/>
  <c r="O29" i="10"/>
  <c r="AQ45" i="10"/>
  <c r="AT34" i="10"/>
  <c r="AT36" i="10"/>
  <c r="AT37" i="10"/>
  <c r="AT38" i="10"/>
  <c r="AT40" i="10"/>
  <c r="AT42" i="10"/>
  <c r="N84" i="10"/>
  <c r="R38" i="10"/>
  <c r="P84" i="10" s="1"/>
  <c r="R39" i="10"/>
  <c r="H85" i="10" s="1"/>
  <c r="R40" i="10"/>
  <c r="H86" i="10" s="1"/>
  <c r="H41" i="10"/>
  <c r="R41" i="10"/>
  <c r="P41" i="10" s="1"/>
  <c r="R42" i="10"/>
  <c r="H88" i="10" s="1"/>
  <c r="O89" i="10"/>
  <c r="Q43" i="10"/>
  <c r="U46" i="10"/>
  <c r="G74" i="10"/>
  <c r="I28" i="10"/>
  <c r="G75" i="10"/>
  <c r="I29" i="10"/>
  <c r="G76" i="10"/>
  <c r="I30" i="10"/>
  <c r="O30" i="10"/>
  <c r="G77" i="10"/>
  <c r="I31" i="10"/>
  <c r="O31" i="10"/>
  <c r="G78" i="10"/>
  <c r="I32" i="10"/>
  <c r="O32" i="10"/>
  <c r="G79" i="10"/>
  <c r="I33" i="10"/>
  <c r="O33" i="10"/>
  <c r="G80" i="10"/>
  <c r="I34" i="10"/>
  <c r="O34" i="10"/>
  <c r="G81" i="10"/>
  <c r="I35" i="10"/>
  <c r="O35" i="10"/>
  <c r="G82" i="10"/>
  <c r="I36" i="10"/>
  <c r="O36" i="10"/>
  <c r="G83" i="10"/>
  <c r="I37" i="10"/>
  <c r="O37" i="10"/>
  <c r="R37" i="10" s="1"/>
  <c r="G84" i="10"/>
  <c r="H84" i="10"/>
  <c r="I38" i="10"/>
  <c r="O84" i="10"/>
  <c r="Q38" i="10"/>
  <c r="AR38" i="10"/>
  <c r="G85" i="10"/>
  <c r="I39" i="10"/>
  <c r="O85" i="10"/>
  <c r="Q39" i="10"/>
  <c r="AR39" i="10"/>
  <c r="G86" i="10"/>
  <c r="I40" i="10"/>
  <c r="O86" i="10"/>
  <c r="Q40" i="10"/>
  <c r="AR40" i="10"/>
  <c r="G87" i="10"/>
  <c r="I41" i="10"/>
  <c r="O87" i="10"/>
  <c r="Q41" i="10"/>
  <c r="AR41" i="10"/>
  <c r="G88" i="10"/>
  <c r="I42" i="10"/>
  <c r="P88" i="10"/>
  <c r="O88" i="10"/>
  <c r="Q42" i="10"/>
  <c r="AR42" i="10"/>
  <c r="G89" i="10"/>
  <c r="I43" i="10"/>
  <c r="R43" i="10"/>
  <c r="G46" i="10"/>
  <c r="C11" i="2"/>
  <c r="C34" i="2" s="1"/>
  <c r="X6" i="8"/>
  <c r="T6" i="8"/>
  <c r="F7" i="8"/>
  <c r="T7" i="8" s="1"/>
  <c r="X7" i="8" s="1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F6" i="8"/>
  <c r="N86" i="10" l="1"/>
  <c r="N73" i="10"/>
  <c r="N72" i="10"/>
  <c r="H65" i="10"/>
  <c r="H10" i="10"/>
  <c r="F8" i="8"/>
  <c r="H87" i="10"/>
  <c r="H55" i="10"/>
  <c r="V38" i="8"/>
  <c r="P87" i="10"/>
  <c r="N66" i="10"/>
  <c r="H64" i="10"/>
  <c r="AP14" i="10"/>
  <c r="H14" i="10"/>
  <c r="P14" i="10"/>
  <c r="H72" i="10"/>
  <c r="H7" i="10"/>
  <c r="P85" i="10"/>
  <c r="P25" i="10"/>
  <c r="N90" i="2"/>
  <c r="P90" i="2" s="1"/>
  <c r="F113" i="2" s="1"/>
  <c r="F90" i="2"/>
  <c r="G90" i="2"/>
  <c r="H60" i="7"/>
  <c r="G91" i="2" s="1"/>
  <c r="P86" i="10"/>
  <c r="H71" i="10"/>
  <c r="P19" i="10"/>
  <c r="U53" i="8"/>
  <c r="Y53" i="8" s="1"/>
  <c r="U51" i="8"/>
  <c r="Y51" i="8" s="1"/>
  <c r="U52" i="8"/>
  <c r="Y52" i="8" s="1"/>
  <c r="R51" i="2"/>
  <c r="S51" i="2" s="1"/>
  <c r="R75" i="2"/>
  <c r="S75" i="2" s="1"/>
  <c r="G105" i="2"/>
  <c r="G107" i="2"/>
  <c r="R78" i="2"/>
  <c r="S78" i="2" s="1"/>
  <c r="G106" i="2"/>
  <c r="H11" i="10"/>
  <c r="J103" i="2"/>
  <c r="E43" i="8" s="1"/>
  <c r="I43" i="8" s="1"/>
  <c r="V43" i="8" s="1"/>
  <c r="H58" i="10"/>
  <c r="H52" i="10"/>
  <c r="N70" i="10"/>
  <c r="L53" i="2"/>
  <c r="L76" i="2"/>
  <c r="H70" i="10"/>
  <c r="R54" i="2"/>
  <c r="S54" i="2" s="1"/>
  <c r="U47" i="8"/>
  <c r="Y47" i="8" s="1"/>
  <c r="U49" i="8"/>
  <c r="Y49" i="8" s="1"/>
  <c r="U48" i="8"/>
  <c r="Y48" i="8" s="1"/>
  <c r="U50" i="8"/>
  <c r="Y50" i="8" s="1"/>
  <c r="U111" i="2"/>
  <c r="G108" i="2"/>
  <c r="U58" i="2"/>
  <c r="V58" i="2" s="1"/>
  <c r="E105" i="2" s="1"/>
  <c r="J104" i="2"/>
  <c r="E44" i="8" s="1"/>
  <c r="I44" i="8" s="1"/>
  <c r="V44" i="8" s="1"/>
  <c r="J100" i="2"/>
  <c r="E40" i="8" s="1"/>
  <c r="I40" i="8" s="1"/>
  <c r="V40" i="8" s="1"/>
  <c r="J102" i="2"/>
  <c r="E42" i="8" s="1"/>
  <c r="I42" i="8" s="1"/>
  <c r="V42" i="8" s="1"/>
  <c r="U41" i="8"/>
  <c r="U43" i="8"/>
  <c r="U45" i="8"/>
  <c r="U39" i="8"/>
  <c r="U40" i="8"/>
  <c r="U42" i="8"/>
  <c r="U44" i="8"/>
  <c r="U46" i="8"/>
  <c r="F101" i="2"/>
  <c r="J101" i="2" s="1"/>
  <c r="E41" i="8" s="1"/>
  <c r="I41" i="8" s="1"/>
  <c r="V41" i="8" s="1"/>
  <c r="S83" i="10"/>
  <c r="L83" i="10"/>
  <c r="J83" i="10"/>
  <c r="E83" i="10"/>
  <c r="BB83" i="10" s="1"/>
  <c r="C83" i="10"/>
  <c r="AZ83" i="10" s="1"/>
  <c r="R83" i="10"/>
  <c r="M83" i="10"/>
  <c r="K83" i="10"/>
  <c r="F83" i="10"/>
  <c r="D83" i="10"/>
  <c r="BA83" i="10" s="1"/>
  <c r="B83" i="10"/>
  <c r="AY83" i="10" s="1"/>
  <c r="AP37" i="10"/>
  <c r="S37" i="10"/>
  <c r="N83" i="10"/>
  <c r="H83" i="10"/>
  <c r="H37" i="10"/>
  <c r="S89" i="10"/>
  <c r="N89" i="10"/>
  <c r="L89" i="10"/>
  <c r="J89" i="10"/>
  <c r="E89" i="10"/>
  <c r="BB89" i="10" s="1"/>
  <c r="C89" i="10"/>
  <c r="AZ89" i="10" s="1"/>
  <c r="R89" i="10"/>
  <c r="M89" i="10"/>
  <c r="K89" i="10"/>
  <c r="F89" i="10"/>
  <c r="D89" i="10"/>
  <c r="BA89" i="10" s="1"/>
  <c r="B89" i="10"/>
  <c r="AY89" i="10" s="1"/>
  <c r="AP43" i="10"/>
  <c r="P43" i="10"/>
  <c r="S43" i="10"/>
  <c r="H89" i="10"/>
  <c r="P89" i="10"/>
  <c r="S88" i="10"/>
  <c r="L88" i="10"/>
  <c r="J88" i="10"/>
  <c r="E88" i="10"/>
  <c r="BB88" i="10" s="1"/>
  <c r="C88" i="10"/>
  <c r="AZ88" i="10" s="1"/>
  <c r="R88" i="10"/>
  <c r="M88" i="10"/>
  <c r="K88" i="10"/>
  <c r="F88" i="10"/>
  <c r="D88" i="10"/>
  <c r="BA88" i="10" s="1"/>
  <c r="B88" i="10"/>
  <c r="AY88" i="10" s="1"/>
  <c r="AP42" i="10"/>
  <c r="S42" i="10"/>
  <c r="H42" i="10"/>
  <c r="S85" i="10"/>
  <c r="L85" i="10"/>
  <c r="J85" i="10"/>
  <c r="E85" i="10"/>
  <c r="BB85" i="10" s="1"/>
  <c r="C85" i="10"/>
  <c r="AZ85" i="10" s="1"/>
  <c r="R85" i="10"/>
  <c r="M85" i="10"/>
  <c r="K85" i="10"/>
  <c r="F85" i="10"/>
  <c r="D85" i="10"/>
  <c r="BA85" i="10" s="1"/>
  <c r="B85" i="10"/>
  <c r="AY85" i="10" s="1"/>
  <c r="AP39" i="10"/>
  <c r="S39" i="10"/>
  <c r="H39" i="10"/>
  <c r="P39" i="10"/>
  <c r="O74" i="10"/>
  <c r="AR28" i="10"/>
  <c r="AU25" i="10" s="1"/>
  <c r="Q28" i="10"/>
  <c r="R28" i="10"/>
  <c r="P74" i="10" s="1"/>
  <c r="R59" i="10"/>
  <c r="E59" i="10"/>
  <c r="BB59" i="10" s="1"/>
  <c r="C59" i="10"/>
  <c r="AZ59" i="10" s="1"/>
  <c r="S59" i="10"/>
  <c r="P59" i="10"/>
  <c r="F59" i="10"/>
  <c r="D59" i="10"/>
  <c r="BA59" i="10" s="1"/>
  <c r="B59" i="10"/>
  <c r="AY59" i="10" s="1"/>
  <c r="AP13" i="10"/>
  <c r="S13" i="10"/>
  <c r="P13" i="10"/>
  <c r="R58" i="10"/>
  <c r="P58" i="10"/>
  <c r="F58" i="10"/>
  <c r="D58" i="10"/>
  <c r="BA58" i="10" s="1"/>
  <c r="B58" i="10"/>
  <c r="AY58" i="10" s="1"/>
  <c r="S58" i="10"/>
  <c r="E58" i="10"/>
  <c r="BB58" i="10" s="1"/>
  <c r="C58" i="10"/>
  <c r="AZ58" i="10" s="1"/>
  <c r="AP12" i="10"/>
  <c r="S12" i="10"/>
  <c r="P12" i="10"/>
  <c r="R57" i="10"/>
  <c r="E57" i="10"/>
  <c r="BB57" i="10" s="1"/>
  <c r="C57" i="10"/>
  <c r="AZ57" i="10" s="1"/>
  <c r="S57" i="10"/>
  <c r="P57" i="10"/>
  <c r="F57" i="10"/>
  <c r="D57" i="10"/>
  <c r="BA57" i="10" s="1"/>
  <c r="B57" i="10"/>
  <c r="AY57" i="10" s="1"/>
  <c r="AP11" i="10"/>
  <c r="S11" i="10"/>
  <c r="P11" i="10"/>
  <c r="S56" i="10"/>
  <c r="P56" i="10"/>
  <c r="F56" i="10"/>
  <c r="D56" i="10"/>
  <c r="BA56" i="10" s="1"/>
  <c r="B56" i="10"/>
  <c r="AY56" i="10" s="1"/>
  <c r="R56" i="10"/>
  <c r="E56" i="10"/>
  <c r="BB56" i="10" s="1"/>
  <c r="C56" i="10"/>
  <c r="AZ56" i="10" s="1"/>
  <c r="AP10" i="10"/>
  <c r="S10" i="10"/>
  <c r="P10" i="10"/>
  <c r="R55" i="10"/>
  <c r="E55" i="10"/>
  <c r="BB55" i="10" s="1"/>
  <c r="C55" i="10"/>
  <c r="AZ55" i="10" s="1"/>
  <c r="S55" i="10"/>
  <c r="P55" i="10"/>
  <c r="F55" i="10"/>
  <c r="D55" i="10"/>
  <c r="BA55" i="10" s="1"/>
  <c r="B55" i="10"/>
  <c r="AY55" i="10" s="1"/>
  <c r="AP9" i="10"/>
  <c r="S9" i="10"/>
  <c r="P9" i="10"/>
  <c r="S54" i="10"/>
  <c r="P54" i="10"/>
  <c r="F54" i="10"/>
  <c r="D54" i="10"/>
  <c r="BA54" i="10" s="1"/>
  <c r="B54" i="10"/>
  <c r="AY54" i="10" s="1"/>
  <c r="R54" i="10"/>
  <c r="E54" i="10"/>
  <c r="BB54" i="10" s="1"/>
  <c r="C54" i="10"/>
  <c r="AZ54" i="10" s="1"/>
  <c r="AP8" i="10"/>
  <c r="S8" i="10"/>
  <c r="P8" i="10"/>
  <c r="S73" i="10"/>
  <c r="L73" i="10"/>
  <c r="J73" i="10"/>
  <c r="E73" i="10"/>
  <c r="BB73" i="10" s="1"/>
  <c r="C73" i="10"/>
  <c r="AZ73" i="10" s="1"/>
  <c r="R73" i="10"/>
  <c r="M73" i="10"/>
  <c r="K73" i="10"/>
  <c r="F73" i="10"/>
  <c r="D73" i="10"/>
  <c r="BA73" i="10" s="1"/>
  <c r="B73" i="10"/>
  <c r="AY73" i="10" s="1"/>
  <c r="H27" i="10"/>
  <c r="AP27" i="10"/>
  <c r="S27" i="10"/>
  <c r="P73" i="10"/>
  <c r="S71" i="10"/>
  <c r="L71" i="10"/>
  <c r="J71" i="10"/>
  <c r="E71" i="10"/>
  <c r="BB71" i="10" s="1"/>
  <c r="C71" i="10"/>
  <c r="AZ71" i="10" s="1"/>
  <c r="R71" i="10"/>
  <c r="M71" i="10"/>
  <c r="K71" i="10"/>
  <c r="F71" i="10"/>
  <c r="D71" i="10"/>
  <c r="BA71" i="10" s="1"/>
  <c r="B71" i="10"/>
  <c r="AY71" i="10" s="1"/>
  <c r="H25" i="10"/>
  <c r="AP25" i="10"/>
  <c r="S25" i="10"/>
  <c r="P71" i="10"/>
  <c r="S69" i="10"/>
  <c r="L69" i="10"/>
  <c r="J69" i="10"/>
  <c r="E69" i="10"/>
  <c r="BB69" i="10" s="1"/>
  <c r="C69" i="10"/>
  <c r="AZ69" i="10" s="1"/>
  <c r="R69" i="10"/>
  <c r="M69" i="10"/>
  <c r="K69" i="10"/>
  <c r="F69" i="10"/>
  <c r="D69" i="10"/>
  <c r="BA69" i="10" s="1"/>
  <c r="B69" i="10"/>
  <c r="AY69" i="10" s="1"/>
  <c r="H23" i="10"/>
  <c r="AP23" i="10"/>
  <c r="S23" i="10"/>
  <c r="P69" i="10"/>
  <c r="S67" i="10"/>
  <c r="L67" i="10"/>
  <c r="J67" i="10"/>
  <c r="E67" i="10"/>
  <c r="BB67" i="10" s="1"/>
  <c r="C67" i="10"/>
  <c r="AZ67" i="10" s="1"/>
  <c r="R67" i="10"/>
  <c r="M67" i="10"/>
  <c r="K67" i="10"/>
  <c r="F67" i="10"/>
  <c r="D67" i="10"/>
  <c r="BA67" i="10" s="1"/>
  <c r="B67" i="10"/>
  <c r="AY67" i="10" s="1"/>
  <c r="H21" i="10"/>
  <c r="AP21" i="10"/>
  <c r="S21" i="10"/>
  <c r="P67" i="10"/>
  <c r="S65" i="10"/>
  <c r="L65" i="10"/>
  <c r="J65" i="10"/>
  <c r="E65" i="10"/>
  <c r="BB65" i="10" s="1"/>
  <c r="C65" i="10"/>
  <c r="AZ65" i="10" s="1"/>
  <c r="R65" i="10"/>
  <c r="M65" i="10"/>
  <c r="K65" i="10"/>
  <c r="F65" i="10"/>
  <c r="D65" i="10"/>
  <c r="BA65" i="10" s="1"/>
  <c r="B65" i="10"/>
  <c r="AY65" i="10" s="1"/>
  <c r="H19" i="10"/>
  <c r="AP19" i="10"/>
  <c r="S19" i="10"/>
  <c r="P65" i="10"/>
  <c r="S63" i="10"/>
  <c r="L63" i="10"/>
  <c r="J63" i="10"/>
  <c r="E63" i="10"/>
  <c r="BB63" i="10" s="1"/>
  <c r="C63" i="10"/>
  <c r="AZ63" i="10" s="1"/>
  <c r="R63" i="10"/>
  <c r="M63" i="10"/>
  <c r="K63" i="10"/>
  <c r="F63" i="10"/>
  <c r="D63" i="10"/>
  <c r="BA63" i="10" s="1"/>
  <c r="B63" i="10"/>
  <c r="AY63" i="10" s="1"/>
  <c r="H17" i="10"/>
  <c r="AP17" i="10"/>
  <c r="S17" i="10"/>
  <c r="P63" i="10"/>
  <c r="S61" i="10"/>
  <c r="L61" i="10"/>
  <c r="J61" i="10"/>
  <c r="E61" i="10"/>
  <c r="BB61" i="10" s="1"/>
  <c r="C61" i="10"/>
  <c r="AZ61" i="10" s="1"/>
  <c r="R61" i="10"/>
  <c r="M61" i="10"/>
  <c r="K61" i="10"/>
  <c r="F61" i="10"/>
  <c r="D61" i="10"/>
  <c r="BA61" i="10" s="1"/>
  <c r="B61" i="10"/>
  <c r="AY61" i="10" s="1"/>
  <c r="H15" i="10"/>
  <c r="AP15" i="10"/>
  <c r="S15" i="10"/>
  <c r="P61" i="10"/>
  <c r="AR45" i="10"/>
  <c r="I46" i="10"/>
  <c r="P83" i="10"/>
  <c r="O83" i="10"/>
  <c r="AR37" i="10"/>
  <c r="Q37" i="10"/>
  <c r="P37" i="10"/>
  <c r="O82" i="10"/>
  <c r="AR36" i="10"/>
  <c r="Q36" i="10"/>
  <c r="O81" i="10"/>
  <c r="AR35" i="10"/>
  <c r="Q35" i="10"/>
  <c r="R35" i="10"/>
  <c r="O80" i="10"/>
  <c r="AR34" i="10"/>
  <c r="Q34" i="10"/>
  <c r="R34" i="10"/>
  <c r="O79" i="10"/>
  <c r="AR33" i="10"/>
  <c r="Q33" i="10"/>
  <c r="R33" i="10"/>
  <c r="O78" i="10"/>
  <c r="AR32" i="10"/>
  <c r="Q32" i="10"/>
  <c r="R32" i="10"/>
  <c r="O77" i="10"/>
  <c r="AR31" i="10"/>
  <c r="Q31" i="10"/>
  <c r="R31" i="10"/>
  <c r="O76" i="10"/>
  <c r="AR30" i="10"/>
  <c r="Q30" i="10"/>
  <c r="R30" i="10"/>
  <c r="H43" i="10"/>
  <c r="N88" i="10"/>
  <c r="S87" i="10"/>
  <c r="L87" i="10"/>
  <c r="J87" i="10"/>
  <c r="E87" i="10"/>
  <c r="BB87" i="10" s="1"/>
  <c r="C87" i="10"/>
  <c r="AZ87" i="10" s="1"/>
  <c r="R87" i="10"/>
  <c r="M87" i="10"/>
  <c r="K87" i="10"/>
  <c r="F87" i="10"/>
  <c r="D87" i="10"/>
  <c r="BA87" i="10" s="1"/>
  <c r="B87" i="10"/>
  <c r="AY87" i="10" s="1"/>
  <c r="AP41" i="10"/>
  <c r="S41" i="10"/>
  <c r="R46" i="10"/>
  <c r="N87" i="10"/>
  <c r="S86" i="10"/>
  <c r="L86" i="10"/>
  <c r="J86" i="10"/>
  <c r="E86" i="10"/>
  <c r="BB86" i="10" s="1"/>
  <c r="C86" i="10"/>
  <c r="AZ86" i="10" s="1"/>
  <c r="R86" i="10"/>
  <c r="M86" i="10"/>
  <c r="K86" i="10"/>
  <c r="F86" i="10"/>
  <c r="D86" i="10"/>
  <c r="BA86" i="10" s="1"/>
  <c r="B86" i="10"/>
  <c r="AY86" i="10" s="1"/>
  <c r="AP40" i="10"/>
  <c r="S40" i="10"/>
  <c r="H40" i="10"/>
  <c r="N85" i="10"/>
  <c r="S84" i="10"/>
  <c r="L84" i="10"/>
  <c r="J84" i="10"/>
  <c r="E84" i="10"/>
  <c r="BB84" i="10" s="1"/>
  <c r="C84" i="10"/>
  <c r="AZ84" i="10" s="1"/>
  <c r="R84" i="10"/>
  <c r="M84" i="10"/>
  <c r="K84" i="10"/>
  <c r="F84" i="10"/>
  <c r="D84" i="10"/>
  <c r="BA84" i="10" s="1"/>
  <c r="B84" i="10"/>
  <c r="AY84" i="10" s="1"/>
  <c r="AP38" i="10"/>
  <c r="S38" i="10"/>
  <c r="H38" i="10"/>
  <c r="R36" i="10"/>
  <c r="P42" i="10"/>
  <c r="P46" i="10" s="1"/>
  <c r="P40" i="10"/>
  <c r="P38" i="10"/>
  <c r="O75" i="10"/>
  <c r="AR29" i="10"/>
  <c r="Q29" i="10"/>
  <c r="R29" i="10"/>
  <c r="H50" i="10"/>
  <c r="S52" i="10"/>
  <c r="P52" i="10"/>
  <c r="F52" i="10"/>
  <c r="D52" i="10"/>
  <c r="BA52" i="10" s="1"/>
  <c r="B52" i="10"/>
  <c r="AY52" i="10" s="1"/>
  <c r="R52" i="10"/>
  <c r="E52" i="10"/>
  <c r="BB52" i="10" s="1"/>
  <c r="C52" i="10"/>
  <c r="AZ52" i="10" s="1"/>
  <c r="AP6" i="10"/>
  <c r="S6" i="10"/>
  <c r="P6" i="10"/>
  <c r="S72" i="10"/>
  <c r="L72" i="10"/>
  <c r="J72" i="10"/>
  <c r="E72" i="10"/>
  <c r="BB72" i="10" s="1"/>
  <c r="C72" i="10"/>
  <c r="AZ72" i="10" s="1"/>
  <c r="R72" i="10"/>
  <c r="M72" i="10"/>
  <c r="K72" i="10"/>
  <c r="F72" i="10"/>
  <c r="D72" i="10"/>
  <c r="BA72" i="10" s="1"/>
  <c r="B72" i="10"/>
  <c r="AY72" i="10" s="1"/>
  <c r="H26" i="10"/>
  <c r="AP26" i="10"/>
  <c r="S26" i="10"/>
  <c r="P72" i="10"/>
  <c r="S70" i="10"/>
  <c r="L70" i="10"/>
  <c r="J70" i="10"/>
  <c r="E70" i="10"/>
  <c r="BB70" i="10" s="1"/>
  <c r="C70" i="10"/>
  <c r="AZ70" i="10" s="1"/>
  <c r="R70" i="10"/>
  <c r="M70" i="10"/>
  <c r="K70" i="10"/>
  <c r="F70" i="10"/>
  <c r="D70" i="10"/>
  <c r="BA70" i="10" s="1"/>
  <c r="B70" i="10"/>
  <c r="AY70" i="10" s="1"/>
  <c r="H24" i="10"/>
  <c r="AP24" i="10"/>
  <c r="S24" i="10"/>
  <c r="P70" i="10"/>
  <c r="S68" i="10"/>
  <c r="L68" i="10"/>
  <c r="J68" i="10"/>
  <c r="E68" i="10"/>
  <c r="BB68" i="10" s="1"/>
  <c r="C68" i="10"/>
  <c r="AZ68" i="10" s="1"/>
  <c r="R68" i="10"/>
  <c r="M68" i="10"/>
  <c r="K68" i="10"/>
  <c r="F68" i="10"/>
  <c r="D68" i="10"/>
  <c r="BA68" i="10" s="1"/>
  <c r="B68" i="10"/>
  <c r="AY68" i="10" s="1"/>
  <c r="H22" i="10"/>
  <c r="AP22" i="10"/>
  <c r="S22" i="10"/>
  <c r="P68" i="10"/>
  <c r="S66" i="10"/>
  <c r="L66" i="10"/>
  <c r="J66" i="10"/>
  <c r="E66" i="10"/>
  <c r="BB66" i="10" s="1"/>
  <c r="C66" i="10"/>
  <c r="AZ66" i="10" s="1"/>
  <c r="R66" i="10"/>
  <c r="M66" i="10"/>
  <c r="K66" i="10"/>
  <c r="F66" i="10"/>
  <c r="D66" i="10"/>
  <c r="BA66" i="10" s="1"/>
  <c r="B66" i="10"/>
  <c r="AY66" i="10" s="1"/>
  <c r="H20" i="10"/>
  <c r="AP20" i="10"/>
  <c r="S20" i="10"/>
  <c r="P66" i="10"/>
  <c r="S64" i="10"/>
  <c r="L64" i="10"/>
  <c r="J64" i="10"/>
  <c r="E64" i="10"/>
  <c r="BB64" i="10" s="1"/>
  <c r="C64" i="10"/>
  <c r="AZ64" i="10" s="1"/>
  <c r="R64" i="10"/>
  <c r="M64" i="10"/>
  <c r="K64" i="10"/>
  <c r="F64" i="10"/>
  <c r="D64" i="10"/>
  <c r="BA64" i="10" s="1"/>
  <c r="B64" i="10"/>
  <c r="AY64" i="10" s="1"/>
  <c r="H18" i="10"/>
  <c r="AP18" i="10"/>
  <c r="S18" i="10"/>
  <c r="P64" i="10"/>
  <c r="S62" i="10"/>
  <c r="L62" i="10"/>
  <c r="J62" i="10"/>
  <c r="E62" i="10"/>
  <c r="BB62" i="10" s="1"/>
  <c r="C62" i="10"/>
  <c r="AZ62" i="10" s="1"/>
  <c r="R62" i="10"/>
  <c r="M62" i="10"/>
  <c r="K62" i="10"/>
  <c r="F62" i="10"/>
  <c r="D62" i="10"/>
  <c r="BA62" i="10" s="1"/>
  <c r="B62" i="10"/>
  <c r="AY62" i="10" s="1"/>
  <c r="H16" i="10"/>
  <c r="AP16" i="10"/>
  <c r="S16" i="10"/>
  <c r="P62" i="10"/>
  <c r="C12" i="2"/>
  <c r="C35" i="2" s="1"/>
  <c r="C51" i="2"/>
  <c r="C75" i="2" s="1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5" i="3"/>
  <c r="AB20" i="5"/>
  <c r="AF20" i="5" s="1"/>
  <c r="AB38" i="3" s="1"/>
  <c r="AB19" i="5"/>
  <c r="AF19" i="5" s="1"/>
  <c r="AB37" i="3" s="1"/>
  <c r="AB18" i="5"/>
  <c r="AF18" i="5" s="1"/>
  <c r="AB36" i="3" s="1"/>
  <c r="AB4" i="5" a="1"/>
  <c r="AB4" i="5" s="1"/>
  <c r="AF4" i="5" s="1"/>
  <c r="AB22" i="3" s="1"/>
  <c r="Y5" i="3"/>
  <c r="Y6" i="3" s="1"/>
  <c r="Y7" i="3" s="1"/>
  <c r="Y8" i="3" s="1"/>
  <c r="Y9" i="3" s="1"/>
  <c r="Y10" i="3" s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AU18" i="10" l="1"/>
  <c r="AU24" i="10"/>
  <c r="AU36" i="10"/>
  <c r="AU30" i="10"/>
  <c r="AU33" i="10"/>
  <c r="N115" i="2"/>
  <c r="P115" i="2" s="1"/>
  <c r="AU20" i="10"/>
  <c r="AU26" i="10"/>
  <c r="AU37" i="10"/>
  <c r="F9" i="8"/>
  <c r="T8" i="8"/>
  <c r="X8" i="8" s="1"/>
  <c r="AU15" i="10"/>
  <c r="AU17" i="10"/>
  <c r="AU23" i="10"/>
  <c r="AU31" i="10"/>
  <c r="AU29" i="10"/>
  <c r="AU39" i="10"/>
  <c r="AU16" i="10"/>
  <c r="AU22" i="10"/>
  <c r="AU34" i="10"/>
  <c r="AU32" i="10"/>
  <c r="AU35" i="10"/>
  <c r="AU41" i="10"/>
  <c r="AU21" i="10"/>
  <c r="AU27" i="10"/>
  <c r="AU19" i="10"/>
  <c r="J105" i="2"/>
  <c r="E45" i="8" s="1"/>
  <c r="I45" i="8" s="1"/>
  <c r="V45" i="8" s="1"/>
  <c r="AB20" i="3"/>
  <c r="AB5" i="3"/>
  <c r="AA38" i="3"/>
  <c r="AA37" i="3"/>
  <c r="AA36" i="3"/>
  <c r="AA22" i="3"/>
  <c r="H46" i="10"/>
  <c r="P28" i="10"/>
  <c r="L54" i="2"/>
  <c r="L77" i="2"/>
  <c r="U59" i="2"/>
  <c r="U112" i="2"/>
  <c r="G109" i="2"/>
  <c r="AB12" i="3"/>
  <c r="AB16" i="3"/>
  <c r="AB8" i="3"/>
  <c r="AB18" i="3"/>
  <c r="AB14" i="3"/>
  <c r="AB10" i="3"/>
  <c r="AB6" i="3"/>
  <c r="AB21" i="3"/>
  <c r="AB19" i="3"/>
  <c r="AB17" i="3"/>
  <c r="AB15" i="3"/>
  <c r="AB13" i="3"/>
  <c r="AB11" i="3"/>
  <c r="AB9" i="3"/>
  <c r="AB7" i="3"/>
  <c r="K101" i="2"/>
  <c r="S75" i="10"/>
  <c r="L75" i="10"/>
  <c r="J75" i="10"/>
  <c r="E75" i="10"/>
  <c r="BB75" i="10" s="1"/>
  <c r="C75" i="10"/>
  <c r="AZ75" i="10" s="1"/>
  <c r="R75" i="10"/>
  <c r="M75" i="10"/>
  <c r="K75" i="10"/>
  <c r="F75" i="10"/>
  <c r="D75" i="10"/>
  <c r="BA75" i="10" s="1"/>
  <c r="B75" i="10"/>
  <c r="AY75" i="10" s="1"/>
  <c r="AP29" i="10"/>
  <c r="S29" i="10"/>
  <c r="H29" i="10"/>
  <c r="N75" i="10"/>
  <c r="H75" i="10"/>
  <c r="P75" i="10"/>
  <c r="S82" i="10"/>
  <c r="L82" i="10"/>
  <c r="J82" i="10"/>
  <c r="R82" i="10"/>
  <c r="M82" i="10"/>
  <c r="K82" i="10"/>
  <c r="E82" i="10"/>
  <c r="BB82" i="10" s="1"/>
  <c r="C82" i="10"/>
  <c r="AZ82" i="10" s="1"/>
  <c r="F82" i="10"/>
  <c r="D82" i="10"/>
  <c r="BA82" i="10" s="1"/>
  <c r="B82" i="10"/>
  <c r="AY82" i="10" s="1"/>
  <c r="AP36" i="10"/>
  <c r="S36" i="10"/>
  <c r="H36" i="10"/>
  <c r="H82" i="10"/>
  <c r="N82" i="10"/>
  <c r="S46" i="10"/>
  <c r="S76" i="10"/>
  <c r="L76" i="10"/>
  <c r="J76" i="10"/>
  <c r="E76" i="10"/>
  <c r="BB76" i="10" s="1"/>
  <c r="C76" i="10"/>
  <c r="AZ76" i="10" s="1"/>
  <c r="R76" i="10"/>
  <c r="M76" i="10"/>
  <c r="K76" i="10"/>
  <c r="F76" i="10"/>
  <c r="D76" i="10"/>
  <c r="BA76" i="10" s="1"/>
  <c r="B76" i="10"/>
  <c r="AY76" i="10" s="1"/>
  <c r="AP30" i="10"/>
  <c r="S30" i="10"/>
  <c r="H30" i="10"/>
  <c r="H76" i="10"/>
  <c r="N76" i="10"/>
  <c r="P76" i="10"/>
  <c r="S77" i="10"/>
  <c r="L77" i="10"/>
  <c r="J77" i="10"/>
  <c r="E77" i="10"/>
  <c r="BB77" i="10" s="1"/>
  <c r="C77" i="10"/>
  <c r="AZ77" i="10" s="1"/>
  <c r="R77" i="10"/>
  <c r="M77" i="10"/>
  <c r="K77" i="10"/>
  <c r="F77" i="10"/>
  <c r="D77" i="10"/>
  <c r="BA77" i="10" s="1"/>
  <c r="B77" i="10"/>
  <c r="AY77" i="10" s="1"/>
  <c r="AP31" i="10"/>
  <c r="S31" i="10"/>
  <c r="H31" i="10"/>
  <c r="N77" i="10"/>
  <c r="H77" i="10"/>
  <c r="P77" i="10"/>
  <c r="S78" i="10"/>
  <c r="L78" i="10"/>
  <c r="J78" i="10"/>
  <c r="E78" i="10"/>
  <c r="BB78" i="10" s="1"/>
  <c r="C78" i="10"/>
  <c r="AZ78" i="10" s="1"/>
  <c r="R78" i="10"/>
  <c r="M78" i="10"/>
  <c r="K78" i="10"/>
  <c r="F78" i="10"/>
  <c r="D78" i="10"/>
  <c r="BA78" i="10" s="1"/>
  <c r="B78" i="10"/>
  <c r="AY78" i="10" s="1"/>
  <c r="AP32" i="10"/>
  <c r="S32" i="10"/>
  <c r="H32" i="10"/>
  <c r="H78" i="10"/>
  <c r="N78" i="10"/>
  <c r="P78" i="10"/>
  <c r="S79" i="10"/>
  <c r="L79" i="10"/>
  <c r="J79" i="10"/>
  <c r="E79" i="10"/>
  <c r="BB79" i="10" s="1"/>
  <c r="C79" i="10"/>
  <c r="AZ79" i="10" s="1"/>
  <c r="R79" i="10"/>
  <c r="M79" i="10"/>
  <c r="K79" i="10"/>
  <c r="F79" i="10"/>
  <c r="D79" i="10"/>
  <c r="BA79" i="10" s="1"/>
  <c r="B79" i="10"/>
  <c r="AY79" i="10" s="1"/>
  <c r="AP33" i="10"/>
  <c r="S33" i="10"/>
  <c r="H33" i="10"/>
  <c r="N79" i="10"/>
  <c r="H79" i="10"/>
  <c r="P79" i="10"/>
  <c r="S80" i="10"/>
  <c r="L80" i="10"/>
  <c r="J80" i="10"/>
  <c r="E80" i="10"/>
  <c r="BB80" i="10" s="1"/>
  <c r="C80" i="10"/>
  <c r="AZ80" i="10" s="1"/>
  <c r="R80" i="10"/>
  <c r="M80" i="10"/>
  <c r="K80" i="10"/>
  <c r="F80" i="10"/>
  <c r="D80" i="10"/>
  <c r="BA80" i="10" s="1"/>
  <c r="B80" i="10"/>
  <c r="AY80" i="10" s="1"/>
  <c r="AP34" i="10"/>
  <c r="S34" i="10"/>
  <c r="H34" i="10"/>
  <c r="H80" i="10"/>
  <c r="N80" i="10"/>
  <c r="P80" i="10"/>
  <c r="S81" i="10"/>
  <c r="L81" i="10"/>
  <c r="J81" i="10"/>
  <c r="E81" i="10"/>
  <c r="BB81" i="10" s="1"/>
  <c r="C81" i="10"/>
  <c r="AZ81" i="10" s="1"/>
  <c r="R81" i="10"/>
  <c r="M81" i="10"/>
  <c r="K81" i="10"/>
  <c r="F81" i="10"/>
  <c r="D81" i="10"/>
  <c r="BA81" i="10" s="1"/>
  <c r="B81" i="10"/>
  <c r="AY81" i="10" s="1"/>
  <c r="AP35" i="10"/>
  <c r="S35" i="10"/>
  <c r="H35" i="10"/>
  <c r="N81" i="10"/>
  <c r="H81" i="10"/>
  <c r="P81" i="10"/>
  <c r="AU14" i="10"/>
  <c r="AU7" i="10"/>
  <c r="AU28" i="10"/>
  <c r="AU6" i="10"/>
  <c r="AU10" i="10"/>
  <c r="AU11" i="10"/>
  <c r="AU8" i="10"/>
  <c r="AU12" i="10"/>
  <c r="AU9" i="10"/>
  <c r="AU13" i="10"/>
  <c r="AU43" i="10"/>
  <c r="AU40" i="10"/>
  <c r="P29" i="10"/>
  <c r="P30" i="10"/>
  <c r="P31" i="10"/>
  <c r="P32" i="10"/>
  <c r="P33" i="10"/>
  <c r="P34" i="10"/>
  <c r="P35" i="10"/>
  <c r="P36" i="10"/>
  <c r="P82" i="10"/>
  <c r="S74" i="10"/>
  <c r="R74" i="10"/>
  <c r="L74" i="10"/>
  <c r="J74" i="10"/>
  <c r="E74" i="10"/>
  <c r="BB74" i="10" s="1"/>
  <c r="C74" i="10"/>
  <c r="AZ74" i="10" s="1"/>
  <c r="M74" i="10"/>
  <c r="K74" i="10"/>
  <c r="F74" i="10"/>
  <c r="D74" i="10"/>
  <c r="BA74" i="10" s="1"/>
  <c r="B74" i="10"/>
  <c r="AY74" i="10" s="1"/>
  <c r="AP28" i="10"/>
  <c r="AS43" i="10" s="1"/>
  <c r="S28" i="10"/>
  <c r="H28" i="10"/>
  <c r="N74" i="10"/>
  <c r="H74" i="10"/>
  <c r="AU38" i="10"/>
  <c r="AU42" i="10"/>
  <c r="C13" i="2"/>
  <c r="C36" i="2" s="1"/>
  <c r="C52" i="2"/>
  <c r="C76" i="2" s="1"/>
  <c r="AB17" i="5"/>
  <c r="AB15" i="5"/>
  <c r="AB13" i="5"/>
  <c r="AB11" i="5"/>
  <c r="AB9" i="5"/>
  <c r="AB7" i="5"/>
  <c r="AB5" i="5"/>
  <c r="AB16" i="5"/>
  <c r="AB14" i="5"/>
  <c r="AB12" i="5"/>
  <c r="AB10" i="5"/>
  <c r="AB8" i="5"/>
  <c r="AB6" i="5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F10" i="8" l="1"/>
  <c r="T9" i="8"/>
  <c r="X9" i="8" s="1"/>
  <c r="G110" i="2"/>
  <c r="U113" i="2"/>
  <c r="L55" i="2"/>
  <c r="L78" i="2"/>
  <c r="AA29" i="3"/>
  <c r="AF11" i="5"/>
  <c r="AB29" i="3" s="1"/>
  <c r="AF13" i="5"/>
  <c r="AB31" i="3" s="1"/>
  <c r="AA31" i="3"/>
  <c r="V59" i="2"/>
  <c r="E106" i="2" s="1"/>
  <c r="U60" i="2"/>
  <c r="AF15" i="5"/>
  <c r="AB33" i="3" s="1"/>
  <c r="AA33" i="3"/>
  <c r="AF8" i="5"/>
  <c r="AB26" i="3" s="1"/>
  <c r="AA26" i="3"/>
  <c r="AF5" i="5"/>
  <c r="AB23" i="3" s="1"/>
  <c r="AA23" i="3"/>
  <c r="AF10" i="5"/>
  <c r="AB28" i="3" s="1"/>
  <c r="AA28" i="3"/>
  <c r="AF9" i="5"/>
  <c r="AB27" i="3" s="1"/>
  <c r="AA27" i="3"/>
  <c r="AA30" i="3"/>
  <c r="AF12" i="5"/>
  <c r="AB30" i="3" s="1"/>
  <c r="AF17" i="5"/>
  <c r="AB35" i="3" s="1"/>
  <c r="AA35" i="3"/>
  <c r="AF7" i="5"/>
  <c r="AB25" i="3" s="1"/>
  <c r="AA25" i="3"/>
  <c r="AF6" i="5"/>
  <c r="AB24" i="3" s="1"/>
  <c r="AA24" i="3"/>
  <c r="AA32" i="3"/>
  <c r="AF14" i="5"/>
  <c r="AB32" i="3" s="1"/>
  <c r="AF16" i="5"/>
  <c r="AB34" i="3" s="1"/>
  <c r="AA34" i="3"/>
  <c r="AS28" i="10"/>
  <c r="AS7" i="10"/>
  <c r="AS14" i="10"/>
  <c r="AS12" i="10"/>
  <c r="AS8" i="10"/>
  <c r="AS25" i="10"/>
  <c r="AP47" i="10"/>
  <c r="AS19" i="10"/>
  <c r="AS15" i="10"/>
  <c r="AS38" i="10"/>
  <c r="AS6" i="10"/>
  <c r="AS24" i="10"/>
  <c r="AS20" i="10"/>
  <c r="AS16" i="10"/>
  <c r="AS39" i="10"/>
  <c r="AS13" i="10"/>
  <c r="AS9" i="10"/>
  <c r="AS35" i="10"/>
  <c r="AS33" i="10"/>
  <c r="AS31" i="10"/>
  <c r="AS40" i="10"/>
  <c r="AS29" i="10"/>
  <c r="AS10" i="10"/>
  <c r="AS27" i="10"/>
  <c r="AS23" i="10"/>
  <c r="AS21" i="10"/>
  <c r="AS17" i="10"/>
  <c r="AS41" i="10"/>
  <c r="AS26" i="10"/>
  <c r="AS22" i="10"/>
  <c r="AS18" i="10"/>
  <c r="AS37" i="10"/>
  <c r="AS42" i="10"/>
  <c r="AS11" i="10"/>
  <c r="AS34" i="10"/>
  <c r="AS32" i="10"/>
  <c r="AS30" i="10"/>
  <c r="AS36" i="10"/>
  <c r="C14" i="2"/>
  <c r="C37" i="2" s="1"/>
  <c r="C53" i="2"/>
  <c r="C77" i="2" s="1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E22" i="3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6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C5" i="3"/>
  <c r="AD19" i="5"/>
  <c r="F37" i="3" s="1"/>
  <c r="AA20" i="5"/>
  <c r="J38" i="3" s="1"/>
  <c r="AA19" i="5"/>
  <c r="J37" i="3" s="1"/>
  <c r="AA18" i="5"/>
  <c r="J36" i="3" s="1"/>
  <c r="AA4" i="5" a="1"/>
  <c r="AA4" i="5" s="1"/>
  <c r="J22" i="3" s="1"/>
  <c r="Z20" i="5"/>
  <c r="AD20" i="5" s="1"/>
  <c r="F38" i="3" s="1"/>
  <c r="Z19" i="5"/>
  <c r="E37" i="3" s="1"/>
  <c r="Z18" i="5"/>
  <c r="E36" i="3" s="1"/>
  <c r="Z4" i="5" a="1"/>
  <c r="Z4" i="5" s="1"/>
  <c r="AD4" i="5" s="1"/>
  <c r="F22" i="3" s="1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D80" i="2"/>
  <c r="D103" i="2" s="1"/>
  <c r="H43" i="8" s="1"/>
  <c r="Y33" i="8"/>
  <c r="Y28" i="8"/>
  <c r="Y43" i="8"/>
  <c r="Y7" i="8"/>
  <c r="AG10" i="4"/>
  <c r="AG14" i="4"/>
  <c r="AG17" i="4"/>
  <c r="AG22" i="4"/>
  <c r="AG26" i="4"/>
  <c r="AG29" i="4"/>
  <c r="AG31" i="4"/>
  <c r="AG34" i="4"/>
  <c r="AG35" i="4"/>
  <c r="AG38" i="4"/>
  <c r="AG41" i="4"/>
  <c r="AG43" i="4"/>
  <c r="AG46" i="4"/>
  <c r="AG56" i="4"/>
  <c r="AF7" i="4"/>
  <c r="AG15" i="4" s="1"/>
  <c r="K47" i="4"/>
  <c r="I47" i="4"/>
  <c r="D47" i="4"/>
  <c r="B47" i="4"/>
  <c r="AE19" i="5" l="1"/>
  <c r="K37" i="3" s="1"/>
  <c r="U114" i="2"/>
  <c r="G111" i="2"/>
  <c r="AE4" i="5"/>
  <c r="K22" i="3" s="1"/>
  <c r="K10" i="3" s="1"/>
  <c r="AG19" i="4"/>
  <c r="F11" i="8"/>
  <c r="T10" i="8"/>
  <c r="X10" i="8" s="1"/>
  <c r="M37" i="3"/>
  <c r="N37" i="3" s="1"/>
  <c r="AG25" i="4"/>
  <c r="AG37" i="4"/>
  <c r="AG13" i="4"/>
  <c r="AD18" i="5"/>
  <c r="F36" i="3" s="1"/>
  <c r="AG7" i="4"/>
  <c r="AG36" i="4"/>
  <c r="AG24" i="4"/>
  <c r="AG12" i="4"/>
  <c r="U61" i="2"/>
  <c r="V60" i="2"/>
  <c r="E107" i="2" s="1"/>
  <c r="AG23" i="4"/>
  <c r="AG11" i="4"/>
  <c r="AG45" i="4"/>
  <c r="AG33" i="4"/>
  <c r="AG21" i="4"/>
  <c r="AG9" i="4"/>
  <c r="E38" i="3"/>
  <c r="AE20" i="5"/>
  <c r="K38" i="3" s="1"/>
  <c r="M38" i="3" s="1"/>
  <c r="N38" i="3" s="1"/>
  <c r="AG44" i="4"/>
  <c r="AG32" i="4"/>
  <c r="AG20" i="4"/>
  <c r="AG8" i="4"/>
  <c r="AE18" i="5"/>
  <c r="K36" i="3" s="1"/>
  <c r="AG42" i="4"/>
  <c r="AG30" i="4"/>
  <c r="AG18" i="4"/>
  <c r="K6" i="3"/>
  <c r="AG40" i="4"/>
  <c r="AG28" i="4"/>
  <c r="AG16" i="4"/>
  <c r="I48" i="4"/>
  <c r="H83" i="2"/>
  <c r="N133" i="2" s="1"/>
  <c r="P133" i="2" s="1"/>
  <c r="H106" i="2" s="1"/>
  <c r="J106" i="2" s="1"/>
  <c r="AG39" i="4"/>
  <c r="AG27" i="4"/>
  <c r="L56" i="2"/>
  <c r="L79" i="2"/>
  <c r="E6" i="3"/>
  <c r="K14" i="3"/>
  <c r="K18" i="3"/>
  <c r="K12" i="3"/>
  <c r="K8" i="3"/>
  <c r="K21" i="3"/>
  <c r="K5" i="3"/>
  <c r="K7" i="3"/>
  <c r="K9" i="3"/>
  <c r="K11" i="3"/>
  <c r="K13" i="3"/>
  <c r="K15" i="3"/>
  <c r="Y27" i="8"/>
  <c r="C15" i="2"/>
  <c r="C38" i="2" s="1"/>
  <c r="C54" i="2"/>
  <c r="C78" i="2" s="1"/>
  <c r="Y22" i="8"/>
  <c r="Y21" i="8"/>
  <c r="Y18" i="8"/>
  <c r="Y20" i="8"/>
  <c r="Y19" i="8"/>
  <c r="Y31" i="8"/>
  <c r="Y32" i="8"/>
  <c r="Y24" i="8"/>
  <c r="Y25" i="8"/>
  <c r="Y23" i="8"/>
  <c r="Y17" i="8"/>
  <c r="Y14" i="8"/>
  <c r="Y12" i="8"/>
  <c r="Y10" i="8"/>
  <c r="Y8" i="8"/>
  <c r="Y13" i="8"/>
  <c r="Y29" i="8"/>
  <c r="Y30" i="8"/>
  <c r="Y26" i="8"/>
  <c r="Y15" i="8"/>
  <c r="Y6" i="8"/>
  <c r="Y16" i="8"/>
  <c r="Y11" i="8"/>
  <c r="Y9" i="8"/>
  <c r="Y42" i="8"/>
  <c r="Y38" i="8"/>
  <c r="Y39" i="8"/>
  <c r="Y40" i="8"/>
  <c r="Y41" i="8"/>
  <c r="Y36" i="8"/>
  <c r="Y35" i="8"/>
  <c r="Y44" i="8"/>
  <c r="Y34" i="8"/>
  <c r="Y37" i="8"/>
  <c r="E21" i="3"/>
  <c r="E19" i="3"/>
  <c r="E17" i="3"/>
  <c r="E15" i="3"/>
  <c r="E13" i="3"/>
  <c r="E11" i="3"/>
  <c r="E9" i="3"/>
  <c r="E7" i="3"/>
  <c r="F5" i="3"/>
  <c r="F19" i="3"/>
  <c r="F17" i="3"/>
  <c r="F15" i="3"/>
  <c r="F13" i="3"/>
  <c r="F11" i="3"/>
  <c r="M11" i="3" s="1"/>
  <c r="N11" i="3" s="1"/>
  <c r="F9" i="3"/>
  <c r="F7" i="3"/>
  <c r="E5" i="3"/>
  <c r="E20" i="3"/>
  <c r="E18" i="3"/>
  <c r="E16" i="3"/>
  <c r="E14" i="3"/>
  <c r="E12" i="3"/>
  <c r="E10" i="3"/>
  <c r="E8" i="3"/>
  <c r="F21" i="3"/>
  <c r="F20" i="3"/>
  <c r="F18" i="3"/>
  <c r="F16" i="3"/>
  <c r="F14" i="3"/>
  <c r="M14" i="3" s="1"/>
  <c r="N14" i="3" s="1"/>
  <c r="F12" i="3"/>
  <c r="F10" i="3"/>
  <c r="F8" i="3"/>
  <c r="F6" i="3"/>
  <c r="M6" i="3" s="1"/>
  <c r="N6" i="3" s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AA17" i="5"/>
  <c r="AA15" i="5"/>
  <c r="AA13" i="5"/>
  <c r="AA11" i="5"/>
  <c r="AA9" i="5"/>
  <c r="AA7" i="5"/>
  <c r="AA5" i="5"/>
  <c r="AA16" i="5"/>
  <c r="AA14" i="5"/>
  <c r="AA12" i="5"/>
  <c r="AA10" i="5"/>
  <c r="AA8" i="5"/>
  <c r="AA6" i="5"/>
  <c r="Z17" i="5"/>
  <c r="Z15" i="5"/>
  <c r="Z13" i="5"/>
  <c r="Z11" i="5"/>
  <c r="Z9" i="5"/>
  <c r="Z7" i="5"/>
  <c r="Z5" i="5"/>
  <c r="Z16" i="5"/>
  <c r="Z14" i="5"/>
  <c r="Z12" i="5"/>
  <c r="Z10" i="5"/>
  <c r="Z8" i="5"/>
  <c r="Z6" i="5"/>
  <c r="F12" i="8" l="1"/>
  <c r="T11" i="8"/>
  <c r="X11" i="8" s="1"/>
  <c r="M9" i="3"/>
  <c r="N9" i="3" s="1"/>
  <c r="K16" i="3"/>
  <c r="G112" i="2"/>
  <c r="U115" i="2"/>
  <c r="G113" i="2" s="1"/>
  <c r="M17" i="3"/>
  <c r="N17" i="3" s="1"/>
  <c r="K19" i="3"/>
  <c r="M19" i="3" s="1"/>
  <c r="N19" i="3" s="1"/>
  <c r="K20" i="3"/>
  <c r="M20" i="3" s="1"/>
  <c r="N20" i="3" s="1"/>
  <c r="M22" i="3"/>
  <c r="N22" i="3" s="1"/>
  <c r="K17" i="3"/>
  <c r="M36" i="3"/>
  <c r="N36" i="3" s="1"/>
  <c r="M7" i="3"/>
  <c r="N7" i="3" s="1"/>
  <c r="M5" i="3"/>
  <c r="N5" i="3" s="1"/>
  <c r="M10" i="3"/>
  <c r="E46" i="8"/>
  <c r="I46" i="8" s="1"/>
  <c r="V46" i="8" s="1"/>
  <c r="K106" i="2"/>
  <c r="J34" i="3"/>
  <c r="AE16" i="5"/>
  <c r="K34" i="3" s="1"/>
  <c r="V61" i="2"/>
  <c r="E108" i="2" s="1"/>
  <c r="U62" i="2"/>
  <c r="J32" i="3"/>
  <c r="AE14" i="5"/>
  <c r="K32" i="3" s="1"/>
  <c r="H84" i="2"/>
  <c r="N134" i="2" s="1"/>
  <c r="P134" i="2" s="1"/>
  <c r="H107" i="2" s="1"/>
  <c r="J107" i="2" s="1"/>
  <c r="E47" i="8" s="1"/>
  <c r="I47" i="8" s="1"/>
  <c r="V47" i="8" s="1"/>
  <c r="Z47" i="8" s="1"/>
  <c r="I49" i="4"/>
  <c r="J27" i="3"/>
  <c r="AE9" i="5"/>
  <c r="K27" i="3" s="1"/>
  <c r="AD13" i="5"/>
  <c r="F31" i="3" s="1"/>
  <c r="E31" i="3"/>
  <c r="J29" i="3"/>
  <c r="AE11" i="5"/>
  <c r="K29" i="3" s="1"/>
  <c r="M12" i="3"/>
  <c r="N12" i="3" s="1"/>
  <c r="E25" i="3"/>
  <c r="AD7" i="5"/>
  <c r="F25" i="3" s="1"/>
  <c r="J31" i="3"/>
  <c r="AE13" i="5"/>
  <c r="K31" i="3" s="1"/>
  <c r="E24" i="3"/>
  <c r="AD6" i="5"/>
  <c r="F24" i="3" s="1"/>
  <c r="E35" i="3"/>
  <c r="AD17" i="5"/>
  <c r="F35" i="3" s="1"/>
  <c r="J33" i="3"/>
  <c r="AE15" i="5"/>
  <c r="K33" i="3" s="1"/>
  <c r="AD9" i="5"/>
  <c r="F27" i="3" s="1"/>
  <c r="M27" i="3" s="1"/>
  <c r="N27" i="3" s="1"/>
  <c r="E27" i="3"/>
  <c r="J25" i="3"/>
  <c r="AE7" i="5"/>
  <c r="K25" i="3" s="1"/>
  <c r="AD8" i="5"/>
  <c r="F26" i="3" s="1"/>
  <c r="M26" i="3" s="1"/>
  <c r="N26" i="3" s="1"/>
  <c r="E26" i="3"/>
  <c r="E34" i="3"/>
  <c r="AD16" i="5"/>
  <c r="F34" i="3" s="1"/>
  <c r="M34" i="3" s="1"/>
  <c r="N34" i="3" s="1"/>
  <c r="E23" i="3"/>
  <c r="AD5" i="5"/>
  <c r="F23" i="3" s="1"/>
  <c r="J23" i="3"/>
  <c r="AE5" i="5"/>
  <c r="K23" i="3" s="1"/>
  <c r="E33" i="3"/>
  <c r="AD15" i="5"/>
  <c r="F33" i="3" s="1"/>
  <c r="M33" i="3" s="1"/>
  <c r="N33" i="3" s="1"/>
  <c r="J24" i="3"/>
  <c r="AE6" i="5"/>
  <c r="K24" i="3" s="1"/>
  <c r="J35" i="3"/>
  <c r="AE17" i="5"/>
  <c r="K35" i="3" s="1"/>
  <c r="AD10" i="5"/>
  <c r="F28" i="3" s="1"/>
  <c r="E28" i="3"/>
  <c r="J26" i="3"/>
  <c r="AE8" i="5"/>
  <c r="K26" i="3" s="1"/>
  <c r="L57" i="2"/>
  <c r="L80" i="2"/>
  <c r="AD11" i="5"/>
  <c r="F29" i="3" s="1"/>
  <c r="M29" i="3" s="1"/>
  <c r="N29" i="3" s="1"/>
  <c r="E29" i="3"/>
  <c r="AD12" i="5"/>
  <c r="F30" i="3" s="1"/>
  <c r="M30" i="3" s="1"/>
  <c r="N30" i="3" s="1"/>
  <c r="E30" i="3"/>
  <c r="J28" i="3"/>
  <c r="AE10" i="5"/>
  <c r="K28" i="3" s="1"/>
  <c r="M13" i="3"/>
  <c r="N13" i="3" s="1"/>
  <c r="E32" i="3"/>
  <c r="AD14" i="5"/>
  <c r="F32" i="3" s="1"/>
  <c r="J30" i="3"/>
  <c r="AE12" i="5"/>
  <c r="K30" i="3" s="1"/>
  <c r="M15" i="3"/>
  <c r="N15" i="3" s="1"/>
  <c r="M18" i="3"/>
  <c r="N18" i="3" s="1"/>
  <c r="M8" i="3"/>
  <c r="N8" i="3" s="1"/>
  <c r="M16" i="3"/>
  <c r="N16" i="3" s="1"/>
  <c r="M21" i="3"/>
  <c r="N21" i="3" s="1"/>
  <c r="Y45" i="8"/>
  <c r="C16" i="2"/>
  <c r="C39" i="2" s="1"/>
  <c r="C55" i="2"/>
  <c r="C79" i="2" s="1"/>
  <c r="Z33" i="8"/>
  <c r="Y46" i="8"/>
  <c r="N10" i="3"/>
  <c r="M25" i="3" l="1"/>
  <c r="N25" i="3" s="1"/>
  <c r="M23" i="3"/>
  <c r="N23" i="3" s="1"/>
  <c r="M24" i="3"/>
  <c r="N24" i="3" s="1"/>
  <c r="M28" i="3"/>
  <c r="N28" i="3" s="1"/>
  <c r="F13" i="8"/>
  <c r="T12" i="8"/>
  <c r="X12" i="8" s="1"/>
  <c r="V62" i="2"/>
  <c r="E109" i="2" s="1"/>
  <c r="U63" i="2"/>
  <c r="I50" i="4"/>
  <c r="H85" i="2"/>
  <c r="N135" i="2" s="1"/>
  <c r="P135" i="2" s="1"/>
  <c r="H108" i="2" s="1"/>
  <c r="J108" i="2" s="1"/>
  <c r="E48" i="8" s="1"/>
  <c r="I48" i="8" s="1"/>
  <c r="V48" i="8" s="1"/>
  <c r="Z48" i="8" s="1"/>
  <c r="L58" i="2"/>
  <c r="L81" i="2"/>
  <c r="M31" i="3"/>
  <c r="N31" i="3" s="1"/>
  <c r="M32" i="3"/>
  <c r="N32" i="3" s="1"/>
  <c r="M35" i="3"/>
  <c r="N35" i="3" s="1"/>
  <c r="C17" i="2"/>
  <c r="C40" i="2" s="1"/>
  <c r="C56" i="2"/>
  <c r="C80" i="2" s="1"/>
  <c r="Z40" i="8"/>
  <c r="Z36" i="8"/>
  <c r="Z41" i="8"/>
  <c r="Z37" i="8"/>
  <c r="Z43" i="8"/>
  <c r="Z42" i="8"/>
  <c r="Z38" i="8"/>
  <c r="Z34" i="8"/>
  <c r="Z35" i="8"/>
  <c r="D14" i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G4" i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V63" i="2" l="1"/>
  <c r="E110" i="2" s="1"/>
  <c r="U64" i="2"/>
  <c r="F14" i="8"/>
  <c r="T13" i="8"/>
  <c r="X13" i="8" s="1"/>
  <c r="L59" i="2"/>
  <c r="L82" i="2"/>
  <c r="I51" i="4"/>
  <c r="I52" i="4" s="1"/>
  <c r="H86" i="2"/>
  <c r="N136" i="2" s="1"/>
  <c r="P136" i="2" s="1"/>
  <c r="H109" i="2" s="1"/>
  <c r="J109" i="2" s="1"/>
  <c r="E49" i="8" s="1"/>
  <c r="I49" i="8" s="1"/>
  <c r="V49" i="8" s="1"/>
  <c r="Z49" i="8" s="1"/>
  <c r="C18" i="2"/>
  <c r="C41" i="2" s="1"/>
  <c r="C57" i="2"/>
  <c r="C81" i="2" s="1"/>
  <c r="Z32" i="8"/>
  <c r="Z31" i="8"/>
  <c r="Z28" i="8"/>
  <c r="Z30" i="8"/>
  <c r="Z29" i="8"/>
  <c r="Z23" i="8"/>
  <c r="Z25" i="8"/>
  <c r="Z24" i="8"/>
  <c r="Z27" i="8"/>
  <c r="Z26" i="8"/>
  <c r="Z13" i="8"/>
  <c r="Z19" i="8"/>
  <c r="Z15" i="8"/>
  <c r="Z20" i="8"/>
  <c r="Z16" i="8"/>
  <c r="Z6" i="8"/>
  <c r="Z8" i="8"/>
  <c r="Z10" i="8"/>
  <c r="Z12" i="8"/>
  <c r="Z21" i="8"/>
  <c r="Z17" i="8"/>
  <c r="Z22" i="8"/>
  <c r="Z18" i="8"/>
  <c r="Z14" i="8"/>
  <c r="Z7" i="8"/>
  <c r="Z9" i="8"/>
  <c r="Z11" i="8"/>
  <c r="Z44" i="8"/>
  <c r="E13" i="1" a="1"/>
  <c r="E13" i="1" s="1"/>
  <c r="I53" i="4" l="1"/>
  <c r="H88" i="2"/>
  <c r="F15" i="8"/>
  <c r="T14" i="8"/>
  <c r="X14" i="8" s="1"/>
  <c r="U65" i="2"/>
  <c r="V64" i="2"/>
  <c r="E111" i="2" s="1"/>
  <c r="H87" i="2"/>
  <c r="N137" i="2" s="1"/>
  <c r="P137" i="2" s="1"/>
  <c r="H110" i="2" s="1"/>
  <c r="J110" i="2" s="1"/>
  <c r="E50" i="8" s="1"/>
  <c r="I50" i="8" s="1"/>
  <c r="V50" i="8" s="1"/>
  <c r="Z50" i="8" s="1"/>
  <c r="L60" i="2"/>
  <c r="L61" i="2" s="1"/>
  <c r="L62" i="2" s="1"/>
  <c r="L63" i="2" s="1"/>
  <c r="L64" i="2" s="1"/>
  <c r="L65" i="2" s="1"/>
  <c r="L66" i="2" s="1"/>
  <c r="L67" i="2" s="1"/>
  <c r="L83" i="2"/>
  <c r="G13" i="1"/>
  <c r="E14" i="1"/>
  <c r="I14" i="1"/>
  <c r="G15" i="1"/>
  <c r="E16" i="1"/>
  <c r="I16" i="1"/>
  <c r="G17" i="1"/>
  <c r="I18" i="1"/>
  <c r="E20" i="1"/>
  <c r="G21" i="1"/>
  <c r="I22" i="1"/>
  <c r="E24" i="1"/>
  <c r="G25" i="1"/>
  <c r="I26" i="1"/>
  <c r="E28" i="1"/>
  <c r="G29" i="1"/>
  <c r="I30" i="1"/>
  <c r="E32" i="1"/>
  <c r="G33" i="1"/>
  <c r="I34" i="1"/>
  <c r="E36" i="1"/>
  <c r="G37" i="1"/>
  <c r="I38" i="1"/>
  <c r="F14" i="1"/>
  <c r="H38" i="1"/>
  <c r="J35" i="1"/>
  <c r="F33" i="1"/>
  <c r="H30" i="1"/>
  <c r="J27" i="1"/>
  <c r="F25" i="1"/>
  <c r="H22" i="1"/>
  <c r="J19" i="1"/>
  <c r="F17" i="1"/>
  <c r="F38" i="1"/>
  <c r="H35" i="1"/>
  <c r="J32" i="1"/>
  <c r="F30" i="1"/>
  <c r="H27" i="1"/>
  <c r="J24" i="1"/>
  <c r="F22" i="1"/>
  <c r="H19" i="1"/>
  <c r="J16" i="1"/>
  <c r="I13" i="1"/>
  <c r="G14" i="1"/>
  <c r="E15" i="1"/>
  <c r="I15" i="1"/>
  <c r="G16" i="1"/>
  <c r="E17" i="1"/>
  <c r="E18" i="1"/>
  <c r="G19" i="1"/>
  <c r="I20" i="1"/>
  <c r="E22" i="1"/>
  <c r="G23" i="1"/>
  <c r="I24" i="1"/>
  <c r="E26" i="1"/>
  <c r="G27" i="1"/>
  <c r="I28" i="1"/>
  <c r="E30" i="1"/>
  <c r="G31" i="1"/>
  <c r="I32" i="1"/>
  <c r="E34" i="1"/>
  <c r="G35" i="1"/>
  <c r="I36" i="1"/>
  <c r="E38" i="1"/>
  <c r="H13" i="1"/>
  <c r="J14" i="1"/>
  <c r="F37" i="1"/>
  <c r="H34" i="1"/>
  <c r="J31" i="1"/>
  <c r="F29" i="1"/>
  <c r="H26" i="1"/>
  <c r="J23" i="1"/>
  <c r="F21" i="1"/>
  <c r="H18" i="1"/>
  <c r="J15" i="1"/>
  <c r="J36" i="1"/>
  <c r="F34" i="1"/>
  <c r="H31" i="1"/>
  <c r="J28" i="1"/>
  <c r="F26" i="1"/>
  <c r="H23" i="1"/>
  <c r="J20" i="1"/>
  <c r="F18" i="1"/>
  <c r="H15" i="1"/>
  <c r="C58" i="2"/>
  <c r="C82" i="2" s="1"/>
  <c r="C19" i="2"/>
  <c r="C42" i="2" s="1"/>
  <c r="Z45" i="8"/>
  <c r="Z46" i="8"/>
  <c r="I17" i="1"/>
  <c r="G18" i="1"/>
  <c r="E19" i="1"/>
  <c r="I19" i="1"/>
  <c r="G20" i="1"/>
  <c r="E21" i="1"/>
  <c r="I21" i="1"/>
  <c r="G22" i="1"/>
  <c r="E23" i="1"/>
  <c r="I23" i="1"/>
  <c r="G24" i="1"/>
  <c r="E25" i="1"/>
  <c r="I25" i="1"/>
  <c r="G26" i="1"/>
  <c r="E27" i="1"/>
  <c r="I27" i="1"/>
  <c r="G28" i="1"/>
  <c r="E29" i="1"/>
  <c r="I29" i="1"/>
  <c r="G30" i="1"/>
  <c r="E31" i="1"/>
  <c r="I31" i="1"/>
  <c r="G32" i="1"/>
  <c r="E33" i="1"/>
  <c r="I33" i="1"/>
  <c r="G34" i="1"/>
  <c r="E35" i="1"/>
  <c r="I35" i="1"/>
  <c r="G36" i="1"/>
  <c r="E37" i="1"/>
  <c r="I37" i="1"/>
  <c r="G38" i="1"/>
  <c r="F13" i="1"/>
  <c r="J13" i="1"/>
  <c r="H14" i="1"/>
  <c r="F15" i="1"/>
  <c r="J37" i="1"/>
  <c r="H36" i="1"/>
  <c r="F35" i="1"/>
  <c r="J33" i="1"/>
  <c r="H32" i="1"/>
  <c r="F31" i="1"/>
  <c r="J29" i="1"/>
  <c r="H28" i="1"/>
  <c r="F27" i="1"/>
  <c r="J25" i="1"/>
  <c r="H24" i="1"/>
  <c r="F23" i="1"/>
  <c r="J21" i="1"/>
  <c r="H20" i="1"/>
  <c r="F19" i="1"/>
  <c r="J17" i="1"/>
  <c r="H16" i="1"/>
  <c r="J38" i="1"/>
  <c r="H37" i="1"/>
  <c r="F36" i="1"/>
  <c r="J34" i="1"/>
  <c r="H33" i="1"/>
  <c r="F32" i="1"/>
  <c r="J30" i="1"/>
  <c r="H29" i="1"/>
  <c r="F28" i="1"/>
  <c r="J26" i="1"/>
  <c r="H25" i="1"/>
  <c r="F24" i="1"/>
  <c r="J22" i="1"/>
  <c r="H21" i="1"/>
  <c r="F20" i="1"/>
  <c r="J18" i="1"/>
  <c r="H17" i="1"/>
  <c r="F16" i="1"/>
  <c r="V65" i="2" l="1"/>
  <c r="E112" i="2" s="1"/>
  <c r="U66" i="2"/>
  <c r="V66" i="2" s="1"/>
  <c r="E113" i="2" s="1"/>
  <c r="F16" i="8"/>
  <c r="T15" i="8"/>
  <c r="X15" i="8" s="1"/>
  <c r="I54" i="4"/>
  <c r="H89" i="2"/>
  <c r="N138" i="2" s="1"/>
  <c r="P138" i="2" s="1"/>
  <c r="H111" i="2" s="1"/>
  <c r="J111" i="2" s="1"/>
  <c r="E51" i="8" s="1"/>
  <c r="I51" i="8" s="1"/>
  <c r="V51" i="8" s="1"/>
  <c r="Z51" i="8" s="1"/>
  <c r="C20" i="2"/>
  <c r="C21" i="2" s="1"/>
  <c r="C22" i="2" s="1"/>
  <c r="C23" i="2" s="1"/>
  <c r="C24" i="2" s="1"/>
  <c r="C25" i="2" s="1"/>
  <c r="C26" i="2" s="1"/>
  <c r="C27" i="2" s="1"/>
  <c r="C59" i="2"/>
  <c r="C83" i="2" s="1"/>
  <c r="F17" i="8" l="1"/>
  <c r="T16" i="8"/>
  <c r="X16" i="8" s="1"/>
  <c r="H90" i="2"/>
  <c r="N139" i="2" s="1"/>
  <c r="P139" i="2" s="1"/>
  <c r="H112" i="2" s="1"/>
  <c r="I55" i="4"/>
  <c r="H91" i="2" s="1"/>
  <c r="N140" i="2" s="1"/>
  <c r="P140" i="2" s="1"/>
  <c r="H113" i="2" s="1"/>
  <c r="J113" i="2" s="1"/>
  <c r="E53" i="8" s="1"/>
  <c r="I53" i="8" s="1"/>
  <c r="V53" i="8" s="1"/>
  <c r="Z53" i="8" s="1"/>
  <c r="J112" i="2"/>
  <c r="E52" i="8" s="1"/>
  <c r="I52" i="8" s="1"/>
  <c r="V52" i="8" s="1"/>
  <c r="Z52" i="8" s="1"/>
  <c r="C60" i="2"/>
  <c r="C84" i="2" s="1"/>
  <c r="L84" i="2" s="1"/>
  <c r="C43" i="2"/>
  <c r="N126" i="2"/>
  <c r="P126" i="2" s="1"/>
  <c r="H99" i="2" s="1"/>
  <c r="J99" i="2" s="1"/>
  <c r="E39" i="8" s="1"/>
  <c r="I39" i="8" s="1"/>
  <c r="V39" i="8" s="1"/>
  <c r="Z39" i="8" s="1"/>
  <c r="F18" i="8" l="1"/>
  <c r="T17" i="8"/>
  <c r="X17" i="8" s="1"/>
  <c r="F19" i="8" l="1"/>
  <c r="T18" i="8"/>
  <c r="X18" i="8" s="1"/>
  <c r="F20" i="8" l="1"/>
  <c r="T19" i="8"/>
  <c r="X19" i="8" s="1"/>
  <c r="F21" i="8" l="1"/>
  <c r="T20" i="8"/>
  <c r="X20" i="8" s="1"/>
  <c r="F22" i="8" l="1"/>
  <c r="T21" i="8"/>
  <c r="X21" i="8" s="1"/>
  <c r="F23" i="8" l="1"/>
  <c r="T22" i="8"/>
  <c r="X22" i="8" s="1"/>
  <c r="F24" i="8" l="1"/>
  <c r="T23" i="8"/>
  <c r="X23" i="8" s="1"/>
  <c r="F25" i="8" l="1"/>
  <c r="T24" i="8"/>
  <c r="X24" i="8" s="1"/>
  <c r="F26" i="8" l="1"/>
  <c r="T25" i="8"/>
  <c r="X25" i="8" s="1"/>
  <c r="F27" i="8" l="1"/>
  <c r="T26" i="8"/>
  <c r="X26" i="8" s="1"/>
  <c r="F28" i="8" l="1"/>
  <c r="T27" i="8"/>
  <c r="X27" i="8" s="1"/>
  <c r="F29" i="8" l="1"/>
  <c r="T28" i="8"/>
  <c r="X28" i="8" s="1"/>
  <c r="F30" i="8" l="1"/>
  <c r="T29" i="8"/>
  <c r="X29" i="8" s="1"/>
  <c r="F31" i="8" l="1"/>
  <c r="T30" i="8"/>
  <c r="X30" i="8" s="1"/>
  <c r="F32" i="8" l="1"/>
  <c r="T31" i="8"/>
  <c r="X31" i="8" s="1"/>
  <c r="F33" i="8" l="1"/>
  <c r="T32" i="8"/>
  <c r="X32" i="8" s="1"/>
  <c r="F34" i="8" l="1"/>
  <c r="T33" i="8"/>
  <c r="X33" i="8" s="1"/>
  <c r="F35" i="8" l="1"/>
  <c r="T34" i="8"/>
  <c r="X34" i="8" s="1"/>
  <c r="F36" i="8" l="1"/>
  <c r="T35" i="8"/>
  <c r="X35" i="8" s="1"/>
  <c r="F37" i="8" l="1"/>
  <c r="T36" i="8"/>
  <c r="X36" i="8" s="1"/>
  <c r="F38" i="8" l="1"/>
  <c r="T37" i="8"/>
  <c r="X37" i="8" s="1"/>
  <c r="F39" i="8" l="1"/>
  <c r="T38" i="8"/>
  <c r="X38" i="8" s="1"/>
  <c r="F40" i="8" l="1"/>
  <c r="T39" i="8"/>
  <c r="X39" i="8" s="1"/>
  <c r="F41" i="8" l="1"/>
  <c r="T40" i="8"/>
  <c r="X40" i="8" s="1"/>
  <c r="F42" i="8" l="1"/>
  <c r="T41" i="8"/>
  <c r="X41" i="8" s="1"/>
  <c r="F43" i="8" l="1"/>
  <c r="T42" i="8"/>
  <c r="X42" i="8" s="1"/>
  <c r="F44" i="8" l="1"/>
  <c r="T43" i="8"/>
  <c r="X43" i="8" s="1"/>
  <c r="F45" i="8" l="1"/>
  <c r="T44" i="8"/>
  <c r="X44" i="8" s="1"/>
  <c r="F46" i="8" l="1"/>
  <c r="T45" i="8"/>
  <c r="X45" i="8" s="1"/>
  <c r="F47" i="8" l="1"/>
  <c r="T46" i="8"/>
  <c r="X46" i="8" s="1"/>
  <c r="F48" i="8" l="1"/>
  <c r="T47" i="8"/>
  <c r="X47" i="8" s="1"/>
  <c r="F49" i="8" l="1"/>
  <c r="T48" i="8"/>
  <c r="X48" i="8" s="1"/>
  <c r="T49" i="8" l="1"/>
  <c r="X49" i="8" s="1"/>
  <c r="F50" i="8"/>
  <c r="T50" i="8" l="1"/>
  <c r="X50" i="8" s="1"/>
  <c r="F51" i="8"/>
  <c r="T51" i="8" l="1"/>
  <c r="X51" i="8" s="1"/>
  <c r="F52" i="8"/>
  <c r="F53" i="8" l="1"/>
  <c r="T53" i="8" s="1"/>
  <c r="X53" i="8" s="1"/>
  <c r="T52" i="8"/>
  <c r="X52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B5" authorId="0" shapeId="0" xr:uid="{55BDE104-379A-4816-BEAE-DF41E7FDDFEB}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in million 2012 dollars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H5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d belzer:  Extrapolated with Propane price from Table 9.7 in Aug. 2016 MER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Belzer, David B</author>
    <author>david</author>
  </authors>
  <commentList>
    <comment ref="B47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Belzer, David B:</t>
        </r>
        <r>
          <rPr>
            <sz val="8"/>
            <color indexed="81"/>
            <rFont val="Tahoma"/>
            <family val="2"/>
          </rPr>
          <t xml:space="preserve">
extrapolated from Table 9.11 in July 2012 MER</t>
        </r>
      </text>
    </comment>
    <comment ref="I47" authorId="0" shapeId="0" xr:uid="{00000000-0006-0000-0600-000002000000}">
      <text>
        <r>
          <rPr>
            <b/>
            <sz val="8"/>
            <color indexed="81"/>
            <rFont val="Tahoma"/>
            <family val="2"/>
          </rPr>
          <t>Belzer, David B:</t>
        </r>
        <r>
          <rPr>
            <sz val="8"/>
            <color indexed="81"/>
            <rFont val="Tahoma"/>
            <family val="2"/>
          </rPr>
          <t xml:space="preserve">
extrapolated from Table 9.11 in July 2012 MER</t>
        </r>
      </text>
    </comment>
    <comment ref="I48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 xml:space="preserve">d belzer:  Extrapolated with comm. Sector natural gas price from Table 9.10 in Aug. 2016 MER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Z2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d belzer:  Extrapolated with Finished Motor Gasoline from Table 9.7 in Aug. 2016 MER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1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d belzer:  Extrapolated with No. 2 Diesel Fuel Price from T. 9.7 in Aug. 2016 MER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d belzer:  Extrapolated by Ave. Price to End Users for residual fuel oil from Table 9.5 in Aug. 2016 MER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I7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d belzer:  Extrapolated with Price-all grades from Table 9.4 in Aug. 2016 MER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I38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d belzer:  Extrapolated by No. 2 Fuel Oil in Table 9.6 in Aug. 2016 MER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<sst xmlns="http://schemas.openxmlformats.org/spreadsheetml/2006/main" count="2678" uniqueCount="335">
  <si>
    <t>Electricity</t>
  </si>
  <si>
    <t>Agriculture</t>
  </si>
  <si>
    <t xml:space="preserve">Mining </t>
  </si>
  <si>
    <t>Construction</t>
  </si>
  <si>
    <t>Fuels</t>
  </si>
  <si>
    <t xml:space="preserve">  Electricity</t>
  </si>
  <si>
    <t>Natural Gas</t>
  </si>
  <si>
    <t>Off-road</t>
  </si>
  <si>
    <t>Other</t>
  </si>
  <si>
    <t>On-Road</t>
  </si>
  <si>
    <t>Lubricating</t>
  </si>
  <si>
    <t>Table 3.4  Consumer Price Estimates for Energy by End-Use Sector, 1970-2009</t>
  </si>
  <si>
    <r>
      <t>                      (Dollars </t>
    </r>
    <r>
      <rPr>
        <vertAlign val="superscript"/>
        <sz val="5"/>
        <color indexed="8"/>
        <rFont val="Arial"/>
        <family val="2"/>
      </rPr>
      <t>1</t>
    </r>
    <r>
      <rPr>
        <sz val="10"/>
        <color indexed="8"/>
        <rFont val="Arial"/>
        <family val="2"/>
      </rPr>
      <t> per Million Btu)</t>
    </r>
  </si>
  <si>
    <t>Year</t>
  </si>
  <si>
    <t>Residential</t>
  </si>
  <si>
    <t>Commercial</t>
  </si>
  <si>
    <t>Industrial</t>
  </si>
  <si>
    <t>Transportation</t>
  </si>
  <si>
    <t>Petroleum</t>
  </si>
  <si>
    <r>
      <t>Total </t>
    </r>
    <r>
      <rPr>
        <vertAlign val="superscript"/>
        <sz val="5"/>
        <color indexed="8"/>
        <rFont val="Arial"/>
        <family val="2"/>
      </rPr>
      <t>4</t>
    </r>
  </si>
  <si>
    <r>
      <t>Petroleum </t>
    </r>
    <r>
      <rPr>
        <vertAlign val="superscript"/>
        <sz val="5"/>
        <color indexed="8"/>
        <rFont val="Arial"/>
        <family val="2"/>
      </rPr>
      <t>5</t>
    </r>
  </si>
  <si>
    <r>
      <t>Total </t>
    </r>
    <r>
      <rPr>
        <vertAlign val="superscript"/>
        <sz val="5"/>
        <color indexed="8"/>
        <rFont val="Arial"/>
        <family val="2"/>
      </rPr>
      <t>6,7</t>
    </r>
  </si>
  <si>
    <t>Coal</t>
  </si>
  <si>
    <r>
      <t>Biomass </t>
    </r>
    <r>
      <rPr>
        <vertAlign val="superscript"/>
        <sz val="5"/>
        <color indexed="8"/>
        <rFont val="Arial"/>
        <family val="2"/>
      </rPr>
      <t>8</t>
    </r>
  </si>
  <si>
    <r>
      <t>Total </t>
    </r>
    <r>
      <rPr>
        <vertAlign val="superscript"/>
        <sz val="5"/>
        <color indexed="8"/>
        <rFont val="Arial"/>
        <family val="2"/>
      </rPr>
      <t>7,9</t>
    </r>
  </si>
  <si>
    <r>
      <t>Total </t>
    </r>
    <r>
      <rPr>
        <vertAlign val="superscript"/>
        <sz val="5"/>
        <color indexed="8"/>
        <rFont val="Arial"/>
        <family val="2"/>
      </rPr>
      <t>7,10</t>
    </r>
  </si>
  <si>
    <t>Natural</t>
  </si>
  <si>
    <t>Retail</t>
  </si>
  <si>
    <r>
      <t>Gas </t>
    </r>
    <r>
      <rPr>
        <vertAlign val="superscript"/>
        <sz val="5"/>
        <color indexed="8"/>
        <rFont val="Arial"/>
        <family val="2"/>
      </rPr>
      <t>2</t>
    </r>
  </si>
  <si>
    <r>
      <t>Electricity </t>
    </r>
    <r>
      <rPr>
        <vertAlign val="superscript"/>
        <sz val="5"/>
        <color indexed="8"/>
        <rFont val="Arial"/>
        <family val="2"/>
      </rPr>
      <t>3</t>
    </r>
  </si>
  <si>
    <t>[R]</t>
  </si>
  <si>
    <r>
      <t>1</t>
    </r>
    <r>
      <rPr>
        <sz val="7"/>
        <color indexed="8"/>
        <rFont val="Arial"/>
        <family val="2"/>
      </rPr>
      <t>Prices are not adjusted for inflation.  See "Nominal Dollars" in Glossary.</t>
    </r>
  </si>
  <si>
    <r>
      <t>8</t>
    </r>
    <r>
      <rPr>
        <sz val="7"/>
        <color indexed="8"/>
        <rFont val="Arial"/>
        <family val="2"/>
      </rPr>
      <t>Wood and wood-derived fuels, and biomass waste; excludes fuel ethanol and biodiesel.  Through</t>
    </r>
  </si>
  <si>
    <t>2000, also includes non-biomass waste.</t>
  </si>
  <si>
    <r>
      <t>2</t>
    </r>
    <r>
      <rPr>
        <sz val="7"/>
        <color indexed="8"/>
        <rFont val="Arial"/>
        <family val="2"/>
      </rPr>
      <t>Natural gas, plus a small amount of supplemental gaseous fuels.</t>
    </r>
  </si>
  <si>
    <r>
      <t>9</t>
    </r>
    <r>
      <rPr>
        <sz val="7"/>
        <color indexed="8"/>
        <rFont val="Arial"/>
        <family val="2"/>
      </rPr>
      <t>Includes coal coke imports and exports, which are not separately displayed.</t>
    </r>
  </si>
  <si>
    <r>
      <t>3</t>
    </r>
    <r>
      <rPr>
        <sz val="7"/>
        <color indexed="8"/>
        <rFont val="Arial"/>
        <family val="2"/>
      </rPr>
      <t>Retail electricity prices paid by ultimate customers, reported by electric utilities and, beginning in 1996,</t>
    </r>
  </si>
  <si>
    <r>
      <t>10</t>
    </r>
    <r>
      <rPr>
        <sz val="7"/>
        <color indexed="8"/>
        <rFont val="Arial"/>
        <family val="2"/>
      </rPr>
      <t>Includes coal, natural gas, and retail electricity, which are not separately displayed.</t>
    </r>
  </si>
  <si>
    <t>other energy service providers.</t>
  </si>
  <si>
    <r>
      <t>4</t>
    </r>
    <r>
      <rPr>
        <sz val="7"/>
        <color indexed="8"/>
        <rFont val="Arial"/>
        <family val="2"/>
      </rPr>
      <t>Includes coal, and wood and wood-derived fuels, which are not separately displayed.</t>
    </r>
  </si>
  <si>
    <t>R=Revised.  </t>
  </si>
  <si>
    <r>
      <t>5</t>
    </r>
    <r>
      <rPr>
        <sz val="7"/>
        <color indexed="8"/>
        <rFont val="Arial"/>
        <family val="2"/>
      </rPr>
      <t>Beginning in 1993, includes fuel ethanol blended into motor gasoline.</t>
    </r>
  </si>
  <si>
    <r>
      <t>Notes: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Prices include taxes where data are available.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There are no direct fuel costs for</t>
    </r>
  </si>
  <si>
    <t>hydroelectric, geothermal, wind, or solar energy.</t>
  </si>
  <si>
    <r>
      <t>6</t>
    </r>
    <r>
      <rPr>
        <sz val="7"/>
        <color indexed="8"/>
        <rFont val="Arial"/>
        <family val="2"/>
      </rPr>
      <t>Includes coal, wood and wood-derived fuels, and biomass waste, which are not separately displayed. </t>
    </r>
  </si>
  <si>
    <t>Web Page:  For related information, see http://www.eia.gov/state/seds/seds-data-complete.cfm.</t>
  </si>
  <si>
    <t>Through 2000, also includes non-biomass waste.</t>
  </si>
  <si>
    <r>
      <t>7</t>
    </r>
    <r>
      <rPr>
        <sz val="7"/>
        <color indexed="8"/>
        <rFont val="Arial"/>
        <family val="2"/>
      </rPr>
      <t>For 1981-1992, includes fuel ethanol blended into motor gasoline that is not included in the petroleum</t>
    </r>
  </si>
  <si>
    <t>Source:  U.S. Energy Information Administration, "State Energy Data 2009: Prices and Expenditures"</t>
  </si>
  <si>
    <t>data for those years.</t>
  </si>
  <si>
    <t>(June 2011), U.S. Tables ET3-ET6. </t>
  </si>
  <si>
    <t>$/kWh</t>
  </si>
  <si>
    <t>Quantities (check original data)</t>
  </si>
  <si>
    <r>
      <t>5</t>
    </r>
    <r>
      <rPr>
        <sz val="7"/>
        <color indexed="8"/>
        <rFont val="Arial"/>
        <family val="2"/>
      </rPr>
      <t>Sulfur content by weight.</t>
    </r>
  </si>
  <si>
    <t>"Resellers'/Retailers' Monthly Petroleum Product Sales Report."</t>
  </si>
  <si>
    <t>"Refiners'/Gas Plant Operators' Monthly Petroleum Product Sales Report"; and EIA, Form EIA-782B,</t>
  </si>
  <si>
    <r>
      <t>annual reports.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2010EIA, </t>
    </r>
    <r>
      <rPr>
        <i/>
        <sz val="7"/>
        <color indexed="8"/>
        <rFont val="Arial"/>
        <family val="2"/>
      </rPr>
      <t>Petroleum Marketing Monthly </t>
    </r>
    <r>
      <rPr>
        <sz val="7"/>
        <color indexed="8"/>
        <rFont val="Arial"/>
        <family val="2"/>
      </rPr>
      <t>(April 2011); EIA, Form EIA-782A,</t>
    </r>
  </si>
  <si>
    <r>
      <t>Sources: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1994-2009U.S. Energy Information Administration (EIA), </t>
    </r>
    <r>
      <rPr>
        <i/>
        <sz val="7"/>
        <color indexed="8"/>
        <rFont val="Arial"/>
        <family val="2"/>
      </rPr>
      <t>Petroleum Marketing Annual,</t>
    </r>
  </si>
  <si>
    <r>
      <t>4</t>
    </r>
    <r>
      <rPr>
        <sz val="7"/>
        <color indexed="8"/>
        <rFont val="Arial"/>
        <family val="2"/>
      </rPr>
      <t>"Ppm" is parts per million.</t>
    </r>
  </si>
  <si>
    <t>Web Page:  For related information, see http://www.eia.gov/petroleum/.</t>
  </si>
  <si>
    <r>
      <t>3</t>
    </r>
    <r>
      <rPr>
        <sz val="7"/>
        <color indexed="8"/>
        <rFont val="Arial"/>
        <family val="2"/>
      </rPr>
      <t>Beginning in 2007, oxygenated motor gasoline is included with conventional motor gasoline.</t>
    </r>
  </si>
  <si>
    <t>customers, such as agriculture, industry, and utilities, as well as residential and commercial customers.</t>
  </si>
  <si>
    <t>consumers.  Sales to end users are those made directly to the ultimate consumer, including bulk</t>
  </si>
  <si>
    <t>R=Revised.  P=Preliminary.  NA=Not available.</t>
  </si>
  <si>
    <r>
      <t>2</t>
    </r>
    <r>
      <rPr>
        <sz val="7"/>
        <color indexed="8"/>
        <rFont val="Arial"/>
        <family val="2"/>
      </rPr>
      <t>Sales for resale (wholesale sales) are those made to purchasers who are other than ultimate</t>
    </r>
  </si>
  <si>
    <r>
      <t>6</t>
    </r>
    <r>
      <rPr>
        <sz val="7"/>
        <color indexed="8"/>
        <rFont val="Arial"/>
        <family val="2"/>
      </rPr>
      <t>See Note 5, "Historical Residential Heating Oil Prices," at end of section for historical data.</t>
    </r>
  </si>
  <si>
    <t>  Propane (Consumer Grade)</t>
  </si>
  <si>
    <r>
      <t>    Sulfur &gt; 1 </t>
    </r>
    <r>
      <rPr>
        <vertAlign val="superscript"/>
        <sz val="5"/>
        <color indexed="8"/>
        <rFont val="Arial"/>
        <family val="2"/>
      </rPr>
      <t>5</t>
    </r>
  </si>
  <si>
    <r>
      <t>    Sulfur &lt;= 1 </t>
    </r>
    <r>
      <rPr>
        <vertAlign val="superscript"/>
        <sz val="5"/>
        <color indexed="8"/>
        <rFont val="Arial"/>
        <family val="2"/>
      </rPr>
      <t>5</t>
    </r>
  </si>
  <si>
    <t>  Residual Fuel Oil</t>
  </si>
  <si>
    <r>
      <t>      High Sulfur (&gt; 500 ppm </t>
    </r>
    <r>
      <rPr>
        <vertAlign val="superscript"/>
        <sz val="5"/>
        <color indexed="8"/>
        <rFont val="Arial"/>
        <family val="2"/>
      </rPr>
      <t>4</t>
    </r>
    <r>
      <rPr>
        <sz val="7"/>
        <color indexed="8"/>
        <rFont val="Arial"/>
        <family val="2"/>
      </rPr>
      <t>)</t>
    </r>
  </si>
  <si>
    <r>
      <t>      Low Sulfur (&gt; 15 and &lt;= 500 ppm </t>
    </r>
    <r>
      <rPr>
        <vertAlign val="superscript"/>
        <sz val="5"/>
        <color indexed="8"/>
        <rFont val="Arial"/>
        <family val="2"/>
      </rPr>
      <t>4</t>
    </r>
    <r>
      <rPr>
        <sz val="7"/>
        <color indexed="8"/>
        <rFont val="Arial"/>
        <family val="2"/>
      </rPr>
      <t>)</t>
    </r>
  </si>
  <si>
    <t>NA</t>
  </si>
  <si>
    <r>
      <t>      Ultra-Low Sulfur (&lt;= 15 ppm </t>
    </r>
    <r>
      <rPr>
        <vertAlign val="superscript"/>
        <sz val="5"/>
        <color indexed="8"/>
        <rFont val="Arial"/>
        <family val="2"/>
      </rPr>
      <t>4</t>
    </r>
    <r>
      <rPr>
        <sz val="7"/>
        <color indexed="8"/>
        <rFont val="Arial"/>
        <family val="2"/>
      </rPr>
      <t>)</t>
    </r>
  </si>
  <si>
    <t>    No. 2 Diesel Fuel</t>
  </si>
  <si>
    <r>
      <t>    No. 2 Distillate to Residences </t>
    </r>
    <r>
      <rPr>
        <vertAlign val="superscript"/>
        <sz val="5"/>
        <color indexed="8"/>
        <rFont val="Arial"/>
        <family val="2"/>
      </rPr>
      <t>6</t>
    </r>
  </si>
  <si>
    <t>  No. 2 Distillate</t>
  </si>
  <si>
    <t>      Reformulated</t>
  </si>
  <si>
    <t>[3]</t>
  </si>
  <si>
    <r>
      <t>      Oxygenated </t>
    </r>
    <r>
      <rPr>
        <vertAlign val="superscript"/>
        <sz val="5"/>
        <color indexed="8"/>
        <rFont val="Arial"/>
        <family val="2"/>
      </rPr>
      <t>3</t>
    </r>
  </si>
  <si>
    <t>[3,R]</t>
  </si>
  <si>
    <r>
      <t>      Conventional </t>
    </r>
    <r>
      <rPr>
        <vertAlign val="superscript"/>
        <sz val="5"/>
        <color indexed="8"/>
        <rFont val="Arial"/>
        <family val="2"/>
      </rPr>
      <t>3</t>
    </r>
  </si>
  <si>
    <t>    Unleaded Premium</t>
  </si>
  <si>
    <t>    Unleaded Midgrade</t>
  </si>
  <si>
    <t>    Unleaded Regular</t>
  </si>
  <si>
    <t>  Motor Gasoline</t>
  </si>
  <si>
    <r>
      <t>Sales Prices to End Users </t>
    </r>
    <r>
      <rPr>
        <vertAlign val="superscript"/>
        <sz val="5"/>
        <color indexed="8"/>
        <rFont val="Arial"/>
        <family val="2"/>
      </rPr>
      <t>2</t>
    </r>
  </si>
  <si>
    <r>
      <t>Sales Prices to Resellers </t>
    </r>
    <r>
      <rPr>
        <vertAlign val="superscript"/>
        <sz val="5"/>
        <color indexed="8"/>
        <rFont val="Arial"/>
        <family val="2"/>
      </rPr>
      <t>2</t>
    </r>
  </si>
  <si>
    <r>
      <t>2010 </t>
    </r>
    <r>
      <rPr>
        <vertAlign val="superscript"/>
        <sz val="5"/>
        <color indexed="8"/>
        <rFont val="Arial"/>
        <family val="2"/>
      </rPr>
      <t>P</t>
    </r>
  </si>
  <si>
    <t>Product</t>
  </si>
  <si>
    <r>
      <t>                        (Dollars </t>
    </r>
    <r>
      <rPr>
        <vertAlign val="superscript"/>
        <sz val="5"/>
        <color indexed="8"/>
        <rFont val="Arial"/>
        <family val="2"/>
      </rPr>
      <t>1</t>
    </r>
    <r>
      <rPr>
        <sz val="10"/>
        <color indexed="8"/>
        <rFont val="Arial"/>
        <family val="2"/>
      </rPr>
      <t> per Gallon, Excluding Taxes)</t>
    </r>
  </si>
  <si>
    <t>Table 5.23   All Sellers Sales Prices for Selected Petroleum Products, 1994-2010</t>
  </si>
  <si>
    <t>Gasoline</t>
  </si>
  <si>
    <t>Diesel</t>
  </si>
  <si>
    <t xml:space="preserve">Use 5.230 MMBtu/bbl </t>
  </si>
  <si>
    <t>Table A3   2008 AER</t>
  </si>
  <si>
    <t xml:space="preserve">Use 5.825 MMBtu/bbl </t>
  </si>
  <si>
    <t>Price per MMBtu</t>
  </si>
  <si>
    <t>Table 5.24  Retail Motor Gasoline and On-Highway Diesel Fuel Prices, 1949-2010</t>
  </si>
  <si>
    <t>                       (Dollars per Gallon)</t>
  </si>
  <si>
    <t>Motor Gasoline by Grade</t>
  </si>
  <si>
    <t>Regular Motor Gasoline by Area Type</t>
  </si>
  <si>
    <t>On-Highway</t>
  </si>
  <si>
    <t>Leaded Regular </t>
  </si>
  <si>
    <t>Unleaded Regular</t>
  </si>
  <si>
    <t>Unleaded Premium</t>
  </si>
  <si>
    <t>All  Grades</t>
  </si>
  <si>
    <t>Conventional</t>
  </si>
  <si>
    <t>Reformulated</t>
  </si>
  <si>
    <t>All Areas</t>
  </si>
  <si>
    <t>Diesel Fuel </t>
  </si>
  <si>
    <r>
      <t>Gasoline Areas </t>
    </r>
    <r>
      <rPr>
        <vertAlign val="superscript"/>
        <sz val="5"/>
        <color indexed="8"/>
        <rFont val="Arial"/>
        <family val="2"/>
      </rPr>
      <t>1,2</t>
    </r>
  </si>
  <si>
    <r>
      <t>Gasoline Areas </t>
    </r>
    <r>
      <rPr>
        <vertAlign val="superscript"/>
        <sz val="5"/>
        <color indexed="8"/>
        <rFont val="Arial"/>
        <family val="2"/>
      </rPr>
      <t>3,4</t>
    </r>
  </si>
  <si>
    <r>
      <t>Nominal </t>
    </r>
    <r>
      <rPr>
        <vertAlign val="superscript"/>
        <sz val="5"/>
        <color indexed="8"/>
        <rFont val="Arial"/>
        <family val="2"/>
      </rPr>
      <t>5</t>
    </r>
  </si>
  <si>
    <r>
      <t>Real </t>
    </r>
    <r>
      <rPr>
        <vertAlign val="superscript"/>
        <sz val="5"/>
        <color indexed="8"/>
        <rFont val="Arial"/>
        <family val="2"/>
      </rPr>
      <t>6</t>
    </r>
  </si>
  <si>
    <r>
      <t> Nominal </t>
    </r>
    <r>
      <rPr>
        <vertAlign val="superscript"/>
        <sz val="5"/>
        <color indexed="8"/>
        <rFont val="Arial"/>
        <family val="2"/>
      </rPr>
      <t>5</t>
    </r>
  </si>
  <si>
    <t>[2]</t>
  </si>
  <si>
    <t>[4]</t>
  </si>
  <si>
    <t>[4,R]</t>
  </si>
  <si>
    <r>
      <t>1</t>
    </r>
    <r>
      <rPr>
        <sz val="7"/>
        <color indexed="8"/>
        <rFont val="Arial"/>
        <family val="2"/>
      </rPr>
      <t>Any area that does not require the sale of reformulated gasoline.</t>
    </r>
  </si>
  <si>
    <r>
      <t>6</t>
    </r>
    <r>
      <rPr>
        <sz val="7"/>
        <color indexed="8"/>
        <rFont val="Arial"/>
        <family val="2"/>
      </rPr>
      <t>In chained (2005) dollars, calculated by using gross domestic product implicit price deflators in Table</t>
    </r>
  </si>
  <si>
    <t>D1.  See "Chained Dollars" in Glossary.</t>
  </si>
  <si>
    <r>
      <t>2</t>
    </r>
    <r>
      <rPr>
        <sz val="7"/>
        <color indexed="8"/>
        <rFont val="Arial"/>
        <family val="2"/>
      </rPr>
      <t>For 1993-2000, data collected for oxygenated areas are included in "Conventional Gasoline Areas."</t>
    </r>
  </si>
  <si>
    <t>R=Revised.  NA=Not available.  </t>
  </si>
  <si>
    <r>
      <t>3</t>
    </r>
    <r>
      <rPr>
        <sz val="7"/>
        <color indexed="8"/>
        <rFont val="Arial"/>
        <family val="2"/>
      </rPr>
      <t>"Reformulated Gasoline Areas" are ozone nonattainment areas designated by the Environmental</t>
    </r>
  </si>
  <si>
    <t>Note:  See "Motor Gasoline Grades," "Motor Gasoline, Conventional," "Motor Gasoline, Oxygenated,"</t>
  </si>
  <si>
    <t>Protection Agency that require the use of reformulated gasoline.</t>
  </si>
  <si>
    <t>and "Motor Gasoline, Reformulated" in Glossary.</t>
  </si>
  <si>
    <r>
      <t>4</t>
    </r>
    <r>
      <rPr>
        <sz val="7"/>
        <color indexed="8"/>
        <rFont val="Arial"/>
        <family val="2"/>
      </rPr>
      <t>For 1995-2000, data collected for combined oxygenated and reformulated areas are included in</t>
    </r>
  </si>
  <si>
    <t>"Reformulated Gasoline Areas."</t>
  </si>
  <si>
    <r>
      <t>5</t>
    </r>
    <r>
      <rPr>
        <sz val="7"/>
        <color indexed="8"/>
        <rFont val="Arial"/>
        <family val="2"/>
      </rPr>
      <t>See "Nominal Dollars" in Glossary.</t>
    </r>
  </si>
  <si>
    <r>
      <t>Sources:  </t>
    </r>
    <r>
      <rPr>
        <b/>
        <sz val="7"/>
        <color indexed="8"/>
        <rFont val="Arial"/>
        <family val="2"/>
      </rPr>
      <t>Motor Gasoline by Grade: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1949-1973</t>
    </r>
    <r>
      <rPr>
        <i/>
        <sz val="7"/>
        <color indexed="8"/>
        <rFont val="Arial"/>
        <family val="2"/>
      </rPr>
      <t>Platt's Oil Price Handbook and Oilmanac, 1974,</t>
    </r>
  </si>
  <si>
    <r>
      <t>51st Edition.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1974 forwardU.S. Energy Information Administration (EIA), annual averages of monthly</t>
    </r>
  </si>
  <si>
    <r>
      <t>data from the U.S. Department of Labor, Bureau of Labor Statistics, </t>
    </r>
    <r>
      <rPr>
        <i/>
        <sz val="7"/>
        <color indexed="8"/>
        <rFont val="Arial"/>
        <family val="2"/>
      </rPr>
      <t>U.S. City Average Gasoline Prices.</t>
    </r>
  </si>
  <si>
    <r>
      <t>Regular Motor Gasoline by Area Type:  </t>
    </r>
    <r>
      <rPr>
        <sz val="7"/>
        <color indexed="8"/>
        <rFont val="Arial"/>
        <family val="2"/>
      </rPr>
      <t>EIA, weighted annual averages of data from "Weekly U.S. Retail</t>
    </r>
  </si>
  <si>
    <r>
      <t>Gasoline Prices, Regular Grade."  </t>
    </r>
    <r>
      <rPr>
        <b/>
        <sz val="7"/>
        <color indexed="8"/>
        <rFont val="Arial"/>
        <family val="2"/>
      </rPr>
      <t>On-Highway Diesel Fuel:  </t>
    </r>
    <r>
      <rPr>
        <sz val="7"/>
        <color indexed="8"/>
        <rFont val="Arial"/>
        <family val="2"/>
      </rPr>
      <t>EIA, weighted annual averages of data from</t>
    </r>
  </si>
  <si>
    <t>"Weekly Retail On-Highway Diesel Prices."</t>
  </si>
  <si>
    <t>Excl. tax</t>
  </si>
  <si>
    <t xml:space="preserve">  $/MMBtu</t>
  </si>
  <si>
    <t>Table 3.3  Consumer Price Estimates for Energy by Source, 1970-2009</t>
  </si>
  <si>
    <r>
      <t>Primary Energy </t>
    </r>
    <r>
      <rPr>
        <vertAlign val="superscript"/>
        <sz val="5"/>
        <color indexed="8"/>
        <rFont val="Arial"/>
        <family val="2"/>
      </rPr>
      <t>2</t>
    </r>
  </si>
  <si>
    <t>Electric</t>
  </si>
  <si>
    <r>
      <t>Total </t>
    </r>
    <r>
      <rPr>
        <vertAlign val="superscript"/>
        <sz val="5"/>
        <color indexed="8"/>
        <rFont val="Arial"/>
        <family val="2"/>
      </rPr>
      <t>9,10</t>
    </r>
  </si>
  <si>
    <t>Power</t>
  </si>
  <si>
    <t>Total</t>
  </si>
  <si>
    <r>
      <t>Sector </t>
    </r>
    <r>
      <rPr>
        <vertAlign val="superscript"/>
        <sz val="5"/>
        <color indexed="8"/>
        <rFont val="Arial"/>
        <family val="2"/>
      </rPr>
      <t>11,12</t>
    </r>
  </si>
  <si>
    <r>
      <t>Electricity </t>
    </r>
    <r>
      <rPr>
        <vertAlign val="superscript"/>
        <sz val="5"/>
        <color indexed="8"/>
        <rFont val="Arial"/>
        <family val="2"/>
      </rPr>
      <t>13</t>
    </r>
  </si>
  <si>
    <r>
      <t>Energy </t>
    </r>
    <r>
      <rPr>
        <vertAlign val="superscript"/>
        <sz val="5"/>
        <color indexed="8"/>
        <rFont val="Arial"/>
        <family val="2"/>
      </rPr>
      <t>9,10,14</t>
    </r>
  </si>
  <si>
    <t>Nuclear</t>
  </si>
  <si>
    <r>
      <t>Gas </t>
    </r>
    <r>
      <rPr>
        <vertAlign val="superscript"/>
        <sz val="5"/>
        <color indexed="8"/>
        <rFont val="Arial"/>
        <family val="2"/>
      </rPr>
      <t>3</t>
    </r>
  </si>
  <si>
    <t>Distillate</t>
  </si>
  <si>
    <t>Jet</t>
  </si>
  <si>
    <r>
      <t>LPG </t>
    </r>
    <r>
      <rPr>
        <vertAlign val="superscript"/>
        <sz val="5"/>
        <color indexed="8"/>
        <rFont val="Arial"/>
        <family val="2"/>
      </rPr>
      <t>5</t>
    </r>
  </si>
  <si>
    <t>Motor</t>
  </si>
  <si>
    <t>Residual</t>
  </si>
  <si>
    <r>
      <t>Other </t>
    </r>
    <r>
      <rPr>
        <vertAlign val="superscript"/>
        <sz val="5"/>
        <color indexed="8"/>
        <rFont val="Arial"/>
        <family val="2"/>
      </rPr>
      <t>7</t>
    </r>
  </si>
  <si>
    <t>Fuel</t>
  </si>
  <si>
    <t>Fuel Oil</t>
  </si>
  <si>
    <r>
      <t>Fuel </t>
    </r>
    <r>
      <rPr>
        <vertAlign val="superscript"/>
        <sz val="5"/>
        <color indexed="8"/>
        <rFont val="Arial"/>
        <family val="2"/>
      </rPr>
      <t>4</t>
    </r>
  </si>
  <si>
    <r>
      <t>Gasoline </t>
    </r>
    <r>
      <rPr>
        <vertAlign val="superscript"/>
        <sz val="5"/>
        <color indexed="8"/>
        <rFont val="Arial"/>
        <family val="2"/>
      </rPr>
      <t>6</t>
    </r>
  </si>
  <si>
    <r>
      <t>10</t>
    </r>
    <r>
      <rPr>
        <sz val="7"/>
        <color indexed="8"/>
        <rFont val="Arial"/>
        <family val="2"/>
      </rPr>
      <t>Includes electricity imports, which are not separately displayed.  For 1981-1992, also includes fuel</t>
    </r>
  </si>
  <si>
    <t>ethanol blended into motor gasoline that is not included in the motor gasoline data for those years.</t>
  </si>
  <si>
    <r>
      <t>2</t>
    </r>
    <r>
      <rPr>
        <sz val="7"/>
        <color indexed="8"/>
        <rFont val="Arial"/>
        <family val="2"/>
      </rPr>
      <t>Consumption-weighted average prices for all sectors, including the electric power sector.</t>
    </r>
  </si>
  <si>
    <r>
      <t>11</t>
    </r>
    <r>
      <rPr>
        <sz val="7"/>
        <color indexed="8"/>
        <rFont val="Arial"/>
        <family val="2"/>
      </rPr>
      <t>Electricity-only and combined-heat-and-power (CHP) plants within the NAICS (North American</t>
    </r>
  </si>
  <si>
    <t>Industry Classification System) 22 category whose primary business is to sell electricity, or electricity and</t>
  </si>
  <si>
    <t>heat, to the public.  Through 1988, data are for electric utilities only; beginning in 1989, data are for electric</t>
  </si>
  <si>
    <t>utilities and independent power producers.</t>
  </si>
  <si>
    <r>
      <t>3</t>
    </r>
    <r>
      <rPr>
        <sz val="7"/>
        <color indexed="8"/>
        <rFont val="Arial"/>
        <family val="2"/>
      </rPr>
      <t>Natural gas, plus a small amount of supplemental gaseous fuels.</t>
    </r>
  </si>
  <si>
    <r>
      <t>12</t>
    </r>
    <r>
      <rPr>
        <sz val="7"/>
        <color indexed="8"/>
        <rFont val="Arial"/>
        <family val="2"/>
      </rPr>
      <t>Consumption-weighted average electric power sector price for coal, natural gas, petroleum, nuclear</t>
    </r>
  </si>
  <si>
    <t>fuel, wood, waste, and electricity imports.</t>
  </si>
  <si>
    <r>
      <t>4</t>
    </r>
    <r>
      <rPr>
        <sz val="7"/>
        <color indexed="8"/>
        <rFont val="Arial"/>
        <family val="2"/>
      </rPr>
      <t>Through 2004, includes kerosene-type and naphtha-type jet fuel.  Beginning in 2005, includes</t>
    </r>
  </si>
  <si>
    <r>
      <t>13</t>
    </r>
    <r>
      <rPr>
        <sz val="7"/>
        <color indexed="8"/>
        <rFont val="Arial"/>
        <family val="2"/>
      </rPr>
      <t>Retail electricity prices paid by ultimate customers, reported by electric utilities and, beginning in 1996,</t>
    </r>
  </si>
  <si>
    <t>kerosene-type jet fuel only.</t>
  </si>
  <si>
    <r>
      <t>5</t>
    </r>
    <r>
      <rPr>
        <sz val="7"/>
        <color indexed="8"/>
        <rFont val="Arial"/>
        <family val="2"/>
      </rPr>
      <t>Liquefied petroleum gases.</t>
    </r>
  </si>
  <si>
    <r>
      <t>14</t>
    </r>
    <r>
      <rPr>
        <sz val="7"/>
        <color indexed="8"/>
        <rFont val="Arial"/>
        <family val="2"/>
      </rPr>
      <t>Consumption-weighted average price for primary energy and retail electricity in the four end-use</t>
    </r>
  </si>
  <si>
    <t>sectors (residential, commercial, industrial, and transportation); excludes energy in the electric power</t>
  </si>
  <si>
    <t>sector.</t>
  </si>
  <si>
    <r>
      <t>6</t>
    </r>
    <r>
      <rPr>
        <sz val="7"/>
        <color indexed="8"/>
        <rFont val="Arial"/>
        <family val="2"/>
      </rPr>
      <t>Beginning in 1993, includes fuel ethanol blended into motor gasoline.</t>
    </r>
  </si>
  <si>
    <r>
      <t>7</t>
    </r>
    <r>
      <rPr>
        <sz val="7"/>
        <color indexed="8"/>
        <rFont val="Arial"/>
        <family val="2"/>
      </rPr>
      <t>Consumption-weighted average price for asphalt and road oil, aviation gasoline, kerosene, lubricants,</t>
    </r>
  </si>
  <si>
    <t>petrochemical feedstocks, petroleum coke, special naphthas, waxes, and miscellaneous petroleum</t>
  </si>
  <si>
    <t>products.</t>
  </si>
  <si>
    <r>
      <t>9</t>
    </r>
    <r>
      <rPr>
        <sz val="7"/>
        <color indexed="8"/>
        <rFont val="Arial"/>
        <family val="2"/>
      </rPr>
      <t>Includes coal coke imports and exports, which are not separately displayed.  In 2009, coal coke</t>
    </r>
  </si>
  <si>
    <t>imports averaged 10.82 dollars per million Btu, and coal coke exports averaged 4.17 dollars per million Btu.</t>
  </si>
  <si>
    <t>(June 2011), U.S. Table ET1. </t>
  </si>
  <si>
    <t xml:space="preserve"> $/MMBtu</t>
  </si>
  <si>
    <t>Weight 30% Gasoline, 70% Diesel</t>
  </si>
  <si>
    <t xml:space="preserve"> $ MMBtu</t>
  </si>
  <si>
    <t>Lubricants - Assume 3 X price</t>
  </si>
  <si>
    <t>Total Fuel</t>
  </si>
  <si>
    <t>Output</t>
  </si>
  <si>
    <t>Intensities</t>
  </si>
  <si>
    <t>Input for Indicators</t>
  </si>
  <si>
    <t xml:space="preserve">  (Tbtu)</t>
  </si>
  <si>
    <t xml:space="preserve"> (mill. $)</t>
  </si>
  <si>
    <t>LP gas</t>
  </si>
  <si>
    <t>Progam</t>
  </si>
  <si>
    <t>Period</t>
  </si>
  <si>
    <t>Week Ending</t>
  </si>
  <si>
    <t>Geo Level</t>
  </si>
  <si>
    <t>State</t>
  </si>
  <si>
    <t>State Fips</t>
  </si>
  <si>
    <t>Ag District</t>
  </si>
  <si>
    <t>Ag District Code</t>
  </si>
  <si>
    <t>County</t>
  </si>
  <si>
    <t>County Code</t>
  </si>
  <si>
    <t>Zip Code</t>
  </si>
  <si>
    <t>Region</t>
  </si>
  <si>
    <t>Watershed</t>
  </si>
  <si>
    <t>Domain</t>
  </si>
  <si>
    <t>Domain Category</t>
  </si>
  <si>
    <t xml:space="preserve">FUELS - EXPENSE, MEASURED IN $ </t>
  </si>
  <si>
    <t xml:space="preserve">FUELS, DIESEL - EXPENSE, MEASURED IN $ </t>
  </si>
  <si>
    <t xml:space="preserve">FUELS, GASOLINE - EXPENSE, MEASURED IN $ </t>
  </si>
  <si>
    <t xml:space="preserve">FUELS, LP GAS - EXPENSE, MEASURED IN $ </t>
  </si>
  <si>
    <t xml:space="preserve">FUELS, OTHER - EXPENSE, MEASURED IN $ </t>
  </si>
  <si>
    <t>SURVEY</t>
  </si>
  <si>
    <t>YEAR</t>
  </si>
  <si>
    <t>NATIONAL</t>
  </si>
  <si>
    <t>US TOTAL</t>
  </si>
  <si>
    <t>ECONOMIC CLASS</t>
  </si>
  <si>
    <t>ECONOMIC CLASS: (1,000,000 OR MORE $)</t>
  </si>
  <si>
    <t>ECONOMIC CLASS: (1,000,000 TO 4,999,999 $)</t>
  </si>
  <si>
    <t>ECONOMIC CLASS: (10,000 TO 39,999 $)</t>
  </si>
  <si>
    <t>ECONOMIC CLASS: (100,000 TO 249,999 $)</t>
  </si>
  <si>
    <t>ECONOMIC CLASS: (250,000 TO 499,999 $)</t>
  </si>
  <si>
    <t>ECONOMIC CLASS: (40,000 TO 99,999 $)</t>
  </si>
  <si>
    <t>ECONOMIC CLASS: (5,000,000 OR MORE $)</t>
  </si>
  <si>
    <t>ECONOMIC CLASS: (500,000 TO 999,999 $)</t>
  </si>
  <si>
    <t>ECONOMIC CLASS: (LESS THAN 10,000 $)</t>
  </si>
  <si>
    <t>TOTAL</t>
  </si>
  <si>
    <t>NOT SPECIFIED</t>
  </si>
  <si>
    <t>TYPE OF OPERATION</t>
  </si>
  <si>
    <t>TYPE OF OPERATION: (ANIMAL)</t>
  </si>
  <si>
    <t>TYPE OF OPERATION: (CROP)</t>
  </si>
  <si>
    <t>ECONOMIC CLASS: (250,000 OR MORE $)</t>
  </si>
  <si>
    <t xml:space="preserve"> Source:  U.S. Ag and Forestry Greenhouse Gas Inventory, 1990-2005, p. 85 Table 5-2</t>
  </si>
  <si>
    <t>*</t>
  </si>
  <si>
    <t>Table -- U.S. Farm Sector Energy Use, Direct and Indirect</t>
  </si>
  <si>
    <t>Fertilizers &amp; Pesticides</t>
  </si>
  <si>
    <t>Direct Ag Enery Use</t>
  </si>
  <si>
    <t>Indirect Ag Energy Use</t>
  </si>
  <si>
    <t>Indirect Ag Enery Use</t>
  </si>
  <si>
    <t>Direct &amp; Indirect Energy Use</t>
  </si>
  <si>
    <t>Total U.S. Energy Use</t>
  </si>
  <si>
    <t>USDA</t>
  </si>
  <si>
    <t>Efficiency</t>
  </si>
  <si>
    <t>Total Ag Enery Use</t>
  </si>
  <si>
    <t>Gas-oline</t>
  </si>
  <si>
    <t>LP Gas</t>
  </si>
  <si>
    <t>Elec-tricity</t>
  </si>
  <si>
    <t>Pest-icide</t>
  </si>
  <si>
    <t>Nitro-gen</t>
  </si>
  <si>
    <t>Phos-phate</t>
  </si>
  <si>
    <t>Potash</t>
  </si>
  <si>
    <t>Fertilizer</t>
  </si>
  <si>
    <t>Direct &amp; Indirect</t>
  </si>
  <si>
    <t>Nitrogen</t>
  </si>
  <si>
    <t>Phosphate</t>
  </si>
  <si>
    <t>Pesticide</t>
  </si>
  <si>
    <t>Total Fertilizer</t>
  </si>
  <si>
    <t>Principal Crops Planted</t>
  </si>
  <si>
    <t>Total Energy Use per Acre</t>
  </si>
  <si>
    <t>Direct Energy Use per acre</t>
  </si>
  <si>
    <t>Indirect Energy Use per acre</t>
  </si>
  <si>
    <t>Ele-ctricity</t>
  </si>
  <si>
    <t>Trillion Btu</t>
  </si>
  <si>
    <t>% of Total Ag Use</t>
  </si>
  <si>
    <t>% of Total Use</t>
  </si>
  <si>
    <t>Billion Btu</t>
  </si>
  <si>
    <t>Million Btu per ton</t>
  </si>
  <si>
    <t>Billion gallons</t>
  </si>
  <si>
    <t>Billion cubic ft</t>
  </si>
  <si>
    <t>1,000 tons</t>
  </si>
  <si>
    <t>1,000 acres</t>
  </si>
  <si>
    <t>1,000 Btu</t>
  </si>
  <si>
    <t>1987=100</t>
  </si>
  <si>
    <t>Quadrillion Btu</t>
  </si>
  <si>
    <t>Direct</t>
  </si>
  <si>
    <t>Indirect</t>
  </si>
  <si>
    <t>Change: 1977-79 to 2000-02</t>
  </si>
  <si>
    <r>
      <t xml:space="preserve">Source: John Miranowski, "Energy Consumption in U.S. Agriculture," presentation from conference, </t>
    </r>
    <r>
      <rPr>
        <i/>
        <sz val="9"/>
        <rFont val="Arial"/>
        <family val="2"/>
      </rPr>
      <t>Agriculture as a Producer and Consumer of Energy</t>
    </r>
    <r>
      <rPr>
        <sz val="9"/>
        <rFont val="Arial"/>
        <family val="2"/>
      </rPr>
      <t xml:space="preserve">, June 24, 2004, </t>
    </r>
  </si>
  <si>
    <t xml:space="preserve">sponsored by Farm Foundation and USDA's Office of Energy Policy and New Uses. [http://www.farmfoundation.org/projects/03-35EnergyConferencepresentations.htm]. </t>
  </si>
  <si>
    <t>Assumes that all pesticides and fertilizers are used by agriculture.</t>
  </si>
  <si>
    <t>Total natural gas consumption estimate:</t>
  </si>
  <si>
    <t>Note from telephone conversation (9-14-04) with John Miranowski:</t>
  </si>
  <si>
    <t>John obtained the raw data from James Duffield (Office of Energy, USDA) and Bob Dubman (ERS, USDA).</t>
  </si>
  <si>
    <t>A manuscript of the conference's 3 core presentations is scheduled for release in early 2005</t>
  </si>
  <si>
    <t>Other (Nat. Gas?)</t>
  </si>
  <si>
    <t>Bulk</t>
  </si>
  <si>
    <t>% Diff</t>
  </si>
  <si>
    <t>share to non-taxed</t>
  </si>
  <si>
    <t>Scale Factor</t>
  </si>
  <si>
    <t>Not Used</t>
  </si>
  <si>
    <t>Other - NG</t>
  </si>
  <si>
    <t>Other -NG</t>
  </si>
  <si>
    <t>Implied</t>
  </si>
  <si>
    <t>fraction of U.S. DA 2005 estimate</t>
  </si>
  <si>
    <t>$/MMBtu</t>
  </si>
  <si>
    <t>From Survey</t>
  </si>
  <si>
    <t>Adjust</t>
  </si>
  <si>
    <t xml:space="preserve"> Extrapolate from 2007</t>
  </si>
  <si>
    <t>Spliced energy data</t>
  </si>
  <si>
    <t>Elec-Prm</t>
  </si>
  <si>
    <t>Elec-Site</t>
  </si>
  <si>
    <t>Assume 10,500 Btu/kWh</t>
  </si>
  <si>
    <t>Output*0.001</t>
  </si>
  <si>
    <t>fr. Survey</t>
  </si>
  <si>
    <t>bulk</t>
  </si>
  <si>
    <t>serv. Sta.</t>
  </si>
  <si>
    <t>from printed output</t>
  </si>
  <si>
    <t>From Survey (downloaded and printed)</t>
  </si>
  <si>
    <t>Weights</t>
  </si>
  <si>
    <t>final est.</t>
  </si>
  <si>
    <t>Estimates</t>
  </si>
  <si>
    <t>of Diesel</t>
  </si>
  <si>
    <t>Note:  Prices exclude taxes, appropriate for stationary uses in construction</t>
  </si>
  <si>
    <t>Implied Prices - Based upon Miranowski work - see Ag Cons by Use worksheet</t>
  </si>
  <si>
    <t>Extrapolate with EIA price for LPG</t>
  </si>
  <si>
    <t>Source:  Miranowski work</t>
  </si>
  <si>
    <t xml:space="preserve">NOT USED </t>
  </si>
  <si>
    <t>Output and Energy Consumption</t>
  </si>
  <si>
    <t>Chart</t>
  </si>
  <si>
    <t>https://quickstats.nass.usda.gov/results/06763638-EB97-3879-AAF6-214CF147AED2</t>
  </si>
  <si>
    <t>Propane</t>
  </si>
  <si>
    <t>Table 9.7  (MER, November 2019)</t>
  </si>
  <si>
    <t>Prices from Table 9.4, MER (November 2019)</t>
  </si>
  <si>
    <t xml:space="preserve">Expenditures from National Agricultural Statistical Service (NASS) </t>
  </si>
  <si>
    <t>Prices - AER/MER ($/MMBtu) - without taxes</t>
  </si>
  <si>
    <t>Quantities (TBtu)</t>
  </si>
  <si>
    <t>Price Adjustments - Retail Price to Estimate Prices Actually Paid</t>
  </si>
  <si>
    <t>Convert expenditures to millions</t>
  </si>
  <si>
    <t>Quantity Estimates - outside sources (Tbtu)  Miranowski work - see worksheet "Ag Cons by Use."</t>
  </si>
  <si>
    <t xml:space="preserve">Gross </t>
  </si>
  <si>
    <t>Gr. Output</t>
  </si>
  <si>
    <t>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</si>
</sst>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#,##0_)"/>
    <numFmt numFmtId="166" formatCode="_(* #,##0.0_);_(* \(#,##0.0\);_(* &quot;-&quot;??_);_(@_)"/>
    <numFmt numFmtId="167" formatCode="0.0%"/>
    <numFmt numFmtId="168" formatCode="_(* #,##0_);_(* \(#,##0\);_(* &quot;-&quot;??_);_(@_)"/>
    <numFmt numFmtId="169" formatCode="#,##0.000"/>
    <numFmt numFmtId="170" formatCode="#,##0.0"/>
    <numFmt numFmtId="171" formatCode="0.00_);\(0.00\)"/>
    <numFmt numFmtId="172" formatCode="_(* #,##0.000_);_(* \(#,##0.000\);_(* &quot;-&quot;??_);_(@_)"/>
    <numFmt numFmtId="173" formatCode="0.0"/>
  </numFmts>
  <fonts count="6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5"/>
      <color indexed="8"/>
      <name val="Arial"/>
      <family val="2"/>
    </font>
    <font>
      <sz val="10"/>
      <color indexed="8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5"/>
      <color rgb="FF000000"/>
      <name val="Arial"/>
      <family val="2"/>
    </font>
    <font>
      <vertAlign val="superscript"/>
      <sz val="5"/>
      <color rgb="FF000000"/>
      <name val="Arial"/>
      <family val="2"/>
    </font>
    <font>
      <sz val="7"/>
      <color indexed="8"/>
      <name val="Arial"/>
      <family val="2"/>
    </font>
    <font>
      <sz val="7"/>
      <color indexed="8"/>
      <name val="Symbol"/>
      <family val="1"/>
      <charset val="2"/>
    </font>
    <font>
      <u/>
      <sz val="11"/>
      <color rgb="FF0000FF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sz val="11"/>
      <color rgb="FF9C0006"/>
      <name val="Calibri"/>
      <family val="2"/>
      <scheme val="minor"/>
    </font>
    <font>
      <sz val="11"/>
      <color indexed="20"/>
      <name val="Calibri"/>
      <family val="2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9"/>
      <name val="Helv"/>
    </font>
    <font>
      <i/>
      <sz val="11"/>
      <color rgb="FF7F7F7F"/>
      <name val="Calibri"/>
      <family val="2"/>
      <scheme val="minor"/>
    </font>
    <font>
      <i/>
      <sz val="11"/>
      <color indexed="23"/>
      <name val="Calibri"/>
      <family val="2"/>
    </font>
    <font>
      <sz val="11"/>
      <color rgb="FF006100"/>
      <name val="Calibri"/>
      <family val="2"/>
      <scheme val="minor"/>
    </font>
    <font>
      <sz val="11"/>
      <color indexed="17"/>
      <name val="Calibri"/>
      <family val="2"/>
    </font>
    <font>
      <b/>
      <sz val="15"/>
      <color theme="3"/>
      <name val="Calibri"/>
      <family val="2"/>
      <scheme val="minor"/>
    </font>
    <font>
      <b/>
      <sz val="15"/>
      <color indexed="56"/>
      <name val="Calibri"/>
      <family val="2"/>
    </font>
    <font>
      <b/>
      <sz val="13"/>
      <color theme="3"/>
      <name val="Calibri"/>
      <family val="2"/>
      <scheme val="minor"/>
    </font>
    <font>
      <b/>
      <sz val="13"/>
      <color indexed="56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indexed="56"/>
      <name val="Calibri"/>
      <family val="2"/>
    </font>
    <font>
      <sz val="11"/>
      <color rgb="FF3F3F76"/>
      <name val="Calibri"/>
      <family val="2"/>
      <scheme val="minor"/>
    </font>
    <font>
      <sz val="11"/>
      <color indexed="62"/>
      <name val="Calibri"/>
      <family val="2"/>
    </font>
    <font>
      <sz val="11"/>
      <color rgb="FFFA7D00"/>
      <name val="Calibri"/>
      <family val="2"/>
      <scheme val="minor"/>
    </font>
    <font>
      <sz val="11"/>
      <color indexed="52"/>
      <name val="Calibri"/>
      <family val="2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indexed="10"/>
      <name val="Calibri"/>
      <family val="2"/>
    </font>
    <font>
      <i/>
      <sz val="7"/>
      <color indexed="8"/>
      <name val="Arial"/>
      <family val="2"/>
    </font>
    <font>
      <b/>
      <sz val="12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5"/>
      <color theme="1"/>
      <name val="Arial"/>
      <family val="2"/>
    </font>
    <font>
      <vertAlign val="superscript"/>
      <sz val="5"/>
      <color theme="1"/>
      <name val="Arial"/>
      <family val="2"/>
    </font>
    <font>
      <u/>
      <sz val="11"/>
      <color theme="10"/>
      <name val="Calibri"/>
      <family val="2"/>
    </font>
    <font>
      <b/>
      <sz val="7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3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48">
    <xf numFmtId="0" fontId="0" fillId="0" borderId="0"/>
    <xf numFmtId="0" fontId="4" fillId="0" borderId="0"/>
    <xf numFmtId="0" fontId="15" fillId="0" borderId="0" applyNumberFormat="0" applyFill="0" applyBorder="0" applyAlignment="0" applyProtection="0"/>
    <xf numFmtId="0" fontId="18" fillId="10" borderId="0" applyNumberFormat="0" applyBorder="0" applyAlignment="0" applyProtection="0"/>
    <xf numFmtId="0" fontId="19" fillId="35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8" fillId="14" borderId="0" applyNumberFormat="0" applyBorder="0" applyAlignment="0" applyProtection="0"/>
    <xf numFmtId="0" fontId="19" fillId="36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8" fillId="18" borderId="0" applyNumberFormat="0" applyBorder="0" applyAlignment="0" applyProtection="0"/>
    <xf numFmtId="0" fontId="19" fillId="3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8" fillId="22" borderId="0" applyNumberFormat="0" applyBorder="0" applyAlignment="0" applyProtection="0"/>
    <xf numFmtId="0" fontId="19" fillId="38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8" fillId="26" borderId="0" applyNumberFormat="0" applyBorder="0" applyAlignment="0" applyProtection="0"/>
    <xf numFmtId="0" fontId="19" fillId="39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8" fillId="30" borderId="0" applyNumberFormat="0" applyBorder="0" applyAlignment="0" applyProtection="0"/>
    <xf numFmtId="0" fontId="19" fillId="4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8" fillId="11" borderId="0" applyNumberFormat="0" applyBorder="0" applyAlignment="0" applyProtection="0"/>
    <xf numFmtId="0" fontId="19" fillId="4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8" fillId="15" borderId="0" applyNumberFormat="0" applyBorder="0" applyAlignment="0" applyProtection="0"/>
    <xf numFmtId="0" fontId="19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8" fillId="19" borderId="0" applyNumberFormat="0" applyBorder="0" applyAlignment="0" applyProtection="0"/>
    <xf numFmtId="0" fontId="19" fillId="43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8" fillId="23" borderId="0" applyNumberFormat="0" applyBorder="0" applyAlignment="0" applyProtection="0"/>
    <xf numFmtId="0" fontId="19" fillId="38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8" fillId="27" borderId="0" applyNumberFormat="0" applyBorder="0" applyAlignment="0" applyProtection="0"/>
    <xf numFmtId="0" fontId="19" fillId="41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8" fillId="31" borderId="0" applyNumberFormat="0" applyBorder="0" applyAlignment="0" applyProtection="0"/>
    <xf numFmtId="0" fontId="19" fillId="44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20" fillId="12" borderId="0" applyNumberFormat="0" applyBorder="0" applyAlignment="0" applyProtection="0"/>
    <xf numFmtId="0" fontId="21" fillId="4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0" fillId="16" borderId="0" applyNumberFormat="0" applyBorder="0" applyAlignment="0" applyProtection="0"/>
    <xf numFmtId="0" fontId="21" fillId="42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0" fillId="20" borderId="0" applyNumberFormat="0" applyBorder="0" applyAlignment="0" applyProtection="0"/>
    <xf numFmtId="0" fontId="21" fillId="43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0" fillId="24" borderId="0" applyNumberFormat="0" applyBorder="0" applyAlignment="0" applyProtection="0"/>
    <xf numFmtId="0" fontId="21" fillId="46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0" fillId="28" borderId="0" applyNumberFormat="0" applyBorder="0" applyAlignment="0" applyProtection="0"/>
    <xf numFmtId="0" fontId="21" fillId="47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0" fillId="32" borderId="0" applyNumberFormat="0" applyBorder="0" applyAlignment="0" applyProtection="0"/>
    <xf numFmtId="0" fontId="21" fillId="48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0" fillId="9" borderId="0" applyNumberFormat="0" applyBorder="0" applyAlignment="0" applyProtection="0"/>
    <xf numFmtId="0" fontId="21" fillId="4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0" fillId="13" borderId="0" applyNumberFormat="0" applyBorder="0" applyAlignment="0" applyProtection="0"/>
    <xf numFmtId="0" fontId="21" fillId="5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0" fillId="17" borderId="0" applyNumberFormat="0" applyBorder="0" applyAlignment="0" applyProtection="0"/>
    <xf numFmtId="0" fontId="21" fillId="51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0" fillId="21" borderId="0" applyNumberFormat="0" applyBorder="0" applyAlignment="0" applyProtection="0"/>
    <xf numFmtId="0" fontId="21" fillId="46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0" fillId="21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0" fillId="25" borderId="0" applyNumberFormat="0" applyBorder="0" applyAlignment="0" applyProtection="0"/>
    <xf numFmtId="0" fontId="21" fillId="47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0" fillId="29" borderId="0" applyNumberFormat="0" applyBorder="0" applyAlignment="0" applyProtection="0"/>
    <xf numFmtId="0" fontId="21" fillId="52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2" fillId="3" borderId="0" applyNumberFormat="0" applyBorder="0" applyAlignment="0" applyProtection="0"/>
    <xf numFmtId="0" fontId="23" fillId="36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4" fillId="6" borderId="4" applyNumberFormat="0" applyAlignment="0" applyProtection="0"/>
    <xf numFmtId="0" fontId="25" fillId="53" borderId="25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5" fillId="53" borderId="25" applyNumberFormat="0" applyAlignment="0" applyProtection="0"/>
    <xf numFmtId="0" fontId="25" fillId="53" borderId="25" applyNumberFormat="0" applyAlignment="0" applyProtection="0"/>
    <xf numFmtId="0" fontId="26" fillId="7" borderId="7" applyNumberFormat="0" applyAlignment="0" applyProtection="0"/>
    <xf numFmtId="0" fontId="27" fillId="54" borderId="26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6" fillId="7" borderId="7" applyNumberFormat="0" applyAlignment="0" applyProtection="0"/>
    <xf numFmtId="0" fontId="27" fillId="54" borderId="26" applyNumberFormat="0" applyAlignment="0" applyProtection="0"/>
    <xf numFmtId="0" fontId="27" fillId="54" borderId="26" applyNumberFormat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5" fontId="29" fillId="0" borderId="27">
      <alignment horizontal="right" vertical="center"/>
    </xf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2" borderId="0" applyNumberFormat="0" applyBorder="0" applyAlignment="0" applyProtection="0"/>
    <xf numFmtId="0" fontId="33" fillId="37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2" fillId="2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4" fillId="0" borderId="1" applyNumberFormat="0" applyFill="0" applyAlignment="0" applyProtection="0"/>
    <xf numFmtId="0" fontId="35" fillId="0" borderId="28" applyNumberFormat="0" applyFill="0" applyAlignment="0" applyProtection="0"/>
    <xf numFmtId="0" fontId="34" fillId="0" borderId="1" applyNumberFormat="0" applyFill="0" applyAlignment="0" applyProtection="0"/>
    <xf numFmtId="0" fontId="34" fillId="0" borderId="1" applyNumberFormat="0" applyFill="0" applyAlignment="0" applyProtection="0"/>
    <xf numFmtId="0" fontId="34" fillId="0" borderId="1" applyNumberFormat="0" applyFill="0" applyAlignment="0" applyProtection="0"/>
    <xf numFmtId="0" fontId="34" fillId="0" borderId="1" applyNumberFormat="0" applyFill="0" applyAlignment="0" applyProtection="0"/>
    <xf numFmtId="0" fontId="35" fillId="0" borderId="28" applyNumberFormat="0" applyFill="0" applyAlignment="0" applyProtection="0"/>
    <xf numFmtId="0" fontId="35" fillId="0" borderId="28" applyNumberFormat="0" applyFill="0" applyAlignment="0" applyProtection="0"/>
    <xf numFmtId="0" fontId="36" fillId="0" borderId="2" applyNumberFormat="0" applyFill="0" applyAlignment="0" applyProtection="0"/>
    <xf numFmtId="0" fontId="37" fillId="0" borderId="29" applyNumberFormat="0" applyFill="0" applyAlignment="0" applyProtection="0"/>
    <xf numFmtId="0" fontId="36" fillId="0" borderId="2" applyNumberFormat="0" applyFill="0" applyAlignment="0" applyProtection="0"/>
    <xf numFmtId="0" fontId="36" fillId="0" borderId="2" applyNumberFormat="0" applyFill="0" applyAlignment="0" applyProtection="0"/>
    <xf numFmtId="0" fontId="36" fillId="0" borderId="2" applyNumberFormat="0" applyFill="0" applyAlignment="0" applyProtection="0"/>
    <xf numFmtId="0" fontId="36" fillId="0" borderId="2" applyNumberFormat="0" applyFill="0" applyAlignment="0" applyProtection="0"/>
    <xf numFmtId="0" fontId="37" fillId="0" borderId="29" applyNumberFormat="0" applyFill="0" applyAlignment="0" applyProtection="0"/>
    <xf numFmtId="0" fontId="37" fillId="0" borderId="29" applyNumberFormat="0" applyFill="0" applyAlignment="0" applyProtection="0"/>
    <xf numFmtId="0" fontId="38" fillId="0" borderId="3" applyNumberFormat="0" applyFill="0" applyAlignment="0" applyProtection="0"/>
    <xf numFmtId="0" fontId="39" fillId="0" borderId="30" applyNumberFormat="0" applyFill="0" applyAlignment="0" applyProtection="0"/>
    <xf numFmtId="0" fontId="38" fillId="0" borderId="3" applyNumberFormat="0" applyFill="0" applyAlignment="0" applyProtection="0"/>
    <xf numFmtId="0" fontId="38" fillId="0" borderId="3" applyNumberFormat="0" applyFill="0" applyAlignment="0" applyProtection="0"/>
    <xf numFmtId="0" fontId="38" fillId="0" borderId="3" applyNumberFormat="0" applyFill="0" applyAlignment="0" applyProtection="0"/>
    <xf numFmtId="0" fontId="38" fillId="0" borderId="3" applyNumberFormat="0" applyFill="0" applyAlignment="0" applyProtection="0"/>
    <xf numFmtId="0" fontId="39" fillId="0" borderId="30" applyNumberFormat="0" applyFill="0" applyAlignment="0" applyProtection="0"/>
    <xf numFmtId="0" fontId="39" fillId="0" borderId="30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0" fillId="5" borderId="4" applyNumberFormat="0" applyAlignment="0" applyProtection="0"/>
    <xf numFmtId="0" fontId="41" fillId="40" borderId="25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1" fillId="40" borderId="25" applyNumberFormat="0" applyAlignment="0" applyProtection="0"/>
    <xf numFmtId="0" fontId="41" fillId="40" borderId="25" applyNumberFormat="0" applyAlignment="0" applyProtection="0"/>
    <xf numFmtId="0" fontId="42" fillId="0" borderId="6" applyNumberFormat="0" applyFill="0" applyAlignment="0" applyProtection="0"/>
    <xf numFmtId="0" fontId="43" fillId="0" borderId="31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2" fillId="0" borderId="6" applyNumberFormat="0" applyFill="0" applyAlignment="0" applyProtection="0"/>
    <xf numFmtId="0" fontId="43" fillId="0" borderId="31" applyNumberFormat="0" applyFill="0" applyAlignment="0" applyProtection="0"/>
    <xf numFmtId="0" fontId="43" fillId="0" borderId="31" applyNumberFormat="0" applyFill="0" applyAlignment="0" applyProtection="0"/>
    <xf numFmtId="0" fontId="44" fillId="4" borderId="0" applyNumberFormat="0" applyBorder="0" applyAlignment="0" applyProtection="0"/>
    <xf numFmtId="0" fontId="45" fillId="55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28" fillId="0" borderId="0"/>
    <xf numFmtId="0" fontId="28" fillId="0" borderId="0"/>
    <xf numFmtId="0" fontId="18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18" fillId="8" borderId="8" applyNumberFormat="0" applyFont="0" applyAlignment="0" applyProtection="0"/>
    <xf numFmtId="0" fontId="28" fillId="56" borderId="32" applyNumberFormat="0" applyFont="0" applyAlignment="0" applyProtection="0"/>
    <xf numFmtId="0" fontId="28" fillId="56" borderId="32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8" fillId="56" borderId="32" applyNumberFormat="0" applyFont="0" applyAlignment="0" applyProtection="0"/>
    <xf numFmtId="0" fontId="28" fillId="56" borderId="32" applyNumberFormat="0" applyFont="0" applyAlignment="0" applyProtection="0"/>
    <xf numFmtId="0" fontId="46" fillId="6" borderId="5" applyNumberFormat="0" applyAlignment="0" applyProtection="0"/>
    <xf numFmtId="0" fontId="47" fillId="53" borderId="33" applyNumberFormat="0" applyAlignment="0" applyProtection="0"/>
    <xf numFmtId="0" fontId="46" fillId="6" borderId="5" applyNumberFormat="0" applyAlignment="0" applyProtection="0"/>
    <xf numFmtId="0" fontId="46" fillId="6" borderId="5" applyNumberFormat="0" applyAlignment="0" applyProtection="0"/>
    <xf numFmtId="0" fontId="46" fillId="6" borderId="5" applyNumberFormat="0" applyAlignment="0" applyProtection="0"/>
    <xf numFmtId="0" fontId="46" fillId="6" borderId="5" applyNumberFormat="0" applyAlignment="0" applyProtection="0"/>
    <xf numFmtId="0" fontId="47" fillId="53" borderId="33" applyNumberFormat="0" applyAlignment="0" applyProtection="0"/>
    <xf numFmtId="0" fontId="47" fillId="53" borderId="33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9" applyNumberFormat="0" applyFill="0" applyAlignment="0" applyProtection="0"/>
    <xf numFmtId="0" fontId="50" fillId="0" borderId="34" applyNumberFormat="0" applyFill="0" applyAlignment="0" applyProtection="0"/>
    <xf numFmtId="0" fontId="49" fillId="0" borderId="9" applyNumberFormat="0" applyFill="0" applyAlignment="0" applyProtection="0"/>
    <xf numFmtId="0" fontId="49" fillId="0" borderId="9" applyNumberFormat="0" applyFill="0" applyAlignment="0" applyProtection="0"/>
    <xf numFmtId="0" fontId="49" fillId="0" borderId="9" applyNumberFormat="0" applyFill="0" applyAlignment="0" applyProtection="0"/>
    <xf numFmtId="0" fontId="49" fillId="0" borderId="9" applyNumberFormat="0" applyFill="0" applyAlignment="0" applyProtection="0"/>
    <xf numFmtId="0" fontId="50" fillId="0" borderId="34" applyNumberFormat="0" applyFill="0" applyAlignment="0" applyProtection="0"/>
    <xf numFmtId="0" fontId="50" fillId="0" borderId="3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61" fillId="0" borderId="0"/>
    <xf numFmtId="9" fontId="61" fillId="0" borderId="0" applyFont="0" applyFill="0" applyBorder="0" applyAlignment="0" applyProtection="0"/>
    <xf numFmtId="43" fontId="61" fillId="0" borderId="0" applyFont="0" applyFill="0" applyBorder="0" applyAlignment="0" applyProtection="0"/>
  </cellStyleXfs>
  <cellXfs count="24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4" fillId="0" borderId="0" xfId="1" applyFont="1"/>
    <xf numFmtId="0" fontId="4" fillId="0" borderId="22" xfId="1" applyFont="1" applyBorder="1" applyAlignment="1">
      <alignment horizontal="center" wrapText="1"/>
    </xf>
    <xf numFmtId="0" fontId="9" fillId="0" borderId="22" xfId="1" applyFont="1" applyBorder="1" applyAlignment="1">
      <alignment horizontal="center" wrapText="1"/>
    </xf>
    <xf numFmtId="0" fontId="9" fillId="0" borderId="16" xfId="1" applyFont="1" applyBorder="1" applyAlignment="1">
      <alignment horizontal="center" wrapText="1"/>
    </xf>
    <xf numFmtId="0" fontId="10" fillId="0" borderId="24" xfId="1" applyFont="1" applyBorder="1" applyAlignment="1">
      <alignment horizontal="left"/>
    </xf>
    <xf numFmtId="0" fontId="10" fillId="0" borderId="16" xfId="1" applyFont="1" applyBorder="1" applyAlignment="1">
      <alignment horizontal="right" wrapText="1"/>
    </xf>
    <xf numFmtId="0" fontId="4" fillId="0" borderId="16" xfId="1" applyFont="1" applyBorder="1" applyAlignment="1">
      <alignment horizontal="right" wrapText="1"/>
    </xf>
    <xf numFmtId="0" fontId="11" fillId="0" borderId="16" xfId="1" applyFont="1" applyBorder="1" applyAlignment="1">
      <alignment horizontal="center" wrapText="1"/>
    </xf>
    <xf numFmtId="0" fontId="10" fillId="33" borderId="24" xfId="1" applyFont="1" applyFill="1" applyBorder="1" applyAlignment="1">
      <alignment horizontal="left"/>
    </xf>
    <xf numFmtId="0" fontId="10" fillId="33" borderId="16" xfId="1" applyFont="1" applyFill="1" applyBorder="1" applyAlignment="1">
      <alignment horizontal="right" wrapText="1"/>
    </xf>
    <xf numFmtId="0" fontId="4" fillId="33" borderId="16" xfId="1" applyFont="1" applyFill="1" applyBorder="1" applyAlignment="1">
      <alignment horizontal="right" wrapText="1"/>
    </xf>
    <xf numFmtId="0" fontId="11" fillId="33" borderId="16" xfId="1" applyFont="1" applyFill="1" applyBorder="1" applyAlignment="1">
      <alignment horizontal="center" wrapText="1"/>
    </xf>
    <xf numFmtId="0" fontId="10" fillId="34" borderId="16" xfId="1" applyFont="1" applyFill="1" applyBorder="1" applyAlignment="1">
      <alignment horizontal="right" wrapText="1"/>
    </xf>
    <xf numFmtId="0" fontId="0" fillId="58" borderId="0" xfId="0" applyFill="1"/>
    <xf numFmtId="0" fontId="4" fillId="33" borderId="16" xfId="1" applyFont="1" applyFill="1" applyBorder="1" applyAlignment="1">
      <alignment wrapText="1"/>
    </xf>
    <xf numFmtId="0" fontId="4" fillId="0" borderId="16" xfId="1" applyFont="1" applyBorder="1" applyAlignment="1">
      <alignment wrapText="1"/>
    </xf>
    <xf numFmtId="0" fontId="9" fillId="0" borderId="21" xfId="1" applyFont="1" applyBorder="1" applyAlignment="1">
      <alignment horizontal="left"/>
    </xf>
    <xf numFmtId="0" fontId="4" fillId="0" borderId="21" xfId="1" applyFont="1" applyBorder="1" applyAlignment="1">
      <alignment horizontal="left"/>
    </xf>
    <xf numFmtId="0" fontId="9" fillId="0" borderId="24" xfId="1" applyFont="1" applyBorder="1" applyAlignment="1">
      <alignment horizontal="center" wrapText="1"/>
    </xf>
    <xf numFmtId="0" fontId="18" fillId="0" borderId="0" xfId="297"/>
    <xf numFmtId="0" fontId="18" fillId="0" borderId="17" xfId="297" applyBorder="1" applyAlignment="1">
      <alignment horizontal="center" wrapText="1"/>
    </xf>
    <xf numFmtId="0" fontId="18" fillId="0" borderId="21" xfId="297" applyBorder="1" applyAlignment="1">
      <alignment horizontal="center" wrapText="1"/>
    </xf>
    <xf numFmtId="0" fontId="55" fillId="0" borderId="21" xfId="297" applyFont="1" applyBorder="1" applyAlignment="1">
      <alignment horizontal="center" wrapText="1"/>
    </xf>
    <xf numFmtId="0" fontId="55" fillId="0" borderId="24" xfId="297" applyFont="1" applyBorder="1" applyAlignment="1">
      <alignment horizontal="center" wrapText="1"/>
    </xf>
    <xf numFmtId="0" fontId="55" fillId="0" borderId="35" xfId="297" applyFont="1" applyBorder="1" applyAlignment="1">
      <alignment horizontal="center" wrapText="1"/>
    </xf>
    <xf numFmtId="0" fontId="56" fillId="0" borderId="35" xfId="297" applyFont="1" applyBorder="1" applyAlignment="1">
      <alignment horizontal="left"/>
    </xf>
    <xf numFmtId="0" fontId="56" fillId="0" borderId="35" xfId="297" applyFont="1" applyBorder="1" applyAlignment="1">
      <alignment horizontal="right" wrapText="1"/>
    </xf>
    <xf numFmtId="0" fontId="18" fillId="0" borderId="35" xfId="297" applyBorder="1" applyAlignment="1">
      <alignment horizontal="right" wrapText="1"/>
    </xf>
    <xf numFmtId="0" fontId="56" fillId="59" borderId="35" xfId="297" applyFont="1" applyFill="1" applyBorder="1" applyAlignment="1">
      <alignment horizontal="left"/>
    </xf>
    <xf numFmtId="0" fontId="56" fillId="59" borderId="35" xfId="297" applyFont="1" applyFill="1" applyBorder="1" applyAlignment="1">
      <alignment horizontal="right" wrapText="1"/>
    </xf>
    <xf numFmtId="0" fontId="18" fillId="59" borderId="35" xfId="297" applyFill="1" applyBorder="1" applyAlignment="1">
      <alignment horizontal="right" wrapText="1"/>
    </xf>
    <xf numFmtId="0" fontId="57" fillId="59" borderId="35" xfId="297" applyFont="1" applyFill="1" applyBorder="1" applyAlignment="1">
      <alignment horizontal="center" wrapText="1"/>
    </xf>
    <xf numFmtId="0" fontId="57" fillId="0" borderId="35" xfId="297" applyFont="1" applyBorder="1" applyAlignment="1">
      <alignment horizontal="center" wrapText="1"/>
    </xf>
    <xf numFmtId="2" fontId="0" fillId="57" borderId="0" xfId="0" applyNumberFormat="1" applyFill="1"/>
    <xf numFmtId="0" fontId="0" fillId="0" borderId="0" xfId="0" applyBorder="1"/>
    <xf numFmtId="3" fontId="0" fillId="0" borderId="0" xfId="0" applyNumberFormat="1"/>
    <xf numFmtId="1" fontId="0" fillId="0" borderId="0" xfId="0" applyNumberFormat="1"/>
    <xf numFmtId="4" fontId="0" fillId="0" borderId="0" xfId="0" applyNumberFormat="1"/>
    <xf numFmtId="0" fontId="62" fillId="0" borderId="0" xfId="345" applyFont="1"/>
    <xf numFmtId="0" fontId="61" fillId="0" borderId="0" xfId="345"/>
    <xf numFmtId="0" fontId="61" fillId="0" borderId="36" xfId="345" applyBorder="1"/>
    <xf numFmtId="0" fontId="63" fillId="0" borderId="36" xfId="345" applyFont="1" applyBorder="1" applyAlignment="1">
      <alignment horizontal="center" wrapText="1"/>
    </xf>
    <xf numFmtId="0" fontId="63" fillId="0" borderId="37" xfId="345" applyFont="1" applyBorder="1" applyAlignment="1">
      <alignment horizontal="center" wrapText="1"/>
    </xf>
    <xf numFmtId="0" fontId="64" fillId="0" borderId="36" xfId="345" applyFont="1" applyBorder="1" applyAlignment="1">
      <alignment horizontal="center" wrapText="1"/>
    </xf>
    <xf numFmtId="0" fontId="64" fillId="0" borderId="38" xfId="345" applyFont="1" applyBorder="1" applyAlignment="1">
      <alignment horizontal="center" wrapText="1"/>
    </xf>
    <xf numFmtId="0" fontId="61" fillId="0" borderId="37" xfId="345" applyBorder="1"/>
    <xf numFmtId="0" fontId="61" fillId="0" borderId="38" xfId="345" applyBorder="1"/>
    <xf numFmtId="0" fontId="61" fillId="0" borderId="0" xfId="345" applyBorder="1"/>
    <xf numFmtId="0" fontId="61" fillId="61" borderId="0" xfId="345" applyFill="1" applyBorder="1"/>
    <xf numFmtId="0" fontId="62" fillId="62" borderId="0" xfId="345" applyFont="1" applyFill="1" applyBorder="1"/>
    <xf numFmtId="0" fontId="64" fillId="60" borderId="36" xfId="345" applyFont="1" applyFill="1" applyBorder="1" applyAlignment="1">
      <alignment horizontal="center" wrapText="1"/>
    </xf>
    <xf numFmtId="0" fontId="64" fillId="60" borderId="0" xfId="345" applyFont="1" applyFill="1" applyBorder="1" applyAlignment="1">
      <alignment horizontal="center" wrapText="1"/>
    </xf>
    <xf numFmtId="0" fontId="61" fillId="0" borderId="10" xfId="345" applyBorder="1"/>
    <xf numFmtId="0" fontId="63" fillId="0" borderId="10" xfId="345" applyFont="1" applyBorder="1" applyAlignment="1">
      <alignment horizontal="center" wrapText="1"/>
    </xf>
    <xf numFmtId="0" fontId="63" fillId="0" borderId="39" xfId="345" applyFont="1" applyBorder="1" applyAlignment="1">
      <alignment horizontal="center" wrapText="1"/>
    </xf>
    <xf numFmtId="0" fontId="64" fillId="0" borderId="10" xfId="345" applyFont="1" applyBorder="1" applyAlignment="1">
      <alignment horizontal="center" wrapText="1"/>
    </xf>
    <xf numFmtId="0" fontId="64" fillId="0" borderId="40" xfId="345" applyFont="1" applyBorder="1" applyAlignment="1">
      <alignment horizontal="center" wrapText="1"/>
    </xf>
    <xf numFmtId="0" fontId="63" fillId="0" borderId="40" xfId="345" applyFont="1" applyBorder="1" applyAlignment="1">
      <alignment horizontal="center" wrapText="1"/>
    </xf>
    <xf numFmtId="0" fontId="63" fillId="0" borderId="0" xfId="345" applyFont="1" applyBorder="1" applyAlignment="1">
      <alignment horizontal="center" wrapText="1"/>
    </xf>
    <xf numFmtId="0" fontId="63" fillId="61" borderId="0" xfId="345" applyFont="1" applyFill="1" applyBorder="1" applyAlignment="1">
      <alignment horizontal="center" wrapText="1"/>
    </xf>
    <xf numFmtId="0" fontId="61" fillId="0" borderId="0" xfId="345" applyBorder="1" applyAlignment="1">
      <alignment horizontal="center" wrapText="1"/>
    </xf>
    <xf numFmtId="0" fontId="63" fillId="0" borderId="0" xfId="345" applyFont="1" applyAlignment="1">
      <alignment horizontal="center" wrapText="1"/>
    </xf>
    <xf numFmtId="0" fontId="63" fillId="60" borderId="0" xfId="345" applyFont="1" applyFill="1" applyAlignment="1">
      <alignment horizontal="center" wrapText="1"/>
    </xf>
    <xf numFmtId="0" fontId="63" fillId="0" borderId="41" xfId="345" applyFont="1" applyBorder="1" applyAlignment="1">
      <alignment horizontal="center" wrapText="1"/>
    </xf>
    <xf numFmtId="0" fontId="63" fillId="60" borderId="41" xfId="345" applyFont="1" applyFill="1" applyBorder="1" applyAlignment="1">
      <alignment horizontal="center" wrapText="1"/>
    </xf>
    <xf numFmtId="0" fontId="63" fillId="0" borderId="42" xfId="345" applyFont="1" applyBorder="1" applyAlignment="1">
      <alignment horizontal="center" wrapText="1"/>
    </xf>
    <xf numFmtId="0" fontId="63" fillId="61" borderId="0" xfId="345" applyFont="1" applyFill="1" applyAlignment="1">
      <alignment horizontal="center" wrapText="1"/>
    </xf>
    <xf numFmtId="0" fontId="64" fillId="60" borderId="41" xfId="345" applyFont="1" applyFill="1" applyBorder="1" applyAlignment="1">
      <alignment horizontal="center" wrapText="1"/>
    </xf>
    <xf numFmtId="1" fontId="61" fillId="0" borderId="0" xfId="345" applyNumberFormat="1" applyAlignment="1">
      <alignment horizontal="right"/>
    </xf>
    <xf numFmtId="166" fontId="61" fillId="0" borderId="0" xfId="345" applyNumberFormat="1"/>
    <xf numFmtId="166" fontId="61" fillId="60" borderId="0" xfId="345" applyNumberFormat="1" applyFill="1"/>
    <xf numFmtId="167" fontId="0" fillId="60" borderId="0" xfId="346" applyNumberFormat="1" applyFont="1" applyFill="1" applyBorder="1"/>
    <xf numFmtId="167" fontId="0" fillId="60" borderId="0" xfId="346" applyNumberFormat="1" applyFont="1" applyFill="1"/>
    <xf numFmtId="166" fontId="61" fillId="0" borderId="41" xfId="345" applyNumberFormat="1" applyBorder="1"/>
    <xf numFmtId="3" fontId="61" fillId="60" borderId="41" xfId="347" applyNumberFormat="1" applyFont="1" applyFill="1" applyBorder="1" applyAlignment="1">
      <alignment horizontal="right"/>
    </xf>
    <xf numFmtId="167" fontId="0" fillId="0" borderId="0" xfId="346" applyNumberFormat="1" applyFont="1"/>
    <xf numFmtId="0" fontId="61" fillId="0" borderId="42" xfId="345" applyBorder="1"/>
    <xf numFmtId="168" fontId="0" fillId="0" borderId="0" xfId="347" applyNumberFormat="1" applyFont="1"/>
    <xf numFmtId="0" fontId="61" fillId="0" borderId="41" xfId="345" applyBorder="1"/>
    <xf numFmtId="3" fontId="61" fillId="0" borderId="0" xfId="345" applyNumberFormat="1"/>
    <xf numFmtId="169" fontId="61" fillId="0" borderId="0" xfId="345" applyNumberFormat="1"/>
    <xf numFmtId="170" fontId="61" fillId="0" borderId="0" xfId="345" applyNumberFormat="1"/>
    <xf numFmtId="171" fontId="0" fillId="0" borderId="0" xfId="347" applyNumberFormat="1" applyFont="1" applyAlignment="1"/>
    <xf numFmtId="43" fontId="0" fillId="0" borderId="0" xfId="347" applyFont="1" applyAlignment="1"/>
    <xf numFmtId="2" fontId="61" fillId="0" borderId="0" xfId="345" applyNumberFormat="1" applyAlignment="1">
      <alignment horizontal="right"/>
    </xf>
    <xf numFmtId="2" fontId="61" fillId="0" borderId="0" xfId="345" applyNumberFormat="1"/>
    <xf numFmtId="1" fontId="0" fillId="0" borderId="0" xfId="347" applyNumberFormat="1" applyFont="1" applyAlignment="1">
      <alignment horizontal="right"/>
    </xf>
    <xf numFmtId="167" fontId="0" fillId="0" borderId="42" xfId="346" applyNumberFormat="1" applyFont="1" applyBorder="1"/>
    <xf numFmtId="166" fontId="0" fillId="0" borderId="41" xfId="347" applyNumberFormat="1" applyFont="1" applyBorder="1"/>
    <xf numFmtId="166" fontId="0" fillId="0" borderId="0" xfId="347" applyNumberFormat="1" applyFont="1"/>
    <xf numFmtId="43" fontId="0" fillId="0" borderId="41" xfId="347" applyNumberFormat="1" applyFont="1" applyBorder="1"/>
    <xf numFmtId="43" fontId="0" fillId="0" borderId="0" xfId="347" applyNumberFormat="1" applyFont="1"/>
    <xf numFmtId="168" fontId="0" fillId="0" borderId="41" xfId="347" applyNumberFormat="1" applyFont="1" applyBorder="1"/>
    <xf numFmtId="168" fontId="61" fillId="0" borderId="0" xfId="345" applyNumberFormat="1"/>
    <xf numFmtId="1" fontId="61" fillId="63" borderId="0" xfId="345" applyNumberFormat="1" applyFill="1" applyAlignment="1">
      <alignment horizontal="right"/>
    </xf>
    <xf numFmtId="168" fontId="0" fillId="0" borderId="42" xfId="347" applyNumberFormat="1" applyFont="1" applyBorder="1"/>
    <xf numFmtId="169" fontId="61" fillId="63" borderId="0" xfId="345" applyNumberFormat="1" applyFill="1"/>
    <xf numFmtId="1" fontId="61" fillId="60" borderId="0" xfId="345" applyNumberFormat="1" applyFill="1" applyAlignment="1">
      <alignment horizontal="right"/>
    </xf>
    <xf numFmtId="169" fontId="61" fillId="60" borderId="0" xfId="345" applyNumberFormat="1" applyFill="1"/>
    <xf numFmtId="1" fontId="61" fillId="64" borderId="0" xfId="345" applyNumberFormat="1" applyFill="1" applyAlignment="1">
      <alignment horizontal="right"/>
    </xf>
    <xf numFmtId="169" fontId="61" fillId="64" borderId="0" xfId="345" applyNumberFormat="1" applyFill="1"/>
    <xf numFmtId="168" fontId="0" fillId="0" borderId="0" xfId="347" applyNumberFormat="1" applyFont="1" applyBorder="1"/>
    <xf numFmtId="0" fontId="61" fillId="60" borderId="0" xfId="345" applyFill="1"/>
    <xf numFmtId="0" fontId="62" fillId="60" borderId="41" xfId="345" applyFont="1" applyFill="1" applyBorder="1"/>
    <xf numFmtId="43" fontId="0" fillId="0" borderId="0" xfId="347" applyFont="1"/>
    <xf numFmtId="172" fontId="61" fillId="0" borderId="0" xfId="345" applyNumberFormat="1"/>
    <xf numFmtId="0" fontId="62" fillId="0" borderId="10" xfId="345" applyFont="1" applyBorder="1"/>
    <xf numFmtId="167" fontId="62" fillId="60" borderId="10" xfId="346" applyNumberFormat="1" applyFont="1" applyFill="1" applyBorder="1"/>
    <xf numFmtId="0" fontId="61" fillId="0" borderId="39" xfId="345" applyBorder="1"/>
    <xf numFmtId="167" fontId="62" fillId="60" borderId="39" xfId="346" applyNumberFormat="1" applyFont="1" applyFill="1" applyBorder="1"/>
    <xf numFmtId="0" fontId="61" fillId="0" borderId="40" xfId="345" applyBorder="1"/>
    <xf numFmtId="43" fontId="61" fillId="0" borderId="0" xfId="345" applyNumberFormat="1"/>
    <xf numFmtId="0" fontId="61" fillId="65" borderId="0" xfId="345" applyFill="1"/>
    <xf numFmtId="0" fontId="61" fillId="0" borderId="0" xfId="345" applyFont="1"/>
    <xf numFmtId="0" fontId="62" fillId="0" borderId="0" xfId="345" applyFont="1" applyFill="1" applyBorder="1"/>
    <xf numFmtId="9" fontId="0" fillId="0" borderId="0" xfId="346" applyFont="1"/>
    <xf numFmtId="0" fontId="63" fillId="0" borderId="0" xfId="345" applyFont="1" applyFill="1" applyAlignment="1">
      <alignment horizontal="center" wrapText="1"/>
    </xf>
    <xf numFmtId="0" fontId="63" fillId="0" borderId="41" xfId="345" applyFont="1" applyFill="1" applyBorder="1" applyAlignment="1">
      <alignment horizontal="center" wrapText="1"/>
    </xf>
    <xf numFmtId="0" fontId="64" fillId="0" borderId="41" xfId="345" applyFont="1" applyFill="1" applyBorder="1" applyAlignment="1">
      <alignment horizontal="center" wrapText="1"/>
    </xf>
    <xf numFmtId="167" fontId="0" fillId="0" borderId="0" xfId="346" applyNumberFormat="1" applyFont="1" applyFill="1" applyBorder="1"/>
    <xf numFmtId="173" fontId="61" fillId="0" borderId="0" xfId="345" applyNumberFormat="1"/>
    <xf numFmtId="167" fontId="0" fillId="0" borderId="41" xfId="346" applyNumberFormat="1" applyFont="1" applyFill="1" applyBorder="1"/>
    <xf numFmtId="1" fontId="61" fillId="0" borderId="10" xfId="345" applyNumberFormat="1" applyBorder="1" applyAlignment="1">
      <alignment horizontal="right"/>
    </xf>
    <xf numFmtId="0" fontId="61" fillId="60" borderId="10" xfId="345" applyFill="1" applyBorder="1"/>
    <xf numFmtId="167" fontId="0" fillId="60" borderId="10" xfId="346" applyNumberFormat="1" applyFont="1" applyFill="1" applyBorder="1"/>
    <xf numFmtId="0" fontId="62" fillId="60" borderId="39" xfId="345" applyFont="1" applyFill="1" applyBorder="1"/>
    <xf numFmtId="0" fontId="0" fillId="34" borderId="0" xfId="0" applyFill="1" applyBorder="1"/>
    <xf numFmtId="2" fontId="0" fillId="0" borderId="0" xfId="0" applyNumberFormat="1" applyBorder="1"/>
    <xf numFmtId="170" fontId="0" fillId="0" borderId="0" xfId="0" applyNumberFormat="1"/>
    <xf numFmtId="173" fontId="0" fillId="0" borderId="0" xfId="0" applyNumberFormat="1"/>
    <xf numFmtId="4" fontId="0" fillId="0" borderId="0" xfId="0" applyNumberFormat="1" applyBorder="1"/>
    <xf numFmtId="0" fontId="0" fillId="0" borderId="43" xfId="0" applyBorder="1"/>
    <xf numFmtId="0" fontId="0" fillId="66" borderId="0" xfId="0" applyFill="1"/>
    <xf numFmtId="173" fontId="0" fillId="0" borderId="0" xfId="0" applyNumberFormat="1" applyBorder="1"/>
    <xf numFmtId="0" fontId="0" fillId="0" borderId="0" xfId="0" applyFill="1"/>
    <xf numFmtId="0" fontId="9" fillId="0" borderId="24" xfId="1" applyFont="1" applyBorder="1" applyAlignment="1">
      <alignment horizontal="center" wrapText="1"/>
    </xf>
    <xf numFmtId="0" fontId="9" fillId="0" borderId="16" xfId="1" applyFont="1" applyBorder="1" applyAlignment="1">
      <alignment horizontal="center" wrapText="1"/>
    </xf>
    <xf numFmtId="0" fontId="4" fillId="0" borderId="16" xfId="1" applyFont="1" applyBorder="1" applyAlignment="1">
      <alignment wrapText="1"/>
    </xf>
    <xf numFmtId="164" fontId="4" fillId="67" borderId="0" xfId="1" applyNumberFormat="1" applyFont="1" applyFill="1"/>
    <xf numFmtId="0" fontId="10" fillId="68" borderId="16" xfId="1" applyFont="1" applyFill="1" applyBorder="1" applyAlignment="1">
      <alignment horizontal="right" wrapText="1"/>
    </xf>
    <xf numFmtId="0" fontId="0" fillId="0" borderId="0" xfId="0" applyFill="1" applyBorder="1"/>
    <xf numFmtId="2" fontId="0" fillId="0" borderId="0" xfId="0" applyNumberFormat="1" applyFill="1" applyBorder="1"/>
    <xf numFmtId="0" fontId="0" fillId="69" borderId="0" xfId="0" applyFill="1"/>
    <xf numFmtId="0" fontId="15" fillId="0" borderId="0" xfId="2"/>
    <xf numFmtId="164" fontId="4" fillId="0" borderId="0" xfId="1" applyNumberFormat="1" applyFont="1"/>
    <xf numFmtId="0" fontId="1" fillId="0" borderId="0" xfId="297" applyFont="1"/>
    <xf numFmtId="0" fontId="0" fillId="58" borderId="0" xfId="0" applyFill="1" applyBorder="1"/>
    <xf numFmtId="0" fontId="54" fillId="0" borderId="0" xfId="0" applyFont="1" applyBorder="1"/>
    <xf numFmtId="0" fontId="68" fillId="0" borderId="0" xfId="0" applyFont="1"/>
    <xf numFmtId="0" fontId="64" fillId="60" borderId="37" xfId="345" applyFont="1" applyFill="1" applyBorder="1" applyAlignment="1">
      <alignment horizontal="center" wrapText="1"/>
    </xf>
    <xf numFmtId="0" fontId="61" fillId="0" borderId="39" xfId="345" applyBorder="1" applyAlignment="1">
      <alignment horizontal="center" wrapText="1"/>
    </xf>
    <xf numFmtId="0" fontId="64" fillId="0" borderId="37" xfId="345" applyFont="1" applyBorder="1" applyAlignment="1">
      <alignment horizontal="center" wrapText="1"/>
    </xf>
    <xf numFmtId="0" fontId="64" fillId="60" borderId="36" xfId="345" applyFont="1" applyFill="1" applyBorder="1" applyAlignment="1">
      <alignment horizontal="center" wrapText="1"/>
    </xf>
    <xf numFmtId="0" fontId="61" fillId="0" borderId="10" xfId="345" applyBorder="1" applyAlignment="1">
      <alignment horizontal="center" wrapText="1"/>
    </xf>
    <xf numFmtId="0" fontId="0" fillId="0" borderId="0" xfId="0" applyAlignment="1"/>
    <xf numFmtId="0" fontId="0" fillId="0" borderId="0" xfId="0" applyFill="1" applyAlignment="1"/>
    <xf numFmtId="0" fontId="10" fillId="0" borderId="14" xfId="1" applyFont="1" applyBorder="1" applyAlignment="1">
      <alignment vertical="top" wrapText="1"/>
    </xf>
    <xf numFmtId="0" fontId="10" fillId="0" borderId="15" xfId="1" applyFont="1" applyBorder="1" applyAlignment="1">
      <alignment vertical="top" wrapText="1"/>
    </xf>
    <xf numFmtId="0" fontId="10" fillId="0" borderId="16" xfId="1" applyFont="1" applyBorder="1" applyAlignment="1">
      <alignment vertical="top" wrapText="1"/>
    </xf>
    <xf numFmtId="0" fontId="10" fillId="0" borderId="23" xfId="1" applyFont="1" applyBorder="1" applyAlignment="1">
      <alignment vertical="top" wrapText="1"/>
    </xf>
    <xf numFmtId="0" fontId="10" fillId="0" borderId="0" xfId="1" applyFont="1" applyBorder="1" applyAlignment="1">
      <alignment vertical="top" wrapText="1"/>
    </xf>
    <xf numFmtId="0" fontId="10" fillId="0" borderId="0" xfId="1" applyFont="1" applyAlignment="1">
      <alignment vertical="top" wrapText="1"/>
    </xf>
    <xf numFmtId="0" fontId="10" fillId="0" borderId="22" xfId="1" applyFont="1" applyBorder="1" applyAlignment="1">
      <alignment vertical="top" wrapText="1"/>
    </xf>
    <xf numFmtId="0" fontId="12" fillId="0" borderId="23" xfId="1" applyFont="1" applyBorder="1" applyAlignment="1">
      <alignment vertical="top" wrapText="1"/>
    </xf>
    <xf numFmtId="0" fontId="12" fillId="0" borderId="0" xfId="1" applyFont="1" applyBorder="1" applyAlignment="1">
      <alignment vertical="top" wrapText="1"/>
    </xf>
    <xf numFmtId="0" fontId="15" fillId="0" borderId="0" xfId="2" applyBorder="1" applyAlignment="1">
      <alignment vertical="top" wrapText="1"/>
    </xf>
    <xf numFmtId="0" fontId="15" fillId="0" borderId="22" xfId="2" applyBorder="1" applyAlignment="1">
      <alignment vertical="top" wrapText="1"/>
    </xf>
    <xf numFmtId="0" fontId="12" fillId="0" borderId="0" xfId="1" applyFont="1" applyAlignment="1">
      <alignment vertical="top" wrapText="1"/>
    </xf>
    <xf numFmtId="0" fontId="12" fillId="0" borderId="22" xfId="1" applyFont="1" applyBorder="1" applyAlignment="1">
      <alignment vertical="top" wrapText="1"/>
    </xf>
    <xf numFmtId="0" fontId="9" fillId="0" borderId="14" xfId="1" applyFont="1" applyBorder="1" applyAlignment="1">
      <alignment horizontal="center" wrapText="1"/>
    </xf>
    <xf numFmtId="0" fontId="9" fillId="0" borderId="16" xfId="1" applyFont="1" applyBorder="1" applyAlignment="1">
      <alignment horizontal="center" wrapText="1"/>
    </xf>
    <xf numFmtId="0" fontId="12" fillId="0" borderId="11" xfId="1" applyFont="1" applyBorder="1" applyAlignment="1">
      <alignment vertical="top" wrapText="1"/>
    </xf>
    <xf numFmtId="0" fontId="12" fillId="0" borderId="12" xfId="1" applyFont="1" applyBorder="1" applyAlignment="1">
      <alignment vertical="top" wrapText="1"/>
    </xf>
    <xf numFmtId="0" fontId="12" fillId="0" borderId="13" xfId="1" applyFont="1" applyBorder="1" applyAlignment="1">
      <alignment vertical="top" wrapText="1"/>
    </xf>
    <xf numFmtId="0" fontId="9" fillId="0" borderId="11" xfId="1" applyFont="1" applyBorder="1" applyAlignment="1">
      <alignment horizontal="center" wrapText="1"/>
    </xf>
    <xf numFmtId="0" fontId="9" fillId="0" borderId="13" xfId="1" applyFont="1" applyBorder="1" applyAlignment="1">
      <alignment horizontal="center" wrapText="1"/>
    </xf>
    <xf numFmtId="0" fontId="9" fillId="0" borderId="23" xfId="1" applyFont="1" applyBorder="1" applyAlignment="1">
      <alignment horizontal="center" wrapText="1"/>
    </xf>
    <xf numFmtId="0" fontId="9" fillId="0" borderId="22" xfId="1" applyFont="1" applyBorder="1" applyAlignment="1">
      <alignment horizontal="center" wrapText="1"/>
    </xf>
    <xf numFmtId="0" fontId="9" fillId="0" borderId="12" xfId="1" applyFont="1" applyBorder="1" applyAlignment="1">
      <alignment horizontal="center" wrapText="1"/>
    </xf>
    <xf numFmtId="0" fontId="9" fillId="0" borderId="0" xfId="1" applyFont="1" applyBorder="1" applyAlignment="1">
      <alignment horizontal="center" wrapText="1"/>
    </xf>
    <xf numFmtId="0" fontId="9" fillId="0" borderId="15" xfId="1" applyFont="1" applyBorder="1" applyAlignment="1">
      <alignment horizontal="center" wrapText="1"/>
    </xf>
    <xf numFmtId="0" fontId="5" fillId="0" borderId="11" xfId="1" applyFont="1" applyBorder="1" applyAlignment="1">
      <alignment horizontal="left" wrapText="1"/>
    </xf>
    <xf numFmtId="0" fontId="5" fillId="0" borderId="12" xfId="1" applyFont="1" applyBorder="1" applyAlignment="1">
      <alignment horizontal="left" wrapText="1"/>
    </xf>
    <xf numFmtId="0" fontId="5" fillId="0" borderId="13" xfId="1" applyFont="1" applyBorder="1" applyAlignment="1">
      <alignment horizontal="left" wrapText="1"/>
    </xf>
    <xf numFmtId="0" fontId="6" fillId="0" borderId="14" xfId="1" applyFont="1" applyBorder="1" applyAlignment="1">
      <alignment horizontal="left" wrapText="1"/>
    </xf>
    <xf numFmtId="0" fontId="6" fillId="0" borderId="15" xfId="1" applyFont="1" applyBorder="1" applyAlignment="1">
      <alignment horizontal="left" wrapText="1"/>
    </xf>
    <xf numFmtId="0" fontId="6" fillId="0" borderId="16" xfId="1" applyFont="1" applyBorder="1" applyAlignment="1">
      <alignment horizontal="left" wrapText="1"/>
    </xf>
    <xf numFmtId="0" fontId="9" fillId="0" borderId="17" xfId="1" applyFont="1" applyBorder="1" applyAlignment="1">
      <alignment horizontal="center" wrapText="1"/>
    </xf>
    <xf numFmtId="0" fontId="9" fillId="0" borderId="21" xfId="1" applyFont="1" applyBorder="1" applyAlignment="1">
      <alignment horizontal="center" wrapText="1"/>
    </xf>
    <xf numFmtId="0" fontId="9" fillId="0" borderId="24" xfId="1" applyFont="1" applyBorder="1" applyAlignment="1">
      <alignment horizontal="center" wrapText="1"/>
    </xf>
    <xf numFmtId="0" fontId="4" fillId="0" borderId="11" xfId="1" applyFont="1" applyBorder="1" applyAlignment="1">
      <alignment horizontal="center" wrapText="1"/>
    </xf>
    <xf numFmtId="0" fontId="4" fillId="0" borderId="13" xfId="1" applyFont="1" applyBorder="1" applyAlignment="1">
      <alignment horizontal="center" wrapText="1"/>
    </xf>
    <xf numFmtId="0" fontId="4" fillId="0" borderId="23" xfId="1" applyFont="1" applyBorder="1" applyAlignment="1">
      <alignment horizontal="center" wrapText="1"/>
    </xf>
    <xf numFmtId="0" fontId="4" fillId="0" borderId="22" xfId="1" applyFont="1" applyBorder="1" applyAlignment="1">
      <alignment horizontal="center" wrapText="1"/>
    </xf>
    <xf numFmtId="0" fontId="9" fillId="0" borderId="18" xfId="1" applyFont="1" applyBorder="1" applyAlignment="1">
      <alignment horizontal="center" wrapText="1"/>
    </xf>
    <xf numFmtId="0" fontId="9" fillId="0" borderId="19" xfId="1" applyFont="1" applyBorder="1" applyAlignment="1">
      <alignment horizontal="center" wrapText="1"/>
    </xf>
    <xf numFmtId="0" fontId="9" fillId="0" borderId="20" xfId="1" applyFont="1" applyBorder="1" applyAlignment="1">
      <alignment horizontal="center" wrapText="1"/>
    </xf>
    <xf numFmtId="0" fontId="10" fillId="0" borderId="17" xfId="1" applyFont="1" applyBorder="1" applyAlignment="1">
      <alignment horizontal="right" wrapText="1"/>
    </xf>
    <xf numFmtId="0" fontId="10" fillId="0" borderId="21" xfId="1" applyFont="1" applyBorder="1" applyAlignment="1">
      <alignment horizontal="right" wrapText="1"/>
    </xf>
    <xf numFmtId="0" fontId="10" fillId="0" borderId="24" xfId="1" applyFont="1" applyBorder="1" applyAlignment="1">
      <alignment horizontal="right" wrapText="1"/>
    </xf>
    <xf numFmtId="0" fontId="4" fillId="0" borderId="17" xfId="1" applyFont="1" applyBorder="1" applyAlignment="1">
      <alignment horizontal="right" wrapText="1"/>
    </xf>
    <xf numFmtId="0" fontId="4" fillId="0" borderId="21" xfId="1" applyFont="1" applyBorder="1" applyAlignment="1">
      <alignment horizontal="right" wrapText="1"/>
    </xf>
    <xf numFmtId="0" fontId="4" fillId="0" borderId="24" xfId="1" applyFont="1" applyBorder="1" applyAlignment="1">
      <alignment horizontal="right" wrapText="1"/>
    </xf>
    <xf numFmtId="0" fontId="11" fillId="0" borderId="17" xfId="1" applyFont="1" applyBorder="1" applyAlignment="1">
      <alignment horizontal="center" wrapText="1"/>
    </xf>
    <xf numFmtId="0" fontId="11" fillId="0" borderId="21" xfId="1" applyFont="1" applyBorder="1" applyAlignment="1">
      <alignment horizontal="center" wrapText="1"/>
    </xf>
    <xf numFmtId="0" fontId="11" fillId="0" borderId="24" xfId="1" applyFont="1" applyBorder="1" applyAlignment="1">
      <alignment horizontal="center" wrapText="1"/>
    </xf>
    <xf numFmtId="0" fontId="12" fillId="0" borderId="14" xfId="1" applyFont="1" applyBorder="1" applyAlignment="1">
      <alignment vertical="top" wrapText="1"/>
    </xf>
    <xf numFmtId="0" fontId="12" fillId="0" borderId="15" xfId="1" applyFont="1" applyBorder="1" applyAlignment="1">
      <alignment vertical="top" wrapText="1"/>
    </xf>
    <xf numFmtId="0" fontId="4" fillId="0" borderId="15" xfId="1" applyFont="1" applyBorder="1" applyAlignment="1">
      <alignment wrapText="1"/>
    </xf>
    <xf numFmtId="0" fontId="4" fillId="0" borderId="16" xfId="1" applyFont="1" applyBorder="1" applyAlignment="1">
      <alignment wrapText="1"/>
    </xf>
    <xf numFmtId="0" fontId="56" fillId="0" borderId="0" xfId="297" applyFont="1" applyAlignment="1">
      <alignment vertical="top" wrapText="1"/>
    </xf>
    <xf numFmtId="0" fontId="56" fillId="0" borderId="22" xfId="297" applyFont="1" applyBorder="1" applyAlignment="1">
      <alignment vertical="top" wrapText="1"/>
    </xf>
    <xf numFmtId="0" fontId="56" fillId="0" borderId="15" xfId="297" applyFont="1" applyBorder="1" applyAlignment="1">
      <alignment vertical="top" wrapText="1"/>
    </xf>
    <xf numFmtId="0" fontId="56" fillId="0" borderId="16" xfId="297" applyFont="1" applyBorder="1" applyAlignment="1">
      <alignment vertical="top" wrapText="1"/>
    </xf>
    <xf numFmtId="0" fontId="56" fillId="0" borderId="23" xfId="297" applyFont="1" applyBorder="1" applyAlignment="1">
      <alignment vertical="top" wrapText="1"/>
    </xf>
    <xf numFmtId="0" fontId="58" fillId="0" borderId="23" xfId="297" applyFont="1" applyBorder="1" applyAlignment="1">
      <alignment vertical="top" wrapText="1"/>
    </xf>
    <xf numFmtId="0" fontId="58" fillId="0" borderId="0" xfId="297" applyFont="1" applyAlignment="1">
      <alignment vertical="top" wrapText="1"/>
    </xf>
    <xf numFmtId="0" fontId="59" fillId="0" borderId="0" xfId="344" applyAlignment="1" applyProtection="1">
      <alignment vertical="top" wrapText="1"/>
    </xf>
    <xf numFmtId="0" fontId="59" fillId="0" borderId="22" xfId="344" applyBorder="1" applyAlignment="1" applyProtection="1">
      <alignment vertical="top" wrapText="1"/>
    </xf>
    <xf numFmtId="0" fontId="58" fillId="0" borderId="14" xfId="297" applyFont="1" applyBorder="1" applyAlignment="1">
      <alignment vertical="top" wrapText="1"/>
    </xf>
    <xf numFmtId="0" fontId="58" fillId="0" borderId="15" xfId="297" applyFont="1" applyBorder="1" applyAlignment="1">
      <alignment vertical="top" wrapText="1"/>
    </xf>
    <xf numFmtId="0" fontId="55" fillId="0" borderId="0" xfId="297" applyFont="1" applyAlignment="1">
      <alignment vertical="top" wrapText="1"/>
    </xf>
    <xf numFmtId="0" fontId="55" fillId="0" borderId="22" xfId="297" applyFont="1" applyBorder="1" applyAlignment="1">
      <alignment vertical="top" wrapText="1"/>
    </xf>
    <xf numFmtId="0" fontId="55" fillId="0" borderId="11" xfId="297" applyFont="1" applyBorder="1" applyAlignment="1">
      <alignment horizontal="center" wrapText="1"/>
    </xf>
    <xf numFmtId="0" fontId="55" fillId="0" borderId="13" xfId="297" applyFont="1" applyBorder="1" applyAlignment="1">
      <alignment horizontal="center" wrapText="1"/>
    </xf>
    <xf numFmtId="0" fontId="55" fillId="0" borderId="14" xfId="297" applyFont="1" applyBorder="1" applyAlignment="1">
      <alignment horizontal="center" wrapText="1"/>
    </xf>
    <xf numFmtId="0" fontId="55" fillId="0" borderId="16" xfId="297" applyFont="1" applyBorder="1" applyAlignment="1">
      <alignment horizontal="center" wrapText="1"/>
    </xf>
    <xf numFmtId="0" fontId="55" fillId="0" borderId="18" xfId="297" applyFont="1" applyBorder="1" applyAlignment="1">
      <alignment horizontal="center" wrapText="1"/>
    </xf>
    <xf numFmtId="0" fontId="55" fillId="0" borderId="20" xfId="297" applyFont="1" applyBorder="1" applyAlignment="1">
      <alignment horizontal="center" wrapText="1"/>
    </xf>
    <xf numFmtId="0" fontId="58" fillId="0" borderId="11" xfId="297" applyFont="1" applyBorder="1" applyAlignment="1">
      <alignment vertical="top" wrapText="1"/>
    </xf>
    <xf numFmtId="0" fontId="58" fillId="0" borderId="12" xfId="297" applyFont="1" applyBorder="1" applyAlignment="1">
      <alignment vertical="top" wrapText="1"/>
    </xf>
    <xf numFmtId="0" fontId="58" fillId="0" borderId="13" xfId="297" applyFont="1" applyBorder="1" applyAlignment="1">
      <alignment vertical="top" wrapText="1"/>
    </xf>
    <xf numFmtId="0" fontId="54" fillId="0" borderId="11" xfId="297" applyFont="1" applyBorder="1" applyAlignment="1">
      <alignment horizontal="left" wrapText="1"/>
    </xf>
    <xf numFmtId="0" fontId="54" fillId="0" borderId="12" xfId="297" applyFont="1" applyBorder="1" applyAlignment="1">
      <alignment horizontal="left" wrapText="1"/>
    </xf>
    <xf numFmtId="0" fontId="54" fillId="0" borderId="13" xfId="297" applyFont="1" applyBorder="1" applyAlignment="1">
      <alignment horizontal="left" wrapText="1"/>
    </xf>
    <xf numFmtId="0" fontId="2" fillId="0" borderId="14" xfId="297" applyFont="1" applyBorder="1" applyAlignment="1">
      <alignment horizontal="left" wrapText="1"/>
    </xf>
    <xf numFmtId="0" fontId="2" fillId="0" borderId="15" xfId="297" applyFont="1" applyBorder="1" applyAlignment="1">
      <alignment horizontal="left" wrapText="1"/>
    </xf>
    <xf numFmtId="0" fontId="2" fillId="0" borderId="16" xfId="297" applyFont="1" applyBorder="1" applyAlignment="1">
      <alignment horizontal="left" wrapText="1"/>
    </xf>
    <xf numFmtId="0" fontId="55" fillId="0" borderId="17" xfId="297" applyFont="1" applyBorder="1" applyAlignment="1">
      <alignment horizontal="center" wrapText="1"/>
    </xf>
    <xf numFmtId="0" fontId="55" fillId="0" borderId="21" xfId="297" applyFont="1" applyBorder="1" applyAlignment="1">
      <alignment horizontal="center" wrapText="1"/>
    </xf>
    <xf numFmtId="0" fontId="55" fillId="0" borderId="24" xfId="297" applyFont="1" applyBorder="1" applyAlignment="1">
      <alignment horizontal="center" wrapText="1"/>
    </xf>
    <xf numFmtId="0" fontId="55" fillId="0" borderId="12" xfId="297" applyFont="1" applyBorder="1" applyAlignment="1">
      <alignment horizontal="center" wrapText="1"/>
    </xf>
    <xf numFmtId="0" fontId="55" fillId="0" borderId="23" xfId="297" applyFont="1" applyBorder="1" applyAlignment="1">
      <alignment horizontal="center" wrapText="1"/>
    </xf>
    <xf numFmtId="0" fontId="55" fillId="0" borderId="0" xfId="297" applyFont="1" applyBorder="1" applyAlignment="1">
      <alignment horizontal="center" wrapText="1"/>
    </xf>
    <xf numFmtId="0" fontId="55" fillId="0" borderId="22" xfId="297" applyFont="1" applyBorder="1" applyAlignment="1">
      <alignment horizontal="center" wrapText="1"/>
    </xf>
    <xf numFmtId="0" fontId="55" fillId="0" borderId="15" xfId="297" applyFont="1" applyBorder="1" applyAlignment="1">
      <alignment horizontal="center" wrapText="1"/>
    </xf>
  </cellXfs>
  <cellStyles count="348">
    <cellStyle name="20% - Accent1 2" xfId="3" xr:uid="{00000000-0005-0000-0000-000000000000}"/>
    <cellStyle name="20% - Accent1 2 2" xfId="4" xr:uid="{00000000-0005-0000-0000-000001000000}"/>
    <cellStyle name="20% - Accent1 3" xfId="5" xr:uid="{00000000-0005-0000-0000-000002000000}"/>
    <cellStyle name="20% - Accent1 3 2" xfId="6" xr:uid="{00000000-0005-0000-0000-000003000000}"/>
    <cellStyle name="20% - Accent1 4" xfId="7" xr:uid="{00000000-0005-0000-0000-000004000000}"/>
    <cellStyle name="20% - Accent1 4 2" xfId="8" xr:uid="{00000000-0005-0000-0000-000005000000}"/>
    <cellStyle name="20% - Accent1 5" xfId="9" xr:uid="{00000000-0005-0000-0000-000006000000}"/>
    <cellStyle name="20% - Accent1 6" xfId="10" xr:uid="{00000000-0005-0000-0000-000007000000}"/>
    <cellStyle name="20% - Accent2 2" xfId="11" xr:uid="{00000000-0005-0000-0000-000008000000}"/>
    <cellStyle name="20% - Accent2 2 2" xfId="12" xr:uid="{00000000-0005-0000-0000-000009000000}"/>
    <cellStyle name="20% - Accent2 3" xfId="13" xr:uid="{00000000-0005-0000-0000-00000A000000}"/>
    <cellStyle name="20% - Accent2 3 2" xfId="14" xr:uid="{00000000-0005-0000-0000-00000B000000}"/>
    <cellStyle name="20% - Accent2 4" xfId="15" xr:uid="{00000000-0005-0000-0000-00000C000000}"/>
    <cellStyle name="20% - Accent2 4 2" xfId="16" xr:uid="{00000000-0005-0000-0000-00000D000000}"/>
    <cellStyle name="20% - Accent2 5" xfId="17" xr:uid="{00000000-0005-0000-0000-00000E000000}"/>
    <cellStyle name="20% - Accent2 6" xfId="18" xr:uid="{00000000-0005-0000-0000-00000F000000}"/>
    <cellStyle name="20% - Accent3 2" xfId="19" xr:uid="{00000000-0005-0000-0000-000010000000}"/>
    <cellStyle name="20% - Accent3 2 2" xfId="20" xr:uid="{00000000-0005-0000-0000-000011000000}"/>
    <cellStyle name="20% - Accent3 3" xfId="21" xr:uid="{00000000-0005-0000-0000-000012000000}"/>
    <cellStyle name="20% - Accent3 3 2" xfId="22" xr:uid="{00000000-0005-0000-0000-000013000000}"/>
    <cellStyle name="20% - Accent3 4" xfId="23" xr:uid="{00000000-0005-0000-0000-000014000000}"/>
    <cellStyle name="20% - Accent3 4 2" xfId="24" xr:uid="{00000000-0005-0000-0000-000015000000}"/>
    <cellStyle name="20% - Accent3 5" xfId="25" xr:uid="{00000000-0005-0000-0000-000016000000}"/>
    <cellStyle name="20% - Accent3 6" xfId="26" xr:uid="{00000000-0005-0000-0000-000017000000}"/>
    <cellStyle name="20% - Accent4 2" xfId="27" xr:uid="{00000000-0005-0000-0000-000018000000}"/>
    <cellStyle name="20% - Accent4 2 2" xfId="28" xr:uid="{00000000-0005-0000-0000-000019000000}"/>
    <cellStyle name="20% - Accent4 3" xfId="29" xr:uid="{00000000-0005-0000-0000-00001A000000}"/>
    <cellStyle name="20% - Accent4 3 2" xfId="30" xr:uid="{00000000-0005-0000-0000-00001B000000}"/>
    <cellStyle name="20% - Accent4 4" xfId="31" xr:uid="{00000000-0005-0000-0000-00001C000000}"/>
    <cellStyle name="20% - Accent4 4 2" xfId="32" xr:uid="{00000000-0005-0000-0000-00001D000000}"/>
    <cellStyle name="20% - Accent4 5" xfId="33" xr:uid="{00000000-0005-0000-0000-00001E000000}"/>
    <cellStyle name="20% - Accent4 6" xfId="34" xr:uid="{00000000-0005-0000-0000-00001F000000}"/>
    <cellStyle name="20% - Accent5 2" xfId="35" xr:uid="{00000000-0005-0000-0000-000020000000}"/>
    <cellStyle name="20% - Accent5 2 2" xfId="36" xr:uid="{00000000-0005-0000-0000-000021000000}"/>
    <cellStyle name="20% - Accent5 3" xfId="37" xr:uid="{00000000-0005-0000-0000-000022000000}"/>
    <cellStyle name="20% - Accent5 3 2" xfId="38" xr:uid="{00000000-0005-0000-0000-000023000000}"/>
    <cellStyle name="20% - Accent5 4" xfId="39" xr:uid="{00000000-0005-0000-0000-000024000000}"/>
    <cellStyle name="20% - Accent5 4 2" xfId="40" xr:uid="{00000000-0005-0000-0000-000025000000}"/>
    <cellStyle name="20% - Accent5 5" xfId="41" xr:uid="{00000000-0005-0000-0000-000026000000}"/>
    <cellStyle name="20% - Accent5 6" xfId="42" xr:uid="{00000000-0005-0000-0000-000027000000}"/>
    <cellStyle name="20% - Accent6 2" xfId="43" xr:uid="{00000000-0005-0000-0000-000028000000}"/>
    <cellStyle name="20% - Accent6 2 2" xfId="44" xr:uid="{00000000-0005-0000-0000-000029000000}"/>
    <cellStyle name="20% - Accent6 3" xfId="45" xr:uid="{00000000-0005-0000-0000-00002A000000}"/>
    <cellStyle name="20% - Accent6 3 2" xfId="46" xr:uid="{00000000-0005-0000-0000-00002B000000}"/>
    <cellStyle name="20% - Accent6 4" xfId="47" xr:uid="{00000000-0005-0000-0000-00002C000000}"/>
    <cellStyle name="20% - Accent6 4 2" xfId="48" xr:uid="{00000000-0005-0000-0000-00002D000000}"/>
    <cellStyle name="20% - Accent6 5" xfId="49" xr:uid="{00000000-0005-0000-0000-00002E000000}"/>
    <cellStyle name="20% - Accent6 6" xfId="50" xr:uid="{00000000-0005-0000-0000-00002F000000}"/>
    <cellStyle name="40% - Accent1 2" xfId="51" xr:uid="{00000000-0005-0000-0000-000030000000}"/>
    <cellStyle name="40% - Accent1 2 2" xfId="52" xr:uid="{00000000-0005-0000-0000-000031000000}"/>
    <cellStyle name="40% - Accent1 3" xfId="53" xr:uid="{00000000-0005-0000-0000-000032000000}"/>
    <cellStyle name="40% - Accent1 3 2" xfId="54" xr:uid="{00000000-0005-0000-0000-000033000000}"/>
    <cellStyle name="40% - Accent1 4" xfId="55" xr:uid="{00000000-0005-0000-0000-000034000000}"/>
    <cellStyle name="40% - Accent1 4 2" xfId="56" xr:uid="{00000000-0005-0000-0000-000035000000}"/>
    <cellStyle name="40% - Accent1 5" xfId="57" xr:uid="{00000000-0005-0000-0000-000036000000}"/>
    <cellStyle name="40% - Accent1 6" xfId="58" xr:uid="{00000000-0005-0000-0000-000037000000}"/>
    <cellStyle name="40% - Accent2 2" xfId="59" xr:uid="{00000000-0005-0000-0000-000038000000}"/>
    <cellStyle name="40% - Accent2 2 2" xfId="60" xr:uid="{00000000-0005-0000-0000-000039000000}"/>
    <cellStyle name="40% - Accent2 3" xfId="61" xr:uid="{00000000-0005-0000-0000-00003A000000}"/>
    <cellStyle name="40% - Accent2 3 2" xfId="62" xr:uid="{00000000-0005-0000-0000-00003B000000}"/>
    <cellStyle name="40% - Accent2 4" xfId="63" xr:uid="{00000000-0005-0000-0000-00003C000000}"/>
    <cellStyle name="40% - Accent2 4 2" xfId="64" xr:uid="{00000000-0005-0000-0000-00003D000000}"/>
    <cellStyle name="40% - Accent2 5" xfId="65" xr:uid="{00000000-0005-0000-0000-00003E000000}"/>
    <cellStyle name="40% - Accent2 6" xfId="66" xr:uid="{00000000-0005-0000-0000-00003F000000}"/>
    <cellStyle name="40% - Accent3 2" xfId="67" xr:uid="{00000000-0005-0000-0000-000040000000}"/>
    <cellStyle name="40% - Accent3 2 2" xfId="68" xr:uid="{00000000-0005-0000-0000-000041000000}"/>
    <cellStyle name="40% - Accent3 3" xfId="69" xr:uid="{00000000-0005-0000-0000-000042000000}"/>
    <cellStyle name="40% - Accent3 3 2" xfId="70" xr:uid="{00000000-0005-0000-0000-000043000000}"/>
    <cellStyle name="40% - Accent3 4" xfId="71" xr:uid="{00000000-0005-0000-0000-000044000000}"/>
    <cellStyle name="40% - Accent3 4 2" xfId="72" xr:uid="{00000000-0005-0000-0000-000045000000}"/>
    <cellStyle name="40% - Accent3 5" xfId="73" xr:uid="{00000000-0005-0000-0000-000046000000}"/>
    <cellStyle name="40% - Accent3 6" xfId="74" xr:uid="{00000000-0005-0000-0000-000047000000}"/>
    <cellStyle name="40% - Accent4 2" xfId="75" xr:uid="{00000000-0005-0000-0000-000048000000}"/>
    <cellStyle name="40% - Accent4 2 2" xfId="76" xr:uid="{00000000-0005-0000-0000-000049000000}"/>
    <cellStyle name="40% - Accent4 3" xfId="77" xr:uid="{00000000-0005-0000-0000-00004A000000}"/>
    <cellStyle name="40% - Accent4 3 2" xfId="78" xr:uid="{00000000-0005-0000-0000-00004B000000}"/>
    <cellStyle name="40% - Accent4 4" xfId="79" xr:uid="{00000000-0005-0000-0000-00004C000000}"/>
    <cellStyle name="40% - Accent4 4 2" xfId="80" xr:uid="{00000000-0005-0000-0000-00004D000000}"/>
    <cellStyle name="40% - Accent4 5" xfId="81" xr:uid="{00000000-0005-0000-0000-00004E000000}"/>
    <cellStyle name="40% - Accent4 6" xfId="82" xr:uid="{00000000-0005-0000-0000-00004F000000}"/>
    <cellStyle name="40% - Accent5 2" xfId="83" xr:uid="{00000000-0005-0000-0000-000050000000}"/>
    <cellStyle name="40% - Accent5 2 2" xfId="84" xr:uid="{00000000-0005-0000-0000-000051000000}"/>
    <cellStyle name="40% - Accent5 3" xfId="85" xr:uid="{00000000-0005-0000-0000-000052000000}"/>
    <cellStyle name="40% - Accent5 3 2" xfId="86" xr:uid="{00000000-0005-0000-0000-000053000000}"/>
    <cellStyle name="40% - Accent5 4" xfId="87" xr:uid="{00000000-0005-0000-0000-000054000000}"/>
    <cellStyle name="40% - Accent5 4 2" xfId="88" xr:uid="{00000000-0005-0000-0000-000055000000}"/>
    <cellStyle name="40% - Accent5 5" xfId="89" xr:uid="{00000000-0005-0000-0000-000056000000}"/>
    <cellStyle name="40% - Accent5 6" xfId="90" xr:uid="{00000000-0005-0000-0000-000057000000}"/>
    <cellStyle name="40% - Accent6 2" xfId="91" xr:uid="{00000000-0005-0000-0000-000058000000}"/>
    <cellStyle name="40% - Accent6 2 2" xfId="92" xr:uid="{00000000-0005-0000-0000-000059000000}"/>
    <cellStyle name="40% - Accent6 3" xfId="93" xr:uid="{00000000-0005-0000-0000-00005A000000}"/>
    <cellStyle name="40% - Accent6 3 2" xfId="94" xr:uid="{00000000-0005-0000-0000-00005B000000}"/>
    <cellStyle name="40% - Accent6 4" xfId="95" xr:uid="{00000000-0005-0000-0000-00005C000000}"/>
    <cellStyle name="40% - Accent6 4 2" xfId="96" xr:uid="{00000000-0005-0000-0000-00005D000000}"/>
    <cellStyle name="40% - Accent6 5" xfId="97" xr:uid="{00000000-0005-0000-0000-00005E000000}"/>
    <cellStyle name="40% - Accent6 6" xfId="98" xr:uid="{00000000-0005-0000-0000-00005F000000}"/>
    <cellStyle name="60% - Accent1 2" xfId="99" xr:uid="{00000000-0005-0000-0000-000060000000}"/>
    <cellStyle name="60% - Accent1 2 2" xfId="100" xr:uid="{00000000-0005-0000-0000-000061000000}"/>
    <cellStyle name="60% - Accent1 3" xfId="101" xr:uid="{00000000-0005-0000-0000-000062000000}"/>
    <cellStyle name="60% - Accent1 3 2" xfId="102" xr:uid="{00000000-0005-0000-0000-000063000000}"/>
    <cellStyle name="60% - Accent1 4" xfId="103" xr:uid="{00000000-0005-0000-0000-000064000000}"/>
    <cellStyle name="60% - Accent1 4 2" xfId="104" xr:uid="{00000000-0005-0000-0000-000065000000}"/>
    <cellStyle name="60% - Accent1 5" xfId="105" xr:uid="{00000000-0005-0000-0000-000066000000}"/>
    <cellStyle name="60% - Accent1 6" xfId="106" xr:uid="{00000000-0005-0000-0000-000067000000}"/>
    <cellStyle name="60% - Accent2 2" xfId="107" xr:uid="{00000000-0005-0000-0000-000068000000}"/>
    <cellStyle name="60% - Accent2 2 2" xfId="108" xr:uid="{00000000-0005-0000-0000-000069000000}"/>
    <cellStyle name="60% - Accent2 3" xfId="109" xr:uid="{00000000-0005-0000-0000-00006A000000}"/>
    <cellStyle name="60% - Accent2 3 2" xfId="110" xr:uid="{00000000-0005-0000-0000-00006B000000}"/>
    <cellStyle name="60% - Accent2 4" xfId="111" xr:uid="{00000000-0005-0000-0000-00006C000000}"/>
    <cellStyle name="60% - Accent2 4 2" xfId="112" xr:uid="{00000000-0005-0000-0000-00006D000000}"/>
    <cellStyle name="60% - Accent2 5" xfId="113" xr:uid="{00000000-0005-0000-0000-00006E000000}"/>
    <cellStyle name="60% - Accent2 6" xfId="114" xr:uid="{00000000-0005-0000-0000-00006F000000}"/>
    <cellStyle name="60% - Accent3 2" xfId="115" xr:uid="{00000000-0005-0000-0000-000070000000}"/>
    <cellStyle name="60% - Accent3 2 2" xfId="116" xr:uid="{00000000-0005-0000-0000-000071000000}"/>
    <cellStyle name="60% - Accent3 3" xfId="117" xr:uid="{00000000-0005-0000-0000-000072000000}"/>
    <cellStyle name="60% - Accent3 3 2" xfId="118" xr:uid="{00000000-0005-0000-0000-000073000000}"/>
    <cellStyle name="60% - Accent3 4" xfId="119" xr:uid="{00000000-0005-0000-0000-000074000000}"/>
    <cellStyle name="60% - Accent3 4 2" xfId="120" xr:uid="{00000000-0005-0000-0000-000075000000}"/>
    <cellStyle name="60% - Accent3 5" xfId="121" xr:uid="{00000000-0005-0000-0000-000076000000}"/>
    <cellStyle name="60% - Accent3 6" xfId="122" xr:uid="{00000000-0005-0000-0000-000077000000}"/>
    <cellStyle name="60% - Accent4 2" xfId="123" xr:uid="{00000000-0005-0000-0000-000078000000}"/>
    <cellStyle name="60% - Accent4 2 2" xfId="124" xr:uid="{00000000-0005-0000-0000-000079000000}"/>
    <cellStyle name="60% - Accent4 3" xfId="125" xr:uid="{00000000-0005-0000-0000-00007A000000}"/>
    <cellStyle name="60% - Accent4 3 2" xfId="126" xr:uid="{00000000-0005-0000-0000-00007B000000}"/>
    <cellStyle name="60% - Accent4 4" xfId="127" xr:uid="{00000000-0005-0000-0000-00007C000000}"/>
    <cellStyle name="60% - Accent4 4 2" xfId="128" xr:uid="{00000000-0005-0000-0000-00007D000000}"/>
    <cellStyle name="60% - Accent4 5" xfId="129" xr:uid="{00000000-0005-0000-0000-00007E000000}"/>
    <cellStyle name="60% - Accent4 6" xfId="130" xr:uid="{00000000-0005-0000-0000-00007F000000}"/>
    <cellStyle name="60% - Accent5 2" xfId="131" xr:uid="{00000000-0005-0000-0000-000080000000}"/>
    <cellStyle name="60% - Accent5 2 2" xfId="132" xr:uid="{00000000-0005-0000-0000-000081000000}"/>
    <cellStyle name="60% - Accent5 3" xfId="133" xr:uid="{00000000-0005-0000-0000-000082000000}"/>
    <cellStyle name="60% - Accent5 3 2" xfId="134" xr:uid="{00000000-0005-0000-0000-000083000000}"/>
    <cellStyle name="60% - Accent5 4" xfId="135" xr:uid="{00000000-0005-0000-0000-000084000000}"/>
    <cellStyle name="60% - Accent5 4 2" xfId="136" xr:uid="{00000000-0005-0000-0000-000085000000}"/>
    <cellStyle name="60% - Accent5 5" xfId="137" xr:uid="{00000000-0005-0000-0000-000086000000}"/>
    <cellStyle name="60% - Accent5 6" xfId="138" xr:uid="{00000000-0005-0000-0000-000087000000}"/>
    <cellStyle name="60% - Accent6 2" xfId="139" xr:uid="{00000000-0005-0000-0000-000088000000}"/>
    <cellStyle name="60% - Accent6 2 2" xfId="140" xr:uid="{00000000-0005-0000-0000-000089000000}"/>
    <cellStyle name="60% - Accent6 3" xfId="141" xr:uid="{00000000-0005-0000-0000-00008A000000}"/>
    <cellStyle name="60% - Accent6 3 2" xfId="142" xr:uid="{00000000-0005-0000-0000-00008B000000}"/>
    <cellStyle name="60% - Accent6 4" xfId="143" xr:uid="{00000000-0005-0000-0000-00008C000000}"/>
    <cellStyle name="60% - Accent6 4 2" xfId="144" xr:uid="{00000000-0005-0000-0000-00008D000000}"/>
    <cellStyle name="60% - Accent6 5" xfId="145" xr:uid="{00000000-0005-0000-0000-00008E000000}"/>
    <cellStyle name="60% - Accent6 6" xfId="146" xr:uid="{00000000-0005-0000-0000-00008F000000}"/>
    <cellStyle name="Accent1 2" xfId="147" xr:uid="{00000000-0005-0000-0000-000090000000}"/>
    <cellStyle name="Accent1 2 2" xfId="148" xr:uid="{00000000-0005-0000-0000-000091000000}"/>
    <cellStyle name="Accent1 3" xfId="149" xr:uid="{00000000-0005-0000-0000-000092000000}"/>
    <cellStyle name="Accent1 3 2" xfId="150" xr:uid="{00000000-0005-0000-0000-000093000000}"/>
    <cellStyle name="Accent1 4" xfId="151" xr:uid="{00000000-0005-0000-0000-000094000000}"/>
    <cellStyle name="Accent1 4 2" xfId="152" xr:uid="{00000000-0005-0000-0000-000095000000}"/>
    <cellStyle name="Accent1 5" xfId="153" xr:uid="{00000000-0005-0000-0000-000096000000}"/>
    <cellStyle name="Accent1 6" xfId="154" xr:uid="{00000000-0005-0000-0000-000097000000}"/>
    <cellStyle name="Accent2 2" xfId="155" xr:uid="{00000000-0005-0000-0000-000098000000}"/>
    <cellStyle name="Accent2 2 2" xfId="156" xr:uid="{00000000-0005-0000-0000-000099000000}"/>
    <cellStyle name="Accent2 3" xfId="157" xr:uid="{00000000-0005-0000-0000-00009A000000}"/>
    <cellStyle name="Accent2 3 2" xfId="158" xr:uid="{00000000-0005-0000-0000-00009B000000}"/>
    <cellStyle name="Accent2 4" xfId="159" xr:uid="{00000000-0005-0000-0000-00009C000000}"/>
    <cellStyle name="Accent2 4 2" xfId="160" xr:uid="{00000000-0005-0000-0000-00009D000000}"/>
    <cellStyle name="Accent2 5" xfId="161" xr:uid="{00000000-0005-0000-0000-00009E000000}"/>
    <cellStyle name="Accent2 6" xfId="162" xr:uid="{00000000-0005-0000-0000-00009F000000}"/>
    <cellStyle name="Accent3 2" xfId="163" xr:uid="{00000000-0005-0000-0000-0000A0000000}"/>
    <cellStyle name="Accent3 2 2" xfId="164" xr:uid="{00000000-0005-0000-0000-0000A1000000}"/>
    <cellStyle name="Accent3 3" xfId="165" xr:uid="{00000000-0005-0000-0000-0000A2000000}"/>
    <cellStyle name="Accent3 3 2" xfId="166" xr:uid="{00000000-0005-0000-0000-0000A3000000}"/>
    <cellStyle name="Accent3 4" xfId="167" xr:uid="{00000000-0005-0000-0000-0000A4000000}"/>
    <cellStyle name="Accent3 4 2" xfId="168" xr:uid="{00000000-0005-0000-0000-0000A5000000}"/>
    <cellStyle name="Accent3 5" xfId="169" xr:uid="{00000000-0005-0000-0000-0000A6000000}"/>
    <cellStyle name="Accent3 6" xfId="170" xr:uid="{00000000-0005-0000-0000-0000A7000000}"/>
    <cellStyle name="Accent4 2" xfId="171" xr:uid="{00000000-0005-0000-0000-0000A8000000}"/>
    <cellStyle name="Accent4 2 2" xfId="172" xr:uid="{00000000-0005-0000-0000-0000A9000000}"/>
    <cellStyle name="Accent4 3" xfId="173" xr:uid="{00000000-0005-0000-0000-0000AA000000}"/>
    <cellStyle name="Accent4 3 2" xfId="174" xr:uid="{00000000-0005-0000-0000-0000AB000000}"/>
    <cellStyle name="Accent4 4" xfId="175" xr:uid="{00000000-0005-0000-0000-0000AC000000}"/>
    <cellStyle name="Accent4 4 2" xfId="176" xr:uid="{00000000-0005-0000-0000-0000AD000000}"/>
    <cellStyle name="Accent4 5" xfId="177" xr:uid="{00000000-0005-0000-0000-0000AE000000}"/>
    <cellStyle name="Accent4 6" xfId="178" xr:uid="{00000000-0005-0000-0000-0000AF000000}"/>
    <cellStyle name="Accent5 2" xfId="179" xr:uid="{00000000-0005-0000-0000-0000B0000000}"/>
    <cellStyle name="Accent5 2 2" xfId="180" xr:uid="{00000000-0005-0000-0000-0000B1000000}"/>
    <cellStyle name="Accent5 3" xfId="181" xr:uid="{00000000-0005-0000-0000-0000B2000000}"/>
    <cellStyle name="Accent5 3 2" xfId="182" xr:uid="{00000000-0005-0000-0000-0000B3000000}"/>
    <cellStyle name="Accent5 4" xfId="183" xr:uid="{00000000-0005-0000-0000-0000B4000000}"/>
    <cellStyle name="Accent5 4 2" xfId="184" xr:uid="{00000000-0005-0000-0000-0000B5000000}"/>
    <cellStyle name="Accent5 5" xfId="185" xr:uid="{00000000-0005-0000-0000-0000B6000000}"/>
    <cellStyle name="Accent5 6" xfId="186" xr:uid="{00000000-0005-0000-0000-0000B7000000}"/>
    <cellStyle name="Accent6 2" xfId="187" xr:uid="{00000000-0005-0000-0000-0000B8000000}"/>
    <cellStyle name="Accent6 2 2" xfId="188" xr:uid="{00000000-0005-0000-0000-0000B9000000}"/>
    <cellStyle name="Accent6 3" xfId="189" xr:uid="{00000000-0005-0000-0000-0000BA000000}"/>
    <cellStyle name="Accent6 3 2" xfId="190" xr:uid="{00000000-0005-0000-0000-0000BB000000}"/>
    <cellStyle name="Accent6 4" xfId="191" xr:uid="{00000000-0005-0000-0000-0000BC000000}"/>
    <cellStyle name="Accent6 4 2" xfId="192" xr:uid="{00000000-0005-0000-0000-0000BD000000}"/>
    <cellStyle name="Accent6 5" xfId="193" xr:uid="{00000000-0005-0000-0000-0000BE000000}"/>
    <cellStyle name="Accent6 6" xfId="194" xr:uid="{00000000-0005-0000-0000-0000BF000000}"/>
    <cellStyle name="Bad 2" xfId="195" xr:uid="{00000000-0005-0000-0000-0000C0000000}"/>
    <cellStyle name="Bad 2 2" xfId="196" xr:uid="{00000000-0005-0000-0000-0000C1000000}"/>
    <cellStyle name="Bad 3" xfId="197" xr:uid="{00000000-0005-0000-0000-0000C2000000}"/>
    <cellStyle name="Bad 3 2" xfId="198" xr:uid="{00000000-0005-0000-0000-0000C3000000}"/>
    <cellStyle name="Bad 4" xfId="199" xr:uid="{00000000-0005-0000-0000-0000C4000000}"/>
    <cellStyle name="Bad 4 2" xfId="200" xr:uid="{00000000-0005-0000-0000-0000C5000000}"/>
    <cellStyle name="Bad 5" xfId="201" xr:uid="{00000000-0005-0000-0000-0000C6000000}"/>
    <cellStyle name="Bad 6" xfId="202" xr:uid="{00000000-0005-0000-0000-0000C7000000}"/>
    <cellStyle name="Calculation 2" xfId="203" xr:uid="{00000000-0005-0000-0000-0000C8000000}"/>
    <cellStyle name="Calculation 2 2" xfId="204" xr:uid="{00000000-0005-0000-0000-0000C9000000}"/>
    <cellStyle name="Calculation 3" xfId="205" xr:uid="{00000000-0005-0000-0000-0000CA000000}"/>
    <cellStyle name="Calculation 3 2" xfId="206" xr:uid="{00000000-0005-0000-0000-0000CB000000}"/>
    <cellStyle name="Calculation 4" xfId="207" xr:uid="{00000000-0005-0000-0000-0000CC000000}"/>
    <cellStyle name="Calculation 4 2" xfId="208" xr:uid="{00000000-0005-0000-0000-0000CD000000}"/>
    <cellStyle name="Calculation 5" xfId="209" xr:uid="{00000000-0005-0000-0000-0000CE000000}"/>
    <cellStyle name="Calculation 6" xfId="210" xr:uid="{00000000-0005-0000-0000-0000CF000000}"/>
    <cellStyle name="Check Cell 2" xfId="211" xr:uid="{00000000-0005-0000-0000-0000D0000000}"/>
    <cellStyle name="Check Cell 2 2" xfId="212" xr:uid="{00000000-0005-0000-0000-0000D1000000}"/>
    <cellStyle name="Check Cell 3" xfId="213" xr:uid="{00000000-0005-0000-0000-0000D2000000}"/>
    <cellStyle name="Check Cell 3 2" xfId="214" xr:uid="{00000000-0005-0000-0000-0000D3000000}"/>
    <cellStyle name="Check Cell 4" xfId="215" xr:uid="{00000000-0005-0000-0000-0000D4000000}"/>
    <cellStyle name="Check Cell 4 2" xfId="216" xr:uid="{00000000-0005-0000-0000-0000D5000000}"/>
    <cellStyle name="Check Cell 5" xfId="217" xr:uid="{00000000-0005-0000-0000-0000D6000000}"/>
    <cellStyle name="Check Cell 6" xfId="218" xr:uid="{00000000-0005-0000-0000-0000D7000000}"/>
    <cellStyle name="Comma 2" xfId="219" xr:uid="{00000000-0005-0000-0000-0000D8000000}"/>
    <cellStyle name="Comma 3" xfId="220" xr:uid="{00000000-0005-0000-0000-0000D9000000}"/>
    <cellStyle name="Comma 4" xfId="347" xr:uid="{00000000-0005-0000-0000-0000DA000000}"/>
    <cellStyle name="Data_Regular" xfId="221" xr:uid="{00000000-0005-0000-0000-0000DB000000}"/>
    <cellStyle name="Explanatory Text 2" xfId="222" xr:uid="{00000000-0005-0000-0000-0000DC000000}"/>
    <cellStyle name="Explanatory Text 2 2" xfId="223" xr:uid="{00000000-0005-0000-0000-0000DD000000}"/>
    <cellStyle name="Explanatory Text 3" xfId="224" xr:uid="{00000000-0005-0000-0000-0000DE000000}"/>
    <cellStyle name="Explanatory Text 3 2" xfId="225" xr:uid="{00000000-0005-0000-0000-0000DF000000}"/>
    <cellStyle name="Explanatory Text 4" xfId="226" xr:uid="{00000000-0005-0000-0000-0000E0000000}"/>
    <cellStyle name="Explanatory Text 4 2" xfId="227" xr:uid="{00000000-0005-0000-0000-0000E1000000}"/>
    <cellStyle name="Explanatory Text 5" xfId="228" xr:uid="{00000000-0005-0000-0000-0000E2000000}"/>
    <cellStyle name="Explanatory Text 6" xfId="229" xr:uid="{00000000-0005-0000-0000-0000E3000000}"/>
    <cellStyle name="Good 2" xfId="230" xr:uid="{00000000-0005-0000-0000-0000E4000000}"/>
    <cellStyle name="Good 2 2" xfId="231" xr:uid="{00000000-0005-0000-0000-0000E5000000}"/>
    <cellStyle name="Good 3" xfId="232" xr:uid="{00000000-0005-0000-0000-0000E6000000}"/>
    <cellStyle name="Good 3 2" xfId="233" xr:uid="{00000000-0005-0000-0000-0000E7000000}"/>
    <cellStyle name="Good 4" xfId="234" xr:uid="{00000000-0005-0000-0000-0000E8000000}"/>
    <cellStyle name="Good 4 2" xfId="235" xr:uid="{00000000-0005-0000-0000-0000E9000000}"/>
    <cellStyle name="Good 5" xfId="236" xr:uid="{00000000-0005-0000-0000-0000EA000000}"/>
    <cellStyle name="Good 6" xfId="237" xr:uid="{00000000-0005-0000-0000-0000EB000000}"/>
    <cellStyle name="Heading 1 2" xfId="238" xr:uid="{00000000-0005-0000-0000-0000EC000000}"/>
    <cellStyle name="Heading 1 2 2" xfId="239" xr:uid="{00000000-0005-0000-0000-0000ED000000}"/>
    <cellStyle name="Heading 1 3" xfId="240" xr:uid="{00000000-0005-0000-0000-0000EE000000}"/>
    <cellStyle name="Heading 1 3 2" xfId="241" xr:uid="{00000000-0005-0000-0000-0000EF000000}"/>
    <cellStyle name="Heading 1 4" xfId="242" xr:uid="{00000000-0005-0000-0000-0000F0000000}"/>
    <cellStyle name="Heading 1 4 2" xfId="243" xr:uid="{00000000-0005-0000-0000-0000F1000000}"/>
    <cellStyle name="Heading 1 5" xfId="244" xr:uid="{00000000-0005-0000-0000-0000F2000000}"/>
    <cellStyle name="Heading 1 6" xfId="245" xr:uid="{00000000-0005-0000-0000-0000F3000000}"/>
    <cellStyle name="Heading 2 2" xfId="246" xr:uid="{00000000-0005-0000-0000-0000F4000000}"/>
    <cellStyle name="Heading 2 2 2" xfId="247" xr:uid="{00000000-0005-0000-0000-0000F5000000}"/>
    <cellStyle name="Heading 2 3" xfId="248" xr:uid="{00000000-0005-0000-0000-0000F6000000}"/>
    <cellStyle name="Heading 2 3 2" xfId="249" xr:uid="{00000000-0005-0000-0000-0000F7000000}"/>
    <cellStyle name="Heading 2 4" xfId="250" xr:uid="{00000000-0005-0000-0000-0000F8000000}"/>
    <cellStyle name="Heading 2 4 2" xfId="251" xr:uid="{00000000-0005-0000-0000-0000F9000000}"/>
    <cellStyle name="Heading 2 5" xfId="252" xr:uid="{00000000-0005-0000-0000-0000FA000000}"/>
    <cellStyle name="Heading 2 6" xfId="253" xr:uid="{00000000-0005-0000-0000-0000FB000000}"/>
    <cellStyle name="Heading 3 2" xfId="254" xr:uid="{00000000-0005-0000-0000-0000FC000000}"/>
    <cellStyle name="Heading 3 2 2" xfId="255" xr:uid="{00000000-0005-0000-0000-0000FD000000}"/>
    <cellStyle name="Heading 3 3" xfId="256" xr:uid="{00000000-0005-0000-0000-0000FE000000}"/>
    <cellStyle name="Heading 3 3 2" xfId="257" xr:uid="{00000000-0005-0000-0000-0000FF000000}"/>
    <cellStyle name="Heading 3 4" xfId="258" xr:uid="{00000000-0005-0000-0000-000000010000}"/>
    <cellStyle name="Heading 3 4 2" xfId="259" xr:uid="{00000000-0005-0000-0000-000001010000}"/>
    <cellStyle name="Heading 3 5" xfId="260" xr:uid="{00000000-0005-0000-0000-000002010000}"/>
    <cellStyle name="Heading 3 6" xfId="261" xr:uid="{00000000-0005-0000-0000-000003010000}"/>
    <cellStyle name="Heading 4 2" xfId="262" xr:uid="{00000000-0005-0000-0000-000004010000}"/>
    <cellStyle name="Heading 4 2 2" xfId="263" xr:uid="{00000000-0005-0000-0000-000005010000}"/>
    <cellStyle name="Heading 4 3" xfId="264" xr:uid="{00000000-0005-0000-0000-000006010000}"/>
    <cellStyle name="Heading 4 3 2" xfId="265" xr:uid="{00000000-0005-0000-0000-000007010000}"/>
    <cellStyle name="Heading 4 4" xfId="266" xr:uid="{00000000-0005-0000-0000-000008010000}"/>
    <cellStyle name="Heading 4 4 2" xfId="267" xr:uid="{00000000-0005-0000-0000-000009010000}"/>
    <cellStyle name="Heading 4 5" xfId="268" xr:uid="{00000000-0005-0000-0000-00000A010000}"/>
    <cellStyle name="Heading 4 6" xfId="269" xr:uid="{00000000-0005-0000-0000-00000B010000}"/>
    <cellStyle name="Hyperlink" xfId="2" builtinId="8"/>
    <cellStyle name="Hyperlink 2" xfId="270" xr:uid="{00000000-0005-0000-0000-00000D010000}"/>
    <cellStyle name="Hyperlink 3" xfId="344" xr:uid="{00000000-0005-0000-0000-00000E010000}"/>
    <cellStyle name="Input 2" xfId="271" xr:uid="{00000000-0005-0000-0000-00000F010000}"/>
    <cellStyle name="Input 2 2" xfId="272" xr:uid="{00000000-0005-0000-0000-000010010000}"/>
    <cellStyle name="Input 3" xfId="273" xr:uid="{00000000-0005-0000-0000-000011010000}"/>
    <cellStyle name="Input 3 2" xfId="274" xr:uid="{00000000-0005-0000-0000-000012010000}"/>
    <cellStyle name="Input 4" xfId="275" xr:uid="{00000000-0005-0000-0000-000013010000}"/>
    <cellStyle name="Input 4 2" xfId="276" xr:uid="{00000000-0005-0000-0000-000014010000}"/>
    <cellStyle name="Input 5" xfId="277" xr:uid="{00000000-0005-0000-0000-000015010000}"/>
    <cellStyle name="Input 6" xfId="278" xr:uid="{00000000-0005-0000-0000-000016010000}"/>
    <cellStyle name="Linked Cell 2" xfId="279" xr:uid="{00000000-0005-0000-0000-000017010000}"/>
    <cellStyle name="Linked Cell 2 2" xfId="280" xr:uid="{00000000-0005-0000-0000-000018010000}"/>
    <cellStyle name="Linked Cell 3" xfId="281" xr:uid="{00000000-0005-0000-0000-000019010000}"/>
    <cellStyle name="Linked Cell 3 2" xfId="282" xr:uid="{00000000-0005-0000-0000-00001A010000}"/>
    <cellStyle name="Linked Cell 4" xfId="283" xr:uid="{00000000-0005-0000-0000-00001B010000}"/>
    <cellStyle name="Linked Cell 4 2" xfId="284" xr:uid="{00000000-0005-0000-0000-00001C010000}"/>
    <cellStyle name="Linked Cell 5" xfId="285" xr:uid="{00000000-0005-0000-0000-00001D010000}"/>
    <cellStyle name="Linked Cell 6" xfId="286" xr:uid="{00000000-0005-0000-0000-00001E010000}"/>
    <cellStyle name="Neutral 2" xfId="287" xr:uid="{00000000-0005-0000-0000-00001F010000}"/>
    <cellStyle name="Neutral 2 2" xfId="288" xr:uid="{00000000-0005-0000-0000-000020010000}"/>
    <cellStyle name="Neutral 3" xfId="289" xr:uid="{00000000-0005-0000-0000-000021010000}"/>
    <cellStyle name="Neutral 3 2" xfId="290" xr:uid="{00000000-0005-0000-0000-000022010000}"/>
    <cellStyle name="Neutral 4" xfId="291" xr:uid="{00000000-0005-0000-0000-000023010000}"/>
    <cellStyle name="Neutral 4 2" xfId="292" xr:uid="{00000000-0005-0000-0000-000024010000}"/>
    <cellStyle name="Neutral 5" xfId="293" xr:uid="{00000000-0005-0000-0000-000025010000}"/>
    <cellStyle name="Neutral 6" xfId="294" xr:uid="{00000000-0005-0000-0000-000026010000}"/>
    <cellStyle name="Normal" xfId="0" builtinId="0"/>
    <cellStyle name="Normal 2" xfId="1" xr:uid="{00000000-0005-0000-0000-000028010000}"/>
    <cellStyle name="Normal 2 2" xfId="295" xr:uid="{00000000-0005-0000-0000-000029010000}"/>
    <cellStyle name="Normal 3" xfId="296" xr:uid="{00000000-0005-0000-0000-00002A010000}"/>
    <cellStyle name="Normal 4" xfId="297" xr:uid="{00000000-0005-0000-0000-00002B010000}"/>
    <cellStyle name="Normal 5" xfId="298" xr:uid="{00000000-0005-0000-0000-00002C010000}"/>
    <cellStyle name="Normal 6" xfId="299" xr:uid="{00000000-0005-0000-0000-00002D010000}"/>
    <cellStyle name="Normal 7" xfId="300" xr:uid="{00000000-0005-0000-0000-00002E010000}"/>
    <cellStyle name="Normal 8" xfId="301" xr:uid="{00000000-0005-0000-0000-00002F010000}"/>
    <cellStyle name="Normal 9" xfId="345" xr:uid="{00000000-0005-0000-0000-000030010000}"/>
    <cellStyle name="Note 2" xfId="302" xr:uid="{00000000-0005-0000-0000-000031010000}"/>
    <cellStyle name="Note 2 2" xfId="303" xr:uid="{00000000-0005-0000-0000-000032010000}"/>
    <cellStyle name="Note 2 3" xfId="304" xr:uid="{00000000-0005-0000-0000-000033010000}"/>
    <cellStyle name="Note 3" xfId="305" xr:uid="{00000000-0005-0000-0000-000034010000}"/>
    <cellStyle name="Note 3 2" xfId="306" xr:uid="{00000000-0005-0000-0000-000035010000}"/>
    <cellStyle name="Note 4" xfId="307" xr:uid="{00000000-0005-0000-0000-000036010000}"/>
    <cellStyle name="Note 4 2" xfId="308" xr:uid="{00000000-0005-0000-0000-000037010000}"/>
    <cellStyle name="Note 5" xfId="309" xr:uid="{00000000-0005-0000-0000-000038010000}"/>
    <cellStyle name="Note 6" xfId="310" xr:uid="{00000000-0005-0000-0000-000039010000}"/>
    <cellStyle name="Output 2" xfId="311" xr:uid="{00000000-0005-0000-0000-00003A010000}"/>
    <cellStyle name="Output 2 2" xfId="312" xr:uid="{00000000-0005-0000-0000-00003B010000}"/>
    <cellStyle name="Output 3" xfId="313" xr:uid="{00000000-0005-0000-0000-00003C010000}"/>
    <cellStyle name="Output 3 2" xfId="314" xr:uid="{00000000-0005-0000-0000-00003D010000}"/>
    <cellStyle name="Output 4" xfId="315" xr:uid="{00000000-0005-0000-0000-00003E010000}"/>
    <cellStyle name="Output 4 2" xfId="316" xr:uid="{00000000-0005-0000-0000-00003F010000}"/>
    <cellStyle name="Output 5" xfId="317" xr:uid="{00000000-0005-0000-0000-000040010000}"/>
    <cellStyle name="Output 6" xfId="318" xr:uid="{00000000-0005-0000-0000-000041010000}"/>
    <cellStyle name="Percent 2" xfId="319" xr:uid="{00000000-0005-0000-0000-000042010000}"/>
    <cellStyle name="Percent 3" xfId="320" xr:uid="{00000000-0005-0000-0000-000043010000}"/>
    <cellStyle name="Percent 4" xfId="346" xr:uid="{00000000-0005-0000-0000-000044010000}"/>
    <cellStyle name="Title 2" xfId="321" xr:uid="{00000000-0005-0000-0000-000045010000}"/>
    <cellStyle name="Title 3" xfId="322" xr:uid="{00000000-0005-0000-0000-000046010000}"/>
    <cellStyle name="Title 3 2" xfId="323" xr:uid="{00000000-0005-0000-0000-000047010000}"/>
    <cellStyle name="Title 4" xfId="324" xr:uid="{00000000-0005-0000-0000-000048010000}"/>
    <cellStyle name="Title 4 2" xfId="325" xr:uid="{00000000-0005-0000-0000-000049010000}"/>
    <cellStyle name="Title 5" xfId="326" xr:uid="{00000000-0005-0000-0000-00004A010000}"/>
    <cellStyle name="Title 6" xfId="327" xr:uid="{00000000-0005-0000-0000-00004B010000}"/>
    <cellStyle name="Total 2" xfId="328" xr:uid="{00000000-0005-0000-0000-00004C010000}"/>
    <cellStyle name="Total 2 2" xfId="329" xr:uid="{00000000-0005-0000-0000-00004D010000}"/>
    <cellStyle name="Total 3" xfId="330" xr:uid="{00000000-0005-0000-0000-00004E010000}"/>
    <cellStyle name="Total 3 2" xfId="331" xr:uid="{00000000-0005-0000-0000-00004F010000}"/>
    <cellStyle name="Total 4" xfId="332" xr:uid="{00000000-0005-0000-0000-000050010000}"/>
    <cellStyle name="Total 4 2" xfId="333" xr:uid="{00000000-0005-0000-0000-000051010000}"/>
    <cellStyle name="Total 5" xfId="334" xr:uid="{00000000-0005-0000-0000-000052010000}"/>
    <cellStyle name="Total 6" xfId="335" xr:uid="{00000000-0005-0000-0000-000053010000}"/>
    <cellStyle name="Warning Text 2" xfId="336" xr:uid="{00000000-0005-0000-0000-000054010000}"/>
    <cellStyle name="Warning Text 2 2" xfId="337" xr:uid="{00000000-0005-0000-0000-000055010000}"/>
    <cellStyle name="Warning Text 3" xfId="338" xr:uid="{00000000-0005-0000-0000-000056010000}"/>
    <cellStyle name="Warning Text 3 2" xfId="339" xr:uid="{00000000-0005-0000-0000-000057010000}"/>
    <cellStyle name="Warning Text 4" xfId="340" xr:uid="{00000000-0005-0000-0000-000058010000}"/>
    <cellStyle name="Warning Text 4 2" xfId="341" xr:uid="{00000000-0005-0000-0000-000059010000}"/>
    <cellStyle name="Warning Text 5" xfId="342" xr:uid="{00000000-0005-0000-0000-00005A010000}"/>
    <cellStyle name="Warning Text 6" xfId="343" xr:uid="{00000000-0005-0000-0000-00005B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15507436570428"/>
          <c:y val="4.96423862510144E-2"/>
          <c:w val="0.80219706911636057"/>
          <c:h val="0.83834485478047638"/>
        </c:manualLayout>
      </c:layout>
      <c:lineChart>
        <c:grouping val="standard"/>
        <c:varyColors val="0"/>
        <c:ser>
          <c:idx val="0"/>
          <c:order val="0"/>
          <c:tx>
            <c:strRef>
              <c:f>Intensity_estimates!$G$5</c:f>
              <c:strCache>
                <c:ptCount val="1"/>
                <c:pt idx="0">
                  <c:v>Output*0.001</c:v>
                </c:pt>
              </c:strCache>
            </c:strRef>
          </c:tx>
          <c:cat>
            <c:numRef>
              <c:f>Intensity_estimates!$F$6:$F$56</c:f>
              <c:numCache>
                <c:formatCode>General</c:formatCode>
                <c:ptCount val="5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</c:numCache>
            </c:numRef>
          </c:cat>
          <c:val>
            <c:numRef>
              <c:f>Intensity_estimates!$G$6:$G$56</c:f>
              <c:numCache>
                <c:formatCode>General</c:formatCode>
                <c:ptCount val="51"/>
                <c:pt idx="0">
                  <c:v>202.70626569000001</c:v>
                </c:pt>
                <c:pt idx="1">
                  <c:v>210.56929371000001</c:v>
                </c:pt>
                <c:pt idx="2">
                  <c:v>216.06692165999999</c:v>
                </c:pt>
                <c:pt idx="3">
                  <c:v>219.86860239000001</c:v>
                </c:pt>
                <c:pt idx="4">
                  <c:v>207.17334198</c:v>
                </c:pt>
                <c:pt idx="5">
                  <c:v>220.51776879000002</c:v>
                </c:pt>
                <c:pt idx="6">
                  <c:v>224.56288691999998</c:v>
                </c:pt>
                <c:pt idx="7">
                  <c:v>234.56816406000002</c:v>
                </c:pt>
                <c:pt idx="8">
                  <c:v>245.14957638000001</c:v>
                </c:pt>
                <c:pt idx="9">
                  <c:v>259.82073702000002</c:v>
                </c:pt>
                <c:pt idx="10">
                  <c:v>248.83765299000004</c:v>
                </c:pt>
                <c:pt idx="11">
                  <c:v>267.58639008</c:v>
                </c:pt>
                <c:pt idx="12">
                  <c:v>271.83437270999997</c:v>
                </c:pt>
                <c:pt idx="13">
                  <c:v>235.75289274000002</c:v>
                </c:pt>
                <c:pt idx="14">
                  <c:v>270.61312841999995</c:v>
                </c:pt>
                <c:pt idx="15">
                  <c:v>284.52151854000005</c:v>
                </c:pt>
                <c:pt idx="16">
                  <c:v>279.13343742000006</c:v>
                </c:pt>
                <c:pt idx="17">
                  <c:v>290.29098492000003</c:v>
                </c:pt>
                <c:pt idx="18">
                  <c:v>278.39095334999996</c:v>
                </c:pt>
                <c:pt idx="19">
                  <c:v>295.18001937000002</c:v>
                </c:pt>
                <c:pt idx="20">
                  <c:v>308.28912336000002</c:v>
                </c:pt>
                <c:pt idx="21">
                  <c:v>312.60607992000007</c:v>
                </c:pt>
                <c:pt idx="22">
                  <c:v>328.89204197999999</c:v>
                </c:pt>
                <c:pt idx="23">
                  <c:v>321.20753472000007</c:v>
                </c:pt>
                <c:pt idx="24">
                  <c:v>350.73649133999993</c:v>
                </c:pt>
                <c:pt idx="25">
                  <c:v>336.55220550000007</c:v>
                </c:pt>
                <c:pt idx="26">
                  <c:v>343.01141117999998</c:v>
                </c:pt>
                <c:pt idx="27">
                  <c:v>367.17257313000005</c:v>
                </c:pt>
                <c:pt idx="28">
                  <c:v>369.35539514999999</c:v>
                </c:pt>
                <c:pt idx="29">
                  <c:v>377.78238647999996</c:v>
                </c:pt>
                <c:pt idx="30">
                  <c:v>382.74039485999998</c:v>
                </c:pt>
                <c:pt idx="31">
                  <c:v>377.66472506999997</c:v>
                </c:pt>
                <c:pt idx="32">
                  <c:v>376.13512674000003</c:v>
                </c:pt>
                <c:pt idx="33">
                  <c:v>387.13849722000003</c:v>
                </c:pt>
                <c:pt idx="34">
                  <c:v>398.08100835000005</c:v>
                </c:pt>
                <c:pt idx="35">
                  <c:v>400.79533536000008</c:v>
                </c:pt>
                <c:pt idx="36">
                  <c:v>403.37982909000004</c:v>
                </c:pt>
                <c:pt idx="37">
                  <c:v>404.78770872000001</c:v>
                </c:pt>
                <c:pt idx="38">
                  <c:v>396.13756644000006</c:v>
                </c:pt>
                <c:pt idx="39">
                  <c:v>415.28797523999998</c:v>
                </c:pt>
                <c:pt idx="40">
                  <c:v>416.13189155999999</c:v>
                </c:pt>
                <c:pt idx="41">
                  <c:v>402.19104312000002</c:v>
                </c:pt>
                <c:pt idx="42">
                  <c:v>405.72899999999998</c:v>
                </c:pt>
                <c:pt idx="43">
                  <c:v>431.36295822</c:v>
                </c:pt>
                <c:pt idx="44">
                  <c:v>442.58947964999999</c:v>
                </c:pt>
                <c:pt idx="45">
                  <c:v>449.38138311</c:v>
                </c:pt>
                <c:pt idx="46">
                  <c:v>470.69838477000008</c:v>
                </c:pt>
                <c:pt idx="47">
                  <c:v>477.44565804000001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40-4425-9319-F0004052EF9A}"/>
            </c:ext>
          </c:extLst>
        </c:ser>
        <c:ser>
          <c:idx val="1"/>
          <c:order val="1"/>
          <c:tx>
            <c:strRef>
              <c:f>Intensity_estimates!$H$5</c:f>
              <c:strCache>
                <c:ptCount val="1"/>
                <c:pt idx="0">
                  <c:v>Electricity</c:v>
                </c:pt>
              </c:strCache>
            </c:strRef>
          </c:tx>
          <c:marker>
            <c:symbol val="square"/>
            <c:size val="4"/>
            <c:spPr>
              <a:solidFill>
                <a:schemeClr val="accent1"/>
              </a:solidFill>
            </c:spPr>
          </c:marker>
          <c:cat>
            <c:numRef>
              <c:f>Intensity_estimates!$F$6:$F$56</c:f>
              <c:numCache>
                <c:formatCode>General</c:formatCode>
                <c:ptCount val="5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</c:numCache>
            </c:numRef>
          </c:cat>
          <c:val>
            <c:numRef>
              <c:f>Intensity_estimates!$H$6:$H$56</c:f>
              <c:numCache>
                <c:formatCode>General</c:formatCode>
                <c:ptCount val="51"/>
                <c:pt idx="0">
                  <c:v>40.236578666666666</c:v>
                </c:pt>
                <c:pt idx="1">
                  <c:v>43.52119733333334</c:v>
                </c:pt>
                <c:pt idx="2">
                  <c:v>45.984661333333335</c:v>
                </c:pt>
                <c:pt idx="3">
                  <c:v>50.090434666666667</c:v>
                </c:pt>
                <c:pt idx="4">
                  <c:v>55.017362666666664</c:v>
                </c:pt>
                <c:pt idx="5">
                  <c:v>66.513528000000008</c:v>
                </c:pt>
                <c:pt idx="6">
                  <c:v>81.294312000000005</c:v>
                </c:pt>
                <c:pt idx="7">
                  <c:v>97.541931047619045</c:v>
                </c:pt>
                <c:pt idx="8">
                  <c:v>97.717405333333346</c:v>
                </c:pt>
                <c:pt idx="9">
                  <c:v>95.25394133333333</c:v>
                </c:pt>
                <c:pt idx="10">
                  <c:v>90.32701333333334</c:v>
                </c:pt>
                <c:pt idx="11">
                  <c:v>91.96932266666667</c:v>
                </c:pt>
                <c:pt idx="12">
                  <c:v>92.790477333333328</c:v>
                </c:pt>
                <c:pt idx="13">
                  <c:v>85.400085333333337</c:v>
                </c:pt>
                <c:pt idx="14">
                  <c:v>92.164294095238105</c:v>
                </c:pt>
                <c:pt idx="15">
                  <c:v>82.115466666666663</c:v>
                </c:pt>
                <c:pt idx="16">
                  <c:v>78.830848000000003</c:v>
                </c:pt>
                <c:pt idx="17">
                  <c:v>94.432786666666672</c:v>
                </c:pt>
                <c:pt idx="18">
                  <c:v>100.18086933333333</c:v>
                </c:pt>
                <c:pt idx="19">
                  <c:v>109.21357066666667</c:v>
                </c:pt>
                <c:pt idx="20">
                  <c:v>103.46548799999999</c:v>
                </c:pt>
                <c:pt idx="21">
                  <c:v>102.64433333333334</c:v>
                </c:pt>
                <c:pt idx="22">
                  <c:v>107.30057600000001</c:v>
                </c:pt>
                <c:pt idx="23">
                  <c:v>108.42296152380953</c:v>
                </c:pt>
                <c:pt idx="24">
                  <c:v>108.42296152380953</c:v>
                </c:pt>
                <c:pt idx="25">
                  <c:v>120.73540723809523</c:v>
                </c:pt>
                <c:pt idx="26">
                  <c:v>130.45148342857144</c:v>
                </c:pt>
                <c:pt idx="27">
                  <c:v>98.702011047619052</c:v>
                </c:pt>
                <c:pt idx="28">
                  <c:v>107.5933580952381</c:v>
                </c:pt>
                <c:pt idx="29">
                  <c:v>90.949622095238098</c:v>
                </c:pt>
                <c:pt idx="30">
                  <c:v>101.55671771428572</c:v>
                </c:pt>
                <c:pt idx="31">
                  <c:v>120.1953363809524</c:v>
                </c:pt>
                <c:pt idx="32">
                  <c:v>115.68304761904763</c:v>
                </c:pt>
                <c:pt idx="37">
                  <c:v>82.885585795140074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40-4425-9319-F0004052EF9A}"/>
            </c:ext>
          </c:extLst>
        </c:ser>
        <c:ser>
          <c:idx val="2"/>
          <c:order val="2"/>
          <c:tx>
            <c:strRef>
              <c:f>Intensity_estimates!$I$5</c:f>
              <c:strCache>
                <c:ptCount val="1"/>
                <c:pt idx="0">
                  <c:v>Fuels</c:v>
                </c:pt>
              </c:strCache>
            </c:strRef>
          </c:tx>
          <c:cat>
            <c:numRef>
              <c:f>Intensity_estimates!$F$6:$F$56</c:f>
              <c:numCache>
                <c:formatCode>General</c:formatCode>
                <c:ptCount val="5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</c:numCache>
            </c:numRef>
          </c:cat>
          <c:val>
            <c:numRef>
              <c:f>Intensity_estimates!$I$6:$I$56</c:f>
              <c:numCache>
                <c:formatCode>General</c:formatCode>
                <c:ptCount val="51"/>
                <c:pt idx="0">
                  <c:v>1102</c:v>
                </c:pt>
                <c:pt idx="1">
                  <c:v>1085</c:v>
                </c:pt>
                <c:pt idx="2">
                  <c:v>1077</c:v>
                </c:pt>
                <c:pt idx="3">
                  <c:v>1096</c:v>
                </c:pt>
                <c:pt idx="4">
                  <c:v>1107</c:v>
                </c:pt>
                <c:pt idx="5">
                  <c:v>1106</c:v>
                </c:pt>
                <c:pt idx="6">
                  <c:v>1119</c:v>
                </c:pt>
                <c:pt idx="7">
                  <c:v>1073</c:v>
                </c:pt>
                <c:pt idx="8">
                  <c:v>1289</c:v>
                </c:pt>
                <c:pt idx="9">
                  <c:v>988</c:v>
                </c:pt>
                <c:pt idx="10">
                  <c:v>1134</c:v>
                </c:pt>
                <c:pt idx="11">
                  <c:v>1179</c:v>
                </c:pt>
                <c:pt idx="12">
                  <c:v>1133</c:v>
                </c:pt>
                <c:pt idx="13">
                  <c:v>1292</c:v>
                </c:pt>
                <c:pt idx="14">
                  <c:v>1168</c:v>
                </c:pt>
                <c:pt idx="15">
                  <c:v>1032</c:v>
                </c:pt>
                <c:pt idx="16">
                  <c:v>958.99999999999989</c:v>
                </c:pt>
                <c:pt idx="17">
                  <c:v>899</c:v>
                </c:pt>
                <c:pt idx="18">
                  <c:v>881</c:v>
                </c:pt>
                <c:pt idx="19">
                  <c:v>853</c:v>
                </c:pt>
                <c:pt idx="20">
                  <c:v>799</c:v>
                </c:pt>
                <c:pt idx="21">
                  <c:v>705</c:v>
                </c:pt>
                <c:pt idx="22">
                  <c:v>705</c:v>
                </c:pt>
                <c:pt idx="23">
                  <c:v>701</c:v>
                </c:pt>
                <c:pt idx="24">
                  <c:v>646</c:v>
                </c:pt>
                <c:pt idx="25">
                  <c:v>639</c:v>
                </c:pt>
                <c:pt idx="26">
                  <c:v>660</c:v>
                </c:pt>
                <c:pt idx="27">
                  <c:v>745.10200000000009</c:v>
                </c:pt>
                <c:pt idx="28">
                  <c:v>771.31499999999994</c:v>
                </c:pt>
                <c:pt idx="29">
                  <c:v>823.62</c:v>
                </c:pt>
                <c:pt idx="30">
                  <c:v>837.6099999999999</c:v>
                </c:pt>
                <c:pt idx="31">
                  <c:v>812.322</c:v>
                </c:pt>
                <c:pt idx="32">
                  <c:v>843.41599999999994</c:v>
                </c:pt>
                <c:pt idx="33">
                  <c:v>641.03225243675024</c:v>
                </c:pt>
                <c:pt idx="34">
                  <c:v>717.24047820983151</c:v>
                </c:pt>
                <c:pt idx="35">
                  <c:v>657.66019866538375</c:v>
                </c:pt>
                <c:pt idx="36">
                  <c:v>635.20922082432162</c:v>
                </c:pt>
                <c:pt idx="37">
                  <c:v>732.14257665852097</c:v>
                </c:pt>
                <c:pt idx="38">
                  <c:v>638.4735250730165</c:v>
                </c:pt>
                <c:pt idx="39">
                  <c:v>791.38371190217595</c:v>
                </c:pt>
                <c:pt idx="40">
                  <c:v>689.01501340022321</c:v>
                </c:pt>
                <c:pt idx="41">
                  <c:v>652.10853784456822</c:v>
                </c:pt>
                <c:pt idx="42">
                  <c:v>674.99577467607799</c:v>
                </c:pt>
                <c:pt idx="43">
                  <c:v>740.18178084103192</c:v>
                </c:pt>
                <c:pt idx="44">
                  <c:v>782.7819030327712</c:v>
                </c:pt>
                <c:pt idx="45">
                  <c:v>906.9187616154735</c:v>
                </c:pt>
                <c:pt idx="46">
                  <c:v>929.59258094851407</c:v>
                </c:pt>
                <c:pt idx="47">
                  <c:v>820.94298988827359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40-4425-9319-F0004052E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28960"/>
        <c:axId val="68740224"/>
      </c:lineChart>
      <c:catAx>
        <c:axId val="44328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740224"/>
        <c:crosses val="autoZero"/>
        <c:auto val="1"/>
        <c:lblAlgn val="ctr"/>
        <c:lblOffset val="100"/>
        <c:tickLblSkip val="5"/>
        <c:noMultiLvlLbl val="0"/>
      </c:catAx>
      <c:valAx>
        <c:axId val="6874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328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1424956255468065"/>
          <c:y val="7.4673060233668001E-2"/>
          <c:w val="0.24130599300087488"/>
          <c:h val="0.24256087707346441"/>
        </c:manualLayout>
      </c:layout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905074365704287E-2"/>
          <c:y val="4.96423862510144E-2"/>
          <c:w val="0.88733705161854781"/>
          <c:h val="0.83834485478047638"/>
        </c:manualLayout>
      </c:layout>
      <c:lineChart>
        <c:grouping val="standard"/>
        <c:varyColors val="0"/>
        <c:ser>
          <c:idx val="0"/>
          <c:order val="0"/>
          <c:tx>
            <c:strRef>
              <c:f>Intensity_estimates!$U$5</c:f>
              <c:strCache>
                <c:ptCount val="1"/>
                <c:pt idx="0">
                  <c:v>Electricity</c:v>
                </c:pt>
              </c:strCache>
            </c:strRef>
          </c:tx>
          <c:cat>
            <c:numRef>
              <c:f>Intensity_estimates!$T$6:$T$53</c:f>
              <c:numCache>
                <c:formatCode>General</c:formatCode>
                <c:ptCount val="48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</c:numCache>
            </c:numRef>
          </c:cat>
          <c:val>
            <c:numRef>
              <c:f>Intensity_estimates!$U$6:$U$53</c:f>
              <c:numCache>
                <c:formatCode>General</c:formatCode>
                <c:ptCount val="48"/>
                <c:pt idx="0">
                  <c:v>0.19849696569419675</c:v>
                </c:pt>
                <c:pt idx="1">
                  <c:v>0.20668349390615115</c:v>
                </c:pt>
                <c:pt idx="2">
                  <c:v>0.21282601233007883</c:v>
                </c:pt>
                <c:pt idx="3">
                  <c:v>0.22781986205477814</c:v>
                </c:pt>
                <c:pt idx="4">
                  <c:v>0.26556197887649996</c:v>
                </c:pt>
                <c:pt idx="5">
                  <c:v>0.30162434694022827</c:v>
                </c:pt>
                <c:pt idx="6">
                  <c:v>0.3620113417448223</c:v>
                </c:pt>
                <c:pt idx="7">
                  <c:v>0.41583618748309281</c:v>
                </c:pt>
                <c:pt idx="8">
                  <c:v>0.39860319881550244</c:v>
                </c:pt>
                <c:pt idx="9">
                  <c:v>0.36661408333239021</c:v>
                </c:pt>
                <c:pt idx="10">
                  <c:v>0.36299576148535401</c:v>
                </c:pt>
                <c:pt idx="11">
                  <c:v>0.34369955302723249</c:v>
                </c:pt>
                <c:pt idx="12">
                  <c:v>0.34134931652784262</c:v>
                </c:pt>
                <c:pt idx="13">
                  <c:v>0.36224406131685005</c:v>
                </c:pt>
                <c:pt idx="14">
                  <c:v>0.34057584210103903</c:v>
                </c:pt>
                <c:pt idx="15">
                  <c:v>0.28860898496548087</c:v>
                </c:pt>
                <c:pt idx="16">
                  <c:v>0.28241277264603243</c:v>
                </c:pt>
                <c:pt idx="17">
                  <c:v>0.3253038901386861</c:v>
                </c:pt>
                <c:pt idx="18">
                  <c:v>0.35985677022838986</c:v>
                </c:pt>
                <c:pt idx="19">
                  <c:v>0.36998971305632466</c:v>
                </c:pt>
                <c:pt idx="20">
                  <c:v>0.33561186613508814</c:v>
                </c:pt>
                <c:pt idx="21">
                  <c:v>0.32835040623522532</c:v>
                </c:pt>
                <c:pt idx="22">
                  <c:v>0.32624862357273143</c:v>
                </c:pt>
                <c:pt idx="23">
                  <c:v>0.33754800184971673</c:v>
                </c:pt>
                <c:pt idx="24">
                  <c:v>0.3091294011340997</c:v>
                </c:pt>
                <c:pt idx="25">
                  <c:v>0.3587419879145472</c:v>
                </c:pt>
                <c:pt idx="26">
                  <c:v>0.38031237205725266</c:v>
                </c:pt>
                <c:pt idx="27">
                  <c:v>0.26881640479359253</c:v>
                </c:pt>
                <c:pt idx="28">
                  <c:v>0.29130035599329218</c:v>
                </c:pt>
                <c:pt idx="29">
                  <c:v>0.24074606268085774</c:v>
                </c:pt>
                <c:pt idx="30">
                  <c:v>0.26534099634671032</c:v>
                </c:pt>
                <c:pt idx="31">
                  <c:v>0.31825936711106456</c:v>
                </c:pt>
                <c:pt idx="32">
                  <c:v>0.30755715006381862</c:v>
                </c:pt>
                <c:pt idx="33">
                  <c:v>0.30755715006381862</c:v>
                </c:pt>
                <c:pt idx="34">
                  <c:v>0.30755715006381862</c:v>
                </c:pt>
                <c:pt idx="35">
                  <c:v>0.30755715006381862</c:v>
                </c:pt>
                <c:pt idx="36">
                  <c:v>0.30755715006381862</c:v>
                </c:pt>
                <c:pt idx="37">
                  <c:v>0.30755715006381862</c:v>
                </c:pt>
                <c:pt idx="38">
                  <c:v>0.30755715006381862</c:v>
                </c:pt>
                <c:pt idx="39">
                  <c:v>0.30755715006381862</c:v>
                </c:pt>
                <c:pt idx="40">
                  <c:v>0.30755715006381862</c:v>
                </c:pt>
                <c:pt idx="41">
                  <c:v>0.30755715006381862</c:v>
                </c:pt>
                <c:pt idx="42">
                  <c:v>0.30755715006381862</c:v>
                </c:pt>
                <c:pt idx="43">
                  <c:v>0.30755715006381862</c:v>
                </c:pt>
                <c:pt idx="44">
                  <c:v>0.30755715006381862</c:v>
                </c:pt>
                <c:pt idx="45">
                  <c:v>0.30755715006381862</c:v>
                </c:pt>
                <c:pt idx="46">
                  <c:v>0.30755715006381862</c:v>
                </c:pt>
                <c:pt idx="47">
                  <c:v>0.30755715006381862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2-42AA-8008-B259CCF34C7C}"/>
            </c:ext>
          </c:extLst>
        </c:ser>
        <c:ser>
          <c:idx val="1"/>
          <c:order val="1"/>
          <c:tx>
            <c:strRef>
              <c:f>Intensity_estimates!$V$5</c:f>
              <c:strCache>
                <c:ptCount val="1"/>
                <c:pt idx="0">
                  <c:v>Fuels</c:v>
                </c:pt>
              </c:strCache>
            </c:strRef>
          </c:tx>
          <c:marker>
            <c:symbol val="square"/>
            <c:size val="3"/>
          </c:marker>
          <c:cat>
            <c:numRef>
              <c:f>Intensity_estimates!$T$6:$T$53</c:f>
              <c:numCache>
                <c:formatCode>General</c:formatCode>
                <c:ptCount val="48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</c:numCache>
            </c:numRef>
          </c:cat>
          <c:val>
            <c:numRef>
              <c:f>Intensity_estimates!$V$6:$V$53</c:f>
              <c:numCache>
                <c:formatCode>General</c:formatCode>
                <c:ptCount val="48"/>
                <c:pt idx="0">
                  <c:v>5.4364377748702433</c:v>
                </c:pt>
                <c:pt idx="1">
                  <c:v>5.1526981018147993</c:v>
                </c:pt>
                <c:pt idx="2">
                  <c:v>4.9845667801698621</c:v>
                </c:pt>
                <c:pt idx="3">
                  <c:v>4.9847954100146126</c:v>
                </c:pt>
                <c:pt idx="4">
                  <c:v>5.3433515597140246</c:v>
                </c:pt>
                <c:pt idx="5">
                  <c:v>5.0154688489218682</c:v>
                </c:pt>
                <c:pt idx="6">
                  <c:v>4.9830139581285362</c:v>
                </c:pt>
                <c:pt idx="7">
                  <c:v>4.5743632956326428</c:v>
                </c:pt>
                <c:pt idx="8">
                  <c:v>5.2580143887418123</c:v>
                </c:pt>
                <c:pt idx="9">
                  <c:v>3.8026218050638025</c:v>
                </c:pt>
                <c:pt idx="10">
                  <c:v>4.5571881360156201</c:v>
                </c:pt>
                <c:pt idx="11">
                  <c:v>4.4060536847465066</c:v>
                </c:pt>
                <c:pt idx="12">
                  <c:v>4.1679791584293646</c:v>
                </c:pt>
                <c:pt idx="13">
                  <c:v>5.480314514846194</c:v>
                </c:pt>
                <c:pt idx="14">
                  <c:v>4.3161246714801944</c:v>
                </c:pt>
                <c:pt idx="15">
                  <c:v>3.6271421764358189</c:v>
                </c:pt>
                <c:pt idx="16">
                  <c:v>3.4356328244438656</c:v>
                </c:pt>
                <c:pt idx="17">
                  <c:v>3.0968925895089416</c:v>
                </c:pt>
                <c:pt idx="18">
                  <c:v>3.1646143288729109</c:v>
                </c:pt>
                <c:pt idx="19">
                  <c:v>2.8897619893804127</c:v>
                </c:pt>
                <c:pt idx="20">
                  <c:v>2.5917229621720379</c:v>
                </c:pt>
                <c:pt idx="21">
                  <c:v>2.2552344477126569</c:v>
                </c:pt>
                <c:pt idx="22">
                  <c:v>2.143560530549022</c:v>
                </c:pt>
                <c:pt idx="23">
                  <c:v>2.1823896522572825</c:v>
                </c:pt>
                <c:pt idx="24">
                  <c:v>1.8418385766817031</c:v>
                </c:pt>
                <c:pt idx="25">
                  <c:v>1.8986653171702357</c:v>
                </c:pt>
                <c:pt idx="26">
                  <c:v>1.9241342371949715</c:v>
                </c:pt>
                <c:pt idx="27">
                  <c:v>2.0292964522058443</c:v>
                </c:pt>
                <c:pt idx="28">
                  <c:v>2.0882732731892517</c:v>
                </c:pt>
                <c:pt idx="29">
                  <c:v>2.1801439915558452</c:v>
                </c:pt>
                <c:pt idx="30">
                  <c:v>2.1884546581668851</c:v>
                </c:pt>
                <c:pt idx="31">
                  <c:v>2.1509077922208291</c:v>
                </c:pt>
                <c:pt idx="32">
                  <c:v>2.2423218147955737</c:v>
                </c:pt>
                <c:pt idx="33">
                  <c:v>1.6558215135925101</c:v>
                </c:pt>
                <c:pt idx="34">
                  <c:v>1.8017450296931037</c:v>
                </c:pt>
                <c:pt idx="35">
                  <c:v>1.6408878563286271</c:v>
                </c:pt>
                <c:pt idx="36">
                  <c:v>1.5747173631793001</c:v>
                </c:pt>
                <c:pt idx="37">
                  <c:v>1.8087075296176027</c:v>
                </c:pt>
                <c:pt idx="38">
                  <c:v>1.611746976715275</c:v>
                </c:pt>
                <c:pt idx="39">
                  <c:v>1.9056263582995046</c:v>
                </c:pt>
                <c:pt idx="40">
                  <c:v>1.6557611357717281</c:v>
                </c:pt>
                <c:pt idx="41">
                  <c:v>1.6213900060673438</c:v>
                </c:pt>
                <c:pt idx="42">
                  <c:v>1.663661642811034</c:v>
                </c:pt>
                <c:pt idx="43">
                  <c:v>1.7159140967860547</c:v>
                </c:pt>
                <c:pt idx="44">
                  <c:v>1.768641007128763</c:v>
                </c:pt>
                <c:pt idx="45">
                  <c:v>2.0181493842469149</c:v>
                </c:pt>
                <c:pt idx="46">
                  <c:v>1.9749219691984836</c:v>
                </c:pt>
                <c:pt idx="47">
                  <c:v>1.7194480168871817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E2-42AA-8008-B259CCF34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65760"/>
        <c:axId val="68742528"/>
      </c:lineChart>
      <c:catAx>
        <c:axId val="4376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742528"/>
        <c:crosses val="autoZero"/>
        <c:auto val="1"/>
        <c:lblAlgn val="ctr"/>
        <c:lblOffset val="100"/>
        <c:tickLblSkip val="5"/>
        <c:noMultiLvlLbl val="0"/>
      </c:catAx>
      <c:valAx>
        <c:axId val="68742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765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8912423447069114"/>
          <c:y val="0.14639860158325282"/>
          <c:w val="0.19420909886264218"/>
          <c:h val="0.1617072513823096"/>
        </c:manualLayout>
      </c:layout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6</xdr:row>
      <xdr:rowOff>71437</xdr:rowOff>
    </xdr:from>
    <xdr:to>
      <xdr:col>17</xdr:col>
      <xdr:colOff>419100</xdr:colOff>
      <xdr:row>23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123825</xdr:colOff>
      <xdr:row>27</xdr:row>
      <xdr:rowOff>138112</xdr:rowOff>
    </xdr:from>
    <xdr:to>
      <xdr:col>17</xdr:col>
      <xdr:colOff>428625</xdr:colOff>
      <xdr:row>44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idential%20Floor%20Space/AHS/AHS_summary_results_1208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/commercial_indicators_073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evised%20FY04\Data\Fowler\transportation_indicator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3g086/My%20Documents/OIT/MECS98/98MEC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esidential%20Floor%20Space/startsal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_12/Industrial/ELECNEA_HAP_0628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_12/Industrial/ALLFOSNEA_HAP_0628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gr%20Energy%20Cons%20by%20Sector%201965-02_pnn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g_Statistical_Services_Survey_201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uel_Prices_paid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_2020/NonMan_output_data_010420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/Nonmanufacturing/Construction/Construction_energy_1025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S_tables"/>
      <sheetName val="Final Floorspace Estimates"/>
      <sheetName val="Wgted_Floorspace"/>
      <sheetName val="RECS_intensity_data"/>
      <sheetName val="Stock_85to95"/>
      <sheetName val="Compare_PWT"/>
      <sheetName val="Time_series"/>
      <sheetName val="Survival_curve"/>
      <sheetName val="Survival_curve_MF"/>
      <sheetName val="Survival_curve_MH"/>
      <sheetName val="Total_stock"/>
      <sheetName val="Total_stock_SF"/>
      <sheetName val="Total_stock_MF"/>
      <sheetName val="Total_stock_MH"/>
      <sheetName val="mhstabplcmnt"/>
      <sheetName val="Sheet4"/>
      <sheetName val="Comps Ann"/>
      <sheetName val="SFTotalMedAvgSqFt"/>
      <sheetName val="Compare_size"/>
      <sheetName val="Compare_FS"/>
      <sheetName val="RECS_4_adj"/>
      <sheetName val="Estimate"/>
      <sheetName val="RECS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ory"/>
      <sheetName val="General_inputs"/>
      <sheetName val="Commercial_Total"/>
      <sheetName val="Report_tables"/>
      <sheetName val="Regional_intensity (aggregate)"/>
      <sheetName val="Adjusted_Supplier_Data"/>
      <sheetName val="SEDS_CensusDiv"/>
      <sheetName val="AER09_Table2.1c"/>
      <sheetName val="AER10_Table2.1c"/>
      <sheetName val="Conversion_Factors"/>
      <sheetName val="Weather_factors_new"/>
      <sheetName val="Weather_factors_old"/>
      <sheetName val="CDD_by_Division10"/>
      <sheetName val="HDD_by_Division10"/>
      <sheetName val="Floorspace_estimates"/>
      <sheetName val="Regional_Floorspace"/>
      <sheetName val="Charts (www)"/>
      <sheetName val="Charts (other-not updated)"/>
    </sheetNames>
    <sheetDataSet>
      <sheetData sheetId="0"/>
      <sheetData sheetId="1">
        <row r="6">
          <cell r="F6">
            <v>1985</v>
          </cell>
          <cell r="M6">
            <v>37</v>
          </cell>
          <cell r="U6" t="str">
            <v>1985 = 1</v>
          </cell>
        </row>
        <row r="7">
          <cell r="F7">
            <v>1996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ory"/>
      <sheetName val="General_inputs"/>
      <sheetName val="Total_Transportation "/>
      <sheetName val="GPERS2000"/>
      <sheetName val="Charts (www)"/>
      <sheetName val="Passenger_Total"/>
      <sheetName val="Passenger-Highway"/>
      <sheetName val="Personal_vehicles"/>
      <sheetName val="Busses"/>
      <sheetName val="Passenger-Air"/>
      <sheetName val="Passenger-Rail"/>
      <sheetName val="Urban_Rail"/>
      <sheetName val="Freight_Total"/>
      <sheetName val="Freight-Trucks"/>
      <sheetName val="Pipelines"/>
      <sheetName val="GPERS"/>
      <sheetName val="Monthly_indicators"/>
      <sheetName val="Passenger-based Activity"/>
      <sheetName val="Passenger-based Energy Use"/>
      <sheetName val="Freight-based Activity"/>
      <sheetName val="Freight-based Energy Use"/>
      <sheetName val="FuelConsump"/>
      <sheetName val="Fuel Heat Content"/>
    </sheetNames>
    <sheetDataSet>
      <sheetData sheetId="0"/>
      <sheetData sheetId="1">
        <row r="16">
          <cell r="F16" t="str">
            <v>Delivered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  <sheetName val="Fuel"/>
      <sheetName val="1stUse"/>
      <sheetName val="Byprod"/>
      <sheetName val="EndUse"/>
      <sheetName val="Intensity"/>
      <sheetName val="Exp"/>
      <sheetName val="E_EGS"/>
      <sheetName val="Price"/>
      <sheetName val="NonFuel"/>
      <sheetName val="Offsite"/>
      <sheetName val="onsite"/>
      <sheetName val="sales"/>
      <sheetName val="elecdema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hNot Ann"/>
      <sheetName val="AuthNot"/>
      <sheetName val="AuthNot Percent Change"/>
      <sheetName val="ANS -Curr to Year ago % Change"/>
      <sheetName val="Authnot Prelim"/>
      <sheetName val="Authnot First"/>
      <sheetName val="Authnot Second"/>
      <sheetName val="StartsAnn"/>
      <sheetName val="StartsAnn Percent Change"/>
      <sheetName val="StartsUA "/>
      <sheetName val="StartsUA Prelim"/>
      <sheetName val="StartsUA First"/>
      <sheetName val="StartsUA Second"/>
      <sheetName val="StartsSA  "/>
      <sheetName val="StartsSA Percent Change"/>
      <sheetName val="ST -Curr to Year ago % Change "/>
      <sheetName val="StartsSA  Prelim"/>
      <sheetName val="StartsSA First"/>
      <sheetName val="StartsSA Second"/>
      <sheetName val="Starts Seas F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LECNEA"/>
    </sheetNames>
    <sheetDataSet>
      <sheetData sheetId="0"/>
      <sheetData sheetId="1">
        <row r="6">
          <cell r="C6">
            <v>4.2240000000000002</v>
          </cell>
        </row>
        <row r="27">
          <cell r="AI27">
            <v>46.924000000000007</v>
          </cell>
          <cell r="AJ27">
            <v>55.427000000000007</v>
          </cell>
          <cell r="AK27">
            <v>60.844999999999999</v>
          </cell>
          <cell r="AL27">
            <v>63.607000000000006</v>
          </cell>
          <cell r="AM27">
            <v>65.689000000000007</v>
          </cell>
          <cell r="AN27">
            <v>67.718000000000004</v>
          </cell>
          <cell r="AO27">
            <v>68.962999999999994</v>
          </cell>
          <cell r="AP27">
            <v>70.581000000000003</v>
          </cell>
          <cell r="AQ27">
            <v>73.766000000000005</v>
          </cell>
          <cell r="AR27">
            <v>76.298999999999992</v>
          </cell>
          <cell r="AS27">
            <v>80.513999999999996</v>
          </cell>
          <cell r="AT27">
            <v>86.722000000000008</v>
          </cell>
          <cell r="AU27">
            <v>91.995000000000005</v>
          </cell>
          <cell r="AV27">
            <v>97.228000000000009</v>
          </cell>
          <cell r="AW27">
            <v>92.242999999999995</v>
          </cell>
          <cell r="AX27">
            <v>95.317999999999998</v>
          </cell>
          <cell r="AY27">
            <v>93.320000000000007</v>
          </cell>
          <cell r="AZ27">
            <v>94.358000000000004</v>
          </cell>
          <cell r="BA27">
            <v>107.41199999999999</v>
          </cell>
          <cell r="BB27">
            <v>111.89500000000001</v>
          </cell>
          <cell r="BC27">
            <v>123.621</v>
          </cell>
          <cell r="BD27">
            <v>137.01499999999999</v>
          </cell>
          <cell r="BE27">
            <v>134.02799999999999</v>
          </cell>
          <cell r="BF27">
            <v>142.21899999999997</v>
          </cell>
          <cell r="BG27">
            <v>121.75799999999998</v>
          </cell>
          <cell r="BH27">
            <v>122.35599999999999</v>
          </cell>
          <cell r="BI27">
            <v>117.529</v>
          </cell>
          <cell r="BJ27">
            <v>111.55599999999998</v>
          </cell>
        </row>
        <row r="28">
          <cell r="AI28">
            <v>55.314999999999998</v>
          </cell>
          <cell r="AJ28">
            <v>58.414000000000001</v>
          </cell>
          <cell r="AK28">
            <v>64.259</v>
          </cell>
          <cell r="AL28">
            <v>66.432000000000002</v>
          </cell>
          <cell r="AM28">
            <v>70.551999999999992</v>
          </cell>
          <cell r="AN28">
            <v>75.835999999999999</v>
          </cell>
          <cell r="AO28">
            <v>80.210999999999999</v>
          </cell>
          <cell r="AP28">
            <v>88.477999999999994</v>
          </cell>
          <cell r="AQ28">
            <v>95.4</v>
          </cell>
          <cell r="AR28">
            <v>98.591999999999999</v>
          </cell>
          <cell r="AS28">
            <v>107.79900000000001</v>
          </cell>
          <cell r="AT28">
            <v>119.41</v>
          </cell>
          <cell r="AU28">
            <v>131.20499999999998</v>
          </cell>
          <cell r="AV28">
            <v>130.69800000000001</v>
          </cell>
          <cell r="AW28">
            <v>141.452</v>
          </cell>
          <cell r="AX28">
            <v>154.63800000000001</v>
          </cell>
          <cell r="AY28">
            <v>158.94799999999998</v>
          </cell>
          <cell r="AZ28">
            <v>159.58600000000001</v>
          </cell>
          <cell r="BA28">
            <v>172.33200000000002</v>
          </cell>
          <cell r="BB28">
            <v>177.48599999999999</v>
          </cell>
          <cell r="BC28">
            <v>202.84500000000003</v>
          </cell>
          <cell r="BD28">
            <v>225.501</v>
          </cell>
          <cell r="BE28">
            <v>231.92500000000001</v>
          </cell>
          <cell r="BF28">
            <v>243.953</v>
          </cell>
          <cell r="BG28">
            <v>230.67700000000002</v>
          </cell>
          <cell r="BH28">
            <v>241.96400000000003</v>
          </cell>
          <cell r="BI28">
            <v>265.29900000000004</v>
          </cell>
          <cell r="BJ28">
            <v>272.56799999999998</v>
          </cell>
        </row>
        <row r="29">
          <cell r="AI29">
            <v>21.358000000000001</v>
          </cell>
          <cell r="AJ29">
            <v>23.164999999999999</v>
          </cell>
          <cell r="AK29">
            <v>24.422000000000001</v>
          </cell>
          <cell r="AL29">
            <v>25.452000000000002</v>
          </cell>
          <cell r="AM29">
            <v>27.134999999999998</v>
          </cell>
          <cell r="AN29">
            <v>28.768999999999998</v>
          </cell>
          <cell r="AO29">
            <v>30.138999999999999</v>
          </cell>
          <cell r="AP29">
            <v>31.513000000000002</v>
          </cell>
          <cell r="AQ29">
            <v>32.277000000000001</v>
          </cell>
          <cell r="AR29">
            <v>32.483000000000004</v>
          </cell>
          <cell r="AS29">
            <v>32.826000000000001</v>
          </cell>
          <cell r="AT29">
            <v>33.270000000000003</v>
          </cell>
          <cell r="AU29">
            <v>33.298999999999999</v>
          </cell>
          <cell r="AV29">
            <v>34.319000000000003</v>
          </cell>
          <cell r="AW29">
            <v>35.679000000000002</v>
          </cell>
          <cell r="AX29">
            <v>38.140999999999998</v>
          </cell>
          <cell r="AY29">
            <v>41.178000000000004</v>
          </cell>
          <cell r="AZ29">
            <v>42.378999999999998</v>
          </cell>
          <cell r="BA29">
            <v>43.267000000000003</v>
          </cell>
          <cell r="BB29">
            <v>44.809000000000005</v>
          </cell>
          <cell r="BC29">
            <v>50.859000000000002</v>
          </cell>
          <cell r="BD29">
            <v>53.384</v>
          </cell>
          <cell r="BE29">
            <v>52.995999999999995</v>
          </cell>
          <cell r="BF29">
            <v>56.680999999999997</v>
          </cell>
          <cell r="BG29">
            <v>55.085000000000001</v>
          </cell>
          <cell r="BH29">
            <v>61.390999999999998</v>
          </cell>
          <cell r="BI29">
            <v>73.323000000000008</v>
          </cell>
          <cell r="BJ29">
            <v>77.944000000000017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FOS"/>
    </sheetNames>
    <sheetDataSet>
      <sheetData sheetId="0">
        <row r="6">
          <cell r="AD6">
            <v>45.786999999999999</v>
          </cell>
        </row>
        <row r="27">
          <cell r="AI27">
            <v>166.93199999999999</v>
          </cell>
          <cell r="AJ27">
            <v>178.07299999999998</v>
          </cell>
          <cell r="AK27">
            <v>196.69099999999997</v>
          </cell>
          <cell r="AL27">
            <v>216.501</v>
          </cell>
          <cell r="AM27">
            <v>233.75299999999999</v>
          </cell>
          <cell r="AN27">
            <v>252.57599999999999</v>
          </cell>
          <cell r="AO27">
            <v>276.67200000000003</v>
          </cell>
          <cell r="AP27">
            <v>288.11</v>
          </cell>
          <cell r="AQ27">
            <v>304.36900000000003</v>
          </cell>
          <cell r="AR27">
            <v>316.31299999999999</v>
          </cell>
          <cell r="AS27">
            <v>319.43800000000005</v>
          </cell>
          <cell r="AT27">
            <v>337.40999999999997</v>
          </cell>
          <cell r="AU27">
            <v>348.63100000000003</v>
          </cell>
          <cell r="AV27">
            <v>355.92899999999997</v>
          </cell>
          <cell r="AW27">
            <v>359.20299999999997</v>
          </cell>
          <cell r="AX27">
            <v>394.65299999999996</v>
          </cell>
          <cell r="AY27">
            <v>287.37899999999996</v>
          </cell>
          <cell r="AZ27">
            <v>313.37199999999996</v>
          </cell>
          <cell r="BA27">
            <v>373.68799999999999</v>
          </cell>
          <cell r="BB27">
            <v>322.18799999999999</v>
          </cell>
          <cell r="BC27">
            <v>410.92399999999998</v>
          </cell>
          <cell r="BD27">
            <v>320.77399999999994</v>
          </cell>
          <cell r="BE27">
            <v>269.39100000000002</v>
          </cell>
          <cell r="BF27">
            <v>237.63799999999998</v>
          </cell>
          <cell r="BG27">
            <v>249.25900000000001</v>
          </cell>
          <cell r="BH27">
            <v>215.2</v>
          </cell>
          <cell r="BI27">
            <v>217.19900000000001</v>
          </cell>
          <cell r="BJ27">
            <v>183.43600000000001</v>
          </cell>
        </row>
        <row r="28">
          <cell r="AI28">
            <v>418.90800000000002</v>
          </cell>
          <cell r="AJ28">
            <v>431.48900000000003</v>
          </cell>
          <cell r="AK28">
            <v>451.22199999999998</v>
          </cell>
          <cell r="AL28">
            <v>443.01499999999999</v>
          </cell>
          <cell r="AM28">
            <v>441.12500000000006</v>
          </cell>
          <cell r="AN28">
            <v>449.875</v>
          </cell>
          <cell r="AO28">
            <v>475.78300000000002</v>
          </cell>
          <cell r="AP28">
            <v>505.16399999999999</v>
          </cell>
          <cell r="AQ28">
            <v>536.62300000000005</v>
          </cell>
          <cell r="AR28">
            <v>530.41699999999992</v>
          </cell>
          <cell r="AS28">
            <v>554.80499999999995</v>
          </cell>
          <cell r="AT28">
            <v>589.67200000000003</v>
          </cell>
          <cell r="AU28">
            <v>618.94000000000005</v>
          </cell>
          <cell r="AV28">
            <v>613.71100000000001</v>
          </cell>
          <cell r="AW28">
            <v>645.05799999999999</v>
          </cell>
          <cell r="AX28">
            <v>706.14699999999993</v>
          </cell>
          <cell r="AY28">
            <v>721.36299999999994</v>
          </cell>
          <cell r="AZ28">
            <v>706.15499999999997</v>
          </cell>
          <cell r="BA28">
            <v>755.50400000000013</v>
          </cell>
          <cell r="BB28">
            <v>787.49600000000009</v>
          </cell>
          <cell r="BC28">
            <v>820.77</v>
          </cell>
          <cell r="BD28">
            <v>853.88400000000001</v>
          </cell>
          <cell r="BE28">
            <v>820.10900000000004</v>
          </cell>
          <cell r="BF28">
            <v>792.41800000000012</v>
          </cell>
          <cell r="BG28">
            <v>689.91</v>
          </cell>
          <cell r="BH28">
            <v>692.46899999999994</v>
          </cell>
          <cell r="BI28">
            <v>709.51</v>
          </cell>
          <cell r="BJ28">
            <v>683.00199999999995</v>
          </cell>
        </row>
        <row r="29">
          <cell r="AI29">
            <v>278.18800000000005</v>
          </cell>
          <cell r="AJ29">
            <v>302.089</v>
          </cell>
          <cell r="AK29">
            <v>285.36500000000001</v>
          </cell>
          <cell r="AL29">
            <v>287.95599999999996</v>
          </cell>
          <cell r="AM29">
            <v>300.08499999999998</v>
          </cell>
          <cell r="AN29">
            <v>293.14099999999996</v>
          </cell>
          <cell r="AO29">
            <v>297.46800000000002</v>
          </cell>
          <cell r="AP29">
            <v>301.82800000000003</v>
          </cell>
          <cell r="AQ29">
            <v>292.46600000000001</v>
          </cell>
          <cell r="AR29">
            <v>279.93400000000003</v>
          </cell>
          <cell r="AS29">
            <v>292.24200000000002</v>
          </cell>
          <cell r="AT29">
            <v>299.59899999999999</v>
          </cell>
          <cell r="AU29">
            <v>290.55399999999997</v>
          </cell>
          <cell r="AV29">
            <v>300.09299999999996</v>
          </cell>
          <cell r="AW29">
            <v>317.96699999999998</v>
          </cell>
          <cell r="AX29">
            <v>322.09000000000003</v>
          </cell>
          <cell r="AY29">
            <v>299.173</v>
          </cell>
          <cell r="AZ29">
            <v>284.67</v>
          </cell>
          <cell r="BA29">
            <v>302.26100000000002</v>
          </cell>
          <cell r="BB29">
            <v>319.34800000000001</v>
          </cell>
          <cell r="BC29">
            <v>327.43199999999996</v>
          </cell>
          <cell r="BD29">
            <v>308.35499999999996</v>
          </cell>
          <cell r="BE29">
            <v>312.80000000000007</v>
          </cell>
          <cell r="BF29">
            <v>326.71100000000001</v>
          </cell>
          <cell r="BG29">
            <v>292.04500000000002</v>
          </cell>
          <cell r="BH29">
            <v>278.983</v>
          </cell>
          <cell r="BI29">
            <v>330.44099999999997</v>
          </cell>
          <cell r="BJ29">
            <v>314.02800000000002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cht"/>
      <sheetName val="Area Cht"/>
      <sheetName val="D-ID Cht"/>
      <sheetName val="D-ID Cht2"/>
      <sheetName val="Forecasts"/>
      <sheetName val="Cons by Fuel"/>
      <sheetName val="Efficiency"/>
      <sheetName val="Cht Energy-Acre"/>
      <sheetName val="Ag Cons by Use"/>
      <sheetName val="Cons by Secto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5">
          <cell r="M5">
            <v>75708.364000000001</v>
          </cell>
        </row>
        <row r="6">
          <cell r="M6">
            <v>73990.880000000005</v>
          </cell>
        </row>
        <row r="7">
          <cell r="M7">
            <v>71999.191000000006</v>
          </cell>
        </row>
        <row r="8">
          <cell r="M8">
            <v>76012.373000000007</v>
          </cell>
        </row>
        <row r="9">
          <cell r="M9">
            <v>77999.554000000004</v>
          </cell>
        </row>
        <row r="10">
          <cell r="M10">
            <v>79986.376999999993</v>
          </cell>
        </row>
        <row r="11">
          <cell r="M11">
            <v>80903.216</v>
          </cell>
        </row>
        <row r="12">
          <cell r="M12">
            <v>78289.225000000006</v>
          </cell>
        </row>
        <row r="13">
          <cell r="M13">
            <v>76341.960000000006</v>
          </cell>
        </row>
        <row r="14">
          <cell r="M14">
            <v>73252.850999999995</v>
          </cell>
        </row>
        <row r="15">
          <cell r="M15">
            <v>73100.513999999996</v>
          </cell>
        </row>
        <row r="16">
          <cell r="M16">
            <v>76735.955000000002</v>
          </cell>
        </row>
        <row r="17">
          <cell r="M17">
            <v>76468.963000000003</v>
          </cell>
        </row>
        <row r="18">
          <cell r="M18">
            <v>76781.797000000006</v>
          </cell>
        </row>
        <row r="19">
          <cell r="M19">
            <v>79225.444000000003</v>
          </cell>
        </row>
        <row r="20">
          <cell r="M20">
            <v>82844.313999999998</v>
          </cell>
        </row>
        <row r="21">
          <cell r="M21">
            <v>84956.788</v>
          </cell>
        </row>
        <row r="22">
          <cell r="M22">
            <v>84667.854000000007</v>
          </cell>
        </row>
        <row r="23">
          <cell r="M23">
            <v>84595.436000000002</v>
          </cell>
        </row>
        <row r="24">
          <cell r="M24">
            <v>85948.645999999993</v>
          </cell>
        </row>
        <row r="25">
          <cell r="M25">
            <v>87577.676999999996</v>
          </cell>
        </row>
        <row r="26">
          <cell r="M26">
            <v>89248.217000000004</v>
          </cell>
        </row>
        <row r="27">
          <cell r="M27">
            <v>91221.471999999994</v>
          </cell>
        </row>
        <row r="28">
          <cell r="M28">
            <v>94224.116999999998</v>
          </cell>
        </row>
        <row r="29">
          <cell r="M29">
            <v>94727.191999999995</v>
          </cell>
        </row>
        <row r="30">
          <cell r="M30">
            <v>95146.150999999998</v>
          </cell>
        </row>
        <row r="31">
          <cell r="M31">
            <v>96773.87</v>
          </cell>
        </row>
        <row r="32">
          <cell r="M32">
            <v>98904.922000000006</v>
          </cell>
        </row>
        <row r="33">
          <cell r="M33">
            <v>96378.165999999997</v>
          </cell>
        </row>
        <row r="34">
          <cell r="M34">
            <v>98026.127999999997</v>
          </cell>
        </row>
        <row r="35">
          <cell r="M35">
            <v>98189.020999999993</v>
          </cell>
        </row>
      </sheetData>
      <sheetData sheetId="6" refreshError="1"/>
      <sheetData sheetId="7" refreshError="1"/>
      <sheetData sheetId="8"/>
      <sheetData sheetId="9">
        <row r="23">
          <cell r="AN23">
            <v>54017221</v>
          </cell>
        </row>
        <row r="24">
          <cell r="AN24">
            <v>57016543</v>
          </cell>
        </row>
        <row r="25">
          <cell r="AN25">
            <v>58908108</v>
          </cell>
        </row>
        <row r="26">
          <cell r="AN26">
            <v>62419391</v>
          </cell>
        </row>
        <row r="27">
          <cell r="AN27">
            <v>65620879</v>
          </cell>
        </row>
        <row r="28">
          <cell r="AN28">
            <v>67844161</v>
          </cell>
        </row>
        <row r="29">
          <cell r="AN29">
            <v>69288964</v>
          </cell>
        </row>
        <row r="30">
          <cell r="AN30">
            <v>72704267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_Table"/>
      <sheetName val="64D829BC-E3F1-3A3D-9B9E-0A0FCE4"/>
    </sheetNames>
    <sheetDataSet>
      <sheetData sheetId="0">
        <row r="33">
          <cell r="C33">
            <v>10400000000</v>
          </cell>
          <cell r="D33">
            <v>3100000000</v>
          </cell>
          <cell r="E33">
            <v>1400000000</v>
          </cell>
          <cell r="F33">
            <v>700000000</v>
          </cell>
        </row>
        <row r="34">
          <cell r="C34">
            <v>10900000000</v>
          </cell>
          <cell r="D34">
            <v>3000000000</v>
          </cell>
          <cell r="E34">
            <v>1760000000</v>
          </cell>
          <cell r="F34">
            <v>740000000</v>
          </cell>
        </row>
        <row r="35">
          <cell r="C35">
            <v>10600000000</v>
          </cell>
          <cell r="D35">
            <v>3100000000</v>
          </cell>
          <cell r="E35">
            <v>2050000000</v>
          </cell>
          <cell r="F35">
            <v>950000000</v>
          </cell>
        </row>
        <row r="36">
          <cell r="C36">
            <v>8000000000</v>
          </cell>
          <cell r="D36">
            <v>2300000000</v>
          </cell>
          <cell r="E36">
            <v>1350000000</v>
          </cell>
          <cell r="F36">
            <v>650000000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52D1D78-5A5A-3A33-98B3-01286CB"/>
    </sheetNames>
    <sheetDataSet>
      <sheetData sheetId="0">
        <row r="2">
          <cell r="T2">
            <v>2.2810000000000001</v>
          </cell>
        </row>
        <row r="3">
          <cell r="T3">
            <v>1.7270000000000001</v>
          </cell>
        </row>
        <row r="4">
          <cell r="T4">
            <v>1.69</v>
          </cell>
        </row>
        <row r="5">
          <cell r="T5">
            <v>1.466</v>
          </cell>
        </row>
        <row r="6">
          <cell r="T6">
            <v>1.21</v>
          </cell>
        </row>
        <row r="7">
          <cell r="T7">
            <v>1.21</v>
          </cell>
        </row>
        <row r="8">
          <cell r="T8">
            <v>0.92500000000000004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10"/>
      <sheetName val="Sheet4_pivot1"/>
      <sheetName val="Output_2005"/>
      <sheetName val="Piv_table_from_ind14 data (2016"/>
      <sheetName val="ind14_data_from_BLS"/>
      <sheetName val="Nonmanufacturing_BLS"/>
      <sheetName val="Sheet2"/>
      <sheetName val="NAICS_3D_pivot2"/>
      <sheetName val="Stubs"/>
      <sheetName val="ip_sa"/>
      <sheetName val="Indicators_NonMan_2018_BEA"/>
      <sheetName val="Indicators_Data_2011_update"/>
      <sheetName val="Compare_311a"/>
      <sheetName val="Compare_311"/>
      <sheetName val="Compare_313"/>
      <sheetName val="Compare_313a"/>
      <sheetName val="Compare_315"/>
      <sheetName val="Compare_321"/>
      <sheetName val="Compare_322"/>
      <sheetName val="Compare_323"/>
      <sheetName val="Compare_324"/>
      <sheetName val="Compare_325"/>
      <sheetName val="Compare_326"/>
      <sheetName val="Compare_327"/>
      <sheetName val="Compare_331"/>
      <sheetName val="Compare_332"/>
      <sheetName val="Compare_333"/>
      <sheetName val="Compare_334"/>
      <sheetName val="Compare_335"/>
      <sheetName val="Compare_336"/>
      <sheetName val="Compare_337"/>
      <sheetName val="Compare_339"/>
      <sheetName val="Compare_211"/>
      <sheetName val="Compare_212"/>
      <sheetName val="Compare_213"/>
      <sheetName val="Compare_Construction"/>
      <sheetName val="Compare_Farms"/>
      <sheetName val="Indicators_Data_revised_old"/>
      <sheetName val="Indicators_Data_revi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46358.753140000001</v>
          </cell>
          <cell r="S5">
            <v>202706.26569</v>
          </cell>
        </row>
        <row r="6">
          <cell r="G6">
            <v>48798.373960000004</v>
          </cell>
          <cell r="S6">
            <v>210569.29371</v>
          </cell>
        </row>
        <row r="7">
          <cell r="G7">
            <v>48796.884569999995</v>
          </cell>
          <cell r="S7">
            <v>216066.92165999999</v>
          </cell>
        </row>
        <row r="8">
          <cell r="G8">
            <v>48239.852710000006</v>
          </cell>
          <cell r="S8">
            <v>219868.60239000001</v>
          </cell>
        </row>
        <row r="9">
          <cell r="G9">
            <v>47170.470690000002</v>
          </cell>
          <cell r="S9">
            <v>207173.34198</v>
          </cell>
        </row>
        <row r="10">
          <cell r="G10">
            <v>56126.172759999994</v>
          </cell>
          <cell r="S10">
            <v>220517.76879</v>
          </cell>
        </row>
        <row r="11">
          <cell r="G11">
            <v>53413.993569999999</v>
          </cell>
          <cell r="S11">
            <v>224562.88691999999</v>
          </cell>
        </row>
        <row r="12">
          <cell r="G12">
            <v>56222.983110000008</v>
          </cell>
          <cell r="S12">
            <v>234568.16406000001</v>
          </cell>
        </row>
        <row r="13">
          <cell r="G13">
            <v>54087.197849999997</v>
          </cell>
          <cell r="S13">
            <v>245149.57638000001</v>
          </cell>
        </row>
        <row r="14">
          <cell r="G14">
            <v>59238.997860000003</v>
          </cell>
          <cell r="S14">
            <v>259820.73702</v>
          </cell>
        </row>
        <row r="15">
          <cell r="G15">
            <v>57551.518989999997</v>
          </cell>
          <cell r="S15">
            <v>248837.65299000003</v>
          </cell>
        </row>
        <row r="16">
          <cell r="G16">
            <v>76030.380720000001</v>
          </cell>
          <cell r="S16">
            <v>267586.39007999998</v>
          </cell>
        </row>
        <row r="17">
          <cell r="G17">
            <v>79710.663410000008</v>
          </cell>
          <cell r="S17">
            <v>271834.37270999997</v>
          </cell>
        </row>
        <row r="18">
          <cell r="G18">
            <v>55091.046709999995</v>
          </cell>
          <cell r="S18">
            <v>235752.89274000001</v>
          </cell>
        </row>
        <row r="19">
          <cell r="G19">
            <v>73502.885890000005</v>
          </cell>
          <cell r="S19">
            <v>270613.12841999996</v>
          </cell>
        </row>
        <row r="20">
          <cell r="G20">
            <v>87092.080249999999</v>
          </cell>
          <cell r="S20">
            <v>284521.51854000002</v>
          </cell>
        </row>
        <row r="21">
          <cell r="G21">
            <v>83325.412939999995</v>
          </cell>
          <cell r="S21">
            <v>279133.43742000003</v>
          </cell>
        </row>
        <row r="22">
          <cell r="G22">
            <v>84129.683539999998</v>
          </cell>
          <cell r="S22">
            <v>290290.98492000002</v>
          </cell>
        </row>
        <row r="23">
          <cell r="G23">
            <v>74804.61275</v>
          </cell>
          <cell r="S23">
            <v>278390.95334999997</v>
          </cell>
        </row>
        <row r="24">
          <cell r="G24">
            <v>84992.04035000001</v>
          </cell>
          <cell r="S24">
            <v>295180.01936999999</v>
          </cell>
        </row>
        <row r="25">
          <cell r="G25">
            <v>91733.019490000006</v>
          </cell>
          <cell r="S25">
            <v>308289.12336000003</v>
          </cell>
        </row>
        <row r="26">
          <cell r="G26">
            <v>92252.816600000006</v>
          </cell>
          <cell r="S26">
            <v>312606.07992000005</v>
          </cell>
        </row>
        <row r="27">
          <cell r="G27">
            <v>106556.91816</v>
          </cell>
          <cell r="S27">
            <v>328892.04197999998</v>
          </cell>
        </row>
        <row r="28">
          <cell r="G28">
            <v>94445.198680000016</v>
          </cell>
          <cell r="S28">
            <v>321207.53472000005</v>
          </cell>
        </row>
        <row r="29">
          <cell r="G29">
            <v>114336.00212999999</v>
          </cell>
          <cell r="S29">
            <v>350736.49133999995</v>
          </cell>
        </row>
        <row r="30">
          <cell r="G30">
            <v>91031.516799999998</v>
          </cell>
          <cell r="S30">
            <v>336552.20550000004</v>
          </cell>
        </row>
        <row r="31">
          <cell r="G31">
            <v>105326.68202000002</v>
          </cell>
          <cell r="S31">
            <v>343011.41118</v>
          </cell>
        </row>
        <row r="32">
          <cell r="G32">
            <v>118101.18005000001</v>
          </cell>
          <cell r="S32">
            <v>367172.57313000003</v>
          </cell>
        </row>
        <row r="33">
          <cell r="G33">
            <v>113962.16524</v>
          </cell>
          <cell r="S33">
            <v>369355.39515</v>
          </cell>
        </row>
        <row r="34">
          <cell r="G34">
            <v>116824.77282</v>
          </cell>
          <cell r="S34">
            <v>377782.38647999993</v>
          </cell>
        </row>
        <row r="35">
          <cell r="G35">
            <v>138243.69041000001</v>
          </cell>
          <cell r="S35">
            <v>382740.39486</v>
          </cell>
        </row>
        <row r="36">
          <cell r="G36">
            <v>128096.47633999999</v>
          </cell>
          <cell r="S36">
            <v>377664.72506999999</v>
          </cell>
        </row>
        <row r="37">
          <cell r="G37">
            <v>133544.66495999999</v>
          </cell>
          <cell r="S37">
            <v>376135.12674000004</v>
          </cell>
        </row>
        <row r="38">
          <cell r="G38">
            <v>145087.43745999999</v>
          </cell>
          <cell r="S38">
            <v>387138.49722000002</v>
          </cell>
        </row>
        <row r="39">
          <cell r="G39">
            <v>159781.7592</v>
          </cell>
          <cell r="S39">
            <v>398081.00835000002</v>
          </cell>
        </row>
        <row r="40">
          <cell r="G40">
            <v>168782.14296999999</v>
          </cell>
          <cell r="S40">
            <v>400795.33536000008</v>
          </cell>
        </row>
        <row r="41">
          <cell r="G41">
            <v>165515.91069999998</v>
          </cell>
          <cell r="S41">
            <v>403379.82909000001</v>
          </cell>
        </row>
        <row r="42">
          <cell r="G42">
            <v>144581.04485999999</v>
          </cell>
          <cell r="S42">
            <v>404787.70872</v>
          </cell>
        </row>
        <row r="43">
          <cell r="G43">
            <v>148472.82093000002</v>
          </cell>
          <cell r="S43">
            <v>396137.56644000002</v>
          </cell>
        </row>
        <row r="44">
          <cell r="G44">
            <v>170704.94546000002</v>
          </cell>
          <cell r="S44">
            <v>415287.97524</v>
          </cell>
        </row>
        <row r="45">
          <cell r="G45">
            <v>165054.1998</v>
          </cell>
          <cell r="S45">
            <v>416131.89155999996</v>
          </cell>
        </row>
        <row r="46">
          <cell r="G46">
            <v>157495.54555000001</v>
          </cell>
          <cell r="S46">
            <v>402191.04311999999</v>
          </cell>
        </row>
        <row r="47">
          <cell r="G47">
            <v>148939</v>
          </cell>
          <cell r="S47">
            <v>405729</v>
          </cell>
        </row>
        <row r="48">
          <cell r="G48">
            <v>179818.52287000002</v>
          </cell>
          <cell r="S48">
            <v>431362.95821999997</v>
          </cell>
        </row>
        <row r="49">
          <cell r="G49">
            <v>181611.74842999998</v>
          </cell>
          <cell r="S49">
            <v>442589.47964999999</v>
          </cell>
        </row>
        <row r="50">
          <cell r="G50">
            <v>194396.67218999998</v>
          </cell>
          <cell r="S50">
            <v>449381.38311</v>
          </cell>
        </row>
        <row r="51">
          <cell r="G51">
            <v>205786.03752000001</v>
          </cell>
          <cell r="S51">
            <v>470698.38477000006</v>
          </cell>
        </row>
        <row r="52">
          <cell r="G52">
            <v>202291.92858000001</v>
          </cell>
          <cell r="S52">
            <v>477445.65804000001</v>
          </cell>
        </row>
        <row r="53">
          <cell r="G53">
            <v>196480.32879999999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A_Data"/>
      <sheetName val="Construction"/>
      <sheetName val="Report_tables"/>
      <sheetName val="Intensity_estimates"/>
      <sheetName val="stb0303"/>
      <sheetName val="stb0304"/>
      <sheetName val="stb0523"/>
      <sheetName val="stb0524"/>
      <sheetName val="Petroleum_prices"/>
    </sheetNames>
    <sheetDataSet>
      <sheetData sheetId="0"/>
      <sheetData sheetId="1"/>
      <sheetData sheetId="2"/>
      <sheetData sheetId="3">
        <row r="6">
          <cell r="W6">
            <v>34.75937937261768</v>
          </cell>
        </row>
      </sheetData>
      <sheetData sheetId="4">
        <row r="19">
          <cell r="E19">
            <v>3.11</v>
          </cell>
          <cell r="L19">
            <v>2.14</v>
          </cell>
        </row>
        <row r="20">
          <cell r="E20">
            <v>3.26</v>
          </cell>
          <cell r="L20">
            <v>2.08</v>
          </cell>
        </row>
        <row r="21">
          <cell r="E21">
            <v>4.6900000000000004</v>
          </cell>
          <cell r="L21">
            <v>2.83</v>
          </cell>
        </row>
        <row r="22">
          <cell r="E22">
            <v>6.7</v>
          </cell>
          <cell r="L22">
            <v>3.88</v>
          </cell>
        </row>
        <row r="23">
          <cell r="E23">
            <v>8.0299999999999994</v>
          </cell>
          <cell r="L23">
            <v>4.91</v>
          </cell>
        </row>
        <row r="24">
          <cell r="E24">
            <v>7.78</v>
          </cell>
          <cell r="L24">
            <v>4.6500000000000004</v>
          </cell>
        </row>
        <row r="25">
          <cell r="E25">
            <v>7.32</v>
          </cell>
          <cell r="L25">
            <v>4.5</v>
          </cell>
        </row>
        <row r="26">
          <cell r="E26">
            <v>7.37</v>
          </cell>
          <cell r="L26">
            <v>4.75</v>
          </cell>
        </row>
        <row r="27">
          <cell r="E27">
            <v>7.22</v>
          </cell>
          <cell r="L27">
            <v>4.3</v>
          </cell>
        </row>
        <row r="28">
          <cell r="E28">
            <v>5.68</v>
          </cell>
          <cell r="L28">
            <v>2.37</v>
          </cell>
        </row>
        <row r="29">
          <cell r="E29">
            <v>5.97</v>
          </cell>
          <cell r="L29">
            <v>2.86</v>
          </cell>
        </row>
        <row r="30">
          <cell r="E30">
            <v>5.83</v>
          </cell>
          <cell r="L30">
            <v>2.35</v>
          </cell>
        </row>
        <row r="31">
          <cell r="E31">
            <v>6.43</v>
          </cell>
          <cell r="L31">
            <v>2.72</v>
          </cell>
        </row>
        <row r="32">
          <cell r="E32">
            <v>7.68</v>
          </cell>
          <cell r="L32">
            <v>3.17</v>
          </cell>
        </row>
        <row r="33">
          <cell r="E33">
            <v>7.29</v>
          </cell>
          <cell r="L33">
            <v>2.62</v>
          </cell>
        </row>
        <row r="34">
          <cell r="E34">
            <v>7.09</v>
          </cell>
          <cell r="L34">
            <v>2.2799999999999998</v>
          </cell>
        </row>
        <row r="35">
          <cell r="E35">
            <v>7.08</v>
          </cell>
          <cell r="L35">
            <v>2.2599999999999998</v>
          </cell>
        </row>
        <row r="36">
          <cell r="E36">
            <v>6.99</v>
          </cell>
          <cell r="L36">
            <v>2.3199999999999998</v>
          </cell>
        </row>
        <row r="37">
          <cell r="E37">
            <v>6.98</v>
          </cell>
          <cell r="L37">
            <v>2.46</v>
          </cell>
        </row>
        <row r="38">
          <cell r="E38">
            <v>7.87</v>
          </cell>
          <cell r="L38">
            <v>2.8</v>
          </cell>
        </row>
        <row r="39">
          <cell r="E39">
            <v>7.66</v>
          </cell>
          <cell r="L39">
            <v>2.93</v>
          </cell>
        </row>
        <row r="40">
          <cell r="E40">
            <v>6.57</v>
          </cell>
          <cell r="L40">
            <v>2.15</v>
          </cell>
        </row>
        <row r="41">
          <cell r="E41">
            <v>7.19</v>
          </cell>
          <cell r="L41">
            <v>2.5099999999999998</v>
          </cell>
        </row>
        <row r="42">
          <cell r="E42">
            <v>9.86</v>
          </cell>
          <cell r="L42">
            <v>4.32</v>
          </cell>
        </row>
        <row r="43">
          <cell r="E43">
            <v>9.18</v>
          </cell>
          <cell r="L43">
            <v>3.99</v>
          </cell>
        </row>
        <row r="44">
          <cell r="E44">
            <v>8.64</v>
          </cell>
          <cell r="L44">
            <v>3.91</v>
          </cell>
        </row>
        <row r="45">
          <cell r="E45">
            <v>10.050000000000001</v>
          </cell>
          <cell r="L45">
            <v>4.75</v>
          </cell>
        </row>
        <row r="46">
          <cell r="E46">
            <v>12.23</v>
          </cell>
          <cell r="L46">
            <v>4.92</v>
          </cell>
        </row>
        <row r="47">
          <cell r="E47">
            <v>16.41</v>
          </cell>
          <cell r="L47">
            <v>6.65</v>
          </cell>
        </row>
        <row r="48">
          <cell r="E48">
            <v>18.55</v>
          </cell>
          <cell r="L48">
            <v>7.93</v>
          </cell>
        </row>
        <row r="49">
          <cell r="E49">
            <v>19.87</v>
          </cell>
          <cell r="L49">
            <v>8.57</v>
          </cell>
        </row>
        <row r="50">
          <cell r="E50">
            <v>26.33</v>
          </cell>
          <cell r="L50">
            <v>12.64</v>
          </cell>
        </row>
        <row r="51">
          <cell r="E51">
            <v>16.98</v>
          </cell>
          <cell r="L51">
            <v>9.69</v>
          </cell>
        </row>
        <row r="52">
          <cell r="L52"/>
        </row>
      </sheetData>
      <sheetData sheetId="5"/>
      <sheetData sheetId="6">
        <row r="4">
          <cell r="Z4">
            <v>0.68500000000000005</v>
          </cell>
          <cell r="AA4">
            <v>0.628</v>
          </cell>
          <cell r="AB4">
            <v>0.35799999999999998</v>
          </cell>
          <cell r="AD4">
            <v>5.5009560229445507</v>
          </cell>
          <cell r="AE4">
            <v>4.5280686695278973</v>
          </cell>
          <cell r="AF4">
            <v>2.3916017178304436</v>
          </cell>
        </row>
        <row r="5">
          <cell r="Z5">
            <v>0.71399999999999997</v>
          </cell>
          <cell r="AA5">
            <v>0.63600000000000001</v>
          </cell>
          <cell r="AB5">
            <v>0.39700000000000002</v>
          </cell>
          <cell r="AD5">
            <v>5.7338432122370921</v>
          </cell>
          <cell r="AE5">
            <v>4.5857510729613731</v>
          </cell>
          <cell r="AF5">
            <v>2.652139335135995</v>
          </cell>
        </row>
        <row r="6">
          <cell r="Z6">
            <v>0.80100000000000005</v>
          </cell>
          <cell r="AA6">
            <v>0.75700000000000001</v>
          </cell>
          <cell r="AB6">
            <v>0.46400000000000002</v>
          </cell>
          <cell r="AD6">
            <v>6.4325047801147219</v>
          </cell>
          <cell r="AE6">
            <v>5.4581974248927043</v>
          </cell>
          <cell r="AF6">
            <v>3.0997296007634803</v>
          </cell>
        </row>
        <row r="7">
          <cell r="Z7">
            <v>0.78500000000000003</v>
          </cell>
          <cell r="AA7">
            <v>0.71399999999999997</v>
          </cell>
          <cell r="AB7">
            <v>0.42899999999999999</v>
          </cell>
          <cell r="AD7">
            <v>6.3040152963671128</v>
          </cell>
          <cell r="AE7">
            <v>5.1481545064377681</v>
          </cell>
          <cell r="AF7">
            <v>2.8659137903610628</v>
          </cell>
        </row>
        <row r="8">
          <cell r="Z8">
            <v>0.61</v>
          </cell>
          <cell r="AA8">
            <v>0.56200000000000006</v>
          </cell>
          <cell r="AB8">
            <v>0.311</v>
          </cell>
          <cell r="AD8">
            <v>4.8986615678776291</v>
          </cell>
          <cell r="AE8">
            <v>4.0521888412017173</v>
          </cell>
          <cell r="AF8">
            <v>2.0776204867186259</v>
          </cell>
        </row>
        <row r="9">
          <cell r="Z9">
            <v>0.70799999999999996</v>
          </cell>
          <cell r="AA9">
            <v>0.65400000000000003</v>
          </cell>
          <cell r="AB9">
            <v>0.378</v>
          </cell>
          <cell r="AD9">
            <v>5.6856596558317385</v>
          </cell>
          <cell r="AE9">
            <v>4.7155364806866951</v>
          </cell>
          <cell r="AF9">
            <v>2.5252107523461111</v>
          </cell>
        </row>
        <row r="10">
          <cell r="Z10">
            <v>1.044</v>
          </cell>
          <cell r="AA10">
            <v>1.006</v>
          </cell>
          <cell r="AB10">
            <v>0.60899999999999999</v>
          </cell>
          <cell r="AD10">
            <v>8.3839388145315485</v>
          </cell>
          <cell r="AE10">
            <v>7.2535622317596564</v>
          </cell>
          <cell r="AF10">
            <v>4.0683951010020678</v>
          </cell>
        </row>
        <row r="11">
          <cell r="Z11">
            <v>0.96799999999999997</v>
          </cell>
          <cell r="AA11">
            <v>0.91200000000000003</v>
          </cell>
          <cell r="AB11">
            <v>0.53300000000000003</v>
          </cell>
          <cell r="AD11">
            <v>7.7736137667304002</v>
          </cell>
          <cell r="AE11">
            <v>6.575793991416309</v>
          </cell>
          <cell r="AF11">
            <v>3.5606807698425329</v>
          </cell>
        </row>
        <row r="12">
          <cell r="Z12">
            <v>0.90100000000000002</v>
          </cell>
          <cell r="AA12">
            <v>0.83699999999999997</v>
          </cell>
          <cell r="AB12">
            <v>0.56100000000000005</v>
          </cell>
          <cell r="AD12">
            <v>7.235564053537284</v>
          </cell>
          <cell r="AE12">
            <v>6.035021459227468</v>
          </cell>
          <cell r="AF12">
            <v>3.7477334181644668</v>
          </cell>
        </row>
        <row r="13">
          <cell r="Z13">
            <v>1.0820000000000001</v>
          </cell>
          <cell r="AA13">
            <v>1.008</v>
          </cell>
          <cell r="AB13">
            <v>0.69599999999999995</v>
          </cell>
          <cell r="AD13">
            <v>8.6891013384321223</v>
          </cell>
          <cell r="AE13">
            <v>7.267982832618026</v>
          </cell>
          <cell r="AF13">
            <v>4.6495944011452197</v>
          </cell>
        </row>
        <row r="14">
          <cell r="Z14">
            <v>1.373</v>
          </cell>
          <cell r="AA14">
            <v>1.3160000000000001</v>
          </cell>
          <cell r="AB14">
            <v>0.72499999999999998</v>
          </cell>
          <cell r="AD14">
            <v>11.026003824091777</v>
          </cell>
          <cell r="AE14">
            <v>9.4887553648068668</v>
          </cell>
          <cell r="AF14">
            <v>4.8433275011929382</v>
          </cell>
        </row>
        <row r="15">
          <cell r="Z15">
            <v>1.7889999999999999</v>
          </cell>
          <cell r="AA15">
            <v>1.8859999999999999</v>
          </cell>
          <cell r="AB15">
            <v>1.0409999999999999</v>
          </cell>
          <cell r="AD15">
            <v>14.366730401529635</v>
          </cell>
          <cell r="AE15">
            <v>13.598626609442059</v>
          </cell>
          <cell r="AF15">
            <v>6.9543502465404803</v>
          </cell>
        </row>
        <row r="16">
          <cell r="Z16">
            <v>2.073</v>
          </cell>
          <cell r="AA16">
            <v>2.165</v>
          </cell>
          <cell r="AB16">
            <v>1.212</v>
          </cell>
          <cell r="AD16">
            <v>16.647418738049712</v>
          </cell>
          <cell r="AE16">
            <v>15.610300429184548</v>
          </cell>
          <cell r="AF16">
            <v>8.0967074916494362</v>
          </cell>
        </row>
        <row r="17">
          <cell r="Z17">
            <v>2.2970000000000002</v>
          </cell>
          <cell r="AA17">
            <v>2.3479999999999999</v>
          </cell>
          <cell r="AB17">
            <v>1.3759999999999999</v>
          </cell>
          <cell r="AD17">
            <v>18.446271510516254</v>
          </cell>
          <cell r="AE17">
            <v>16.929785407725319</v>
          </cell>
          <cell r="AF17">
            <v>9.1923015746779058</v>
          </cell>
        </row>
        <row r="18">
          <cell r="Z18">
            <v>2.7309999999999999</v>
          </cell>
          <cell r="AA18">
            <v>3.23</v>
          </cell>
          <cell r="AB18">
            <v>1.944</v>
          </cell>
          <cell r="AD18">
            <v>21.931548757170169</v>
          </cell>
          <cell r="AE18">
            <v>23.289270386266089</v>
          </cell>
          <cell r="AF18">
            <v>12.986798154922855</v>
          </cell>
        </row>
        <row r="19">
          <cell r="Z19">
            <v>1.8420000000000001</v>
          </cell>
          <cell r="AA19">
            <v>1.9179999999999999</v>
          </cell>
          <cell r="AB19">
            <v>1.34</v>
          </cell>
          <cell r="AD19">
            <v>14.792351816443595</v>
          </cell>
          <cell r="AE19">
            <v>13.829356223175964</v>
          </cell>
          <cell r="AF19">
            <v>8.9518053125497055</v>
          </cell>
        </row>
        <row r="20">
          <cell r="Z20">
            <v>2.2669999999999999</v>
          </cell>
          <cell r="AA20">
            <v>2.415</v>
          </cell>
          <cell r="AB20">
            <v>1.7290000000000001</v>
          </cell>
          <cell r="AD20">
            <v>18.205353728489481</v>
          </cell>
          <cell r="AE20">
            <v>17.412875536480687</v>
          </cell>
          <cell r="AF20">
            <v>11.550501033879435</v>
          </cell>
        </row>
        <row r="21">
          <cell r="Z21">
            <v>3.0049326379834849</v>
          </cell>
          <cell r="AA21">
            <v>3.2530488331892826</v>
          </cell>
          <cell r="AD21">
            <v>24.1313902094276</v>
          </cell>
          <cell r="AE21">
            <v>23.455459398102981</v>
          </cell>
        </row>
        <row r="22">
          <cell r="Z22">
            <v>3.1073959148196431</v>
          </cell>
          <cell r="AA22">
            <v>3.3417588591184093</v>
          </cell>
          <cell r="AD22">
            <v>24.954231055913002</v>
          </cell>
          <cell r="AE22">
            <v>24.095085336132737</v>
          </cell>
        </row>
        <row r="23">
          <cell r="Z23">
            <v>2.9048952483232866</v>
          </cell>
          <cell r="AA23">
            <v>3.2582670700086425</v>
          </cell>
          <cell r="AD23">
            <v>23.328030674871517</v>
          </cell>
          <cell r="AE23">
            <v>23.493084453281199</v>
          </cell>
        </row>
        <row r="24">
          <cell r="Z24">
            <v>2.7200642617130151</v>
          </cell>
          <cell r="AA24">
            <v>3.0505812445980984</v>
          </cell>
          <cell r="AD24">
            <v>21.843728296739314</v>
          </cell>
          <cell r="AE24">
            <v>21.995607257188006</v>
          </cell>
        </row>
      </sheetData>
      <sheetData sheetId="7">
        <row r="37">
          <cell r="D37">
            <v>0.65600000000000003</v>
          </cell>
        </row>
        <row r="38">
          <cell r="D38">
            <v>0.67</v>
          </cell>
        </row>
        <row r="39">
          <cell r="D39">
            <v>0.90300000000000002</v>
          </cell>
        </row>
        <row r="40">
          <cell r="D40">
            <v>1.2450000000000001</v>
          </cell>
        </row>
        <row r="41">
          <cell r="D41">
            <v>1.3779999999999999</v>
          </cell>
        </row>
        <row r="42">
          <cell r="D42">
            <v>1.296</v>
          </cell>
        </row>
        <row r="43">
          <cell r="D43">
            <v>1.2410000000000001</v>
          </cell>
        </row>
        <row r="44">
          <cell r="D44">
            <v>1.212</v>
          </cell>
        </row>
        <row r="45">
          <cell r="D45">
            <v>1.202</v>
          </cell>
        </row>
        <row r="46">
          <cell r="D46">
            <v>0.92700000000000005</v>
          </cell>
        </row>
        <row r="47">
          <cell r="D47">
            <v>0.94799999999999995</v>
          </cell>
        </row>
        <row r="48">
          <cell r="D48">
            <v>0.94599999999999995</v>
          </cell>
        </row>
        <row r="49">
          <cell r="D49">
            <v>1.0209999999999999</v>
          </cell>
        </row>
        <row r="50">
          <cell r="D50">
            <v>1.1639999999999999</v>
          </cell>
        </row>
        <row r="51">
          <cell r="D51">
            <v>1.1399999999999999</v>
          </cell>
        </row>
        <row r="52">
          <cell r="D52">
            <v>1.127</v>
          </cell>
        </row>
        <row r="53">
          <cell r="D53">
            <v>1.1080000000000001</v>
          </cell>
        </row>
        <row r="54">
          <cell r="D54">
            <v>1.1120000000000001</v>
          </cell>
        </row>
        <row r="55">
          <cell r="D55">
            <v>1.147</v>
          </cell>
        </row>
        <row r="56">
          <cell r="D56">
            <v>1.2310000000000001</v>
          </cell>
        </row>
        <row r="57">
          <cell r="D57">
            <v>1.234</v>
          </cell>
        </row>
        <row r="58">
          <cell r="D58">
            <v>1.0589999999999999</v>
          </cell>
        </row>
        <row r="59">
          <cell r="D59">
            <v>1.165</v>
          </cell>
        </row>
        <row r="60">
          <cell r="D60">
            <v>1.51</v>
          </cell>
        </row>
        <row r="61">
          <cell r="D61">
            <v>1.4610000000000001</v>
          </cell>
        </row>
        <row r="62">
          <cell r="D62">
            <v>1.3580000000000001</v>
          </cell>
        </row>
        <row r="63">
          <cell r="D63">
            <v>1.591</v>
          </cell>
        </row>
        <row r="64">
          <cell r="D64">
            <v>1.88</v>
          </cell>
        </row>
        <row r="65">
          <cell r="D65">
            <v>2.2949999999999999</v>
          </cell>
        </row>
        <row r="66">
          <cell r="D66">
            <v>2.589</v>
          </cell>
        </row>
        <row r="67">
          <cell r="D67">
            <v>2.8010000000000002</v>
          </cell>
        </row>
        <row r="68">
          <cell r="D68">
            <v>3.266</v>
          </cell>
        </row>
        <row r="69">
          <cell r="D69">
            <v>2.35</v>
          </cell>
        </row>
        <row r="70">
          <cell r="D70">
            <v>2.7879999999999998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uickstats.nass.usda.gov/results/06763638-EB97-3879-AAF6-214CF147AED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www.eia.gov/state/seds/seds-data-complete.cf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://www.eia.gov/state/seds/seds-data-complete.cf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petroleu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://www.eia.gov/petroleu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://www.eia.gov/petroleu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AG38"/>
  <sheetViews>
    <sheetView topLeftCell="V1" workbookViewId="0">
      <selection activeCell="AG5" sqref="AG5"/>
    </sheetView>
  </sheetViews>
  <sheetFormatPr defaultRowHeight="12.75" x14ac:dyDescent="0.2"/>
  <cols>
    <col min="5" max="5" width="11.28515625" customWidth="1"/>
  </cols>
  <sheetData>
    <row r="4" spans="4:33" x14ac:dyDescent="0.2">
      <c r="F4">
        <v>1958</v>
      </c>
      <c r="G4">
        <f>F4+1</f>
        <v>1959</v>
      </c>
      <c r="H4">
        <f t="shared" ref="H4:AG4" si="0">G4+1</f>
        <v>1960</v>
      </c>
      <c r="I4">
        <f t="shared" si="0"/>
        <v>1961</v>
      </c>
      <c r="J4">
        <f t="shared" si="0"/>
        <v>1962</v>
      </c>
      <c r="K4">
        <f t="shared" si="0"/>
        <v>1963</v>
      </c>
      <c r="L4">
        <f t="shared" si="0"/>
        <v>1964</v>
      </c>
      <c r="M4">
        <f t="shared" si="0"/>
        <v>1965</v>
      </c>
      <c r="N4">
        <f t="shared" si="0"/>
        <v>1966</v>
      </c>
      <c r="O4">
        <f t="shared" si="0"/>
        <v>1967</v>
      </c>
      <c r="P4">
        <f t="shared" si="0"/>
        <v>1968</v>
      </c>
      <c r="Q4">
        <f t="shared" si="0"/>
        <v>1969</v>
      </c>
      <c r="R4">
        <f t="shared" si="0"/>
        <v>1970</v>
      </c>
      <c r="S4">
        <f t="shared" si="0"/>
        <v>1971</v>
      </c>
      <c r="T4">
        <f t="shared" si="0"/>
        <v>1972</v>
      </c>
      <c r="U4">
        <f t="shared" si="0"/>
        <v>1973</v>
      </c>
      <c r="V4">
        <f t="shared" si="0"/>
        <v>1974</v>
      </c>
      <c r="W4">
        <f t="shared" si="0"/>
        <v>1975</v>
      </c>
      <c r="X4">
        <f t="shared" si="0"/>
        <v>1976</v>
      </c>
      <c r="Y4">
        <f t="shared" si="0"/>
        <v>1977</v>
      </c>
      <c r="Z4">
        <f t="shared" si="0"/>
        <v>1978</v>
      </c>
      <c r="AA4">
        <f t="shared" si="0"/>
        <v>1979</v>
      </c>
      <c r="AB4">
        <f t="shared" si="0"/>
        <v>1980</v>
      </c>
      <c r="AC4">
        <f t="shared" si="0"/>
        <v>1981</v>
      </c>
      <c r="AD4">
        <f t="shared" si="0"/>
        <v>1982</v>
      </c>
      <c r="AE4">
        <f t="shared" si="0"/>
        <v>1983</v>
      </c>
      <c r="AF4">
        <f t="shared" si="0"/>
        <v>1984</v>
      </c>
      <c r="AG4">
        <f t="shared" si="0"/>
        <v>1985</v>
      </c>
    </row>
    <row r="5" spans="4:33" x14ac:dyDescent="0.2">
      <c r="D5" t="s">
        <v>0</v>
      </c>
      <c r="E5" t="s">
        <v>1</v>
      </c>
      <c r="F5">
        <f>[6]ELECNEA!AI27</f>
        <v>46.924000000000007</v>
      </c>
      <c r="G5">
        <f>[6]ELECNEA!AJ27</f>
        <v>55.427000000000007</v>
      </c>
      <c r="H5">
        <f>[6]ELECNEA!AK27</f>
        <v>60.844999999999999</v>
      </c>
      <c r="I5">
        <f>[6]ELECNEA!AL27</f>
        <v>63.607000000000006</v>
      </c>
      <c r="J5">
        <f>[6]ELECNEA!AM27</f>
        <v>65.689000000000007</v>
      </c>
      <c r="K5">
        <f>[6]ELECNEA!AN27</f>
        <v>67.718000000000004</v>
      </c>
      <c r="L5">
        <f>[6]ELECNEA!AO27</f>
        <v>68.962999999999994</v>
      </c>
      <c r="M5">
        <f>[6]ELECNEA!AP27</f>
        <v>70.581000000000003</v>
      </c>
      <c r="N5">
        <f>[6]ELECNEA!AQ27</f>
        <v>73.766000000000005</v>
      </c>
      <c r="O5">
        <f>[6]ELECNEA!AR27</f>
        <v>76.298999999999992</v>
      </c>
      <c r="P5">
        <f>[6]ELECNEA!AS27</f>
        <v>80.513999999999996</v>
      </c>
      <c r="Q5">
        <f>[6]ELECNEA!AT27</f>
        <v>86.722000000000008</v>
      </c>
      <c r="R5">
        <f>[6]ELECNEA!AU27</f>
        <v>91.995000000000005</v>
      </c>
      <c r="S5">
        <f>[6]ELECNEA!AV27</f>
        <v>97.228000000000009</v>
      </c>
      <c r="T5">
        <f>[6]ELECNEA!AW27</f>
        <v>92.242999999999995</v>
      </c>
      <c r="U5">
        <f>[6]ELECNEA!AX27</f>
        <v>95.317999999999998</v>
      </c>
      <c r="V5">
        <f>[6]ELECNEA!AY27</f>
        <v>93.320000000000007</v>
      </c>
      <c r="W5">
        <f>[6]ELECNEA!AZ27</f>
        <v>94.358000000000004</v>
      </c>
      <c r="X5">
        <f>[6]ELECNEA!BA27</f>
        <v>107.41199999999999</v>
      </c>
      <c r="Y5">
        <f>[6]ELECNEA!BB27</f>
        <v>111.89500000000001</v>
      </c>
      <c r="Z5">
        <f>[6]ELECNEA!BC27</f>
        <v>123.621</v>
      </c>
      <c r="AA5">
        <f>[6]ELECNEA!BD27</f>
        <v>137.01499999999999</v>
      </c>
      <c r="AB5">
        <f>[6]ELECNEA!BE27</f>
        <v>134.02799999999999</v>
      </c>
      <c r="AC5">
        <f>[6]ELECNEA!BF27</f>
        <v>142.21899999999997</v>
      </c>
      <c r="AD5">
        <f>[6]ELECNEA!BG27</f>
        <v>121.75799999999998</v>
      </c>
      <c r="AE5">
        <f>[6]ELECNEA!BH27</f>
        <v>122.35599999999999</v>
      </c>
      <c r="AF5">
        <f>[6]ELECNEA!BI27</f>
        <v>117.529</v>
      </c>
      <c r="AG5">
        <f>[6]ELECNEA!BJ27</f>
        <v>111.55599999999998</v>
      </c>
    </row>
    <row r="6" spans="4:33" x14ac:dyDescent="0.2">
      <c r="E6" t="s">
        <v>2</v>
      </c>
      <c r="F6">
        <f>[6]ELECNEA!AI28</f>
        <v>55.314999999999998</v>
      </c>
      <c r="G6">
        <f>[6]ELECNEA!AJ28</f>
        <v>58.414000000000001</v>
      </c>
      <c r="H6">
        <f>[6]ELECNEA!AK28</f>
        <v>64.259</v>
      </c>
      <c r="I6">
        <f>[6]ELECNEA!AL28</f>
        <v>66.432000000000002</v>
      </c>
      <c r="J6">
        <f>[6]ELECNEA!AM28</f>
        <v>70.551999999999992</v>
      </c>
      <c r="K6">
        <f>[6]ELECNEA!AN28</f>
        <v>75.835999999999999</v>
      </c>
      <c r="L6">
        <f>[6]ELECNEA!AO28</f>
        <v>80.210999999999999</v>
      </c>
      <c r="M6">
        <f>[6]ELECNEA!AP28</f>
        <v>88.477999999999994</v>
      </c>
      <c r="N6">
        <f>[6]ELECNEA!AQ28</f>
        <v>95.4</v>
      </c>
      <c r="O6">
        <f>[6]ELECNEA!AR28</f>
        <v>98.591999999999999</v>
      </c>
      <c r="P6">
        <f>[6]ELECNEA!AS28</f>
        <v>107.79900000000001</v>
      </c>
      <c r="Q6">
        <f>[6]ELECNEA!AT28</f>
        <v>119.41</v>
      </c>
      <c r="R6">
        <f>[6]ELECNEA!AU28</f>
        <v>131.20499999999998</v>
      </c>
      <c r="S6">
        <f>[6]ELECNEA!AV28</f>
        <v>130.69800000000001</v>
      </c>
      <c r="T6">
        <f>[6]ELECNEA!AW28</f>
        <v>141.452</v>
      </c>
      <c r="U6">
        <f>[6]ELECNEA!AX28</f>
        <v>154.63800000000001</v>
      </c>
      <c r="V6">
        <f>[6]ELECNEA!AY28</f>
        <v>158.94799999999998</v>
      </c>
      <c r="W6">
        <f>[6]ELECNEA!AZ28</f>
        <v>159.58600000000001</v>
      </c>
      <c r="X6">
        <f>[6]ELECNEA!BA28</f>
        <v>172.33200000000002</v>
      </c>
      <c r="Y6">
        <f>[6]ELECNEA!BB28</f>
        <v>177.48599999999999</v>
      </c>
      <c r="Z6">
        <f>[6]ELECNEA!BC28</f>
        <v>202.84500000000003</v>
      </c>
      <c r="AA6">
        <f>[6]ELECNEA!BD28</f>
        <v>225.501</v>
      </c>
      <c r="AB6">
        <f>[6]ELECNEA!BE28</f>
        <v>231.92500000000001</v>
      </c>
      <c r="AC6">
        <f>[6]ELECNEA!BF28</f>
        <v>243.953</v>
      </c>
      <c r="AD6">
        <f>[6]ELECNEA!BG28</f>
        <v>230.67700000000002</v>
      </c>
      <c r="AE6">
        <f>[6]ELECNEA!BH28</f>
        <v>241.96400000000003</v>
      </c>
      <c r="AF6">
        <f>[6]ELECNEA!BI28</f>
        <v>265.29900000000004</v>
      </c>
      <c r="AG6">
        <f>[6]ELECNEA!BJ28</f>
        <v>272.56799999999998</v>
      </c>
    </row>
    <row r="7" spans="4:33" x14ac:dyDescent="0.2">
      <c r="E7" t="s">
        <v>3</v>
      </c>
      <c r="F7">
        <f>[6]ELECNEA!AI29</f>
        <v>21.358000000000001</v>
      </c>
      <c r="G7">
        <f>[6]ELECNEA!AJ29</f>
        <v>23.164999999999999</v>
      </c>
      <c r="H7">
        <f>[6]ELECNEA!AK29</f>
        <v>24.422000000000001</v>
      </c>
      <c r="I7">
        <f>[6]ELECNEA!AL29</f>
        <v>25.452000000000002</v>
      </c>
      <c r="J7">
        <f>[6]ELECNEA!AM29</f>
        <v>27.134999999999998</v>
      </c>
      <c r="K7">
        <f>[6]ELECNEA!AN29</f>
        <v>28.768999999999998</v>
      </c>
      <c r="L7">
        <f>[6]ELECNEA!AO29</f>
        <v>30.138999999999999</v>
      </c>
      <c r="M7">
        <f>[6]ELECNEA!AP29</f>
        <v>31.513000000000002</v>
      </c>
      <c r="N7">
        <f>[6]ELECNEA!AQ29</f>
        <v>32.277000000000001</v>
      </c>
      <c r="O7">
        <f>[6]ELECNEA!AR29</f>
        <v>32.483000000000004</v>
      </c>
      <c r="P7">
        <f>[6]ELECNEA!AS29</f>
        <v>32.826000000000001</v>
      </c>
      <c r="Q7">
        <f>[6]ELECNEA!AT29</f>
        <v>33.270000000000003</v>
      </c>
      <c r="R7">
        <f>[6]ELECNEA!AU29</f>
        <v>33.298999999999999</v>
      </c>
      <c r="S7">
        <f>[6]ELECNEA!AV29</f>
        <v>34.319000000000003</v>
      </c>
      <c r="T7">
        <f>[6]ELECNEA!AW29</f>
        <v>35.679000000000002</v>
      </c>
      <c r="U7">
        <f>[6]ELECNEA!AX29</f>
        <v>38.140999999999998</v>
      </c>
      <c r="V7">
        <f>[6]ELECNEA!AY29</f>
        <v>41.178000000000004</v>
      </c>
      <c r="W7">
        <f>[6]ELECNEA!AZ29</f>
        <v>42.378999999999998</v>
      </c>
      <c r="X7">
        <f>[6]ELECNEA!BA29</f>
        <v>43.267000000000003</v>
      </c>
      <c r="Y7">
        <f>[6]ELECNEA!BB29</f>
        <v>44.809000000000005</v>
      </c>
      <c r="Z7">
        <f>[6]ELECNEA!BC29</f>
        <v>50.859000000000002</v>
      </c>
      <c r="AA7">
        <f>[6]ELECNEA!BD29</f>
        <v>53.384</v>
      </c>
      <c r="AB7">
        <f>[6]ELECNEA!BE29</f>
        <v>52.995999999999995</v>
      </c>
      <c r="AC7">
        <f>[6]ELECNEA!BF29</f>
        <v>56.680999999999997</v>
      </c>
      <c r="AD7">
        <f>[6]ELECNEA!BG29</f>
        <v>55.085000000000001</v>
      </c>
      <c r="AE7">
        <f>[6]ELECNEA!BH29</f>
        <v>61.390999999999998</v>
      </c>
      <c r="AF7">
        <f>[6]ELECNEA!BI29</f>
        <v>73.323000000000008</v>
      </c>
      <c r="AG7">
        <f>[6]ELECNEA!BJ29</f>
        <v>77.944000000000017</v>
      </c>
    </row>
    <row r="8" spans="4:33" x14ac:dyDescent="0.2">
      <c r="D8" t="s">
        <v>4</v>
      </c>
      <c r="E8" t="s">
        <v>1</v>
      </c>
      <c r="F8">
        <f>[7]ALLFOS!AI27</f>
        <v>166.93199999999999</v>
      </c>
      <c r="G8">
        <f>[7]ALLFOS!AJ27</f>
        <v>178.07299999999998</v>
      </c>
      <c r="H8">
        <f>[7]ALLFOS!AK27</f>
        <v>196.69099999999997</v>
      </c>
      <c r="I8">
        <f>[7]ALLFOS!AL27</f>
        <v>216.501</v>
      </c>
      <c r="J8">
        <f>[7]ALLFOS!AM27</f>
        <v>233.75299999999999</v>
      </c>
      <c r="K8">
        <f>[7]ALLFOS!AN27</f>
        <v>252.57599999999999</v>
      </c>
      <c r="L8">
        <f>[7]ALLFOS!AO27</f>
        <v>276.67200000000003</v>
      </c>
      <c r="M8">
        <f>[7]ALLFOS!AP27</f>
        <v>288.11</v>
      </c>
      <c r="N8">
        <f>[7]ALLFOS!AQ27</f>
        <v>304.36900000000003</v>
      </c>
      <c r="O8">
        <f>[7]ALLFOS!AR27</f>
        <v>316.31299999999999</v>
      </c>
      <c r="P8">
        <f>[7]ALLFOS!AS27</f>
        <v>319.43800000000005</v>
      </c>
      <c r="Q8">
        <f>[7]ALLFOS!AT27</f>
        <v>337.40999999999997</v>
      </c>
      <c r="R8">
        <f>[7]ALLFOS!AU27</f>
        <v>348.63100000000003</v>
      </c>
      <c r="S8">
        <f>[7]ALLFOS!AV27</f>
        <v>355.92899999999997</v>
      </c>
      <c r="T8">
        <f>[7]ALLFOS!AW27</f>
        <v>359.20299999999997</v>
      </c>
      <c r="U8">
        <f>[7]ALLFOS!AX27</f>
        <v>394.65299999999996</v>
      </c>
      <c r="V8">
        <f>[7]ALLFOS!AY27</f>
        <v>287.37899999999996</v>
      </c>
      <c r="W8">
        <f>[7]ALLFOS!AZ27</f>
        <v>313.37199999999996</v>
      </c>
      <c r="X8">
        <f>[7]ALLFOS!BA27</f>
        <v>373.68799999999999</v>
      </c>
      <c r="Y8">
        <f>[7]ALLFOS!BB27</f>
        <v>322.18799999999999</v>
      </c>
      <c r="Z8">
        <f>[7]ALLFOS!BC27</f>
        <v>410.92399999999998</v>
      </c>
      <c r="AA8">
        <f>[7]ALLFOS!BD27</f>
        <v>320.77399999999994</v>
      </c>
      <c r="AB8">
        <f>[7]ALLFOS!BE27</f>
        <v>269.39100000000002</v>
      </c>
      <c r="AC8">
        <f>[7]ALLFOS!BF27</f>
        <v>237.63799999999998</v>
      </c>
      <c r="AD8">
        <f>[7]ALLFOS!BG27</f>
        <v>249.25900000000001</v>
      </c>
      <c r="AE8">
        <f>[7]ALLFOS!BH27</f>
        <v>215.2</v>
      </c>
      <c r="AF8">
        <f>[7]ALLFOS!BI27</f>
        <v>217.19900000000001</v>
      </c>
      <c r="AG8">
        <f>[7]ALLFOS!BJ27</f>
        <v>183.43600000000001</v>
      </c>
    </row>
    <row r="9" spans="4:33" x14ac:dyDescent="0.2">
      <c r="E9" t="s">
        <v>2</v>
      </c>
      <c r="F9">
        <f>[7]ALLFOS!AI28</f>
        <v>418.90800000000002</v>
      </c>
      <c r="G9">
        <f>[7]ALLFOS!AJ28</f>
        <v>431.48900000000003</v>
      </c>
      <c r="H9">
        <f>[7]ALLFOS!AK28</f>
        <v>451.22199999999998</v>
      </c>
      <c r="I9">
        <f>[7]ALLFOS!AL28</f>
        <v>443.01499999999999</v>
      </c>
      <c r="J9">
        <f>[7]ALLFOS!AM28</f>
        <v>441.12500000000006</v>
      </c>
      <c r="K9">
        <f>[7]ALLFOS!AN28</f>
        <v>449.875</v>
      </c>
      <c r="L9">
        <f>[7]ALLFOS!AO28</f>
        <v>475.78300000000002</v>
      </c>
      <c r="M9">
        <f>[7]ALLFOS!AP28</f>
        <v>505.16399999999999</v>
      </c>
      <c r="N9">
        <f>[7]ALLFOS!AQ28</f>
        <v>536.62300000000005</v>
      </c>
      <c r="O9">
        <f>[7]ALLFOS!AR28</f>
        <v>530.41699999999992</v>
      </c>
      <c r="P9">
        <f>[7]ALLFOS!AS28</f>
        <v>554.80499999999995</v>
      </c>
      <c r="Q9">
        <f>[7]ALLFOS!AT28</f>
        <v>589.67200000000003</v>
      </c>
      <c r="R9">
        <f>[7]ALLFOS!AU28</f>
        <v>618.94000000000005</v>
      </c>
      <c r="S9">
        <f>[7]ALLFOS!AV28</f>
        <v>613.71100000000001</v>
      </c>
      <c r="T9">
        <f>[7]ALLFOS!AW28</f>
        <v>645.05799999999999</v>
      </c>
      <c r="U9">
        <f>[7]ALLFOS!AX28</f>
        <v>706.14699999999993</v>
      </c>
      <c r="V9">
        <f>[7]ALLFOS!AY28</f>
        <v>721.36299999999994</v>
      </c>
      <c r="W9">
        <f>[7]ALLFOS!AZ28</f>
        <v>706.15499999999997</v>
      </c>
      <c r="X9">
        <f>[7]ALLFOS!BA28</f>
        <v>755.50400000000013</v>
      </c>
      <c r="Y9">
        <f>[7]ALLFOS!BB28</f>
        <v>787.49600000000009</v>
      </c>
      <c r="Z9">
        <f>[7]ALLFOS!BC28</f>
        <v>820.77</v>
      </c>
      <c r="AA9">
        <f>[7]ALLFOS!BD28</f>
        <v>853.88400000000001</v>
      </c>
      <c r="AB9">
        <f>[7]ALLFOS!BE28</f>
        <v>820.10900000000004</v>
      </c>
      <c r="AC9">
        <f>[7]ALLFOS!BF28</f>
        <v>792.41800000000012</v>
      </c>
      <c r="AD9">
        <f>[7]ALLFOS!BG28</f>
        <v>689.91</v>
      </c>
      <c r="AE9">
        <f>[7]ALLFOS!BH28</f>
        <v>692.46899999999994</v>
      </c>
      <c r="AF9">
        <f>[7]ALLFOS!BI28</f>
        <v>709.51</v>
      </c>
      <c r="AG9">
        <f>[7]ALLFOS!BJ28</f>
        <v>683.00199999999995</v>
      </c>
    </row>
    <row r="10" spans="4:33" x14ac:dyDescent="0.2">
      <c r="E10" t="s">
        <v>3</v>
      </c>
      <c r="F10">
        <f>[7]ALLFOS!AI29</f>
        <v>278.18800000000005</v>
      </c>
      <c r="G10">
        <f>[7]ALLFOS!AJ29</f>
        <v>302.089</v>
      </c>
      <c r="H10">
        <f>[7]ALLFOS!AK29</f>
        <v>285.36500000000001</v>
      </c>
      <c r="I10">
        <f>[7]ALLFOS!AL29</f>
        <v>287.95599999999996</v>
      </c>
      <c r="J10">
        <f>[7]ALLFOS!AM29</f>
        <v>300.08499999999998</v>
      </c>
      <c r="K10">
        <f>[7]ALLFOS!AN29</f>
        <v>293.14099999999996</v>
      </c>
      <c r="L10">
        <f>[7]ALLFOS!AO29</f>
        <v>297.46800000000002</v>
      </c>
      <c r="M10">
        <f>[7]ALLFOS!AP29</f>
        <v>301.82800000000003</v>
      </c>
      <c r="N10">
        <f>[7]ALLFOS!AQ29</f>
        <v>292.46600000000001</v>
      </c>
      <c r="O10">
        <f>[7]ALLFOS!AR29</f>
        <v>279.93400000000003</v>
      </c>
      <c r="P10">
        <f>[7]ALLFOS!AS29</f>
        <v>292.24200000000002</v>
      </c>
      <c r="Q10">
        <f>[7]ALLFOS!AT29</f>
        <v>299.59899999999999</v>
      </c>
      <c r="R10">
        <f>[7]ALLFOS!AU29</f>
        <v>290.55399999999997</v>
      </c>
      <c r="S10">
        <f>[7]ALLFOS!AV29</f>
        <v>300.09299999999996</v>
      </c>
      <c r="T10">
        <f>[7]ALLFOS!AW29</f>
        <v>317.96699999999998</v>
      </c>
      <c r="U10">
        <f>[7]ALLFOS!AX29</f>
        <v>322.09000000000003</v>
      </c>
      <c r="V10">
        <f>[7]ALLFOS!AY29</f>
        <v>299.173</v>
      </c>
      <c r="W10">
        <f>[7]ALLFOS!AZ29</f>
        <v>284.67</v>
      </c>
      <c r="X10">
        <f>[7]ALLFOS!BA29</f>
        <v>302.26100000000002</v>
      </c>
      <c r="Y10">
        <f>[7]ALLFOS!BB29</f>
        <v>319.34800000000001</v>
      </c>
      <c r="Z10">
        <f>[7]ALLFOS!BC29</f>
        <v>327.43199999999996</v>
      </c>
      <c r="AA10">
        <f>[7]ALLFOS!BD29</f>
        <v>308.35499999999996</v>
      </c>
      <c r="AB10">
        <f>[7]ALLFOS!BE29</f>
        <v>312.80000000000007</v>
      </c>
      <c r="AC10">
        <f>[7]ALLFOS!BF29</f>
        <v>326.71100000000001</v>
      </c>
      <c r="AD10">
        <f>[7]ALLFOS!BG29</f>
        <v>292.04500000000002</v>
      </c>
      <c r="AE10">
        <f>[7]ALLFOS!BH29</f>
        <v>278.983</v>
      </c>
      <c r="AF10">
        <f>[7]ALLFOS!BI29</f>
        <v>330.44099999999997</v>
      </c>
      <c r="AG10">
        <f>[7]ALLFOS!BJ29</f>
        <v>314.02800000000002</v>
      </c>
    </row>
    <row r="13" spans="4:33" x14ac:dyDescent="0.2">
      <c r="D13">
        <v>1960</v>
      </c>
      <c r="E13">
        <f t="array" ref="E13:J38">TRANSPOSE(H5:AG10)</f>
        <v>60.844999999999999</v>
      </c>
      <c r="F13">
        <v>64.259</v>
      </c>
      <c r="G13">
        <v>24.422000000000001</v>
      </c>
      <c r="H13">
        <v>196.69099999999997</v>
      </c>
      <c r="I13">
        <v>451.22199999999998</v>
      </c>
      <c r="J13">
        <v>285.36500000000001</v>
      </c>
    </row>
    <row r="14" spans="4:33" x14ac:dyDescent="0.2">
      <c r="D14">
        <f>D13+1</f>
        <v>1961</v>
      </c>
      <c r="E14">
        <v>63.607000000000006</v>
      </c>
      <c r="F14">
        <v>66.432000000000002</v>
      </c>
      <c r="G14">
        <v>25.452000000000002</v>
      </c>
      <c r="H14">
        <v>216.501</v>
      </c>
      <c r="I14">
        <v>443.01499999999999</v>
      </c>
      <c r="J14">
        <v>287.95599999999996</v>
      </c>
    </row>
    <row r="15" spans="4:33" x14ac:dyDescent="0.2">
      <c r="D15">
        <f t="shared" ref="D15:D38" si="1">D14+1</f>
        <v>1962</v>
      </c>
      <c r="E15">
        <v>65.689000000000007</v>
      </c>
      <c r="F15">
        <v>70.551999999999992</v>
      </c>
      <c r="G15">
        <v>27.134999999999998</v>
      </c>
      <c r="H15">
        <v>233.75299999999999</v>
      </c>
      <c r="I15">
        <v>441.12500000000006</v>
      </c>
      <c r="J15">
        <v>300.08499999999998</v>
      </c>
    </row>
    <row r="16" spans="4:33" x14ac:dyDescent="0.2">
      <c r="D16">
        <f t="shared" si="1"/>
        <v>1963</v>
      </c>
      <c r="E16">
        <v>67.718000000000004</v>
      </c>
      <c r="F16">
        <v>75.835999999999999</v>
      </c>
      <c r="G16">
        <v>28.768999999999998</v>
      </c>
      <c r="H16">
        <v>252.57599999999999</v>
      </c>
      <c r="I16">
        <v>449.875</v>
      </c>
      <c r="J16">
        <v>293.14099999999996</v>
      </c>
    </row>
    <row r="17" spans="4:10" x14ac:dyDescent="0.2">
      <c r="D17">
        <f t="shared" si="1"/>
        <v>1964</v>
      </c>
      <c r="E17">
        <v>68.962999999999994</v>
      </c>
      <c r="F17">
        <v>80.210999999999999</v>
      </c>
      <c r="G17">
        <v>30.138999999999999</v>
      </c>
      <c r="H17">
        <v>276.67200000000003</v>
      </c>
      <c r="I17">
        <v>475.78300000000002</v>
      </c>
      <c r="J17">
        <v>297.46800000000002</v>
      </c>
    </row>
    <row r="18" spans="4:10" x14ac:dyDescent="0.2">
      <c r="D18">
        <f t="shared" si="1"/>
        <v>1965</v>
      </c>
      <c r="E18">
        <v>70.581000000000003</v>
      </c>
      <c r="F18">
        <v>88.477999999999994</v>
      </c>
      <c r="G18">
        <v>31.513000000000002</v>
      </c>
      <c r="H18">
        <v>288.11</v>
      </c>
      <c r="I18">
        <v>505.16399999999999</v>
      </c>
      <c r="J18">
        <v>301.82800000000003</v>
      </c>
    </row>
    <row r="19" spans="4:10" x14ac:dyDescent="0.2">
      <c r="D19">
        <f t="shared" si="1"/>
        <v>1966</v>
      </c>
      <c r="E19">
        <v>73.766000000000005</v>
      </c>
      <c r="F19">
        <v>95.4</v>
      </c>
      <c r="G19">
        <v>32.277000000000001</v>
      </c>
      <c r="H19">
        <v>304.36900000000003</v>
      </c>
      <c r="I19">
        <v>536.62300000000005</v>
      </c>
      <c r="J19">
        <v>292.46600000000001</v>
      </c>
    </row>
    <row r="20" spans="4:10" x14ac:dyDescent="0.2">
      <c r="D20">
        <f t="shared" si="1"/>
        <v>1967</v>
      </c>
      <c r="E20">
        <v>76.298999999999992</v>
      </c>
      <c r="F20">
        <v>98.591999999999999</v>
      </c>
      <c r="G20">
        <v>32.483000000000004</v>
      </c>
      <c r="H20">
        <v>316.31299999999999</v>
      </c>
      <c r="I20">
        <v>530.41699999999992</v>
      </c>
      <c r="J20">
        <v>279.93400000000003</v>
      </c>
    </row>
    <row r="21" spans="4:10" x14ac:dyDescent="0.2">
      <c r="D21">
        <f t="shared" si="1"/>
        <v>1968</v>
      </c>
      <c r="E21">
        <v>80.513999999999996</v>
      </c>
      <c r="F21">
        <v>107.79900000000001</v>
      </c>
      <c r="G21">
        <v>32.826000000000001</v>
      </c>
      <c r="H21">
        <v>319.43800000000005</v>
      </c>
      <c r="I21">
        <v>554.80499999999995</v>
      </c>
      <c r="J21">
        <v>292.24200000000002</v>
      </c>
    </row>
    <row r="22" spans="4:10" x14ac:dyDescent="0.2">
      <c r="D22">
        <f t="shared" si="1"/>
        <v>1969</v>
      </c>
      <c r="E22">
        <v>86.722000000000008</v>
      </c>
      <c r="F22">
        <v>119.41</v>
      </c>
      <c r="G22">
        <v>33.270000000000003</v>
      </c>
      <c r="H22">
        <v>337.40999999999997</v>
      </c>
      <c r="I22">
        <v>589.67200000000003</v>
      </c>
      <c r="J22">
        <v>299.59899999999999</v>
      </c>
    </row>
    <row r="23" spans="4:10" x14ac:dyDescent="0.2">
      <c r="D23">
        <f t="shared" si="1"/>
        <v>1970</v>
      </c>
      <c r="E23">
        <v>91.995000000000005</v>
      </c>
      <c r="F23">
        <v>131.20499999999998</v>
      </c>
      <c r="G23">
        <v>33.298999999999999</v>
      </c>
      <c r="H23">
        <v>348.63100000000003</v>
      </c>
      <c r="I23">
        <v>618.94000000000005</v>
      </c>
      <c r="J23">
        <v>290.55399999999997</v>
      </c>
    </row>
    <row r="24" spans="4:10" x14ac:dyDescent="0.2">
      <c r="D24">
        <f t="shared" si="1"/>
        <v>1971</v>
      </c>
      <c r="E24">
        <v>97.228000000000009</v>
      </c>
      <c r="F24">
        <v>130.69800000000001</v>
      </c>
      <c r="G24">
        <v>34.319000000000003</v>
      </c>
      <c r="H24">
        <v>355.92899999999997</v>
      </c>
      <c r="I24">
        <v>613.71100000000001</v>
      </c>
      <c r="J24">
        <v>300.09299999999996</v>
      </c>
    </row>
    <row r="25" spans="4:10" x14ac:dyDescent="0.2">
      <c r="D25">
        <f t="shared" si="1"/>
        <v>1972</v>
      </c>
      <c r="E25">
        <v>92.242999999999995</v>
      </c>
      <c r="F25">
        <v>141.452</v>
      </c>
      <c r="G25">
        <v>35.679000000000002</v>
      </c>
      <c r="H25">
        <v>359.20299999999997</v>
      </c>
      <c r="I25">
        <v>645.05799999999999</v>
      </c>
      <c r="J25">
        <v>317.96699999999998</v>
      </c>
    </row>
    <row r="26" spans="4:10" x14ac:dyDescent="0.2">
      <c r="D26">
        <f t="shared" si="1"/>
        <v>1973</v>
      </c>
      <c r="E26">
        <v>95.317999999999998</v>
      </c>
      <c r="F26">
        <v>154.63800000000001</v>
      </c>
      <c r="G26">
        <v>38.140999999999998</v>
      </c>
      <c r="H26">
        <v>394.65299999999996</v>
      </c>
      <c r="I26">
        <v>706.14699999999993</v>
      </c>
      <c r="J26">
        <v>322.09000000000003</v>
      </c>
    </row>
    <row r="27" spans="4:10" x14ac:dyDescent="0.2">
      <c r="D27">
        <f t="shared" si="1"/>
        <v>1974</v>
      </c>
      <c r="E27">
        <v>93.320000000000007</v>
      </c>
      <c r="F27">
        <v>158.94799999999998</v>
      </c>
      <c r="G27">
        <v>41.178000000000004</v>
      </c>
      <c r="H27">
        <v>287.37899999999996</v>
      </c>
      <c r="I27">
        <v>721.36299999999994</v>
      </c>
      <c r="J27">
        <v>299.173</v>
      </c>
    </row>
    <row r="28" spans="4:10" x14ac:dyDescent="0.2">
      <c r="D28">
        <f t="shared" si="1"/>
        <v>1975</v>
      </c>
      <c r="E28">
        <v>94.358000000000004</v>
      </c>
      <c r="F28">
        <v>159.58600000000001</v>
      </c>
      <c r="G28">
        <v>42.378999999999998</v>
      </c>
      <c r="H28">
        <v>313.37199999999996</v>
      </c>
      <c r="I28">
        <v>706.15499999999997</v>
      </c>
      <c r="J28">
        <v>284.67</v>
      </c>
    </row>
    <row r="29" spans="4:10" x14ac:dyDescent="0.2">
      <c r="D29">
        <f t="shared" si="1"/>
        <v>1976</v>
      </c>
      <c r="E29">
        <v>107.41199999999999</v>
      </c>
      <c r="F29">
        <v>172.33200000000002</v>
      </c>
      <c r="G29">
        <v>43.267000000000003</v>
      </c>
      <c r="H29">
        <v>373.68799999999999</v>
      </c>
      <c r="I29">
        <v>755.50400000000013</v>
      </c>
      <c r="J29">
        <v>302.26100000000002</v>
      </c>
    </row>
    <row r="30" spans="4:10" x14ac:dyDescent="0.2">
      <c r="D30">
        <f t="shared" si="1"/>
        <v>1977</v>
      </c>
      <c r="E30">
        <v>111.89500000000001</v>
      </c>
      <c r="F30">
        <v>177.48599999999999</v>
      </c>
      <c r="G30">
        <v>44.809000000000005</v>
      </c>
      <c r="H30">
        <v>322.18799999999999</v>
      </c>
      <c r="I30">
        <v>787.49600000000009</v>
      </c>
      <c r="J30">
        <v>319.34800000000001</v>
      </c>
    </row>
    <row r="31" spans="4:10" x14ac:dyDescent="0.2">
      <c r="D31">
        <f t="shared" si="1"/>
        <v>1978</v>
      </c>
      <c r="E31">
        <v>123.621</v>
      </c>
      <c r="F31">
        <v>202.84500000000003</v>
      </c>
      <c r="G31">
        <v>50.859000000000002</v>
      </c>
      <c r="H31">
        <v>410.92399999999998</v>
      </c>
      <c r="I31">
        <v>820.77</v>
      </c>
      <c r="J31">
        <v>327.43199999999996</v>
      </c>
    </row>
    <row r="32" spans="4:10" x14ac:dyDescent="0.2">
      <c r="D32">
        <f t="shared" si="1"/>
        <v>1979</v>
      </c>
      <c r="E32">
        <v>137.01499999999999</v>
      </c>
      <c r="F32">
        <v>225.501</v>
      </c>
      <c r="G32">
        <v>53.384</v>
      </c>
      <c r="H32">
        <v>320.77399999999994</v>
      </c>
      <c r="I32">
        <v>853.88400000000001</v>
      </c>
      <c r="J32">
        <v>308.35499999999996</v>
      </c>
    </row>
    <row r="33" spans="4:10" x14ac:dyDescent="0.2">
      <c r="D33">
        <f t="shared" si="1"/>
        <v>1980</v>
      </c>
      <c r="E33">
        <v>134.02799999999999</v>
      </c>
      <c r="F33">
        <v>231.92500000000001</v>
      </c>
      <c r="G33">
        <v>52.995999999999995</v>
      </c>
      <c r="H33">
        <v>269.39100000000002</v>
      </c>
      <c r="I33">
        <v>820.10900000000004</v>
      </c>
      <c r="J33">
        <v>312.80000000000007</v>
      </c>
    </row>
    <row r="34" spans="4:10" x14ac:dyDescent="0.2">
      <c r="D34">
        <f t="shared" si="1"/>
        <v>1981</v>
      </c>
      <c r="E34">
        <v>142.21899999999997</v>
      </c>
      <c r="F34">
        <v>243.953</v>
      </c>
      <c r="G34">
        <v>56.680999999999997</v>
      </c>
      <c r="H34">
        <v>237.63799999999998</v>
      </c>
      <c r="I34">
        <v>792.41800000000012</v>
      </c>
      <c r="J34">
        <v>326.71100000000001</v>
      </c>
    </row>
    <row r="35" spans="4:10" x14ac:dyDescent="0.2">
      <c r="D35">
        <f t="shared" si="1"/>
        <v>1982</v>
      </c>
      <c r="E35">
        <v>121.75799999999998</v>
      </c>
      <c r="F35">
        <v>230.67700000000002</v>
      </c>
      <c r="G35">
        <v>55.085000000000001</v>
      </c>
      <c r="H35">
        <v>249.25900000000001</v>
      </c>
      <c r="I35">
        <v>689.91</v>
      </c>
      <c r="J35">
        <v>292.04500000000002</v>
      </c>
    </row>
    <row r="36" spans="4:10" x14ac:dyDescent="0.2">
      <c r="D36">
        <f t="shared" si="1"/>
        <v>1983</v>
      </c>
      <c r="E36">
        <v>122.35599999999999</v>
      </c>
      <c r="F36">
        <v>241.96400000000003</v>
      </c>
      <c r="G36">
        <v>61.390999999999998</v>
      </c>
      <c r="H36">
        <v>215.2</v>
      </c>
      <c r="I36">
        <v>692.46899999999994</v>
      </c>
      <c r="J36">
        <v>278.983</v>
      </c>
    </row>
    <row r="37" spans="4:10" x14ac:dyDescent="0.2">
      <c r="D37">
        <f t="shared" si="1"/>
        <v>1984</v>
      </c>
      <c r="E37">
        <v>117.529</v>
      </c>
      <c r="F37">
        <v>265.29900000000004</v>
      </c>
      <c r="G37">
        <v>73.323000000000008</v>
      </c>
      <c r="H37">
        <v>217.19900000000001</v>
      </c>
      <c r="I37">
        <v>709.51</v>
      </c>
      <c r="J37">
        <v>330.44099999999997</v>
      </c>
    </row>
    <row r="38" spans="4:10" x14ac:dyDescent="0.2">
      <c r="D38">
        <f t="shared" si="1"/>
        <v>1985</v>
      </c>
      <c r="E38">
        <v>111.55599999999998</v>
      </c>
      <c r="F38">
        <v>272.56799999999998</v>
      </c>
      <c r="G38">
        <v>77.944000000000017</v>
      </c>
      <c r="H38">
        <v>183.43600000000001</v>
      </c>
      <c r="I38">
        <v>683.00199999999995</v>
      </c>
      <c r="J38">
        <v>314.02800000000002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2"/>
  <sheetViews>
    <sheetView topLeftCell="J1" workbookViewId="0">
      <selection activeCell="P11" sqref="P11"/>
    </sheetView>
  </sheetViews>
  <sheetFormatPr defaultRowHeight="12.75" x14ac:dyDescent="0.2"/>
  <cols>
    <col min="5" max="5" width="25.28515625" customWidth="1"/>
    <col min="6" max="6" width="22.7109375" customWidth="1"/>
    <col min="15" max="15" width="29" customWidth="1"/>
    <col min="16" max="16" width="40.5703125" customWidth="1"/>
    <col min="17" max="17" width="23.85546875" customWidth="1"/>
    <col min="18" max="18" width="20" customWidth="1"/>
    <col min="19" max="19" width="21.5703125" customWidth="1"/>
    <col min="20" max="20" width="26.28515625" customWidth="1"/>
    <col min="21" max="21" width="25.140625" customWidth="1"/>
    <col min="25" max="25" width="19.28515625" customWidth="1"/>
    <col min="26" max="26" width="15" customWidth="1"/>
    <col min="27" max="27" width="16.28515625" customWidth="1"/>
    <col min="28" max="28" width="17.42578125" customWidth="1"/>
    <col min="29" max="29" width="15.140625" customWidth="1"/>
  </cols>
  <sheetData>
    <row r="1" spans="1:29" x14ac:dyDescent="0.2">
      <c r="A1" t="s">
        <v>195</v>
      </c>
      <c r="B1" t="s">
        <v>13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</row>
    <row r="2" spans="1:29" x14ac:dyDescent="0.2">
      <c r="A2" t="s">
        <v>215</v>
      </c>
      <c r="B2">
        <v>2011</v>
      </c>
      <c r="C2" t="s">
        <v>216</v>
      </c>
      <c r="E2" t="s">
        <v>217</v>
      </c>
      <c r="F2" t="s">
        <v>218</v>
      </c>
      <c r="G2">
        <v>99</v>
      </c>
      <c r="O2" t="s">
        <v>219</v>
      </c>
      <c r="P2" t="s">
        <v>220</v>
      </c>
      <c r="R2" s="38">
        <v>3775000000</v>
      </c>
      <c r="S2" s="38">
        <v>780000000</v>
      </c>
      <c r="T2" s="38">
        <v>735000000</v>
      </c>
      <c r="U2" s="38">
        <v>360000000</v>
      </c>
    </row>
    <row r="3" spans="1:29" x14ac:dyDescent="0.2">
      <c r="A3" t="s">
        <v>215</v>
      </c>
      <c r="B3">
        <v>2011</v>
      </c>
      <c r="C3" t="s">
        <v>216</v>
      </c>
      <c r="E3" t="s">
        <v>217</v>
      </c>
      <c r="F3" t="s">
        <v>218</v>
      </c>
      <c r="G3">
        <v>99</v>
      </c>
      <c r="O3" t="s">
        <v>219</v>
      </c>
      <c r="P3" t="s">
        <v>221</v>
      </c>
      <c r="Q3" s="38">
        <v>3960000000</v>
      </c>
      <c r="R3" s="38">
        <v>2610000000</v>
      </c>
      <c r="S3" s="38">
        <v>545000000</v>
      </c>
      <c r="T3" s="38">
        <v>585000000</v>
      </c>
      <c r="U3" s="38">
        <v>220000000</v>
      </c>
      <c r="Y3" t="s">
        <v>188</v>
      </c>
      <c r="Z3" t="s">
        <v>93</v>
      </c>
      <c r="AA3" t="s">
        <v>92</v>
      </c>
      <c r="AB3" t="s">
        <v>194</v>
      </c>
      <c r="AC3" t="s">
        <v>8</v>
      </c>
    </row>
    <row r="4" spans="1:29" x14ac:dyDescent="0.2">
      <c r="A4" t="s">
        <v>215</v>
      </c>
      <c r="B4">
        <v>2011</v>
      </c>
      <c r="C4" t="s">
        <v>216</v>
      </c>
      <c r="E4" t="s">
        <v>217</v>
      </c>
      <c r="F4" t="s">
        <v>218</v>
      </c>
      <c r="G4">
        <v>99</v>
      </c>
      <c r="O4" t="s">
        <v>219</v>
      </c>
      <c r="P4" t="s">
        <v>222</v>
      </c>
      <c r="Q4" s="38">
        <v>1010000000</v>
      </c>
      <c r="R4" s="38">
        <v>620000000</v>
      </c>
      <c r="S4" s="38">
        <v>320000000</v>
      </c>
      <c r="T4" s="38">
        <v>50000000</v>
      </c>
      <c r="U4" s="38">
        <v>20000000</v>
      </c>
      <c r="X4" s="39">
        <v>2000</v>
      </c>
      <c r="Y4" s="38">
        <f>Q122</f>
        <v>7000000000</v>
      </c>
      <c r="Z4" s="38">
        <f t="shared" ref="Z4:AC4" si="0">R122</f>
        <v>3671000000</v>
      </c>
      <c r="AA4" s="38">
        <f t="shared" si="0"/>
        <v>1884000000</v>
      </c>
      <c r="AB4" s="38">
        <f t="shared" si="0"/>
        <v>846000000</v>
      </c>
      <c r="AC4" s="38">
        <f t="shared" si="0"/>
        <v>599000000</v>
      </c>
    </row>
    <row r="5" spans="1:29" x14ac:dyDescent="0.2">
      <c r="A5" t="s">
        <v>215</v>
      </c>
      <c r="B5">
        <v>2011</v>
      </c>
      <c r="C5" t="s">
        <v>216</v>
      </c>
      <c r="E5" t="s">
        <v>217</v>
      </c>
      <c r="F5" t="s">
        <v>218</v>
      </c>
      <c r="G5">
        <v>99</v>
      </c>
      <c r="O5" t="s">
        <v>219</v>
      </c>
      <c r="P5" t="s">
        <v>223</v>
      </c>
      <c r="Q5" s="38">
        <v>1600000000</v>
      </c>
      <c r="R5" s="38">
        <v>1050000000</v>
      </c>
      <c r="S5" s="38">
        <v>320000000</v>
      </c>
      <c r="T5" s="38">
        <v>170000000</v>
      </c>
      <c r="U5" s="38">
        <v>60000000</v>
      </c>
      <c r="X5" s="39">
        <f>X4+1</f>
        <v>2001</v>
      </c>
      <c r="Y5" s="38">
        <f>Q114</f>
        <v>6700000000</v>
      </c>
      <c r="Z5" s="38">
        <f t="shared" ref="Z5:AC5" si="1">R114</f>
        <v>3624000000</v>
      </c>
      <c r="AA5" s="38">
        <f t="shared" si="1"/>
        <v>1624000000</v>
      </c>
      <c r="AB5" s="38">
        <f t="shared" si="1"/>
        <v>819000000</v>
      </c>
      <c r="AC5" s="38">
        <f t="shared" si="1"/>
        <v>633000000</v>
      </c>
    </row>
    <row r="6" spans="1:29" x14ac:dyDescent="0.2">
      <c r="A6" t="s">
        <v>215</v>
      </c>
      <c r="B6">
        <v>2011</v>
      </c>
      <c r="C6" t="s">
        <v>216</v>
      </c>
      <c r="E6" t="s">
        <v>217</v>
      </c>
      <c r="F6" t="s">
        <v>218</v>
      </c>
      <c r="G6">
        <v>99</v>
      </c>
      <c r="O6" t="s">
        <v>219</v>
      </c>
      <c r="P6" t="s">
        <v>224</v>
      </c>
      <c r="Q6" s="38">
        <v>2080000000</v>
      </c>
      <c r="R6" s="38">
        <v>1460000000</v>
      </c>
      <c r="S6" s="38">
        <v>350000000</v>
      </c>
      <c r="T6" s="38">
        <v>200000000</v>
      </c>
      <c r="U6" s="38">
        <v>70000000</v>
      </c>
      <c r="X6" s="39">
        <f t="shared" ref="X6:X18" si="2">X5+1</f>
        <v>2002</v>
      </c>
      <c r="Y6" s="38">
        <f>Q104</f>
        <v>6500000000</v>
      </c>
      <c r="Z6" s="38">
        <f t="shared" ref="Z6:AC6" si="3">R104</f>
        <v>3270000000</v>
      </c>
      <c r="AA6" s="38">
        <f t="shared" si="3"/>
        <v>1640000000</v>
      </c>
      <c r="AB6" s="38">
        <f t="shared" si="3"/>
        <v>860000000</v>
      </c>
      <c r="AC6" s="38">
        <f t="shared" si="3"/>
        <v>730000000</v>
      </c>
    </row>
    <row r="7" spans="1:29" x14ac:dyDescent="0.2">
      <c r="A7" t="s">
        <v>215</v>
      </c>
      <c r="B7">
        <v>2011</v>
      </c>
      <c r="C7" t="s">
        <v>216</v>
      </c>
      <c r="E7" t="s">
        <v>217</v>
      </c>
      <c r="F7" t="s">
        <v>218</v>
      </c>
      <c r="G7">
        <v>99</v>
      </c>
      <c r="O7" t="s">
        <v>219</v>
      </c>
      <c r="P7" t="s">
        <v>225</v>
      </c>
      <c r="Q7" s="38">
        <v>900000000</v>
      </c>
      <c r="R7" s="38">
        <v>600000000</v>
      </c>
      <c r="S7" s="38">
        <v>205000000</v>
      </c>
      <c r="T7" s="38">
        <v>65000000</v>
      </c>
      <c r="U7" s="38">
        <v>30000000</v>
      </c>
      <c r="X7" s="39">
        <f t="shared" si="2"/>
        <v>2003</v>
      </c>
      <c r="Y7" s="38">
        <f>Q94</f>
        <v>6700000000</v>
      </c>
      <c r="Z7" s="38">
        <f t="shared" ref="Z7:AC7" si="4">R94</f>
        <v>3430000000</v>
      </c>
      <c r="AA7" s="38">
        <f t="shared" si="4"/>
        <v>1760000000</v>
      </c>
      <c r="AB7" s="38">
        <f t="shared" si="4"/>
        <v>920000000</v>
      </c>
      <c r="AC7" s="38">
        <f t="shared" si="4"/>
        <v>590000000</v>
      </c>
    </row>
    <row r="8" spans="1:29" x14ac:dyDescent="0.2">
      <c r="A8" t="s">
        <v>215</v>
      </c>
      <c r="B8">
        <v>2011</v>
      </c>
      <c r="C8" t="s">
        <v>216</v>
      </c>
      <c r="E8" t="s">
        <v>217</v>
      </c>
      <c r="F8" t="s">
        <v>218</v>
      </c>
      <c r="G8">
        <v>99</v>
      </c>
      <c r="O8" t="s">
        <v>219</v>
      </c>
      <c r="P8" t="s">
        <v>226</v>
      </c>
      <c r="Q8" s="38">
        <v>1690000000</v>
      </c>
      <c r="R8" s="38">
        <v>1165000000</v>
      </c>
      <c r="S8" s="38">
        <v>235000000</v>
      </c>
      <c r="T8" s="38">
        <v>150000000</v>
      </c>
      <c r="U8" s="38">
        <v>140000000</v>
      </c>
      <c r="X8" s="39">
        <f t="shared" si="2"/>
        <v>2004</v>
      </c>
      <c r="Y8" s="38">
        <f>Q84</f>
        <v>8000000000</v>
      </c>
      <c r="Z8" s="38">
        <f t="shared" ref="Z8:AC8" si="5">R84</f>
        <v>4390000000</v>
      </c>
      <c r="AA8" s="38">
        <f t="shared" si="5"/>
        <v>1910000000</v>
      </c>
      <c r="AB8" s="38">
        <f t="shared" si="5"/>
        <v>1130000000</v>
      </c>
      <c r="AC8" s="38">
        <f t="shared" si="5"/>
        <v>570000000</v>
      </c>
    </row>
    <row r="9" spans="1:29" x14ac:dyDescent="0.2">
      <c r="A9" t="s">
        <v>215</v>
      </c>
      <c r="B9">
        <v>2011</v>
      </c>
      <c r="C9" t="s">
        <v>216</v>
      </c>
      <c r="E9" t="s">
        <v>217</v>
      </c>
      <c r="F9" t="s">
        <v>218</v>
      </c>
      <c r="G9">
        <v>99</v>
      </c>
      <c r="O9" t="s">
        <v>219</v>
      </c>
      <c r="P9" t="s">
        <v>227</v>
      </c>
      <c r="Q9" s="38">
        <v>3000000000</v>
      </c>
      <c r="R9" s="38">
        <v>1995000000</v>
      </c>
      <c r="S9" s="38">
        <v>455000000</v>
      </c>
      <c r="T9" s="38">
        <v>320000000</v>
      </c>
      <c r="U9" s="38">
        <v>230000000</v>
      </c>
      <c r="X9" s="39">
        <f t="shared" si="2"/>
        <v>2005</v>
      </c>
      <c r="Y9" s="38">
        <f>Q74</f>
        <v>10100000000</v>
      </c>
      <c r="Z9" s="38">
        <f t="shared" ref="Z9:AC9" si="6">R74</f>
        <v>5870000000</v>
      </c>
      <c r="AA9" s="38">
        <f t="shared" si="6"/>
        <v>2310000000</v>
      </c>
      <c r="AB9" s="38">
        <f t="shared" si="6"/>
        <v>1230000000</v>
      </c>
      <c r="AC9" s="38">
        <f t="shared" si="6"/>
        <v>690000000</v>
      </c>
    </row>
    <row r="10" spans="1:29" x14ac:dyDescent="0.2">
      <c r="A10" t="s">
        <v>215</v>
      </c>
      <c r="B10">
        <v>2011</v>
      </c>
      <c r="C10" t="s">
        <v>216</v>
      </c>
      <c r="E10" t="s">
        <v>217</v>
      </c>
      <c r="F10" t="s">
        <v>218</v>
      </c>
      <c r="G10">
        <v>99</v>
      </c>
      <c r="O10" t="s">
        <v>219</v>
      </c>
      <c r="P10" t="s">
        <v>228</v>
      </c>
      <c r="Q10" s="38">
        <v>1060000000</v>
      </c>
      <c r="R10" s="38">
        <v>580000000</v>
      </c>
      <c r="S10" s="38">
        <v>360000000</v>
      </c>
      <c r="T10" s="38">
        <v>70000000</v>
      </c>
      <c r="U10" s="38">
        <v>50000000</v>
      </c>
      <c r="X10" s="39">
        <f t="shared" si="2"/>
        <v>2006</v>
      </c>
      <c r="Y10" s="38">
        <f>Q64</f>
        <v>11100000000</v>
      </c>
      <c r="Z10" s="38">
        <f t="shared" ref="Z10:AC10" si="7">R64</f>
        <v>6730000000</v>
      </c>
      <c r="AA10" s="38">
        <f t="shared" si="7"/>
        <v>2370000000</v>
      </c>
      <c r="AB10" s="38">
        <f t="shared" si="7"/>
        <v>1280000000</v>
      </c>
      <c r="AC10" s="38">
        <f t="shared" si="7"/>
        <v>720000000</v>
      </c>
    </row>
    <row r="11" spans="1:29" x14ac:dyDescent="0.2">
      <c r="A11" t="s">
        <v>215</v>
      </c>
      <c r="B11">
        <v>2011</v>
      </c>
      <c r="C11" t="s">
        <v>216</v>
      </c>
      <c r="E11" t="s">
        <v>217</v>
      </c>
      <c r="F11" t="s">
        <v>218</v>
      </c>
      <c r="G11">
        <v>99</v>
      </c>
      <c r="O11" t="s">
        <v>229</v>
      </c>
      <c r="P11" t="s">
        <v>230</v>
      </c>
      <c r="Q11" s="38">
        <v>15300000000</v>
      </c>
      <c r="R11" s="38">
        <v>10080000000</v>
      </c>
      <c r="S11" s="38">
        <v>2790000000</v>
      </c>
      <c r="T11" s="38">
        <v>1610000000</v>
      </c>
      <c r="U11" s="38">
        <v>820000000</v>
      </c>
      <c r="X11" s="39">
        <f t="shared" si="2"/>
        <v>2007</v>
      </c>
      <c r="Y11" s="38">
        <f>Q54</f>
        <v>13500000000</v>
      </c>
      <c r="Z11" s="38">
        <f t="shared" ref="Z11:AC11" si="8">R54</f>
        <v>8200000000</v>
      </c>
      <c r="AA11" s="38">
        <f t="shared" si="8"/>
        <v>2790000000</v>
      </c>
      <c r="AB11" s="38">
        <f t="shared" si="8"/>
        <v>1650000000</v>
      </c>
      <c r="AC11" s="38">
        <f t="shared" si="8"/>
        <v>860000000</v>
      </c>
    </row>
    <row r="12" spans="1:29" x14ac:dyDescent="0.2">
      <c r="A12" t="s">
        <v>215</v>
      </c>
      <c r="B12">
        <v>2011</v>
      </c>
      <c r="C12" t="s">
        <v>216</v>
      </c>
      <c r="E12" t="s">
        <v>217</v>
      </c>
      <c r="F12" t="s">
        <v>218</v>
      </c>
      <c r="G12">
        <v>99</v>
      </c>
      <c r="O12" t="s">
        <v>231</v>
      </c>
      <c r="P12" t="s">
        <v>232</v>
      </c>
      <c r="Q12" s="38">
        <v>5680000000</v>
      </c>
      <c r="R12" s="38">
        <v>3440000000</v>
      </c>
      <c r="S12" s="38">
        <v>1190000000</v>
      </c>
      <c r="T12" s="38">
        <v>870000000</v>
      </c>
      <c r="U12" s="38">
        <v>180000000</v>
      </c>
      <c r="X12" s="39">
        <f t="shared" si="2"/>
        <v>2008</v>
      </c>
      <c r="Y12" s="38">
        <f>Q44</f>
        <v>16000000000</v>
      </c>
      <c r="Z12" s="38">
        <f t="shared" ref="Z12:AC12" si="9">R44</f>
        <v>9860000000</v>
      </c>
      <c r="AA12" s="38">
        <f t="shared" si="9"/>
        <v>3010000000</v>
      </c>
      <c r="AB12" s="38">
        <f t="shared" si="9"/>
        <v>2030000000</v>
      </c>
      <c r="AC12" s="38">
        <f t="shared" si="9"/>
        <v>1100000000</v>
      </c>
    </row>
    <row r="13" spans="1:29" x14ac:dyDescent="0.2">
      <c r="A13" t="s">
        <v>215</v>
      </c>
      <c r="B13">
        <v>2011</v>
      </c>
      <c r="C13" t="s">
        <v>216</v>
      </c>
      <c r="E13" t="s">
        <v>217</v>
      </c>
      <c r="F13" t="s">
        <v>218</v>
      </c>
      <c r="G13">
        <v>99</v>
      </c>
      <c r="O13" t="s">
        <v>231</v>
      </c>
      <c r="P13" t="s">
        <v>233</v>
      </c>
      <c r="Q13" s="38">
        <v>9620000000</v>
      </c>
      <c r="R13" s="38">
        <v>6640000000</v>
      </c>
      <c r="S13" s="38">
        <v>1600000000</v>
      </c>
      <c r="T13" s="38">
        <v>740000000</v>
      </c>
      <c r="U13" s="38">
        <v>640000000</v>
      </c>
      <c r="X13" s="39">
        <f t="shared" si="2"/>
        <v>2009</v>
      </c>
      <c r="Y13" s="38">
        <f>Q33</f>
        <v>12400000000</v>
      </c>
      <c r="Z13" s="38">
        <f t="shared" ref="Z13:AC13" si="10">R33</f>
        <v>7200000000</v>
      </c>
      <c r="AA13" s="38">
        <f t="shared" si="10"/>
        <v>2430000000</v>
      </c>
      <c r="AB13" s="38">
        <f t="shared" si="10"/>
        <v>1970000000</v>
      </c>
      <c r="AC13" s="38">
        <f t="shared" si="10"/>
        <v>800000000</v>
      </c>
    </row>
    <row r="14" spans="1:29" x14ac:dyDescent="0.2">
      <c r="A14" t="s">
        <v>215</v>
      </c>
      <c r="B14">
        <v>2010</v>
      </c>
      <c r="C14" t="s">
        <v>216</v>
      </c>
      <c r="E14" t="s">
        <v>217</v>
      </c>
      <c r="F14" t="s">
        <v>218</v>
      </c>
      <c r="G14">
        <v>99</v>
      </c>
      <c r="O14" t="s">
        <v>219</v>
      </c>
      <c r="P14" t="s">
        <v>221</v>
      </c>
      <c r="Q14" s="38">
        <v>3170000000</v>
      </c>
      <c r="R14" s="38">
        <v>1955000000</v>
      </c>
      <c r="S14" s="38">
        <v>405000000</v>
      </c>
      <c r="T14" s="38">
        <v>510000000</v>
      </c>
      <c r="U14" s="38">
        <v>300000000</v>
      </c>
      <c r="X14" s="39">
        <f t="shared" si="2"/>
        <v>2010</v>
      </c>
      <c r="Y14" s="38">
        <f>Q22</f>
        <v>12900000000</v>
      </c>
      <c r="Z14" s="38">
        <f t="shared" ref="Z14:AC14" si="11">R22</f>
        <v>8150000000</v>
      </c>
      <c r="AA14" s="38">
        <f t="shared" si="11"/>
        <v>2550000000</v>
      </c>
      <c r="AB14" s="38">
        <f t="shared" si="11"/>
        <v>1480000000</v>
      </c>
      <c r="AC14" s="38">
        <f t="shared" si="11"/>
        <v>720000000</v>
      </c>
    </row>
    <row r="15" spans="1:29" x14ac:dyDescent="0.2">
      <c r="A15" t="s">
        <v>215</v>
      </c>
      <c r="B15">
        <v>2010</v>
      </c>
      <c r="C15" t="s">
        <v>216</v>
      </c>
      <c r="E15" t="s">
        <v>217</v>
      </c>
      <c r="F15" t="s">
        <v>218</v>
      </c>
      <c r="G15">
        <v>99</v>
      </c>
      <c r="O15" t="s">
        <v>219</v>
      </c>
      <c r="P15" t="s">
        <v>222</v>
      </c>
      <c r="Q15" s="38">
        <v>980000000</v>
      </c>
      <c r="R15" s="38">
        <v>580000000</v>
      </c>
      <c r="S15" s="38">
        <v>315000000</v>
      </c>
      <c r="T15" s="38">
        <v>65000000</v>
      </c>
      <c r="U15" s="38">
        <v>20000000</v>
      </c>
      <c r="X15" s="39">
        <f t="shared" si="2"/>
        <v>2011</v>
      </c>
      <c r="Y15" s="38">
        <f>Q11</f>
        <v>15300000000</v>
      </c>
      <c r="Z15" s="38">
        <f t="shared" ref="Z15:AC15" si="12">R11</f>
        <v>10080000000</v>
      </c>
      <c r="AA15" s="38">
        <f t="shared" si="12"/>
        <v>2790000000</v>
      </c>
      <c r="AB15" s="38">
        <f t="shared" si="12"/>
        <v>1610000000</v>
      </c>
      <c r="AC15" s="38">
        <f t="shared" si="12"/>
        <v>820000000</v>
      </c>
    </row>
    <row r="16" spans="1:29" x14ac:dyDescent="0.2">
      <c r="A16" t="s">
        <v>215</v>
      </c>
      <c r="B16">
        <v>2010</v>
      </c>
      <c r="C16" t="s">
        <v>216</v>
      </c>
      <c r="E16" t="s">
        <v>217</v>
      </c>
      <c r="F16" t="s">
        <v>218</v>
      </c>
      <c r="G16">
        <v>99</v>
      </c>
      <c r="O16" t="s">
        <v>219</v>
      </c>
      <c r="P16" t="s">
        <v>223</v>
      </c>
      <c r="Q16" s="38">
        <v>1450000000</v>
      </c>
      <c r="R16" s="38">
        <v>935000000</v>
      </c>
      <c r="S16" s="38">
        <v>345000000</v>
      </c>
      <c r="T16" s="38">
        <v>130000000</v>
      </c>
      <c r="U16" s="38">
        <v>40000000</v>
      </c>
      <c r="X16" s="39">
        <f t="shared" si="2"/>
        <v>2012</v>
      </c>
    </row>
    <row r="17" spans="1:24" x14ac:dyDescent="0.2">
      <c r="A17" t="s">
        <v>215</v>
      </c>
      <c r="B17">
        <v>2010</v>
      </c>
      <c r="C17" t="s">
        <v>216</v>
      </c>
      <c r="E17" t="s">
        <v>217</v>
      </c>
      <c r="F17" t="s">
        <v>218</v>
      </c>
      <c r="G17">
        <v>99</v>
      </c>
      <c r="O17" t="s">
        <v>219</v>
      </c>
      <c r="P17" t="s">
        <v>224</v>
      </c>
      <c r="Q17" s="38">
        <v>1840000000</v>
      </c>
      <c r="R17" s="38">
        <v>1255000000</v>
      </c>
      <c r="S17" s="38">
        <v>345000000</v>
      </c>
      <c r="T17" s="38">
        <v>175000000</v>
      </c>
      <c r="U17" s="38">
        <v>65000000</v>
      </c>
      <c r="X17" s="39">
        <f t="shared" si="2"/>
        <v>2013</v>
      </c>
    </row>
    <row r="18" spans="1:24" x14ac:dyDescent="0.2">
      <c r="A18" t="s">
        <v>215</v>
      </c>
      <c r="B18">
        <v>2010</v>
      </c>
      <c r="C18" t="s">
        <v>216</v>
      </c>
      <c r="E18" t="s">
        <v>217</v>
      </c>
      <c r="F18" t="s">
        <v>218</v>
      </c>
      <c r="G18">
        <v>99</v>
      </c>
      <c r="O18" t="s">
        <v>219</v>
      </c>
      <c r="P18" t="s">
        <v>225</v>
      </c>
      <c r="Q18" s="38">
        <v>750000000</v>
      </c>
      <c r="R18" s="38">
        <v>460000000</v>
      </c>
      <c r="S18" s="38">
        <v>220000000</v>
      </c>
      <c r="T18" s="38">
        <v>50000000</v>
      </c>
      <c r="U18" s="38">
        <v>20000000</v>
      </c>
      <c r="X18" s="39">
        <f t="shared" si="2"/>
        <v>2014</v>
      </c>
    </row>
    <row r="19" spans="1:24" x14ac:dyDescent="0.2">
      <c r="A19" t="s">
        <v>215</v>
      </c>
      <c r="B19">
        <v>2010</v>
      </c>
      <c r="C19" t="s">
        <v>216</v>
      </c>
      <c r="E19" t="s">
        <v>217</v>
      </c>
      <c r="F19" t="s">
        <v>218</v>
      </c>
      <c r="G19">
        <v>99</v>
      </c>
      <c r="O19" t="s">
        <v>219</v>
      </c>
      <c r="P19" t="s">
        <v>226</v>
      </c>
      <c r="Q19" s="38">
        <v>1380000000</v>
      </c>
      <c r="R19" s="38">
        <v>870000000</v>
      </c>
      <c r="S19" s="38">
        <v>185000000</v>
      </c>
      <c r="T19" s="38">
        <v>175000000</v>
      </c>
      <c r="U19" s="38">
        <v>150000000</v>
      </c>
    </row>
    <row r="20" spans="1:24" x14ac:dyDescent="0.2">
      <c r="A20" t="s">
        <v>215</v>
      </c>
      <c r="B20">
        <v>2010</v>
      </c>
      <c r="C20" t="s">
        <v>216</v>
      </c>
      <c r="E20" t="s">
        <v>217</v>
      </c>
      <c r="F20" t="s">
        <v>218</v>
      </c>
      <c r="G20">
        <v>99</v>
      </c>
      <c r="O20" t="s">
        <v>219</v>
      </c>
      <c r="P20" t="s">
        <v>227</v>
      </c>
      <c r="Q20" s="38">
        <v>2410000000</v>
      </c>
      <c r="R20" s="38">
        <v>1635000000</v>
      </c>
      <c r="S20" s="38">
        <v>380000000</v>
      </c>
      <c r="T20" s="38">
        <v>305000000</v>
      </c>
      <c r="U20" s="38">
        <v>90000000</v>
      </c>
    </row>
    <row r="21" spans="1:24" x14ac:dyDescent="0.2">
      <c r="A21" t="s">
        <v>215</v>
      </c>
      <c r="B21">
        <v>2010</v>
      </c>
      <c r="C21" t="s">
        <v>216</v>
      </c>
      <c r="E21" t="s">
        <v>217</v>
      </c>
      <c r="F21" t="s">
        <v>218</v>
      </c>
      <c r="G21">
        <v>99</v>
      </c>
      <c r="O21" t="s">
        <v>219</v>
      </c>
      <c r="P21" t="s">
        <v>228</v>
      </c>
      <c r="Q21" s="38">
        <v>920000000</v>
      </c>
      <c r="R21" s="38">
        <v>460000000</v>
      </c>
      <c r="S21" s="38">
        <v>355000000</v>
      </c>
      <c r="T21" s="38">
        <v>70000000</v>
      </c>
      <c r="U21" s="38">
        <v>35000000</v>
      </c>
    </row>
    <row r="22" spans="1:24" x14ac:dyDescent="0.2">
      <c r="A22" t="s">
        <v>215</v>
      </c>
      <c r="B22">
        <v>2010</v>
      </c>
      <c r="C22" t="s">
        <v>216</v>
      </c>
      <c r="E22" t="s">
        <v>217</v>
      </c>
      <c r="F22" t="s">
        <v>218</v>
      </c>
      <c r="G22">
        <v>99</v>
      </c>
      <c r="O22" t="s">
        <v>229</v>
      </c>
      <c r="P22" t="s">
        <v>230</v>
      </c>
      <c r="Q22" s="38">
        <v>12900000000</v>
      </c>
      <c r="R22" s="38">
        <v>8150000000</v>
      </c>
      <c r="S22" s="38">
        <v>2550000000</v>
      </c>
      <c r="T22" s="38">
        <v>1480000000</v>
      </c>
      <c r="U22" s="38">
        <v>720000000</v>
      </c>
    </row>
    <row r="23" spans="1:24" x14ac:dyDescent="0.2">
      <c r="A23" t="s">
        <v>215</v>
      </c>
      <c r="B23">
        <v>2010</v>
      </c>
      <c r="C23" t="s">
        <v>216</v>
      </c>
      <c r="E23" t="s">
        <v>217</v>
      </c>
      <c r="F23" t="s">
        <v>218</v>
      </c>
      <c r="G23">
        <v>99</v>
      </c>
      <c r="O23" t="s">
        <v>231</v>
      </c>
      <c r="P23" t="s">
        <v>232</v>
      </c>
      <c r="Q23" s="38">
        <v>5100000000</v>
      </c>
      <c r="R23" s="38">
        <v>2820000000</v>
      </c>
      <c r="S23" s="38">
        <v>1170000000</v>
      </c>
      <c r="T23" s="38">
        <v>810000000</v>
      </c>
      <c r="U23" s="38">
        <v>300000000</v>
      </c>
    </row>
    <row r="24" spans="1:24" x14ac:dyDescent="0.2">
      <c r="A24" t="s">
        <v>215</v>
      </c>
      <c r="B24">
        <v>2010</v>
      </c>
      <c r="C24" t="s">
        <v>216</v>
      </c>
      <c r="E24" t="s">
        <v>217</v>
      </c>
      <c r="F24" t="s">
        <v>218</v>
      </c>
      <c r="G24">
        <v>99</v>
      </c>
      <c r="O24" t="s">
        <v>231</v>
      </c>
      <c r="P24" t="s">
        <v>233</v>
      </c>
      <c r="Q24" s="38">
        <v>7800000000</v>
      </c>
      <c r="R24" s="38">
        <v>5330000000</v>
      </c>
      <c r="S24" s="38">
        <v>1380000000</v>
      </c>
      <c r="T24" s="38">
        <v>670000000</v>
      </c>
      <c r="U24" s="38">
        <v>420000000</v>
      </c>
    </row>
    <row r="25" spans="1:24" x14ac:dyDescent="0.2">
      <c r="A25" t="s">
        <v>215</v>
      </c>
      <c r="B25">
        <v>2009</v>
      </c>
      <c r="C25" t="s">
        <v>216</v>
      </c>
      <c r="E25" t="s">
        <v>217</v>
      </c>
      <c r="F25" t="s">
        <v>218</v>
      </c>
      <c r="G25">
        <v>99</v>
      </c>
      <c r="O25" t="s">
        <v>219</v>
      </c>
      <c r="P25" t="s">
        <v>221</v>
      </c>
      <c r="Q25" s="38">
        <v>2990000000</v>
      </c>
      <c r="R25" s="38">
        <v>1635000000</v>
      </c>
      <c r="S25" s="38">
        <v>455000000</v>
      </c>
      <c r="T25" s="38">
        <v>675000000</v>
      </c>
      <c r="U25" s="38">
        <v>225000000</v>
      </c>
    </row>
    <row r="26" spans="1:24" x14ac:dyDescent="0.2">
      <c r="A26" t="s">
        <v>215</v>
      </c>
      <c r="B26">
        <v>2009</v>
      </c>
      <c r="C26" t="s">
        <v>216</v>
      </c>
      <c r="E26" t="s">
        <v>217</v>
      </c>
      <c r="F26" t="s">
        <v>218</v>
      </c>
      <c r="G26">
        <v>99</v>
      </c>
      <c r="O26" t="s">
        <v>219</v>
      </c>
      <c r="P26" t="s">
        <v>222</v>
      </c>
      <c r="Q26" s="38">
        <v>890000000</v>
      </c>
      <c r="R26" s="38">
        <v>510000000</v>
      </c>
      <c r="S26" s="38">
        <v>270000000</v>
      </c>
      <c r="T26" s="38">
        <v>80000000</v>
      </c>
      <c r="U26" s="38">
        <v>30000000</v>
      </c>
    </row>
    <row r="27" spans="1:24" x14ac:dyDescent="0.2">
      <c r="A27" t="s">
        <v>215</v>
      </c>
      <c r="B27">
        <v>2009</v>
      </c>
      <c r="C27" t="s">
        <v>216</v>
      </c>
      <c r="E27" t="s">
        <v>217</v>
      </c>
      <c r="F27" t="s">
        <v>218</v>
      </c>
      <c r="G27">
        <v>99</v>
      </c>
      <c r="O27" t="s">
        <v>219</v>
      </c>
      <c r="P27" t="s">
        <v>223</v>
      </c>
      <c r="Q27" s="38">
        <v>1470000000</v>
      </c>
      <c r="R27" s="38">
        <v>910000000</v>
      </c>
      <c r="S27" s="38">
        <v>300000000</v>
      </c>
      <c r="T27" s="38">
        <v>190000000</v>
      </c>
      <c r="U27" s="38">
        <v>70000000</v>
      </c>
    </row>
    <row r="28" spans="1:24" x14ac:dyDescent="0.2">
      <c r="A28" t="s">
        <v>215</v>
      </c>
      <c r="B28">
        <v>2009</v>
      </c>
      <c r="C28" t="s">
        <v>216</v>
      </c>
      <c r="E28" t="s">
        <v>217</v>
      </c>
      <c r="F28" t="s">
        <v>218</v>
      </c>
      <c r="G28">
        <v>99</v>
      </c>
      <c r="O28" t="s">
        <v>219</v>
      </c>
      <c r="P28" t="s">
        <v>224</v>
      </c>
      <c r="Q28" s="38">
        <v>1870000000</v>
      </c>
      <c r="R28" s="38">
        <v>1135000000</v>
      </c>
      <c r="S28" s="38">
        <v>330000000</v>
      </c>
      <c r="T28" s="38">
        <v>300000000</v>
      </c>
      <c r="U28" s="38">
        <v>105000000</v>
      </c>
    </row>
    <row r="29" spans="1:24" x14ac:dyDescent="0.2">
      <c r="A29" t="s">
        <v>215</v>
      </c>
      <c r="B29">
        <v>2009</v>
      </c>
      <c r="C29" t="s">
        <v>216</v>
      </c>
      <c r="E29" t="s">
        <v>217</v>
      </c>
      <c r="F29" t="s">
        <v>218</v>
      </c>
      <c r="G29">
        <v>99</v>
      </c>
      <c r="O29" t="s">
        <v>219</v>
      </c>
      <c r="P29" t="s">
        <v>225</v>
      </c>
      <c r="Q29" s="38">
        <v>880000000</v>
      </c>
      <c r="R29" s="38">
        <v>535000000</v>
      </c>
      <c r="S29" s="38">
        <v>240000000</v>
      </c>
      <c r="T29" s="38">
        <v>75000000</v>
      </c>
      <c r="U29" s="38">
        <v>30000000</v>
      </c>
    </row>
    <row r="30" spans="1:24" x14ac:dyDescent="0.2">
      <c r="A30" t="s">
        <v>215</v>
      </c>
      <c r="B30">
        <v>2009</v>
      </c>
      <c r="C30" t="s">
        <v>216</v>
      </c>
      <c r="E30" t="s">
        <v>217</v>
      </c>
      <c r="F30" t="s">
        <v>218</v>
      </c>
      <c r="G30">
        <v>99</v>
      </c>
      <c r="O30" t="s">
        <v>219</v>
      </c>
      <c r="P30" t="s">
        <v>226</v>
      </c>
      <c r="Q30" s="38">
        <v>1110000000</v>
      </c>
      <c r="R30" s="38">
        <v>675000000</v>
      </c>
      <c r="S30" s="38">
        <v>175000000</v>
      </c>
      <c r="T30" s="38">
        <v>170000000</v>
      </c>
      <c r="U30" s="38">
        <v>90000000</v>
      </c>
    </row>
    <row r="31" spans="1:24" x14ac:dyDescent="0.2">
      <c r="A31" t="s">
        <v>215</v>
      </c>
      <c r="B31">
        <v>2009</v>
      </c>
      <c r="C31" t="s">
        <v>216</v>
      </c>
      <c r="E31" t="s">
        <v>217</v>
      </c>
      <c r="F31" t="s">
        <v>218</v>
      </c>
      <c r="G31">
        <v>99</v>
      </c>
      <c r="O31" t="s">
        <v>219</v>
      </c>
      <c r="P31" t="s">
        <v>227</v>
      </c>
      <c r="Q31" s="38">
        <v>2330000000</v>
      </c>
      <c r="R31" s="38">
        <v>1340000000</v>
      </c>
      <c r="S31" s="38">
        <v>335000000</v>
      </c>
      <c r="T31" s="38">
        <v>425000000</v>
      </c>
      <c r="U31" s="38">
        <v>230000000</v>
      </c>
    </row>
    <row r="32" spans="1:24" x14ac:dyDescent="0.2">
      <c r="A32" t="s">
        <v>215</v>
      </c>
      <c r="B32">
        <v>2009</v>
      </c>
      <c r="C32" t="s">
        <v>216</v>
      </c>
      <c r="E32" t="s">
        <v>217</v>
      </c>
      <c r="F32" t="s">
        <v>218</v>
      </c>
      <c r="G32">
        <v>99</v>
      </c>
      <c r="O32" t="s">
        <v>219</v>
      </c>
      <c r="P32" t="s">
        <v>228</v>
      </c>
      <c r="Q32" s="38">
        <v>860000000</v>
      </c>
      <c r="R32" s="38">
        <v>460000000</v>
      </c>
      <c r="S32" s="38">
        <v>325000000</v>
      </c>
      <c r="T32" s="38">
        <v>55000000</v>
      </c>
      <c r="U32" s="38">
        <v>20000000</v>
      </c>
    </row>
    <row r="33" spans="1:21" x14ac:dyDescent="0.2">
      <c r="A33" t="s">
        <v>215</v>
      </c>
      <c r="B33">
        <v>2009</v>
      </c>
      <c r="C33" t="s">
        <v>216</v>
      </c>
      <c r="E33" t="s">
        <v>217</v>
      </c>
      <c r="F33" t="s">
        <v>218</v>
      </c>
      <c r="G33">
        <v>99</v>
      </c>
      <c r="O33" t="s">
        <v>229</v>
      </c>
      <c r="P33" t="s">
        <v>230</v>
      </c>
      <c r="Q33" s="38">
        <v>12400000000</v>
      </c>
      <c r="R33" s="38">
        <v>7200000000</v>
      </c>
      <c r="S33" s="38">
        <v>2430000000</v>
      </c>
      <c r="T33" s="38">
        <v>1970000000</v>
      </c>
      <c r="U33" s="38">
        <v>800000000</v>
      </c>
    </row>
    <row r="34" spans="1:21" x14ac:dyDescent="0.2">
      <c r="A34" t="s">
        <v>215</v>
      </c>
      <c r="B34">
        <v>2009</v>
      </c>
      <c r="C34" t="s">
        <v>216</v>
      </c>
      <c r="E34" t="s">
        <v>217</v>
      </c>
      <c r="F34" t="s">
        <v>218</v>
      </c>
      <c r="G34">
        <v>99</v>
      </c>
      <c r="O34" t="s">
        <v>231</v>
      </c>
      <c r="P34" t="s">
        <v>232</v>
      </c>
      <c r="Q34" s="38">
        <v>4350000000</v>
      </c>
      <c r="R34" s="38">
        <v>2355000000</v>
      </c>
      <c r="S34" s="38">
        <v>1020000000</v>
      </c>
      <c r="T34" s="38">
        <v>795000000</v>
      </c>
      <c r="U34" s="38">
        <v>180000000</v>
      </c>
    </row>
    <row r="35" spans="1:21" x14ac:dyDescent="0.2">
      <c r="A35" t="s">
        <v>215</v>
      </c>
      <c r="B35">
        <v>2009</v>
      </c>
      <c r="C35" t="s">
        <v>216</v>
      </c>
      <c r="E35" t="s">
        <v>217</v>
      </c>
      <c r="F35" t="s">
        <v>218</v>
      </c>
      <c r="G35">
        <v>99</v>
      </c>
      <c r="O35" t="s">
        <v>231</v>
      </c>
      <c r="P35" t="s">
        <v>233</v>
      </c>
      <c r="Q35" s="38">
        <v>8050000000</v>
      </c>
      <c r="R35" s="38">
        <v>4845000000</v>
      </c>
      <c r="S35" s="38">
        <v>1410000000</v>
      </c>
      <c r="T35" s="38">
        <v>1175000000</v>
      </c>
      <c r="U35" s="38">
        <v>620000000</v>
      </c>
    </row>
    <row r="36" spans="1:21" x14ac:dyDescent="0.2">
      <c r="A36" t="s">
        <v>215</v>
      </c>
      <c r="B36">
        <v>2008</v>
      </c>
      <c r="C36" t="s">
        <v>216</v>
      </c>
      <c r="E36" t="s">
        <v>217</v>
      </c>
      <c r="F36" t="s">
        <v>218</v>
      </c>
      <c r="G36">
        <v>99</v>
      </c>
      <c r="O36" t="s">
        <v>219</v>
      </c>
      <c r="P36" t="s">
        <v>221</v>
      </c>
      <c r="Q36" s="38">
        <v>4160000000</v>
      </c>
      <c r="R36" s="38">
        <v>2575000000</v>
      </c>
      <c r="S36" s="38">
        <v>515000000</v>
      </c>
      <c r="T36" s="38">
        <v>665000000</v>
      </c>
      <c r="U36" s="38">
        <v>405000000</v>
      </c>
    </row>
    <row r="37" spans="1:21" x14ac:dyDescent="0.2">
      <c r="A37" t="s">
        <v>215</v>
      </c>
      <c r="B37">
        <v>2008</v>
      </c>
      <c r="C37" t="s">
        <v>216</v>
      </c>
      <c r="E37" t="s">
        <v>217</v>
      </c>
      <c r="F37" t="s">
        <v>218</v>
      </c>
      <c r="G37">
        <v>99</v>
      </c>
      <c r="O37" t="s">
        <v>219</v>
      </c>
      <c r="P37" t="s">
        <v>222</v>
      </c>
      <c r="Q37" s="38">
        <v>1070000000</v>
      </c>
      <c r="R37" s="38">
        <v>610000000</v>
      </c>
      <c r="S37" s="38">
        <v>355000000</v>
      </c>
      <c r="T37" s="38">
        <v>75000000</v>
      </c>
      <c r="U37" s="38">
        <v>30000000</v>
      </c>
    </row>
    <row r="38" spans="1:21" x14ac:dyDescent="0.2">
      <c r="A38" t="s">
        <v>215</v>
      </c>
      <c r="B38">
        <v>2008</v>
      </c>
      <c r="C38" t="s">
        <v>216</v>
      </c>
      <c r="E38" t="s">
        <v>217</v>
      </c>
      <c r="F38" t="s">
        <v>218</v>
      </c>
      <c r="G38">
        <v>99</v>
      </c>
      <c r="O38" t="s">
        <v>219</v>
      </c>
      <c r="P38" t="s">
        <v>223</v>
      </c>
      <c r="Q38" s="38">
        <v>1810000000</v>
      </c>
      <c r="R38" s="38">
        <v>1140000000</v>
      </c>
      <c r="S38" s="38">
        <v>400000000</v>
      </c>
      <c r="T38" s="38">
        <v>200000000</v>
      </c>
      <c r="U38" s="38">
        <v>70000000</v>
      </c>
    </row>
    <row r="39" spans="1:21" x14ac:dyDescent="0.2">
      <c r="A39" t="s">
        <v>215</v>
      </c>
      <c r="B39">
        <v>2008</v>
      </c>
      <c r="C39" t="s">
        <v>216</v>
      </c>
      <c r="E39" t="s">
        <v>217</v>
      </c>
      <c r="F39" t="s">
        <v>218</v>
      </c>
      <c r="G39">
        <v>99</v>
      </c>
      <c r="O39" t="s">
        <v>219</v>
      </c>
      <c r="P39" t="s">
        <v>224</v>
      </c>
      <c r="Q39" s="38">
        <v>2280000000</v>
      </c>
      <c r="R39" s="38">
        <v>1490000000</v>
      </c>
      <c r="S39" s="38">
        <v>390000000</v>
      </c>
      <c r="T39" s="38">
        <v>315000000</v>
      </c>
      <c r="U39" s="38">
        <v>85000000</v>
      </c>
    </row>
    <row r="40" spans="1:21" x14ac:dyDescent="0.2">
      <c r="A40" t="s">
        <v>215</v>
      </c>
      <c r="B40">
        <v>2008</v>
      </c>
      <c r="C40" t="s">
        <v>216</v>
      </c>
      <c r="E40" t="s">
        <v>217</v>
      </c>
      <c r="F40" t="s">
        <v>218</v>
      </c>
      <c r="G40">
        <v>99</v>
      </c>
      <c r="O40" t="s">
        <v>219</v>
      </c>
      <c r="P40" t="s">
        <v>225</v>
      </c>
      <c r="Q40" s="38">
        <v>1020000000</v>
      </c>
      <c r="R40" s="38">
        <v>605000000</v>
      </c>
      <c r="S40" s="38">
        <v>275000000</v>
      </c>
      <c r="T40" s="38">
        <v>105000000</v>
      </c>
      <c r="U40" s="38">
        <v>35000000</v>
      </c>
    </row>
    <row r="41" spans="1:21" x14ac:dyDescent="0.2">
      <c r="A41" t="s">
        <v>215</v>
      </c>
      <c r="B41">
        <v>2008</v>
      </c>
      <c r="C41" t="s">
        <v>216</v>
      </c>
      <c r="E41" t="s">
        <v>217</v>
      </c>
      <c r="F41" t="s">
        <v>218</v>
      </c>
      <c r="G41">
        <v>99</v>
      </c>
      <c r="O41" t="s">
        <v>219</v>
      </c>
      <c r="P41" t="s">
        <v>226</v>
      </c>
      <c r="Q41" s="38">
        <v>1610000000</v>
      </c>
      <c r="R41" s="38">
        <v>930000000</v>
      </c>
      <c r="S41" s="38">
        <v>235000000</v>
      </c>
      <c r="T41" s="38">
        <v>195000000</v>
      </c>
      <c r="U41" s="38">
        <v>250000000</v>
      </c>
    </row>
    <row r="42" spans="1:21" x14ac:dyDescent="0.2">
      <c r="A42" t="s">
        <v>215</v>
      </c>
      <c r="B42">
        <v>2008</v>
      </c>
      <c r="C42" t="s">
        <v>216</v>
      </c>
      <c r="E42" t="s">
        <v>217</v>
      </c>
      <c r="F42" t="s">
        <v>218</v>
      </c>
      <c r="G42">
        <v>99</v>
      </c>
      <c r="O42" t="s">
        <v>219</v>
      </c>
      <c r="P42" t="s">
        <v>227</v>
      </c>
      <c r="Q42" s="38">
        <v>3080000000</v>
      </c>
      <c r="R42" s="38">
        <v>2010000000</v>
      </c>
      <c r="S42" s="38">
        <v>455000000</v>
      </c>
      <c r="T42" s="38">
        <v>410000000</v>
      </c>
      <c r="U42" s="38">
        <v>205000000</v>
      </c>
    </row>
    <row r="43" spans="1:21" x14ac:dyDescent="0.2">
      <c r="A43" t="s">
        <v>215</v>
      </c>
      <c r="B43">
        <v>2008</v>
      </c>
      <c r="C43" t="s">
        <v>216</v>
      </c>
      <c r="E43" t="s">
        <v>217</v>
      </c>
      <c r="F43" t="s">
        <v>218</v>
      </c>
      <c r="G43">
        <v>99</v>
      </c>
      <c r="O43" t="s">
        <v>219</v>
      </c>
      <c r="P43" t="s">
        <v>228</v>
      </c>
      <c r="Q43" s="38">
        <v>970000000</v>
      </c>
      <c r="R43" s="38">
        <v>500000000</v>
      </c>
      <c r="S43" s="38">
        <v>385000000</v>
      </c>
      <c r="T43" s="38">
        <v>65000000</v>
      </c>
      <c r="U43" s="38">
        <v>20000000</v>
      </c>
    </row>
    <row r="44" spans="1:21" x14ac:dyDescent="0.2">
      <c r="A44" t="s">
        <v>215</v>
      </c>
      <c r="B44">
        <v>2008</v>
      </c>
      <c r="C44" t="s">
        <v>216</v>
      </c>
      <c r="E44" t="s">
        <v>217</v>
      </c>
      <c r="F44" t="s">
        <v>218</v>
      </c>
      <c r="G44">
        <v>99</v>
      </c>
      <c r="O44" t="s">
        <v>229</v>
      </c>
      <c r="P44" t="s">
        <v>230</v>
      </c>
      <c r="Q44" s="38">
        <v>16000000000</v>
      </c>
      <c r="R44" s="38">
        <v>9860000000</v>
      </c>
      <c r="S44" s="38">
        <v>3010000000</v>
      </c>
      <c r="T44" s="38">
        <v>2030000000</v>
      </c>
      <c r="U44" s="38">
        <v>1100000000</v>
      </c>
    </row>
    <row r="45" spans="1:21" x14ac:dyDescent="0.2">
      <c r="A45" t="s">
        <v>215</v>
      </c>
      <c r="B45">
        <v>2008</v>
      </c>
      <c r="C45" t="s">
        <v>216</v>
      </c>
      <c r="E45" t="s">
        <v>217</v>
      </c>
      <c r="F45" t="s">
        <v>218</v>
      </c>
      <c r="G45">
        <v>99</v>
      </c>
      <c r="O45" t="s">
        <v>231</v>
      </c>
      <c r="P45" t="s">
        <v>232</v>
      </c>
      <c r="Q45" s="38">
        <v>5600000000</v>
      </c>
      <c r="R45" s="38">
        <v>3160000000</v>
      </c>
      <c r="S45" s="38">
        <v>1280000000</v>
      </c>
      <c r="T45" s="38">
        <v>870000000</v>
      </c>
      <c r="U45" s="38">
        <v>290000000</v>
      </c>
    </row>
    <row r="46" spans="1:21" x14ac:dyDescent="0.2">
      <c r="A46" t="s">
        <v>215</v>
      </c>
      <c r="B46">
        <v>2008</v>
      </c>
      <c r="C46" t="s">
        <v>216</v>
      </c>
      <c r="E46" t="s">
        <v>217</v>
      </c>
      <c r="F46" t="s">
        <v>218</v>
      </c>
      <c r="G46">
        <v>99</v>
      </c>
      <c r="O46" t="s">
        <v>231</v>
      </c>
      <c r="P46" t="s">
        <v>233</v>
      </c>
      <c r="Q46" s="38">
        <v>10400000000</v>
      </c>
      <c r="R46" s="38">
        <v>6700000000</v>
      </c>
      <c r="S46" s="38">
        <v>1730000000</v>
      </c>
      <c r="T46" s="38">
        <v>1160000000</v>
      </c>
      <c r="U46" s="38">
        <v>810000000</v>
      </c>
    </row>
    <row r="47" spans="1:21" x14ac:dyDescent="0.2">
      <c r="A47" t="s">
        <v>215</v>
      </c>
      <c r="B47">
        <v>2007</v>
      </c>
      <c r="C47" t="s">
        <v>216</v>
      </c>
      <c r="E47" t="s">
        <v>217</v>
      </c>
      <c r="F47" t="s">
        <v>218</v>
      </c>
      <c r="G47">
        <v>99</v>
      </c>
      <c r="O47" t="s">
        <v>219</v>
      </c>
      <c r="P47" t="s">
        <v>220</v>
      </c>
      <c r="Q47" s="38">
        <v>4630000000</v>
      </c>
      <c r="R47" s="38">
        <v>2760000000</v>
      </c>
      <c r="S47" s="38">
        <v>675000000</v>
      </c>
      <c r="T47" s="38">
        <v>665000000</v>
      </c>
      <c r="U47" s="38">
        <v>530000000</v>
      </c>
    </row>
    <row r="48" spans="1:21" x14ac:dyDescent="0.2">
      <c r="A48" t="s">
        <v>215</v>
      </c>
      <c r="B48">
        <v>2007</v>
      </c>
      <c r="C48" t="s">
        <v>216</v>
      </c>
      <c r="E48" t="s">
        <v>217</v>
      </c>
      <c r="F48" t="s">
        <v>218</v>
      </c>
      <c r="G48">
        <v>99</v>
      </c>
      <c r="O48" t="s">
        <v>219</v>
      </c>
      <c r="P48" t="s">
        <v>222</v>
      </c>
      <c r="Q48" s="38">
        <v>1080000000</v>
      </c>
      <c r="R48" s="38">
        <v>630000000</v>
      </c>
      <c r="S48" s="38">
        <v>365000000</v>
      </c>
      <c r="T48" s="38">
        <v>65000000</v>
      </c>
      <c r="U48" s="38">
        <v>20000000</v>
      </c>
    </row>
    <row r="49" spans="1:21" x14ac:dyDescent="0.2">
      <c r="A49" t="s">
        <v>215</v>
      </c>
      <c r="B49">
        <v>2007</v>
      </c>
      <c r="C49" t="s">
        <v>216</v>
      </c>
      <c r="E49" t="s">
        <v>217</v>
      </c>
      <c r="F49" t="s">
        <v>218</v>
      </c>
      <c r="G49">
        <v>99</v>
      </c>
      <c r="O49" t="s">
        <v>219</v>
      </c>
      <c r="P49" t="s">
        <v>223</v>
      </c>
      <c r="Q49" s="38">
        <v>1600000000</v>
      </c>
      <c r="R49" s="38">
        <v>1020000000</v>
      </c>
      <c r="S49" s="38">
        <v>370000000</v>
      </c>
      <c r="T49" s="38">
        <v>160000000</v>
      </c>
      <c r="U49" s="38">
        <v>50000000</v>
      </c>
    </row>
    <row r="50" spans="1:21" x14ac:dyDescent="0.2">
      <c r="A50" t="s">
        <v>215</v>
      </c>
      <c r="B50">
        <v>2007</v>
      </c>
      <c r="C50" t="s">
        <v>216</v>
      </c>
      <c r="E50" t="s">
        <v>217</v>
      </c>
      <c r="F50" t="s">
        <v>218</v>
      </c>
      <c r="G50">
        <v>99</v>
      </c>
      <c r="O50" t="s">
        <v>219</v>
      </c>
      <c r="P50" t="s">
        <v>224</v>
      </c>
      <c r="Q50" s="38">
        <v>1950000000</v>
      </c>
      <c r="R50" s="38">
        <v>1260000000</v>
      </c>
      <c r="S50" s="38">
        <v>390000000</v>
      </c>
      <c r="T50" s="38">
        <v>240000000</v>
      </c>
      <c r="U50" s="38">
        <v>60000000</v>
      </c>
    </row>
    <row r="51" spans="1:21" x14ac:dyDescent="0.2">
      <c r="A51" t="s">
        <v>215</v>
      </c>
      <c r="B51">
        <v>2007</v>
      </c>
      <c r="C51" t="s">
        <v>216</v>
      </c>
      <c r="E51" t="s">
        <v>217</v>
      </c>
      <c r="F51" t="s">
        <v>218</v>
      </c>
      <c r="G51">
        <v>99</v>
      </c>
      <c r="O51" t="s">
        <v>219</v>
      </c>
      <c r="P51" t="s">
        <v>225</v>
      </c>
      <c r="Q51" s="38">
        <v>920000000</v>
      </c>
      <c r="R51" s="38">
        <v>550000000</v>
      </c>
      <c r="S51" s="38">
        <v>250000000</v>
      </c>
      <c r="T51" s="38">
        <v>65000000</v>
      </c>
      <c r="U51" s="38">
        <v>55000000</v>
      </c>
    </row>
    <row r="52" spans="1:21" x14ac:dyDescent="0.2">
      <c r="A52" t="s">
        <v>215</v>
      </c>
      <c r="B52">
        <v>2007</v>
      </c>
      <c r="C52" t="s">
        <v>216</v>
      </c>
      <c r="E52" t="s">
        <v>217</v>
      </c>
      <c r="F52" t="s">
        <v>218</v>
      </c>
      <c r="G52">
        <v>99</v>
      </c>
      <c r="O52" t="s">
        <v>219</v>
      </c>
      <c r="P52" t="s">
        <v>227</v>
      </c>
      <c r="Q52" s="38">
        <v>2440000000</v>
      </c>
      <c r="R52" s="38">
        <v>1530000000</v>
      </c>
      <c r="S52" s="38">
        <v>400000000</v>
      </c>
      <c r="T52" s="38">
        <v>395000000</v>
      </c>
      <c r="U52" s="38">
        <v>115000000</v>
      </c>
    </row>
    <row r="53" spans="1:21" x14ac:dyDescent="0.2">
      <c r="A53" t="s">
        <v>215</v>
      </c>
      <c r="B53">
        <v>2007</v>
      </c>
      <c r="C53" t="s">
        <v>216</v>
      </c>
      <c r="E53" t="s">
        <v>217</v>
      </c>
      <c r="F53" t="s">
        <v>218</v>
      </c>
      <c r="G53">
        <v>99</v>
      </c>
      <c r="O53" t="s">
        <v>219</v>
      </c>
      <c r="P53" t="s">
        <v>228</v>
      </c>
      <c r="Q53" s="38">
        <v>880000000</v>
      </c>
      <c r="R53" s="38">
        <v>450000000</v>
      </c>
      <c r="S53" s="38">
        <v>340000000</v>
      </c>
      <c r="T53" s="38">
        <v>60000000</v>
      </c>
      <c r="U53" s="38">
        <v>30000000</v>
      </c>
    </row>
    <row r="54" spans="1:21" x14ac:dyDescent="0.2">
      <c r="A54" t="s">
        <v>215</v>
      </c>
      <c r="B54">
        <v>2007</v>
      </c>
      <c r="C54" t="s">
        <v>216</v>
      </c>
      <c r="E54" t="s">
        <v>217</v>
      </c>
      <c r="F54" t="s">
        <v>218</v>
      </c>
      <c r="G54">
        <v>99</v>
      </c>
      <c r="O54" t="s">
        <v>229</v>
      </c>
      <c r="P54" t="s">
        <v>230</v>
      </c>
      <c r="Q54" s="38">
        <v>13500000000</v>
      </c>
      <c r="R54" s="38">
        <v>8200000000</v>
      </c>
      <c r="S54" s="38">
        <v>2790000000</v>
      </c>
      <c r="T54" s="38">
        <v>1650000000</v>
      </c>
      <c r="U54" s="38">
        <v>860000000</v>
      </c>
    </row>
    <row r="55" spans="1:21" x14ac:dyDescent="0.2">
      <c r="A55" t="s">
        <v>215</v>
      </c>
      <c r="B55">
        <v>2007</v>
      </c>
      <c r="C55" t="s">
        <v>216</v>
      </c>
      <c r="E55" t="s">
        <v>217</v>
      </c>
      <c r="F55" t="s">
        <v>218</v>
      </c>
      <c r="G55">
        <v>99</v>
      </c>
      <c r="O55" t="s">
        <v>231</v>
      </c>
      <c r="P55" t="s">
        <v>232</v>
      </c>
      <c r="Q55" s="38">
        <v>5120000000</v>
      </c>
      <c r="R55" s="38">
        <v>2830000000</v>
      </c>
      <c r="S55" s="38">
        <v>1220000000</v>
      </c>
      <c r="T55" s="38">
        <v>820000000</v>
      </c>
      <c r="U55" s="38">
        <v>250000000</v>
      </c>
    </row>
    <row r="56" spans="1:21" x14ac:dyDescent="0.2">
      <c r="A56" t="s">
        <v>215</v>
      </c>
      <c r="B56">
        <v>2007</v>
      </c>
      <c r="C56" t="s">
        <v>216</v>
      </c>
      <c r="E56" t="s">
        <v>217</v>
      </c>
      <c r="F56" t="s">
        <v>218</v>
      </c>
      <c r="G56">
        <v>99</v>
      </c>
      <c r="O56" t="s">
        <v>231</v>
      </c>
      <c r="P56" t="s">
        <v>233</v>
      </c>
      <c r="Q56" s="38">
        <v>8380000000</v>
      </c>
      <c r="R56" s="38">
        <v>5370000000</v>
      </c>
      <c r="S56" s="38">
        <v>1570000000</v>
      </c>
      <c r="T56" s="38">
        <v>830000000</v>
      </c>
      <c r="U56" s="38">
        <v>610000000</v>
      </c>
    </row>
    <row r="57" spans="1:21" x14ac:dyDescent="0.2">
      <c r="A57" t="s">
        <v>215</v>
      </c>
      <c r="B57">
        <v>2006</v>
      </c>
      <c r="C57" t="s">
        <v>216</v>
      </c>
      <c r="E57" t="s">
        <v>217</v>
      </c>
      <c r="F57" t="s">
        <v>218</v>
      </c>
      <c r="G57">
        <v>99</v>
      </c>
      <c r="O57" t="s">
        <v>219</v>
      </c>
      <c r="P57" t="s">
        <v>220</v>
      </c>
      <c r="Q57" s="38">
        <v>3150000000</v>
      </c>
      <c r="R57" s="38">
        <v>1855000000</v>
      </c>
      <c r="S57" s="38">
        <v>470000000</v>
      </c>
      <c r="T57" s="38">
        <v>445000000</v>
      </c>
      <c r="U57" s="38">
        <v>380000000</v>
      </c>
    </row>
    <row r="58" spans="1:21" x14ac:dyDescent="0.2">
      <c r="A58" t="s">
        <v>215</v>
      </c>
      <c r="B58">
        <v>2006</v>
      </c>
      <c r="C58" t="s">
        <v>216</v>
      </c>
      <c r="E58" t="s">
        <v>217</v>
      </c>
      <c r="F58" t="s">
        <v>218</v>
      </c>
      <c r="G58">
        <v>99</v>
      </c>
      <c r="O58" t="s">
        <v>219</v>
      </c>
      <c r="P58" t="s">
        <v>222</v>
      </c>
      <c r="Q58" s="38">
        <v>950000000</v>
      </c>
      <c r="R58" s="38">
        <v>550000000</v>
      </c>
      <c r="S58" s="38">
        <v>315000000</v>
      </c>
      <c r="T58" s="38">
        <v>60000000</v>
      </c>
      <c r="U58" s="38">
        <v>25000000</v>
      </c>
    </row>
    <row r="59" spans="1:21" x14ac:dyDescent="0.2">
      <c r="A59" t="s">
        <v>215</v>
      </c>
      <c r="B59">
        <v>2006</v>
      </c>
      <c r="C59" t="s">
        <v>216</v>
      </c>
      <c r="E59" t="s">
        <v>217</v>
      </c>
      <c r="F59" t="s">
        <v>218</v>
      </c>
      <c r="G59">
        <v>99</v>
      </c>
      <c r="O59" t="s">
        <v>219</v>
      </c>
      <c r="P59" t="s">
        <v>223</v>
      </c>
      <c r="Q59" s="38">
        <v>1770000000</v>
      </c>
      <c r="R59" s="38">
        <v>1150000000</v>
      </c>
      <c r="S59" s="38">
        <v>370000000</v>
      </c>
      <c r="T59" s="38">
        <v>190000000</v>
      </c>
      <c r="U59" s="38">
        <v>60000000</v>
      </c>
    </row>
    <row r="60" spans="1:21" x14ac:dyDescent="0.2">
      <c r="A60" t="s">
        <v>215</v>
      </c>
      <c r="B60">
        <v>2006</v>
      </c>
      <c r="C60" t="s">
        <v>216</v>
      </c>
      <c r="E60" t="s">
        <v>217</v>
      </c>
      <c r="F60" t="s">
        <v>218</v>
      </c>
      <c r="G60">
        <v>99</v>
      </c>
      <c r="O60" t="s">
        <v>219</v>
      </c>
      <c r="P60" t="s">
        <v>224</v>
      </c>
      <c r="Q60" s="38">
        <v>1860000000</v>
      </c>
      <c r="R60" s="38">
        <v>1200000000</v>
      </c>
      <c r="S60" s="38">
        <v>370000000</v>
      </c>
      <c r="T60" s="38">
        <v>210000000</v>
      </c>
      <c r="U60" s="38">
        <v>80000000</v>
      </c>
    </row>
    <row r="61" spans="1:21" x14ac:dyDescent="0.2">
      <c r="A61" t="s">
        <v>215</v>
      </c>
      <c r="B61">
        <v>2006</v>
      </c>
      <c r="C61" t="s">
        <v>216</v>
      </c>
      <c r="E61" t="s">
        <v>217</v>
      </c>
      <c r="F61" t="s">
        <v>218</v>
      </c>
      <c r="G61">
        <v>99</v>
      </c>
      <c r="O61" t="s">
        <v>219</v>
      </c>
      <c r="P61" t="s">
        <v>225</v>
      </c>
      <c r="Q61" s="38">
        <v>910000000</v>
      </c>
      <c r="R61" s="38">
        <v>550000000</v>
      </c>
      <c r="S61" s="38">
        <v>245000000</v>
      </c>
      <c r="T61" s="38">
        <v>80000000</v>
      </c>
      <c r="U61" s="38">
        <v>35000000</v>
      </c>
    </row>
    <row r="62" spans="1:21" x14ac:dyDescent="0.2">
      <c r="A62" t="s">
        <v>215</v>
      </c>
      <c r="B62">
        <v>2006</v>
      </c>
      <c r="C62" t="s">
        <v>216</v>
      </c>
      <c r="E62" t="s">
        <v>217</v>
      </c>
      <c r="F62" t="s">
        <v>218</v>
      </c>
      <c r="G62">
        <v>99</v>
      </c>
      <c r="O62" t="s">
        <v>219</v>
      </c>
      <c r="P62" t="s">
        <v>227</v>
      </c>
      <c r="Q62" s="38">
        <v>1660000000</v>
      </c>
      <c r="R62" s="38">
        <v>1025000000</v>
      </c>
      <c r="S62" s="38">
        <v>270000000</v>
      </c>
      <c r="T62" s="38">
        <v>250000000</v>
      </c>
      <c r="U62" s="38">
        <v>115000000</v>
      </c>
    </row>
    <row r="63" spans="1:21" x14ac:dyDescent="0.2">
      <c r="A63" t="s">
        <v>215</v>
      </c>
      <c r="B63">
        <v>2006</v>
      </c>
      <c r="C63" t="s">
        <v>216</v>
      </c>
      <c r="E63" t="s">
        <v>217</v>
      </c>
      <c r="F63" t="s">
        <v>218</v>
      </c>
      <c r="G63">
        <v>99</v>
      </c>
      <c r="O63" t="s">
        <v>219</v>
      </c>
      <c r="P63" t="s">
        <v>228</v>
      </c>
      <c r="Q63" s="38">
        <v>800000000</v>
      </c>
      <c r="R63" s="38">
        <v>400000000</v>
      </c>
      <c r="S63" s="38">
        <v>330000000</v>
      </c>
      <c r="T63" s="38">
        <v>45000000</v>
      </c>
      <c r="U63" s="38">
        <v>25000000</v>
      </c>
    </row>
    <row r="64" spans="1:21" x14ac:dyDescent="0.2">
      <c r="A64" t="s">
        <v>215</v>
      </c>
      <c r="B64">
        <v>2006</v>
      </c>
      <c r="C64" t="s">
        <v>216</v>
      </c>
      <c r="E64" t="s">
        <v>217</v>
      </c>
      <c r="F64" t="s">
        <v>218</v>
      </c>
      <c r="G64">
        <v>99</v>
      </c>
      <c r="O64" t="s">
        <v>229</v>
      </c>
      <c r="P64" t="s">
        <v>230</v>
      </c>
      <c r="Q64" s="38">
        <v>11100000000</v>
      </c>
      <c r="R64" s="38">
        <v>6730000000</v>
      </c>
      <c r="S64" s="38">
        <v>2370000000</v>
      </c>
      <c r="T64" s="38">
        <v>1280000000</v>
      </c>
      <c r="U64" s="38">
        <v>720000000</v>
      </c>
    </row>
    <row r="65" spans="1:21" x14ac:dyDescent="0.2">
      <c r="A65" t="s">
        <v>215</v>
      </c>
      <c r="B65">
        <v>2006</v>
      </c>
      <c r="C65" t="s">
        <v>216</v>
      </c>
      <c r="E65" t="s">
        <v>217</v>
      </c>
      <c r="F65" t="s">
        <v>218</v>
      </c>
      <c r="G65">
        <v>99</v>
      </c>
      <c r="O65" t="s">
        <v>231</v>
      </c>
      <c r="P65" t="s">
        <v>232</v>
      </c>
      <c r="Q65" s="38">
        <v>4380000000</v>
      </c>
      <c r="R65" s="38">
        <v>2455000000</v>
      </c>
      <c r="S65" s="38">
        <v>1090000000</v>
      </c>
      <c r="T65" s="38">
        <v>670000000</v>
      </c>
      <c r="U65" s="38">
        <v>165000000</v>
      </c>
    </row>
    <row r="66" spans="1:21" x14ac:dyDescent="0.2">
      <c r="A66" t="s">
        <v>215</v>
      </c>
      <c r="B66">
        <v>2006</v>
      </c>
      <c r="C66" t="s">
        <v>216</v>
      </c>
      <c r="E66" t="s">
        <v>217</v>
      </c>
      <c r="F66" t="s">
        <v>218</v>
      </c>
      <c r="G66">
        <v>99</v>
      </c>
      <c r="O66" t="s">
        <v>231</v>
      </c>
      <c r="P66" t="s">
        <v>233</v>
      </c>
      <c r="Q66" s="38">
        <v>6720000000</v>
      </c>
      <c r="R66" s="38">
        <v>4275000000</v>
      </c>
      <c r="S66" s="38">
        <v>1280000000</v>
      </c>
      <c r="T66" s="38">
        <v>610000000</v>
      </c>
      <c r="U66" s="38">
        <v>555000000</v>
      </c>
    </row>
    <row r="67" spans="1:21" x14ac:dyDescent="0.2">
      <c r="A67" t="s">
        <v>215</v>
      </c>
      <c r="B67">
        <v>2005</v>
      </c>
      <c r="C67" t="s">
        <v>216</v>
      </c>
      <c r="E67" t="s">
        <v>217</v>
      </c>
      <c r="F67" t="s">
        <v>218</v>
      </c>
      <c r="G67">
        <v>99</v>
      </c>
      <c r="O67" t="s">
        <v>219</v>
      </c>
      <c r="P67" t="s">
        <v>220</v>
      </c>
      <c r="Q67" s="38">
        <v>2780000000</v>
      </c>
      <c r="R67" s="38">
        <v>1515000000</v>
      </c>
      <c r="S67" s="38">
        <v>450000000</v>
      </c>
      <c r="T67" s="38">
        <v>380000000</v>
      </c>
      <c r="U67" s="38">
        <v>435000000</v>
      </c>
    </row>
    <row r="68" spans="1:21" x14ac:dyDescent="0.2">
      <c r="A68" t="s">
        <v>215</v>
      </c>
      <c r="B68">
        <v>2005</v>
      </c>
      <c r="C68" t="s">
        <v>216</v>
      </c>
      <c r="E68" t="s">
        <v>217</v>
      </c>
      <c r="F68" t="s">
        <v>218</v>
      </c>
      <c r="G68">
        <v>99</v>
      </c>
      <c r="O68" t="s">
        <v>219</v>
      </c>
      <c r="P68" t="s">
        <v>222</v>
      </c>
      <c r="Q68" s="38">
        <v>840000000</v>
      </c>
      <c r="R68" s="38">
        <v>470000000</v>
      </c>
      <c r="S68" s="38">
        <v>290000000</v>
      </c>
      <c r="T68" s="38">
        <v>60000000</v>
      </c>
      <c r="U68" s="38">
        <v>20000000</v>
      </c>
    </row>
    <row r="69" spans="1:21" x14ac:dyDescent="0.2">
      <c r="A69" t="s">
        <v>215</v>
      </c>
      <c r="B69">
        <v>2005</v>
      </c>
      <c r="C69" t="s">
        <v>216</v>
      </c>
      <c r="E69" t="s">
        <v>217</v>
      </c>
      <c r="F69" t="s">
        <v>218</v>
      </c>
      <c r="G69">
        <v>99</v>
      </c>
      <c r="O69" t="s">
        <v>219</v>
      </c>
      <c r="P69" t="s">
        <v>223</v>
      </c>
      <c r="Q69" s="38">
        <v>1650000000</v>
      </c>
      <c r="R69" s="38">
        <v>1005000000</v>
      </c>
      <c r="S69" s="38">
        <v>405000000</v>
      </c>
      <c r="T69" s="38">
        <v>185000000</v>
      </c>
      <c r="U69" s="38">
        <v>55000000</v>
      </c>
    </row>
    <row r="70" spans="1:21" x14ac:dyDescent="0.2">
      <c r="A70" t="s">
        <v>215</v>
      </c>
      <c r="B70">
        <v>2005</v>
      </c>
      <c r="C70" t="s">
        <v>216</v>
      </c>
      <c r="E70" t="s">
        <v>217</v>
      </c>
      <c r="F70" t="s">
        <v>218</v>
      </c>
      <c r="G70">
        <v>99</v>
      </c>
      <c r="O70" t="s">
        <v>219</v>
      </c>
      <c r="P70" t="s">
        <v>224</v>
      </c>
      <c r="Q70" s="38">
        <v>1700000000</v>
      </c>
      <c r="R70" s="38">
        <v>1050000000</v>
      </c>
      <c r="S70" s="38">
        <v>340000000</v>
      </c>
      <c r="T70" s="38">
        <v>235000000</v>
      </c>
      <c r="U70" s="38">
        <v>75000000</v>
      </c>
    </row>
    <row r="71" spans="1:21" x14ac:dyDescent="0.2">
      <c r="A71" t="s">
        <v>215</v>
      </c>
      <c r="B71">
        <v>2005</v>
      </c>
      <c r="C71" t="s">
        <v>216</v>
      </c>
      <c r="E71" t="s">
        <v>217</v>
      </c>
      <c r="F71" t="s">
        <v>218</v>
      </c>
      <c r="G71">
        <v>99</v>
      </c>
      <c r="O71" t="s">
        <v>219</v>
      </c>
      <c r="P71" t="s">
        <v>225</v>
      </c>
      <c r="Q71" s="38">
        <v>960000000</v>
      </c>
      <c r="R71" s="38">
        <v>610000000</v>
      </c>
      <c r="S71" s="38">
        <v>240000000</v>
      </c>
      <c r="T71" s="38">
        <v>90000000</v>
      </c>
      <c r="U71" s="38">
        <v>20000000</v>
      </c>
    </row>
    <row r="72" spans="1:21" x14ac:dyDescent="0.2">
      <c r="A72" t="s">
        <v>215</v>
      </c>
      <c r="B72">
        <v>2005</v>
      </c>
      <c r="C72" t="s">
        <v>216</v>
      </c>
      <c r="E72" t="s">
        <v>217</v>
      </c>
      <c r="F72" t="s">
        <v>218</v>
      </c>
      <c r="G72">
        <v>99</v>
      </c>
      <c r="O72" t="s">
        <v>219</v>
      </c>
      <c r="P72" t="s">
        <v>227</v>
      </c>
      <c r="Q72" s="38">
        <v>1400000000</v>
      </c>
      <c r="R72" s="38">
        <v>815000000</v>
      </c>
      <c r="S72" s="38">
        <v>280000000</v>
      </c>
      <c r="T72" s="38">
        <v>240000000</v>
      </c>
      <c r="U72" s="38">
        <v>65000000</v>
      </c>
    </row>
    <row r="73" spans="1:21" x14ac:dyDescent="0.2">
      <c r="A73" t="s">
        <v>215</v>
      </c>
      <c r="B73">
        <v>2005</v>
      </c>
      <c r="C73" t="s">
        <v>216</v>
      </c>
      <c r="E73" t="s">
        <v>217</v>
      </c>
      <c r="F73" t="s">
        <v>218</v>
      </c>
      <c r="G73">
        <v>99</v>
      </c>
      <c r="O73" t="s">
        <v>219</v>
      </c>
      <c r="P73" t="s">
        <v>228</v>
      </c>
      <c r="Q73" s="38">
        <v>770000000</v>
      </c>
      <c r="R73" s="38">
        <v>405000000</v>
      </c>
      <c r="S73" s="38">
        <v>305000000</v>
      </c>
      <c r="T73" s="38">
        <v>40000000</v>
      </c>
      <c r="U73" s="38">
        <v>20000000</v>
      </c>
    </row>
    <row r="74" spans="1:21" x14ac:dyDescent="0.2">
      <c r="A74" t="s">
        <v>215</v>
      </c>
      <c r="B74">
        <v>2005</v>
      </c>
      <c r="C74" t="s">
        <v>216</v>
      </c>
      <c r="E74" t="s">
        <v>217</v>
      </c>
      <c r="F74" t="s">
        <v>218</v>
      </c>
      <c r="G74">
        <v>99</v>
      </c>
      <c r="O74" t="s">
        <v>229</v>
      </c>
      <c r="P74" t="s">
        <v>230</v>
      </c>
      <c r="Q74" s="38">
        <v>10100000000</v>
      </c>
      <c r="R74" s="38">
        <v>5870000000</v>
      </c>
      <c r="S74" s="38">
        <v>2310000000</v>
      </c>
      <c r="T74" s="38">
        <v>1230000000</v>
      </c>
      <c r="U74" s="38">
        <v>690000000</v>
      </c>
    </row>
    <row r="75" spans="1:21" x14ac:dyDescent="0.2">
      <c r="A75" t="s">
        <v>215</v>
      </c>
      <c r="B75">
        <v>2005</v>
      </c>
      <c r="C75" t="s">
        <v>216</v>
      </c>
      <c r="E75" t="s">
        <v>217</v>
      </c>
      <c r="F75" t="s">
        <v>218</v>
      </c>
      <c r="G75">
        <v>99</v>
      </c>
      <c r="O75" t="s">
        <v>231</v>
      </c>
      <c r="P75" t="s">
        <v>232</v>
      </c>
      <c r="Q75" s="38">
        <v>3960000000</v>
      </c>
      <c r="R75" s="38">
        <v>2050000000</v>
      </c>
      <c r="S75" s="38">
        <v>1115000000</v>
      </c>
      <c r="T75" s="38">
        <v>650000000</v>
      </c>
      <c r="U75" s="38">
        <v>145000000</v>
      </c>
    </row>
    <row r="76" spans="1:21" x14ac:dyDescent="0.2">
      <c r="A76" t="s">
        <v>215</v>
      </c>
      <c r="B76">
        <v>2005</v>
      </c>
      <c r="C76" t="s">
        <v>216</v>
      </c>
      <c r="E76" t="s">
        <v>217</v>
      </c>
      <c r="F76" t="s">
        <v>218</v>
      </c>
      <c r="G76">
        <v>99</v>
      </c>
      <c r="O76" t="s">
        <v>231</v>
      </c>
      <c r="P76" t="s">
        <v>233</v>
      </c>
      <c r="Q76" s="38">
        <v>6140000000</v>
      </c>
      <c r="R76" s="38">
        <v>3820000000</v>
      </c>
      <c r="S76" s="38">
        <v>1195000000</v>
      </c>
      <c r="T76" s="38">
        <v>580000000</v>
      </c>
      <c r="U76" s="38">
        <v>545000000</v>
      </c>
    </row>
    <row r="77" spans="1:21" x14ac:dyDescent="0.2">
      <c r="A77" t="s">
        <v>215</v>
      </c>
      <c r="B77">
        <v>2004</v>
      </c>
      <c r="C77" t="s">
        <v>216</v>
      </c>
      <c r="E77" t="s">
        <v>217</v>
      </c>
      <c r="F77" t="s">
        <v>218</v>
      </c>
      <c r="G77">
        <v>99</v>
      </c>
      <c r="O77" t="s">
        <v>219</v>
      </c>
      <c r="P77" t="s">
        <v>220</v>
      </c>
      <c r="Q77" s="38">
        <v>2060000000</v>
      </c>
      <c r="R77" s="38">
        <v>1090000000</v>
      </c>
      <c r="S77" s="38">
        <v>350000000</v>
      </c>
      <c r="T77" s="38">
        <v>315000000</v>
      </c>
      <c r="U77" s="38">
        <v>305000000</v>
      </c>
    </row>
    <row r="78" spans="1:21" x14ac:dyDescent="0.2">
      <c r="A78" t="s">
        <v>215</v>
      </c>
      <c r="B78">
        <v>2004</v>
      </c>
      <c r="C78" t="s">
        <v>216</v>
      </c>
      <c r="E78" t="s">
        <v>217</v>
      </c>
      <c r="F78" t="s">
        <v>218</v>
      </c>
      <c r="G78">
        <v>99</v>
      </c>
      <c r="O78" t="s">
        <v>219</v>
      </c>
      <c r="P78" t="s">
        <v>222</v>
      </c>
      <c r="Q78" s="38">
        <v>690000000</v>
      </c>
      <c r="R78" s="38">
        <v>365000000</v>
      </c>
      <c r="S78" s="38">
        <v>260000000</v>
      </c>
      <c r="T78" s="38">
        <v>45000000</v>
      </c>
      <c r="U78" s="38">
        <v>20000000</v>
      </c>
    </row>
    <row r="79" spans="1:21" x14ac:dyDescent="0.2">
      <c r="A79" t="s">
        <v>215</v>
      </c>
      <c r="B79">
        <v>2004</v>
      </c>
      <c r="C79" t="s">
        <v>216</v>
      </c>
      <c r="E79" t="s">
        <v>217</v>
      </c>
      <c r="F79" t="s">
        <v>218</v>
      </c>
      <c r="G79">
        <v>99</v>
      </c>
      <c r="O79" t="s">
        <v>219</v>
      </c>
      <c r="P79" t="s">
        <v>223</v>
      </c>
      <c r="Q79" s="38">
        <v>1380000000</v>
      </c>
      <c r="R79" s="38">
        <v>770000000</v>
      </c>
      <c r="S79" s="38">
        <v>340000000</v>
      </c>
      <c r="T79" s="38">
        <v>210000000</v>
      </c>
      <c r="U79" s="38">
        <v>60000000</v>
      </c>
    </row>
    <row r="80" spans="1:21" x14ac:dyDescent="0.2">
      <c r="A80" t="s">
        <v>215</v>
      </c>
      <c r="B80">
        <v>2004</v>
      </c>
      <c r="C80" t="s">
        <v>216</v>
      </c>
      <c r="E80" t="s">
        <v>217</v>
      </c>
      <c r="F80" t="s">
        <v>218</v>
      </c>
      <c r="G80">
        <v>99</v>
      </c>
      <c r="O80" t="s">
        <v>219</v>
      </c>
      <c r="P80" t="s">
        <v>224</v>
      </c>
      <c r="Q80" s="38">
        <v>1360000000</v>
      </c>
      <c r="R80" s="38">
        <v>800000000</v>
      </c>
      <c r="S80" s="38">
        <v>270000000</v>
      </c>
      <c r="T80" s="38">
        <v>210000000</v>
      </c>
      <c r="U80" s="38">
        <v>80000000</v>
      </c>
    </row>
    <row r="81" spans="1:21" x14ac:dyDescent="0.2">
      <c r="A81" t="s">
        <v>215</v>
      </c>
      <c r="B81">
        <v>2004</v>
      </c>
      <c r="C81" t="s">
        <v>216</v>
      </c>
      <c r="E81" t="s">
        <v>217</v>
      </c>
      <c r="F81" t="s">
        <v>218</v>
      </c>
      <c r="G81">
        <v>99</v>
      </c>
      <c r="O81" t="s">
        <v>219</v>
      </c>
      <c r="P81" t="s">
        <v>225</v>
      </c>
      <c r="Q81" s="38">
        <v>780000000</v>
      </c>
      <c r="R81" s="38">
        <v>500000000</v>
      </c>
      <c r="S81" s="38">
        <v>190000000</v>
      </c>
      <c r="T81" s="38">
        <v>70000000</v>
      </c>
      <c r="U81" s="38">
        <v>20000000</v>
      </c>
    </row>
    <row r="82" spans="1:21" x14ac:dyDescent="0.2">
      <c r="A82" t="s">
        <v>215</v>
      </c>
      <c r="B82">
        <v>2004</v>
      </c>
      <c r="C82" t="s">
        <v>216</v>
      </c>
      <c r="E82" t="s">
        <v>217</v>
      </c>
      <c r="F82" t="s">
        <v>218</v>
      </c>
      <c r="G82">
        <v>99</v>
      </c>
      <c r="O82" t="s">
        <v>219</v>
      </c>
      <c r="P82" t="s">
        <v>227</v>
      </c>
      <c r="Q82" s="38">
        <v>1130000000</v>
      </c>
      <c r="R82" s="38">
        <v>580000000</v>
      </c>
      <c r="S82" s="38">
        <v>235000000</v>
      </c>
      <c r="T82" s="38">
        <v>245000000</v>
      </c>
      <c r="U82" s="38">
        <v>70000000</v>
      </c>
    </row>
    <row r="83" spans="1:21" x14ac:dyDescent="0.2">
      <c r="A83" t="s">
        <v>215</v>
      </c>
      <c r="B83">
        <v>2004</v>
      </c>
      <c r="C83" t="s">
        <v>216</v>
      </c>
      <c r="E83" t="s">
        <v>217</v>
      </c>
      <c r="F83" t="s">
        <v>218</v>
      </c>
      <c r="G83">
        <v>99</v>
      </c>
      <c r="O83" t="s">
        <v>219</v>
      </c>
      <c r="P83" t="s">
        <v>228</v>
      </c>
      <c r="Q83" s="38">
        <v>600000000</v>
      </c>
      <c r="R83" s="38">
        <v>285000000</v>
      </c>
      <c r="S83" s="38">
        <v>265000000</v>
      </c>
      <c r="T83" s="38">
        <v>35000000</v>
      </c>
      <c r="U83" s="38">
        <v>15000000</v>
      </c>
    </row>
    <row r="84" spans="1:21" x14ac:dyDescent="0.2">
      <c r="A84" t="s">
        <v>215</v>
      </c>
      <c r="B84">
        <v>2004</v>
      </c>
      <c r="C84" t="s">
        <v>216</v>
      </c>
      <c r="E84" t="s">
        <v>217</v>
      </c>
      <c r="F84" t="s">
        <v>218</v>
      </c>
      <c r="G84">
        <v>99</v>
      </c>
      <c r="O84" t="s">
        <v>229</v>
      </c>
      <c r="P84" t="s">
        <v>230</v>
      </c>
      <c r="Q84" s="38">
        <v>8000000000</v>
      </c>
      <c r="R84" s="38">
        <v>4390000000</v>
      </c>
      <c r="S84" s="38">
        <v>1910000000</v>
      </c>
      <c r="T84" s="38">
        <v>1130000000</v>
      </c>
      <c r="U84" s="38">
        <v>570000000</v>
      </c>
    </row>
    <row r="85" spans="1:21" x14ac:dyDescent="0.2">
      <c r="A85" t="s">
        <v>215</v>
      </c>
      <c r="B85">
        <v>2004</v>
      </c>
      <c r="C85" t="s">
        <v>216</v>
      </c>
      <c r="E85" t="s">
        <v>217</v>
      </c>
      <c r="F85" t="s">
        <v>218</v>
      </c>
      <c r="G85">
        <v>99</v>
      </c>
      <c r="O85" t="s">
        <v>231</v>
      </c>
      <c r="P85" t="s">
        <v>232</v>
      </c>
      <c r="Q85" s="38">
        <v>3270000000</v>
      </c>
      <c r="R85" s="38">
        <v>1680000000</v>
      </c>
      <c r="S85" s="38">
        <v>915000000</v>
      </c>
      <c r="T85" s="38">
        <v>510000000</v>
      </c>
      <c r="U85" s="38">
        <v>165000000</v>
      </c>
    </row>
    <row r="86" spans="1:21" x14ac:dyDescent="0.2">
      <c r="A86" t="s">
        <v>215</v>
      </c>
      <c r="B86">
        <v>2004</v>
      </c>
      <c r="C86" t="s">
        <v>216</v>
      </c>
      <c r="E86" t="s">
        <v>217</v>
      </c>
      <c r="F86" t="s">
        <v>218</v>
      </c>
      <c r="G86">
        <v>99</v>
      </c>
      <c r="O86" t="s">
        <v>231</v>
      </c>
      <c r="P86" t="s">
        <v>233</v>
      </c>
      <c r="Q86" s="38">
        <v>4730000000</v>
      </c>
      <c r="R86" s="38">
        <v>2710000000</v>
      </c>
      <c r="S86" s="38">
        <v>995000000</v>
      </c>
      <c r="T86" s="38">
        <v>620000000</v>
      </c>
      <c r="U86" s="38">
        <v>405000000</v>
      </c>
    </row>
    <row r="87" spans="1:21" x14ac:dyDescent="0.2">
      <c r="A87" t="s">
        <v>215</v>
      </c>
      <c r="B87">
        <v>2003</v>
      </c>
      <c r="C87" t="s">
        <v>216</v>
      </c>
      <c r="E87" t="s">
        <v>217</v>
      </c>
      <c r="F87" t="s">
        <v>218</v>
      </c>
      <c r="G87">
        <v>99</v>
      </c>
      <c r="O87" t="s">
        <v>219</v>
      </c>
      <c r="P87" t="s">
        <v>220</v>
      </c>
      <c r="Q87" s="38">
        <v>1500000000</v>
      </c>
      <c r="R87" s="38">
        <v>725000000</v>
      </c>
      <c r="S87" s="38">
        <v>290000000</v>
      </c>
      <c r="T87" s="38">
        <v>250000000</v>
      </c>
      <c r="U87" s="38">
        <v>235000000</v>
      </c>
    </row>
    <row r="88" spans="1:21" x14ac:dyDescent="0.2">
      <c r="A88" t="s">
        <v>215</v>
      </c>
      <c r="B88">
        <v>2003</v>
      </c>
      <c r="C88" t="s">
        <v>216</v>
      </c>
      <c r="E88" t="s">
        <v>217</v>
      </c>
      <c r="F88" t="s">
        <v>218</v>
      </c>
      <c r="G88">
        <v>99</v>
      </c>
      <c r="O88" t="s">
        <v>219</v>
      </c>
      <c r="P88" t="s">
        <v>222</v>
      </c>
      <c r="Q88" s="38">
        <v>660000000</v>
      </c>
      <c r="R88" s="38">
        <v>300000000</v>
      </c>
      <c r="S88" s="38">
        <v>270000000</v>
      </c>
      <c r="T88" s="38">
        <v>50000000</v>
      </c>
      <c r="U88" s="38">
        <v>40000000</v>
      </c>
    </row>
    <row r="89" spans="1:21" x14ac:dyDescent="0.2">
      <c r="A89" t="s">
        <v>215</v>
      </c>
      <c r="B89">
        <v>2003</v>
      </c>
      <c r="C89" t="s">
        <v>216</v>
      </c>
      <c r="E89" t="s">
        <v>217</v>
      </c>
      <c r="F89" t="s">
        <v>218</v>
      </c>
      <c r="G89">
        <v>99</v>
      </c>
      <c r="O89" t="s">
        <v>219</v>
      </c>
      <c r="P89" t="s">
        <v>223</v>
      </c>
      <c r="Q89" s="38">
        <v>1190000000</v>
      </c>
      <c r="R89" s="38">
        <v>645000000</v>
      </c>
      <c r="S89" s="38">
        <v>330000000</v>
      </c>
      <c r="T89" s="38">
        <v>150000000</v>
      </c>
      <c r="U89" s="38">
        <v>65000000</v>
      </c>
    </row>
    <row r="90" spans="1:21" x14ac:dyDescent="0.2">
      <c r="A90" t="s">
        <v>215</v>
      </c>
      <c r="B90">
        <v>2003</v>
      </c>
      <c r="C90" t="s">
        <v>216</v>
      </c>
      <c r="E90" t="s">
        <v>217</v>
      </c>
      <c r="F90" t="s">
        <v>218</v>
      </c>
      <c r="G90">
        <v>99</v>
      </c>
      <c r="O90" t="s">
        <v>219</v>
      </c>
      <c r="P90" t="s">
        <v>224</v>
      </c>
      <c r="Q90" s="38">
        <v>1170000000</v>
      </c>
      <c r="R90" s="38">
        <v>645000000</v>
      </c>
      <c r="S90" s="38">
        <v>255000000</v>
      </c>
      <c r="T90" s="38">
        <v>180000000</v>
      </c>
      <c r="U90" s="38">
        <v>90000000</v>
      </c>
    </row>
    <row r="91" spans="1:21" x14ac:dyDescent="0.2">
      <c r="A91" t="s">
        <v>215</v>
      </c>
      <c r="B91">
        <v>2003</v>
      </c>
      <c r="C91" t="s">
        <v>216</v>
      </c>
      <c r="E91" t="s">
        <v>217</v>
      </c>
      <c r="F91" t="s">
        <v>218</v>
      </c>
      <c r="G91">
        <v>99</v>
      </c>
      <c r="O91" t="s">
        <v>219</v>
      </c>
      <c r="P91" t="s">
        <v>225</v>
      </c>
      <c r="Q91" s="38">
        <v>620000000</v>
      </c>
      <c r="R91" s="38">
        <v>340000000</v>
      </c>
      <c r="S91" s="38">
        <v>185000000</v>
      </c>
      <c r="T91" s="38">
        <v>65000000</v>
      </c>
      <c r="U91" s="38">
        <v>30000000</v>
      </c>
    </row>
    <row r="92" spans="1:21" x14ac:dyDescent="0.2">
      <c r="A92" t="s">
        <v>215</v>
      </c>
      <c r="B92">
        <v>2003</v>
      </c>
      <c r="C92" t="s">
        <v>216</v>
      </c>
      <c r="E92" t="s">
        <v>217</v>
      </c>
      <c r="F92" t="s">
        <v>218</v>
      </c>
      <c r="G92">
        <v>99</v>
      </c>
      <c r="O92" t="s">
        <v>219</v>
      </c>
      <c r="P92" t="s">
        <v>227</v>
      </c>
      <c r="Q92" s="38">
        <v>1030000000</v>
      </c>
      <c r="R92" s="38">
        <v>535000000</v>
      </c>
      <c r="S92" s="38">
        <v>195000000</v>
      </c>
      <c r="T92" s="38">
        <v>195000000</v>
      </c>
      <c r="U92" s="38">
        <v>105000000</v>
      </c>
    </row>
    <row r="93" spans="1:21" x14ac:dyDescent="0.2">
      <c r="A93" t="s">
        <v>215</v>
      </c>
      <c r="B93">
        <v>2003</v>
      </c>
      <c r="C93" t="s">
        <v>216</v>
      </c>
      <c r="E93" t="s">
        <v>217</v>
      </c>
      <c r="F93" t="s">
        <v>218</v>
      </c>
      <c r="G93">
        <v>99</v>
      </c>
      <c r="O93" t="s">
        <v>219</v>
      </c>
      <c r="P93" t="s">
        <v>228</v>
      </c>
      <c r="Q93" s="38">
        <v>530000000</v>
      </c>
      <c r="R93" s="38">
        <v>240000000</v>
      </c>
      <c r="S93" s="38">
        <v>235000000</v>
      </c>
      <c r="T93" s="38">
        <v>30000000</v>
      </c>
      <c r="U93" s="38">
        <v>25000000</v>
      </c>
    </row>
    <row r="94" spans="1:21" x14ac:dyDescent="0.2">
      <c r="A94" t="s">
        <v>215</v>
      </c>
      <c r="B94">
        <v>2003</v>
      </c>
      <c r="C94" t="s">
        <v>216</v>
      </c>
      <c r="E94" t="s">
        <v>217</v>
      </c>
      <c r="F94" t="s">
        <v>218</v>
      </c>
      <c r="G94">
        <v>99</v>
      </c>
      <c r="O94" t="s">
        <v>229</v>
      </c>
      <c r="P94" t="s">
        <v>230</v>
      </c>
      <c r="Q94" s="38">
        <v>6700000000</v>
      </c>
      <c r="R94" s="38">
        <v>3430000000</v>
      </c>
      <c r="S94" s="38">
        <v>1760000000</v>
      </c>
      <c r="T94" s="38">
        <v>920000000</v>
      </c>
      <c r="U94" s="38">
        <v>590000000</v>
      </c>
    </row>
    <row r="95" spans="1:21" x14ac:dyDescent="0.2">
      <c r="A95" t="s">
        <v>215</v>
      </c>
      <c r="B95">
        <v>2003</v>
      </c>
      <c r="C95" t="s">
        <v>216</v>
      </c>
      <c r="E95" t="s">
        <v>217</v>
      </c>
      <c r="F95" t="s">
        <v>218</v>
      </c>
      <c r="G95">
        <v>99</v>
      </c>
      <c r="O95" t="s">
        <v>231</v>
      </c>
      <c r="P95" t="s">
        <v>232</v>
      </c>
      <c r="Q95" s="38">
        <v>2730000000</v>
      </c>
      <c r="R95" s="38">
        <v>1290000000</v>
      </c>
      <c r="S95" s="38">
        <v>830000000</v>
      </c>
      <c r="T95" s="38">
        <v>420000000</v>
      </c>
      <c r="U95" s="38">
        <v>190000000</v>
      </c>
    </row>
    <row r="96" spans="1:21" x14ac:dyDescent="0.2">
      <c r="A96" t="s">
        <v>215</v>
      </c>
      <c r="B96">
        <v>2003</v>
      </c>
      <c r="C96" t="s">
        <v>216</v>
      </c>
      <c r="E96" t="s">
        <v>217</v>
      </c>
      <c r="F96" t="s">
        <v>218</v>
      </c>
      <c r="G96">
        <v>99</v>
      </c>
      <c r="O96" t="s">
        <v>231</v>
      </c>
      <c r="P96" t="s">
        <v>233</v>
      </c>
      <c r="Q96" s="38">
        <v>3970000000</v>
      </c>
      <c r="R96" s="38">
        <v>2140000000</v>
      </c>
      <c r="S96" s="38">
        <v>930000000</v>
      </c>
      <c r="T96" s="38">
        <v>500000000</v>
      </c>
      <c r="U96" s="38">
        <v>400000000</v>
      </c>
    </row>
    <row r="97" spans="1:21" x14ac:dyDescent="0.2">
      <c r="A97" t="s">
        <v>215</v>
      </c>
      <c r="B97">
        <v>2002</v>
      </c>
      <c r="C97" t="s">
        <v>216</v>
      </c>
      <c r="E97" t="s">
        <v>217</v>
      </c>
      <c r="F97" t="s">
        <v>218</v>
      </c>
      <c r="G97">
        <v>99</v>
      </c>
      <c r="O97" t="s">
        <v>219</v>
      </c>
      <c r="P97" t="s">
        <v>220</v>
      </c>
      <c r="Q97" s="38">
        <v>1400000000</v>
      </c>
      <c r="R97" s="38">
        <v>609000000</v>
      </c>
      <c r="S97" s="38">
        <v>258000000</v>
      </c>
      <c r="T97" s="38">
        <v>234000000</v>
      </c>
      <c r="U97" s="38">
        <v>299000000</v>
      </c>
    </row>
    <row r="98" spans="1:21" x14ac:dyDescent="0.2">
      <c r="A98" t="s">
        <v>215</v>
      </c>
      <c r="B98">
        <v>2002</v>
      </c>
      <c r="C98" t="s">
        <v>216</v>
      </c>
      <c r="E98" t="s">
        <v>217</v>
      </c>
      <c r="F98" t="s">
        <v>218</v>
      </c>
      <c r="G98">
        <v>99</v>
      </c>
      <c r="O98" t="s">
        <v>219</v>
      </c>
      <c r="P98" t="s">
        <v>222</v>
      </c>
      <c r="Q98" s="38">
        <v>650000000</v>
      </c>
      <c r="R98" s="38">
        <v>332000000</v>
      </c>
      <c r="S98" s="38">
        <v>247000000</v>
      </c>
      <c r="T98" s="38">
        <v>55000000</v>
      </c>
      <c r="U98" s="38">
        <v>16000000</v>
      </c>
    </row>
    <row r="99" spans="1:21" x14ac:dyDescent="0.2">
      <c r="A99" t="s">
        <v>215</v>
      </c>
      <c r="B99">
        <v>2002</v>
      </c>
      <c r="C99" t="s">
        <v>216</v>
      </c>
      <c r="E99" t="s">
        <v>217</v>
      </c>
      <c r="F99" t="s">
        <v>218</v>
      </c>
      <c r="G99">
        <v>99</v>
      </c>
      <c r="O99" t="s">
        <v>219</v>
      </c>
      <c r="P99" t="s">
        <v>223</v>
      </c>
      <c r="Q99" s="38">
        <v>1350000000</v>
      </c>
      <c r="R99" s="38">
        <v>768000000</v>
      </c>
      <c r="S99" s="38">
        <v>351000000</v>
      </c>
      <c r="T99" s="38">
        <v>150000000</v>
      </c>
      <c r="U99" s="38">
        <v>81000000</v>
      </c>
    </row>
    <row r="100" spans="1:21" x14ac:dyDescent="0.2">
      <c r="A100" t="s">
        <v>215</v>
      </c>
      <c r="B100">
        <v>2002</v>
      </c>
      <c r="C100" t="s">
        <v>216</v>
      </c>
      <c r="E100" t="s">
        <v>217</v>
      </c>
      <c r="F100" t="s">
        <v>218</v>
      </c>
      <c r="G100">
        <v>99</v>
      </c>
      <c r="O100" t="s">
        <v>219</v>
      </c>
      <c r="P100" t="s">
        <v>224</v>
      </c>
      <c r="Q100" s="38">
        <v>1220000000</v>
      </c>
      <c r="R100" s="38">
        <v>662000000</v>
      </c>
      <c r="S100" s="38">
        <v>273000000</v>
      </c>
      <c r="T100" s="38">
        <v>166000000</v>
      </c>
      <c r="U100" s="38">
        <v>119000000</v>
      </c>
    </row>
    <row r="101" spans="1:21" x14ac:dyDescent="0.2">
      <c r="A101" t="s">
        <v>215</v>
      </c>
      <c r="B101">
        <v>2002</v>
      </c>
      <c r="C101" t="s">
        <v>216</v>
      </c>
      <c r="E101" t="s">
        <v>217</v>
      </c>
      <c r="F101" t="s">
        <v>218</v>
      </c>
      <c r="G101">
        <v>99</v>
      </c>
      <c r="O101" t="s">
        <v>219</v>
      </c>
      <c r="P101" t="s">
        <v>225</v>
      </c>
      <c r="Q101" s="38">
        <v>520000000</v>
      </c>
      <c r="R101" s="38">
        <v>285000000</v>
      </c>
      <c r="S101" s="38">
        <v>158000000</v>
      </c>
      <c r="T101" s="38">
        <v>50000000</v>
      </c>
      <c r="U101" s="38">
        <v>27000000</v>
      </c>
    </row>
    <row r="102" spans="1:21" x14ac:dyDescent="0.2">
      <c r="A102" t="s">
        <v>215</v>
      </c>
      <c r="B102">
        <v>2002</v>
      </c>
      <c r="C102" t="s">
        <v>216</v>
      </c>
      <c r="E102" t="s">
        <v>217</v>
      </c>
      <c r="F102" t="s">
        <v>218</v>
      </c>
      <c r="G102">
        <v>99</v>
      </c>
      <c r="O102" t="s">
        <v>219</v>
      </c>
      <c r="P102" t="s">
        <v>227</v>
      </c>
      <c r="Q102" s="38">
        <v>1070000000</v>
      </c>
      <c r="R102" s="38">
        <v>490000000</v>
      </c>
      <c r="S102" s="38">
        <v>213000000</v>
      </c>
      <c r="T102" s="38">
        <v>189000000</v>
      </c>
      <c r="U102" s="38">
        <v>178000000</v>
      </c>
    </row>
    <row r="103" spans="1:21" x14ac:dyDescent="0.2">
      <c r="A103" t="s">
        <v>215</v>
      </c>
      <c r="B103">
        <v>2002</v>
      </c>
      <c r="C103" t="s">
        <v>216</v>
      </c>
      <c r="E103" t="s">
        <v>217</v>
      </c>
      <c r="F103" t="s">
        <v>218</v>
      </c>
      <c r="G103">
        <v>99</v>
      </c>
      <c r="O103" t="s">
        <v>219</v>
      </c>
      <c r="P103" t="s">
        <v>228</v>
      </c>
      <c r="Q103" s="38">
        <v>290000000</v>
      </c>
      <c r="R103" s="38">
        <v>124000000</v>
      </c>
      <c r="S103" s="38">
        <v>140000000</v>
      </c>
      <c r="T103" s="38">
        <v>16000000</v>
      </c>
      <c r="U103" s="38">
        <v>10000000</v>
      </c>
    </row>
    <row r="104" spans="1:21" x14ac:dyDescent="0.2">
      <c r="A104" t="s">
        <v>215</v>
      </c>
      <c r="B104">
        <v>2002</v>
      </c>
      <c r="C104" t="s">
        <v>216</v>
      </c>
      <c r="E104" t="s">
        <v>217</v>
      </c>
      <c r="F104" t="s">
        <v>218</v>
      </c>
      <c r="G104">
        <v>99</v>
      </c>
      <c r="O104" t="s">
        <v>229</v>
      </c>
      <c r="P104" t="s">
        <v>230</v>
      </c>
      <c r="Q104" s="38">
        <v>6500000000</v>
      </c>
      <c r="R104" s="38">
        <v>3270000000</v>
      </c>
      <c r="S104" s="38">
        <v>1640000000</v>
      </c>
      <c r="T104" s="38">
        <v>860000000</v>
      </c>
      <c r="U104" s="38">
        <v>730000000</v>
      </c>
    </row>
    <row r="105" spans="1:21" x14ac:dyDescent="0.2">
      <c r="A105" t="s">
        <v>215</v>
      </c>
      <c r="B105">
        <v>2002</v>
      </c>
      <c r="C105" t="s">
        <v>216</v>
      </c>
      <c r="E105" t="s">
        <v>217</v>
      </c>
      <c r="F105" t="s">
        <v>218</v>
      </c>
      <c r="G105">
        <v>99</v>
      </c>
      <c r="O105" t="s">
        <v>231</v>
      </c>
      <c r="P105" t="s">
        <v>232</v>
      </c>
      <c r="Q105" s="38">
        <v>2550000000</v>
      </c>
      <c r="R105" s="38">
        <v>1201000000</v>
      </c>
      <c r="S105" s="38">
        <v>748000000</v>
      </c>
      <c r="T105" s="38">
        <v>443000000</v>
      </c>
      <c r="U105" s="38">
        <v>158000000</v>
      </c>
    </row>
    <row r="106" spans="1:21" x14ac:dyDescent="0.2">
      <c r="A106" t="s">
        <v>215</v>
      </c>
      <c r="B106">
        <v>2002</v>
      </c>
      <c r="C106" t="s">
        <v>216</v>
      </c>
      <c r="E106" t="s">
        <v>217</v>
      </c>
      <c r="F106" t="s">
        <v>218</v>
      </c>
      <c r="G106">
        <v>99</v>
      </c>
      <c r="O106" t="s">
        <v>231</v>
      </c>
      <c r="P106" t="s">
        <v>233</v>
      </c>
      <c r="Q106" s="38">
        <v>3950000000</v>
      </c>
      <c r="R106" s="38">
        <v>2069000000</v>
      </c>
      <c r="S106" s="38">
        <v>892000000</v>
      </c>
      <c r="T106" s="38">
        <v>417000000</v>
      </c>
      <c r="U106" s="38">
        <v>572000000</v>
      </c>
    </row>
    <row r="107" spans="1:21" x14ac:dyDescent="0.2">
      <c r="A107" t="s">
        <v>215</v>
      </c>
      <c r="B107">
        <v>2001</v>
      </c>
      <c r="C107" t="s">
        <v>216</v>
      </c>
      <c r="E107" t="s">
        <v>217</v>
      </c>
      <c r="F107" t="s">
        <v>218</v>
      </c>
      <c r="G107">
        <v>99</v>
      </c>
      <c r="O107" t="s">
        <v>219</v>
      </c>
      <c r="P107" t="s">
        <v>220</v>
      </c>
      <c r="Q107" s="38">
        <v>1320000000</v>
      </c>
      <c r="R107" s="38">
        <v>599000000</v>
      </c>
      <c r="S107" s="38">
        <v>195000000</v>
      </c>
      <c r="T107" s="38">
        <v>185000000</v>
      </c>
      <c r="U107" s="38">
        <v>341000000</v>
      </c>
    </row>
    <row r="108" spans="1:21" x14ac:dyDescent="0.2">
      <c r="A108" t="s">
        <v>215</v>
      </c>
      <c r="B108">
        <v>2001</v>
      </c>
      <c r="C108" t="s">
        <v>216</v>
      </c>
      <c r="E108" t="s">
        <v>217</v>
      </c>
      <c r="F108" t="s">
        <v>218</v>
      </c>
      <c r="G108">
        <v>99</v>
      </c>
      <c r="O108" t="s">
        <v>219</v>
      </c>
      <c r="P108" t="s">
        <v>222</v>
      </c>
      <c r="Q108" s="38">
        <v>800000000</v>
      </c>
      <c r="R108" s="38">
        <v>446000000</v>
      </c>
      <c r="S108" s="38">
        <v>271000000</v>
      </c>
      <c r="T108" s="38">
        <v>62000000</v>
      </c>
      <c r="U108" s="38">
        <v>21000000</v>
      </c>
    </row>
    <row r="109" spans="1:21" x14ac:dyDescent="0.2">
      <c r="A109" t="s">
        <v>215</v>
      </c>
      <c r="B109">
        <v>2001</v>
      </c>
      <c r="C109" t="s">
        <v>216</v>
      </c>
      <c r="E109" t="s">
        <v>217</v>
      </c>
      <c r="F109" t="s">
        <v>218</v>
      </c>
      <c r="G109">
        <v>99</v>
      </c>
      <c r="O109" t="s">
        <v>219</v>
      </c>
      <c r="P109" t="s">
        <v>223</v>
      </c>
      <c r="Q109" s="38">
        <v>1440000000</v>
      </c>
      <c r="R109" s="38">
        <v>843000000</v>
      </c>
      <c r="S109" s="38">
        <v>362000000</v>
      </c>
      <c r="T109" s="38">
        <v>169000000</v>
      </c>
      <c r="U109" s="38">
        <v>66000000</v>
      </c>
    </row>
    <row r="110" spans="1:21" x14ac:dyDescent="0.2">
      <c r="A110" t="s">
        <v>215</v>
      </c>
      <c r="B110">
        <v>2001</v>
      </c>
      <c r="C110" t="s">
        <v>216</v>
      </c>
      <c r="E110" t="s">
        <v>217</v>
      </c>
      <c r="F110" t="s">
        <v>218</v>
      </c>
      <c r="G110">
        <v>99</v>
      </c>
      <c r="O110" t="s">
        <v>219</v>
      </c>
      <c r="P110" t="s">
        <v>224</v>
      </c>
      <c r="Q110" s="38">
        <v>1100000000</v>
      </c>
      <c r="R110" s="38">
        <v>649000000</v>
      </c>
      <c r="S110" s="38">
        <v>204000000</v>
      </c>
      <c r="T110" s="38">
        <v>165000000</v>
      </c>
      <c r="U110" s="38">
        <v>82000000</v>
      </c>
    </row>
    <row r="111" spans="1:21" x14ac:dyDescent="0.2">
      <c r="A111" t="s">
        <v>215</v>
      </c>
      <c r="B111">
        <v>2001</v>
      </c>
      <c r="C111" t="s">
        <v>216</v>
      </c>
      <c r="E111" t="s">
        <v>217</v>
      </c>
      <c r="F111" t="s">
        <v>218</v>
      </c>
      <c r="G111">
        <v>99</v>
      </c>
      <c r="O111" t="s">
        <v>219</v>
      </c>
      <c r="P111" t="s">
        <v>225</v>
      </c>
      <c r="Q111" s="38">
        <v>640000000</v>
      </c>
      <c r="R111" s="38">
        <v>378000000</v>
      </c>
      <c r="S111" s="38">
        <v>182000000</v>
      </c>
      <c r="T111" s="38">
        <v>57000000</v>
      </c>
      <c r="U111" s="38">
        <v>23000000</v>
      </c>
    </row>
    <row r="112" spans="1:21" x14ac:dyDescent="0.2">
      <c r="A112" t="s">
        <v>215</v>
      </c>
      <c r="B112">
        <v>2001</v>
      </c>
      <c r="C112" t="s">
        <v>216</v>
      </c>
      <c r="E112" t="s">
        <v>217</v>
      </c>
      <c r="F112" t="s">
        <v>218</v>
      </c>
      <c r="G112">
        <v>99</v>
      </c>
      <c r="O112" t="s">
        <v>219</v>
      </c>
      <c r="P112" t="s">
        <v>227</v>
      </c>
      <c r="Q112" s="38">
        <v>900000000</v>
      </c>
      <c r="R112" s="38">
        <v>489000000</v>
      </c>
      <c r="S112" s="38">
        <v>190000000</v>
      </c>
      <c r="T112" s="38">
        <v>150000000</v>
      </c>
      <c r="U112" s="38">
        <v>71000000</v>
      </c>
    </row>
    <row r="113" spans="1:21" x14ac:dyDescent="0.2">
      <c r="A113" t="s">
        <v>215</v>
      </c>
      <c r="B113">
        <v>2001</v>
      </c>
      <c r="C113" t="s">
        <v>216</v>
      </c>
      <c r="E113" t="s">
        <v>217</v>
      </c>
      <c r="F113" t="s">
        <v>218</v>
      </c>
      <c r="G113">
        <v>99</v>
      </c>
      <c r="O113" t="s">
        <v>219</v>
      </c>
      <c r="P113" t="s">
        <v>228</v>
      </c>
      <c r="Q113" s="38">
        <v>500000000</v>
      </c>
      <c r="R113" s="38">
        <v>220000000</v>
      </c>
      <c r="S113" s="38">
        <v>220000000</v>
      </c>
      <c r="T113" s="38">
        <v>31000000</v>
      </c>
      <c r="U113" s="38">
        <v>29000000</v>
      </c>
    </row>
    <row r="114" spans="1:21" x14ac:dyDescent="0.2">
      <c r="A114" t="s">
        <v>215</v>
      </c>
      <c r="B114">
        <v>2001</v>
      </c>
      <c r="C114" t="s">
        <v>216</v>
      </c>
      <c r="E114" t="s">
        <v>217</v>
      </c>
      <c r="F114" t="s">
        <v>218</v>
      </c>
      <c r="G114">
        <v>99</v>
      </c>
      <c r="O114" t="s">
        <v>229</v>
      </c>
      <c r="P114" t="s">
        <v>230</v>
      </c>
      <c r="Q114" s="38">
        <v>6700000000</v>
      </c>
      <c r="R114" s="38">
        <v>3624000000</v>
      </c>
      <c r="S114" s="38">
        <v>1624000000</v>
      </c>
      <c r="T114" s="38">
        <v>819000000</v>
      </c>
      <c r="U114" s="38">
        <v>633000000</v>
      </c>
    </row>
    <row r="115" spans="1:21" x14ac:dyDescent="0.2">
      <c r="A115" t="s">
        <v>215</v>
      </c>
      <c r="B115">
        <v>2001</v>
      </c>
      <c r="C115" t="s">
        <v>216</v>
      </c>
      <c r="E115" t="s">
        <v>217</v>
      </c>
      <c r="F115" t="s">
        <v>218</v>
      </c>
      <c r="G115">
        <v>99</v>
      </c>
      <c r="O115" t="s">
        <v>231</v>
      </c>
      <c r="P115" t="s">
        <v>232</v>
      </c>
      <c r="Q115" s="38">
        <v>2390000000</v>
      </c>
      <c r="R115" s="38">
        <v>1215000000</v>
      </c>
      <c r="S115" s="38">
        <v>709000000</v>
      </c>
      <c r="T115" s="38">
        <v>366000000</v>
      </c>
      <c r="U115" s="38">
        <v>100000000</v>
      </c>
    </row>
    <row r="116" spans="1:21" x14ac:dyDescent="0.2">
      <c r="A116" t="s">
        <v>215</v>
      </c>
      <c r="B116">
        <v>2001</v>
      </c>
      <c r="C116" t="s">
        <v>216</v>
      </c>
      <c r="E116" t="s">
        <v>217</v>
      </c>
      <c r="F116" t="s">
        <v>218</v>
      </c>
      <c r="G116">
        <v>99</v>
      </c>
      <c r="O116" t="s">
        <v>231</v>
      </c>
      <c r="P116" t="s">
        <v>233</v>
      </c>
      <c r="Q116" s="38">
        <v>4310000000</v>
      </c>
      <c r="R116" s="38">
        <v>2409000000</v>
      </c>
      <c r="S116" s="38">
        <v>915000000</v>
      </c>
      <c r="T116" s="38">
        <v>453000000</v>
      </c>
      <c r="U116" s="38">
        <v>533000000</v>
      </c>
    </row>
    <row r="117" spans="1:21" x14ac:dyDescent="0.2">
      <c r="A117" t="s">
        <v>215</v>
      </c>
      <c r="B117">
        <v>2000</v>
      </c>
      <c r="C117" t="s">
        <v>216</v>
      </c>
      <c r="E117" t="s">
        <v>217</v>
      </c>
      <c r="F117" t="s">
        <v>218</v>
      </c>
      <c r="G117">
        <v>99</v>
      </c>
      <c r="O117" t="s">
        <v>219</v>
      </c>
      <c r="P117" t="s">
        <v>222</v>
      </c>
      <c r="Q117" s="38">
        <v>680000000</v>
      </c>
      <c r="R117" s="38">
        <v>930000000</v>
      </c>
      <c r="S117" s="38">
        <v>418000000</v>
      </c>
      <c r="T117" s="38">
        <v>191000000</v>
      </c>
      <c r="U117" s="38">
        <v>110000000</v>
      </c>
    </row>
    <row r="118" spans="1:21" x14ac:dyDescent="0.2">
      <c r="A118" t="s">
        <v>215</v>
      </c>
      <c r="B118">
        <v>2000</v>
      </c>
      <c r="C118" t="s">
        <v>216</v>
      </c>
      <c r="E118" t="s">
        <v>217</v>
      </c>
      <c r="F118" t="s">
        <v>218</v>
      </c>
      <c r="G118">
        <v>99</v>
      </c>
      <c r="O118" t="s">
        <v>219</v>
      </c>
      <c r="P118" t="s">
        <v>223</v>
      </c>
      <c r="Q118" s="38">
        <v>1650000000</v>
      </c>
      <c r="R118" s="38">
        <v>336000000</v>
      </c>
      <c r="S118" s="38">
        <v>272000000</v>
      </c>
      <c r="T118" s="38">
        <v>54000000</v>
      </c>
      <c r="U118" s="38">
        <v>19000000</v>
      </c>
    </row>
    <row r="119" spans="1:21" x14ac:dyDescent="0.2">
      <c r="A119" t="s">
        <v>215</v>
      </c>
      <c r="B119">
        <v>2000</v>
      </c>
      <c r="C119" t="s">
        <v>216</v>
      </c>
      <c r="E119" t="s">
        <v>217</v>
      </c>
      <c r="F119" t="s">
        <v>218</v>
      </c>
      <c r="G119">
        <v>99</v>
      </c>
      <c r="O119" t="s">
        <v>219</v>
      </c>
      <c r="P119" t="s">
        <v>234</v>
      </c>
      <c r="Q119" s="38">
        <v>3250000000</v>
      </c>
      <c r="R119" s="38">
        <v>256000000</v>
      </c>
      <c r="S119" s="38">
        <v>273000000</v>
      </c>
      <c r="T119" s="38">
        <v>28000000</v>
      </c>
      <c r="U119" s="38">
        <v>12000000</v>
      </c>
    </row>
    <row r="120" spans="1:21" x14ac:dyDescent="0.2">
      <c r="A120" t="s">
        <v>215</v>
      </c>
      <c r="B120">
        <v>2000</v>
      </c>
      <c r="C120" t="s">
        <v>216</v>
      </c>
      <c r="E120" t="s">
        <v>217</v>
      </c>
      <c r="F120" t="s">
        <v>218</v>
      </c>
      <c r="G120">
        <v>99</v>
      </c>
      <c r="O120" t="s">
        <v>219</v>
      </c>
      <c r="P120" t="s">
        <v>225</v>
      </c>
      <c r="Q120" s="38">
        <v>850000000</v>
      </c>
      <c r="R120" s="38">
        <v>458000000</v>
      </c>
      <c r="S120" s="38">
        <v>299000000</v>
      </c>
      <c r="T120" s="38">
        <v>66000000</v>
      </c>
      <c r="U120" s="38">
        <v>27000000</v>
      </c>
    </row>
    <row r="121" spans="1:21" x14ac:dyDescent="0.2">
      <c r="A121" t="s">
        <v>215</v>
      </c>
      <c r="B121">
        <v>2000</v>
      </c>
      <c r="C121" t="s">
        <v>216</v>
      </c>
      <c r="E121" t="s">
        <v>217</v>
      </c>
      <c r="F121" t="s">
        <v>218</v>
      </c>
      <c r="G121">
        <v>99</v>
      </c>
      <c r="O121" t="s">
        <v>219</v>
      </c>
      <c r="P121" t="s">
        <v>228</v>
      </c>
      <c r="Q121" s="38">
        <v>570000000</v>
      </c>
      <c r="R121" s="38">
        <v>1690000000</v>
      </c>
      <c r="S121" s="38">
        <v>622000000</v>
      </c>
      <c r="T121" s="38">
        <v>507000000</v>
      </c>
      <c r="U121" s="38">
        <v>431000000</v>
      </c>
    </row>
    <row r="122" spans="1:21" x14ac:dyDescent="0.2">
      <c r="A122" t="s">
        <v>215</v>
      </c>
      <c r="B122">
        <v>2000</v>
      </c>
      <c r="C122" t="s">
        <v>216</v>
      </c>
      <c r="E122" t="s">
        <v>217</v>
      </c>
      <c r="F122" t="s">
        <v>218</v>
      </c>
      <c r="G122">
        <v>99</v>
      </c>
      <c r="O122" t="s">
        <v>229</v>
      </c>
      <c r="P122" t="s">
        <v>230</v>
      </c>
      <c r="Q122" s="38">
        <v>7000000000</v>
      </c>
      <c r="R122" s="38">
        <v>3671000000</v>
      </c>
      <c r="S122" s="38">
        <v>1884000000</v>
      </c>
      <c r="T122" s="38">
        <v>846000000</v>
      </c>
      <c r="U122" s="38">
        <v>599000000</v>
      </c>
    </row>
    <row r="123" spans="1:21" x14ac:dyDescent="0.2">
      <c r="A123" t="s">
        <v>215</v>
      </c>
      <c r="B123">
        <v>2000</v>
      </c>
      <c r="C123" t="s">
        <v>216</v>
      </c>
      <c r="E123" t="s">
        <v>217</v>
      </c>
      <c r="F123" t="s">
        <v>218</v>
      </c>
      <c r="G123">
        <v>99</v>
      </c>
      <c r="O123" t="s">
        <v>231</v>
      </c>
      <c r="P123" t="s">
        <v>232</v>
      </c>
      <c r="Q123" s="38">
        <v>2540000000</v>
      </c>
      <c r="R123" s="38">
        <v>1161000000</v>
      </c>
      <c r="S123" s="38">
        <v>830000000</v>
      </c>
      <c r="T123" s="38">
        <v>400000000</v>
      </c>
      <c r="U123" s="38">
        <v>150000000</v>
      </c>
    </row>
    <row r="124" spans="1:21" x14ac:dyDescent="0.2">
      <c r="A124" t="s">
        <v>215</v>
      </c>
      <c r="B124">
        <v>2000</v>
      </c>
      <c r="C124" t="s">
        <v>216</v>
      </c>
      <c r="E124" t="s">
        <v>217</v>
      </c>
      <c r="F124" t="s">
        <v>218</v>
      </c>
      <c r="G124">
        <v>99</v>
      </c>
      <c r="O124" t="s">
        <v>231</v>
      </c>
      <c r="P124" t="s">
        <v>233</v>
      </c>
      <c r="Q124" s="38">
        <v>4460000000</v>
      </c>
      <c r="R124" s="38">
        <v>2510000000</v>
      </c>
      <c r="S124" s="38">
        <v>1054000000</v>
      </c>
      <c r="T124" s="38">
        <v>446000000</v>
      </c>
      <c r="U124" s="38">
        <v>449000000</v>
      </c>
    </row>
    <row r="125" spans="1:21" x14ac:dyDescent="0.2">
      <c r="A125" t="s">
        <v>215</v>
      </c>
      <c r="B125">
        <v>1999</v>
      </c>
      <c r="C125" t="s">
        <v>216</v>
      </c>
      <c r="E125" t="s">
        <v>217</v>
      </c>
      <c r="F125" t="s">
        <v>218</v>
      </c>
      <c r="G125">
        <v>99</v>
      </c>
      <c r="O125" t="s">
        <v>219</v>
      </c>
      <c r="P125" t="s">
        <v>222</v>
      </c>
      <c r="Q125" s="38">
        <v>530000000</v>
      </c>
    </row>
    <row r="126" spans="1:21" x14ac:dyDescent="0.2">
      <c r="A126" t="s">
        <v>215</v>
      </c>
      <c r="B126">
        <v>1999</v>
      </c>
      <c r="C126" t="s">
        <v>216</v>
      </c>
      <c r="E126" t="s">
        <v>217</v>
      </c>
      <c r="F126" t="s">
        <v>218</v>
      </c>
      <c r="G126">
        <v>99</v>
      </c>
      <c r="O126" t="s">
        <v>219</v>
      </c>
      <c r="P126" t="s">
        <v>223</v>
      </c>
      <c r="Q126" s="38">
        <v>1230000000</v>
      </c>
    </row>
    <row r="127" spans="1:21" x14ac:dyDescent="0.2">
      <c r="A127" t="s">
        <v>215</v>
      </c>
      <c r="B127">
        <v>1999</v>
      </c>
      <c r="C127" t="s">
        <v>216</v>
      </c>
      <c r="E127" t="s">
        <v>217</v>
      </c>
      <c r="F127" t="s">
        <v>218</v>
      </c>
      <c r="G127">
        <v>99</v>
      </c>
      <c r="O127" t="s">
        <v>219</v>
      </c>
      <c r="P127" t="s">
        <v>234</v>
      </c>
      <c r="Q127" s="38">
        <v>2430000000</v>
      </c>
    </row>
    <row r="128" spans="1:21" x14ac:dyDescent="0.2">
      <c r="A128" t="s">
        <v>215</v>
      </c>
      <c r="B128">
        <v>1999</v>
      </c>
      <c r="C128" t="s">
        <v>216</v>
      </c>
      <c r="E128" t="s">
        <v>217</v>
      </c>
      <c r="F128" t="s">
        <v>218</v>
      </c>
      <c r="G128">
        <v>99</v>
      </c>
      <c r="O128" t="s">
        <v>219</v>
      </c>
      <c r="P128" t="s">
        <v>225</v>
      </c>
      <c r="Q128" s="38">
        <v>680000000</v>
      </c>
    </row>
    <row r="129" spans="1:17" x14ac:dyDescent="0.2">
      <c r="A129" t="s">
        <v>215</v>
      </c>
      <c r="B129">
        <v>1999</v>
      </c>
      <c r="C129" t="s">
        <v>216</v>
      </c>
      <c r="E129" t="s">
        <v>217</v>
      </c>
      <c r="F129" t="s">
        <v>218</v>
      </c>
      <c r="G129">
        <v>99</v>
      </c>
      <c r="O129" t="s">
        <v>219</v>
      </c>
      <c r="P129" t="s">
        <v>228</v>
      </c>
      <c r="Q129" s="38">
        <v>430000000</v>
      </c>
    </row>
    <row r="130" spans="1:17" x14ac:dyDescent="0.2">
      <c r="A130" t="s">
        <v>215</v>
      </c>
      <c r="B130">
        <v>1999</v>
      </c>
      <c r="C130" t="s">
        <v>216</v>
      </c>
      <c r="E130" t="s">
        <v>217</v>
      </c>
      <c r="F130" t="s">
        <v>218</v>
      </c>
      <c r="G130">
        <v>99</v>
      </c>
      <c r="O130" t="s">
        <v>229</v>
      </c>
      <c r="P130" t="s">
        <v>230</v>
      </c>
      <c r="Q130" s="38">
        <v>5300000000</v>
      </c>
    </row>
    <row r="131" spans="1:17" x14ac:dyDescent="0.2">
      <c r="A131" t="s">
        <v>215</v>
      </c>
      <c r="B131">
        <v>1999</v>
      </c>
      <c r="C131" t="s">
        <v>216</v>
      </c>
      <c r="E131" t="s">
        <v>217</v>
      </c>
      <c r="F131" t="s">
        <v>218</v>
      </c>
      <c r="G131">
        <v>99</v>
      </c>
      <c r="O131" t="s">
        <v>231</v>
      </c>
      <c r="P131" t="s">
        <v>232</v>
      </c>
      <c r="Q131" s="38">
        <v>1940000000</v>
      </c>
    </row>
    <row r="132" spans="1:17" x14ac:dyDescent="0.2">
      <c r="A132" t="s">
        <v>215</v>
      </c>
      <c r="B132">
        <v>1999</v>
      </c>
      <c r="C132" t="s">
        <v>216</v>
      </c>
      <c r="E132" t="s">
        <v>217</v>
      </c>
      <c r="F132" t="s">
        <v>218</v>
      </c>
      <c r="G132">
        <v>99</v>
      </c>
      <c r="O132" t="s">
        <v>231</v>
      </c>
      <c r="P132" t="s">
        <v>233</v>
      </c>
      <c r="Q132" s="38">
        <v>3360000000</v>
      </c>
    </row>
    <row r="133" spans="1:17" x14ac:dyDescent="0.2">
      <c r="A133" t="s">
        <v>215</v>
      </c>
      <c r="B133">
        <v>1998</v>
      </c>
      <c r="C133" t="s">
        <v>216</v>
      </c>
      <c r="E133" t="s">
        <v>217</v>
      </c>
      <c r="F133" t="s">
        <v>218</v>
      </c>
      <c r="G133">
        <v>99</v>
      </c>
      <c r="O133" t="s">
        <v>219</v>
      </c>
      <c r="P133" t="s">
        <v>222</v>
      </c>
      <c r="Q133" s="38">
        <v>539000000</v>
      </c>
    </row>
    <row r="134" spans="1:17" x14ac:dyDescent="0.2">
      <c r="A134" t="s">
        <v>215</v>
      </c>
      <c r="B134">
        <v>1998</v>
      </c>
      <c r="C134" t="s">
        <v>216</v>
      </c>
      <c r="E134" t="s">
        <v>217</v>
      </c>
      <c r="F134" t="s">
        <v>218</v>
      </c>
      <c r="G134">
        <v>99</v>
      </c>
      <c r="O134" t="s">
        <v>219</v>
      </c>
      <c r="P134" t="s">
        <v>223</v>
      </c>
      <c r="Q134" s="38">
        <v>1265000000</v>
      </c>
    </row>
    <row r="135" spans="1:17" x14ac:dyDescent="0.2">
      <c r="A135" t="s">
        <v>215</v>
      </c>
      <c r="B135">
        <v>1998</v>
      </c>
      <c r="C135" t="s">
        <v>216</v>
      </c>
      <c r="E135" t="s">
        <v>217</v>
      </c>
      <c r="F135" t="s">
        <v>218</v>
      </c>
      <c r="G135">
        <v>99</v>
      </c>
      <c r="O135" t="s">
        <v>219</v>
      </c>
      <c r="P135" t="s">
        <v>234</v>
      </c>
      <c r="Q135" s="38">
        <v>2490000000</v>
      </c>
    </row>
    <row r="136" spans="1:17" x14ac:dyDescent="0.2">
      <c r="A136" t="s">
        <v>215</v>
      </c>
      <c r="B136">
        <v>1998</v>
      </c>
      <c r="C136" t="s">
        <v>216</v>
      </c>
      <c r="E136" t="s">
        <v>217</v>
      </c>
      <c r="F136" t="s">
        <v>218</v>
      </c>
      <c r="G136">
        <v>99</v>
      </c>
      <c r="O136" t="s">
        <v>219</v>
      </c>
      <c r="P136" t="s">
        <v>225</v>
      </c>
      <c r="Q136" s="38">
        <v>675000000</v>
      </c>
    </row>
    <row r="137" spans="1:17" x14ac:dyDescent="0.2">
      <c r="A137" t="s">
        <v>215</v>
      </c>
      <c r="B137">
        <v>1998</v>
      </c>
      <c r="C137" t="s">
        <v>216</v>
      </c>
      <c r="E137" t="s">
        <v>217</v>
      </c>
      <c r="F137" t="s">
        <v>218</v>
      </c>
      <c r="G137">
        <v>99</v>
      </c>
      <c r="O137" t="s">
        <v>219</v>
      </c>
      <c r="P137" t="s">
        <v>228</v>
      </c>
      <c r="Q137" s="38">
        <v>431000000</v>
      </c>
    </row>
    <row r="138" spans="1:17" x14ac:dyDescent="0.2">
      <c r="A138" t="s">
        <v>215</v>
      </c>
      <c r="B138">
        <v>1998</v>
      </c>
      <c r="C138" t="s">
        <v>216</v>
      </c>
      <c r="E138" t="s">
        <v>217</v>
      </c>
      <c r="F138" t="s">
        <v>218</v>
      </c>
      <c r="G138">
        <v>99</v>
      </c>
      <c r="O138" t="s">
        <v>229</v>
      </c>
      <c r="P138" t="s">
        <v>230</v>
      </c>
      <c r="Q138" s="38">
        <v>5400000000</v>
      </c>
    </row>
    <row r="139" spans="1:17" x14ac:dyDescent="0.2">
      <c r="A139" t="s">
        <v>215</v>
      </c>
      <c r="B139">
        <v>1998</v>
      </c>
      <c r="C139" t="s">
        <v>216</v>
      </c>
      <c r="E139" t="s">
        <v>217</v>
      </c>
      <c r="F139" t="s">
        <v>218</v>
      </c>
      <c r="G139">
        <v>99</v>
      </c>
      <c r="O139" t="s">
        <v>231</v>
      </c>
      <c r="P139" t="s">
        <v>232</v>
      </c>
      <c r="Q139" s="38">
        <v>1910000000</v>
      </c>
    </row>
    <row r="140" spans="1:17" x14ac:dyDescent="0.2">
      <c r="A140" t="s">
        <v>215</v>
      </c>
      <c r="B140">
        <v>1998</v>
      </c>
      <c r="C140" t="s">
        <v>216</v>
      </c>
      <c r="E140" t="s">
        <v>217</v>
      </c>
      <c r="F140" t="s">
        <v>218</v>
      </c>
      <c r="G140">
        <v>99</v>
      </c>
      <c r="O140" t="s">
        <v>231</v>
      </c>
      <c r="P140" t="s">
        <v>233</v>
      </c>
      <c r="Q140" s="38">
        <v>3490000000</v>
      </c>
    </row>
    <row r="141" spans="1:17" x14ac:dyDescent="0.2">
      <c r="A141" t="s">
        <v>215</v>
      </c>
      <c r="B141">
        <v>1997</v>
      </c>
      <c r="C141" t="s">
        <v>216</v>
      </c>
      <c r="E141" t="s">
        <v>217</v>
      </c>
      <c r="F141" t="s">
        <v>218</v>
      </c>
      <c r="G141">
        <v>99</v>
      </c>
      <c r="O141" t="s">
        <v>219</v>
      </c>
      <c r="P141" t="s">
        <v>222</v>
      </c>
      <c r="Q141" s="38">
        <v>590000000</v>
      </c>
    </row>
    <row r="142" spans="1:17" x14ac:dyDescent="0.2">
      <c r="A142" t="s">
        <v>215</v>
      </c>
      <c r="B142">
        <v>1997</v>
      </c>
      <c r="C142" t="s">
        <v>216</v>
      </c>
      <c r="E142" t="s">
        <v>217</v>
      </c>
      <c r="F142" t="s">
        <v>218</v>
      </c>
      <c r="G142">
        <v>99</v>
      </c>
      <c r="O142" t="s">
        <v>219</v>
      </c>
      <c r="P142" t="s">
        <v>223</v>
      </c>
      <c r="Q142" s="38">
        <v>1430000000</v>
      </c>
    </row>
    <row r="143" spans="1:17" x14ac:dyDescent="0.2">
      <c r="A143" t="s">
        <v>215</v>
      </c>
      <c r="B143">
        <v>1997</v>
      </c>
      <c r="C143" t="s">
        <v>216</v>
      </c>
      <c r="E143" t="s">
        <v>217</v>
      </c>
      <c r="F143" t="s">
        <v>218</v>
      </c>
      <c r="G143">
        <v>99</v>
      </c>
      <c r="O143" t="s">
        <v>219</v>
      </c>
      <c r="P143" t="s">
        <v>234</v>
      </c>
      <c r="Q143" s="38">
        <v>2658000000</v>
      </c>
    </row>
    <row r="144" spans="1:17" x14ac:dyDescent="0.2">
      <c r="A144" t="s">
        <v>215</v>
      </c>
      <c r="B144">
        <v>1997</v>
      </c>
      <c r="C144" t="s">
        <v>216</v>
      </c>
      <c r="E144" t="s">
        <v>217</v>
      </c>
      <c r="F144" t="s">
        <v>218</v>
      </c>
      <c r="G144">
        <v>99</v>
      </c>
      <c r="O144" t="s">
        <v>219</v>
      </c>
      <c r="P144" t="s">
        <v>225</v>
      </c>
      <c r="Q144" s="38">
        <v>820000000</v>
      </c>
    </row>
    <row r="145" spans="1:17" x14ac:dyDescent="0.2">
      <c r="A145" t="s">
        <v>215</v>
      </c>
      <c r="B145">
        <v>1997</v>
      </c>
      <c r="C145" t="s">
        <v>216</v>
      </c>
      <c r="E145" t="s">
        <v>217</v>
      </c>
      <c r="F145" t="s">
        <v>218</v>
      </c>
      <c r="G145">
        <v>99</v>
      </c>
      <c r="O145" t="s">
        <v>219</v>
      </c>
      <c r="P145" t="s">
        <v>228</v>
      </c>
      <c r="Q145" s="38">
        <v>502000000</v>
      </c>
    </row>
    <row r="146" spans="1:17" x14ac:dyDescent="0.2">
      <c r="A146" t="s">
        <v>215</v>
      </c>
      <c r="B146">
        <v>1997</v>
      </c>
      <c r="C146" t="s">
        <v>216</v>
      </c>
      <c r="E146" t="s">
        <v>217</v>
      </c>
      <c r="F146" t="s">
        <v>218</v>
      </c>
      <c r="G146">
        <v>99</v>
      </c>
      <c r="O146" t="s">
        <v>229</v>
      </c>
      <c r="P146" t="s">
        <v>230</v>
      </c>
      <c r="Q146" s="38">
        <v>6000000000</v>
      </c>
    </row>
    <row r="147" spans="1:17" x14ac:dyDescent="0.2">
      <c r="A147" t="s">
        <v>215</v>
      </c>
      <c r="B147">
        <v>1997</v>
      </c>
      <c r="C147" t="s">
        <v>216</v>
      </c>
      <c r="E147" t="s">
        <v>217</v>
      </c>
      <c r="F147" t="s">
        <v>218</v>
      </c>
      <c r="G147">
        <v>99</v>
      </c>
      <c r="O147" t="s">
        <v>231</v>
      </c>
      <c r="P147" t="s">
        <v>232</v>
      </c>
      <c r="Q147" s="38">
        <v>2170000000</v>
      </c>
    </row>
    <row r="148" spans="1:17" x14ac:dyDescent="0.2">
      <c r="A148" t="s">
        <v>215</v>
      </c>
      <c r="B148">
        <v>1997</v>
      </c>
      <c r="C148" t="s">
        <v>216</v>
      </c>
      <c r="E148" t="s">
        <v>217</v>
      </c>
      <c r="F148" t="s">
        <v>218</v>
      </c>
      <c r="G148">
        <v>99</v>
      </c>
      <c r="O148" t="s">
        <v>231</v>
      </c>
      <c r="P148" t="s">
        <v>233</v>
      </c>
      <c r="Q148" s="38">
        <v>3830000000</v>
      </c>
    </row>
    <row r="149" spans="1:17" x14ac:dyDescent="0.2">
      <c r="A149" t="s">
        <v>215</v>
      </c>
      <c r="B149">
        <v>1996</v>
      </c>
      <c r="C149" t="s">
        <v>216</v>
      </c>
      <c r="E149" t="s">
        <v>217</v>
      </c>
      <c r="F149" t="s">
        <v>218</v>
      </c>
      <c r="G149">
        <v>99</v>
      </c>
      <c r="O149" t="s">
        <v>219</v>
      </c>
      <c r="P149" t="s">
        <v>222</v>
      </c>
      <c r="Q149" s="38">
        <v>565000000</v>
      </c>
    </row>
    <row r="150" spans="1:17" x14ac:dyDescent="0.2">
      <c r="A150" t="s">
        <v>215</v>
      </c>
      <c r="B150">
        <v>1996</v>
      </c>
      <c r="C150" t="s">
        <v>216</v>
      </c>
      <c r="E150" t="s">
        <v>217</v>
      </c>
      <c r="F150" t="s">
        <v>218</v>
      </c>
      <c r="G150">
        <v>99</v>
      </c>
      <c r="O150" t="s">
        <v>219</v>
      </c>
      <c r="P150" t="s">
        <v>223</v>
      </c>
      <c r="Q150" s="38">
        <v>1390000000</v>
      </c>
    </row>
    <row r="151" spans="1:17" x14ac:dyDescent="0.2">
      <c r="A151" t="s">
        <v>215</v>
      </c>
      <c r="B151">
        <v>1996</v>
      </c>
      <c r="C151" t="s">
        <v>216</v>
      </c>
      <c r="E151" t="s">
        <v>217</v>
      </c>
      <c r="F151" t="s">
        <v>218</v>
      </c>
      <c r="G151">
        <v>99</v>
      </c>
      <c r="O151" t="s">
        <v>219</v>
      </c>
      <c r="P151" t="s">
        <v>234</v>
      </c>
      <c r="Q151" s="38">
        <v>2600000000</v>
      </c>
    </row>
    <row r="152" spans="1:17" x14ac:dyDescent="0.2">
      <c r="A152" t="s">
        <v>215</v>
      </c>
      <c r="B152">
        <v>1996</v>
      </c>
      <c r="C152" t="s">
        <v>216</v>
      </c>
      <c r="E152" t="s">
        <v>217</v>
      </c>
      <c r="F152" t="s">
        <v>218</v>
      </c>
      <c r="G152">
        <v>99</v>
      </c>
      <c r="O152" t="s">
        <v>219</v>
      </c>
      <c r="P152" t="s">
        <v>225</v>
      </c>
      <c r="Q152" s="38">
        <v>770000000</v>
      </c>
    </row>
    <row r="153" spans="1:17" x14ac:dyDescent="0.2">
      <c r="A153" t="s">
        <v>215</v>
      </c>
      <c r="B153">
        <v>1996</v>
      </c>
      <c r="C153" t="s">
        <v>216</v>
      </c>
      <c r="E153" t="s">
        <v>217</v>
      </c>
      <c r="F153" t="s">
        <v>218</v>
      </c>
      <c r="G153">
        <v>99</v>
      </c>
      <c r="O153" t="s">
        <v>219</v>
      </c>
      <c r="P153" t="s">
        <v>228</v>
      </c>
      <c r="Q153" s="38">
        <v>475000000</v>
      </c>
    </row>
    <row r="154" spans="1:17" x14ac:dyDescent="0.2">
      <c r="A154" t="s">
        <v>215</v>
      </c>
      <c r="B154">
        <v>1996</v>
      </c>
      <c r="C154" t="s">
        <v>216</v>
      </c>
      <c r="E154" t="s">
        <v>217</v>
      </c>
      <c r="F154" t="s">
        <v>218</v>
      </c>
      <c r="G154">
        <v>99</v>
      </c>
      <c r="O154" t="s">
        <v>229</v>
      </c>
      <c r="P154" t="s">
        <v>230</v>
      </c>
      <c r="Q154" s="38">
        <v>5800000000</v>
      </c>
    </row>
    <row r="155" spans="1:17" x14ac:dyDescent="0.2">
      <c r="A155" t="s">
        <v>215</v>
      </c>
      <c r="B155">
        <v>1996</v>
      </c>
      <c r="C155" t="s">
        <v>216</v>
      </c>
      <c r="E155" t="s">
        <v>217</v>
      </c>
      <c r="F155" t="s">
        <v>218</v>
      </c>
      <c r="G155">
        <v>99</v>
      </c>
      <c r="O155" t="s">
        <v>231</v>
      </c>
      <c r="P155" t="s">
        <v>232</v>
      </c>
      <c r="Q155" s="38">
        <v>2100000000</v>
      </c>
    </row>
    <row r="156" spans="1:17" x14ac:dyDescent="0.2">
      <c r="A156" t="s">
        <v>215</v>
      </c>
      <c r="B156">
        <v>1996</v>
      </c>
      <c r="C156" t="s">
        <v>216</v>
      </c>
      <c r="E156" t="s">
        <v>217</v>
      </c>
      <c r="F156" t="s">
        <v>218</v>
      </c>
      <c r="G156">
        <v>99</v>
      </c>
      <c r="O156" t="s">
        <v>231</v>
      </c>
      <c r="P156" t="s">
        <v>233</v>
      </c>
      <c r="Q156" s="38">
        <v>3700000000</v>
      </c>
    </row>
    <row r="157" spans="1:17" x14ac:dyDescent="0.2">
      <c r="A157" t="s">
        <v>215</v>
      </c>
      <c r="B157">
        <v>1995</v>
      </c>
      <c r="C157" t="s">
        <v>216</v>
      </c>
      <c r="E157" t="s">
        <v>217</v>
      </c>
      <c r="F157" t="s">
        <v>218</v>
      </c>
      <c r="G157">
        <v>99</v>
      </c>
      <c r="O157" t="s">
        <v>219</v>
      </c>
      <c r="P157" t="s">
        <v>222</v>
      </c>
      <c r="Q157" s="38">
        <v>610000000</v>
      </c>
    </row>
    <row r="158" spans="1:17" x14ac:dyDescent="0.2">
      <c r="A158" t="s">
        <v>215</v>
      </c>
      <c r="B158">
        <v>1995</v>
      </c>
      <c r="C158" t="s">
        <v>216</v>
      </c>
      <c r="E158" t="s">
        <v>217</v>
      </c>
      <c r="F158" t="s">
        <v>218</v>
      </c>
      <c r="G158">
        <v>99</v>
      </c>
      <c r="O158" t="s">
        <v>219</v>
      </c>
      <c r="P158" t="s">
        <v>223</v>
      </c>
      <c r="Q158" s="38">
        <v>1420000000</v>
      </c>
    </row>
    <row r="159" spans="1:17" x14ac:dyDescent="0.2">
      <c r="A159" t="s">
        <v>215</v>
      </c>
      <c r="B159">
        <v>1995</v>
      </c>
      <c r="C159" t="s">
        <v>216</v>
      </c>
      <c r="E159" t="s">
        <v>217</v>
      </c>
      <c r="F159" t="s">
        <v>218</v>
      </c>
      <c r="G159">
        <v>99</v>
      </c>
      <c r="O159" t="s">
        <v>219</v>
      </c>
      <c r="P159" t="s">
        <v>234</v>
      </c>
      <c r="Q159" s="38">
        <v>2167000000</v>
      </c>
    </row>
    <row r="160" spans="1:17" x14ac:dyDescent="0.2">
      <c r="A160" t="s">
        <v>215</v>
      </c>
      <c r="B160">
        <v>1995</v>
      </c>
      <c r="C160" t="s">
        <v>216</v>
      </c>
      <c r="E160" t="s">
        <v>217</v>
      </c>
      <c r="F160" t="s">
        <v>218</v>
      </c>
      <c r="G160">
        <v>99</v>
      </c>
      <c r="O160" t="s">
        <v>219</v>
      </c>
      <c r="P160" t="s">
        <v>225</v>
      </c>
      <c r="Q160" s="38">
        <v>872000000</v>
      </c>
    </row>
    <row r="161" spans="1:17" x14ac:dyDescent="0.2">
      <c r="A161" t="s">
        <v>215</v>
      </c>
      <c r="B161">
        <v>1995</v>
      </c>
      <c r="C161" t="s">
        <v>216</v>
      </c>
      <c r="E161" t="s">
        <v>217</v>
      </c>
      <c r="F161" t="s">
        <v>218</v>
      </c>
      <c r="G161">
        <v>99</v>
      </c>
      <c r="O161" t="s">
        <v>219</v>
      </c>
      <c r="P161" t="s">
        <v>228</v>
      </c>
      <c r="Q161" s="38">
        <v>431000000</v>
      </c>
    </row>
    <row r="162" spans="1:17" x14ac:dyDescent="0.2">
      <c r="A162" t="s">
        <v>215</v>
      </c>
      <c r="B162">
        <v>1995</v>
      </c>
      <c r="C162" t="s">
        <v>216</v>
      </c>
      <c r="E162" t="s">
        <v>217</v>
      </c>
      <c r="F162" t="s">
        <v>218</v>
      </c>
      <c r="G162">
        <v>99</v>
      </c>
      <c r="O162" t="s">
        <v>229</v>
      </c>
      <c r="P162" t="s">
        <v>230</v>
      </c>
      <c r="Q162" s="38">
        <v>5500000000</v>
      </c>
    </row>
    <row r="163" spans="1:17" x14ac:dyDescent="0.2">
      <c r="A163" t="s">
        <v>215</v>
      </c>
      <c r="B163">
        <v>1995</v>
      </c>
      <c r="C163" t="s">
        <v>216</v>
      </c>
      <c r="E163" t="s">
        <v>217</v>
      </c>
      <c r="F163" t="s">
        <v>218</v>
      </c>
      <c r="G163">
        <v>99</v>
      </c>
      <c r="O163" t="s">
        <v>231</v>
      </c>
      <c r="P163" t="s">
        <v>232</v>
      </c>
      <c r="Q163" s="38">
        <v>2233000000</v>
      </c>
    </row>
    <row r="164" spans="1:17" x14ac:dyDescent="0.2">
      <c r="A164" t="s">
        <v>215</v>
      </c>
      <c r="B164">
        <v>1995</v>
      </c>
      <c r="C164" t="s">
        <v>216</v>
      </c>
      <c r="E164" t="s">
        <v>217</v>
      </c>
      <c r="F164" t="s">
        <v>218</v>
      </c>
      <c r="G164">
        <v>99</v>
      </c>
      <c r="O164" t="s">
        <v>231</v>
      </c>
      <c r="P164" t="s">
        <v>233</v>
      </c>
      <c r="Q164" s="38">
        <v>3267000000</v>
      </c>
    </row>
    <row r="165" spans="1:17" x14ac:dyDescent="0.2">
      <c r="A165" t="s">
        <v>215</v>
      </c>
      <c r="B165">
        <v>1994</v>
      </c>
      <c r="C165" t="s">
        <v>216</v>
      </c>
      <c r="E165" t="s">
        <v>217</v>
      </c>
      <c r="F165" t="s">
        <v>218</v>
      </c>
      <c r="G165">
        <v>99</v>
      </c>
      <c r="O165" t="s">
        <v>219</v>
      </c>
      <c r="P165" t="s">
        <v>222</v>
      </c>
      <c r="Q165" s="38">
        <v>533000000</v>
      </c>
    </row>
    <row r="166" spans="1:17" x14ac:dyDescent="0.2">
      <c r="A166" t="s">
        <v>215</v>
      </c>
      <c r="B166">
        <v>1994</v>
      </c>
      <c r="C166" t="s">
        <v>216</v>
      </c>
      <c r="E166" t="s">
        <v>217</v>
      </c>
      <c r="F166" t="s">
        <v>218</v>
      </c>
      <c r="G166">
        <v>99</v>
      </c>
      <c r="O166" t="s">
        <v>219</v>
      </c>
      <c r="P166" t="s">
        <v>223</v>
      </c>
      <c r="Q166" s="38">
        <v>1346000000</v>
      </c>
    </row>
    <row r="167" spans="1:17" x14ac:dyDescent="0.2">
      <c r="A167" t="s">
        <v>215</v>
      </c>
      <c r="B167">
        <v>1994</v>
      </c>
      <c r="C167" t="s">
        <v>216</v>
      </c>
      <c r="E167" t="s">
        <v>217</v>
      </c>
      <c r="F167" t="s">
        <v>218</v>
      </c>
      <c r="G167">
        <v>99</v>
      </c>
      <c r="O167" t="s">
        <v>219</v>
      </c>
      <c r="P167" t="s">
        <v>234</v>
      </c>
      <c r="Q167" s="38">
        <v>1980000000</v>
      </c>
    </row>
    <row r="168" spans="1:17" x14ac:dyDescent="0.2">
      <c r="A168" t="s">
        <v>215</v>
      </c>
      <c r="B168">
        <v>1994</v>
      </c>
      <c r="C168" t="s">
        <v>216</v>
      </c>
      <c r="E168" t="s">
        <v>217</v>
      </c>
      <c r="F168" t="s">
        <v>218</v>
      </c>
      <c r="G168">
        <v>99</v>
      </c>
      <c r="O168" t="s">
        <v>219</v>
      </c>
      <c r="P168" t="s">
        <v>225</v>
      </c>
      <c r="Q168" s="38">
        <v>871000000</v>
      </c>
    </row>
    <row r="169" spans="1:17" x14ac:dyDescent="0.2">
      <c r="A169" t="s">
        <v>215</v>
      </c>
      <c r="B169">
        <v>1994</v>
      </c>
      <c r="C169" t="s">
        <v>216</v>
      </c>
      <c r="E169" t="s">
        <v>217</v>
      </c>
      <c r="F169" t="s">
        <v>218</v>
      </c>
      <c r="G169">
        <v>99</v>
      </c>
      <c r="O169" t="s">
        <v>219</v>
      </c>
      <c r="P169" t="s">
        <v>228</v>
      </c>
      <c r="Q169" s="38">
        <v>370000000</v>
      </c>
    </row>
    <row r="170" spans="1:17" x14ac:dyDescent="0.2">
      <c r="A170" t="s">
        <v>215</v>
      </c>
      <c r="B170">
        <v>1994</v>
      </c>
      <c r="C170" t="s">
        <v>216</v>
      </c>
      <c r="E170" t="s">
        <v>217</v>
      </c>
      <c r="F170" t="s">
        <v>218</v>
      </c>
      <c r="G170">
        <v>99</v>
      </c>
      <c r="O170" t="s">
        <v>229</v>
      </c>
      <c r="P170" t="s">
        <v>230</v>
      </c>
      <c r="Q170" s="38">
        <v>5100000000</v>
      </c>
    </row>
    <row r="171" spans="1:17" x14ac:dyDescent="0.2">
      <c r="A171" t="s">
        <v>215</v>
      </c>
      <c r="B171">
        <v>1994</v>
      </c>
      <c r="C171" t="s">
        <v>216</v>
      </c>
      <c r="E171" t="s">
        <v>217</v>
      </c>
      <c r="F171" t="s">
        <v>218</v>
      </c>
      <c r="G171">
        <v>99</v>
      </c>
      <c r="O171" t="s">
        <v>231</v>
      </c>
      <c r="P171" t="s">
        <v>232</v>
      </c>
      <c r="Q171" s="38">
        <v>2045000000</v>
      </c>
    </row>
    <row r="172" spans="1:17" x14ac:dyDescent="0.2">
      <c r="A172" t="s">
        <v>215</v>
      </c>
      <c r="B172">
        <v>1994</v>
      </c>
      <c r="C172" t="s">
        <v>216</v>
      </c>
      <c r="E172" t="s">
        <v>217</v>
      </c>
      <c r="F172" t="s">
        <v>218</v>
      </c>
      <c r="G172">
        <v>99</v>
      </c>
      <c r="O172" t="s">
        <v>231</v>
      </c>
      <c r="P172" t="s">
        <v>233</v>
      </c>
      <c r="Q172" s="38">
        <v>3055000000</v>
      </c>
    </row>
    <row r="173" spans="1:17" x14ac:dyDescent="0.2">
      <c r="A173" t="s">
        <v>215</v>
      </c>
      <c r="B173">
        <v>1993</v>
      </c>
      <c r="C173" t="s">
        <v>216</v>
      </c>
      <c r="E173" t="s">
        <v>217</v>
      </c>
      <c r="F173" t="s">
        <v>218</v>
      </c>
      <c r="G173">
        <v>99</v>
      </c>
      <c r="O173" t="s">
        <v>219</v>
      </c>
      <c r="P173" t="s">
        <v>222</v>
      </c>
      <c r="Q173" s="38">
        <v>565000000</v>
      </c>
    </row>
    <row r="174" spans="1:17" x14ac:dyDescent="0.2">
      <c r="A174" t="s">
        <v>215</v>
      </c>
      <c r="B174">
        <v>1993</v>
      </c>
      <c r="C174" t="s">
        <v>216</v>
      </c>
      <c r="E174" t="s">
        <v>217</v>
      </c>
      <c r="F174" t="s">
        <v>218</v>
      </c>
      <c r="G174">
        <v>99</v>
      </c>
      <c r="O174" t="s">
        <v>219</v>
      </c>
      <c r="P174" t="s">
        <v>223</v>
      </c>
      <c r="Q174" s="38">
        <v>1384000000</v>
      </c>
    </row>
    <row r="175" spans="1:17" x14ac:dyDescent="0.2">
      <c r="A175" t="s">
        <v>215</v>
      </c>
      <c r="B175">
        <v>1993</v>
      </c>
      <c r="C175" t="s">
        <v>216</v>
      </c>
      <c r="E175" t="s">
        <v>217</v>
      </c>
      <c r="F175" t="s">
        <v>218</v>
      </c>
      <c r="G175">
        <v>99</v>
      </c>
      <c r="O175" t="s">
        <v>219</v>
      </c>
      <c r="P175" t="s">
        <v>234</v>
      </c>
      <c r="Q175" s="38">
        <v>1892000000</v>
      </c>
    </row>
    <row r="176" spans="1:17" x14ac:dyDescent="0.2">
      <c r="A176" t="s">
        <v>215</v>
      </c>
      <c r="B176">
        <v>1993</v>
      </c>
      <c r="C176" t="s">
        <v>216</v>
      </c>
      <c r="E176" t="s">
        <v>217</v>
      </c>
      <c r="F176" t="s">
        <v>218</v>
      </c>
      <c r="G176">
        <v>99</v>
      </c>
      <c r="O176" t="s">
        <v>219</v>
      </c>
      <c r="P176" t="s">
        <v>225</v>
      </c>
      <c r="Q176" s="38">
        <v>944000000</v>
      </c>
    </row>
    <row r="177" spans="1:17" x14ac:dyDescent="0.2">
      <c r="A177" t="s">
        <v>215</v>
      </c>
      <c r="B177">
        <v>1993</v>
      </c>
      <c r="C177" t="s">
        <v>216</v>
      </c>
      <c r="E177" t="s">
        <v>217</v>
      </c>
      <c r="F177" t="s">
        <v>218</v>
      </c>
      <c r="G177">
        <v>99</v>
      </c>
      <c r="O177" t="s">
        <v>219</v>
      </c>
      <c r="P177" t="s">
        <v>228</v>
      </c>
      <c r="Q177" s="38">
        <v>306000000</v>
      </c>
    </row>
    <row r="178" spans="1:17" x14ac:dyDescent="0.2">
      <c r="A178" t="s">
        <v>215</v>
      </c>
      <c r="B178">
        <v>1993</v>
      </c>
      <c r="C178" t="s">
        <v>216</v>
      </c>
      <c r="E178" t="s">
        <v>217</v>
      </c>
      <c r="F178" t="s">
        <v>218</v>
      </c>
      <c r="G178">
        <v>99</v>
      </c>
      <c r="O178" t="s">
        <v>229</v>
      </c>
      <c r="P178" t="s">
        <v>230</v>
      </c>
      <c r="Q178" s="38">
        <v>5090000000</v>
      </c>
    </row>
    <row r="179" spans="1:17" x14ac:dyDescent="0.2">
      <c r="A179" t="s">
        <v>215</v>
      </c>
      <c r="B179">
        <v>1993</v>
      </c>
      <c r="C179" t="s">
        <v>216</v>
      </c>
      <c r="E179" t="s">
        <v>217</v>
      </c>
      <c r="F179" t="s">
        <v>218</v>
      </c>
      <c r="G179">
        <v>99</v>
      </c>
      <c r="O179" t="s">
        <v>231</v>
      </c>
      <c r="P179" t="s">
        <v>232</v>
      </c>
      <c r="Q179" s="38">
        <v>2121000000</v>
      </c>
    </row>
    <row r="180" spans="1:17" x14ac:dyDescent="0.2">
      <c r="A180" t="s">
        <v>215</v>
      </c>
      <c r="B180">
        <v>1993</v>
      </c>
      <c r="C180" t="s">
        <v>216</v>
      </c>
      <c r="E180" t="s">
        <v>217</v>
      </c>
      <c r="F180" t="s">
        <v>218</v>
      </c>
      <c r="G180">
        <v>99</v>
      </c>
      <c r="O180" t="s">
        <v>231</v>
      </c>
      <c r="P180" t="s">
        <v>233</v>
      </c>
      <c r="Q180" s="38">
        <v>2968000000</v>
      </c>
    </row>
    <row r="181" spans="1:17" x14ac:dyDescent="0.2">
      <c r="A181" t="s">
        <v>215</v>
      </c>
      <c r="B181">
        <v>1992</v>
      </c>
      <c r="C181" t="s">
        <v>216</v>
      </c>
      <c r="E181" t="s">
        <v>217</v>
      </c>
      <c r="F181" t="s">
        <v>218</v>
      </c>
      <c r="G181">
        <v>99</v>
      </c>
      <c r="O181" t="s">
        <v>219</v>
      </c>
      <c r="P181" t="s">
        <v>222</v>
      </c>
      <c r="Q181" s="38">
        <v>567000000</v>
      </c>
    </row>
    <row r="182" spans="1:17" x14ac:dyDescent="0.2">
      <c r="A182" t="s">
        <v>215</v>
      </c>
      <c r="B182">
        <v>1992</v>
      </c>
      <c r="C182" t="s">
        <v>216</v>
      </c>
      <c r="E182" t="s">
        <v>217</v>
      </c>
      <c r="F182" t="s">
        <v>218</v>
      </c>
      <c r="G182">
        <v>99</v>
      </c>
      <c r="O182" t="s">
        <v>219</v>
      </c>
      <c r="P182" t="s">
        <v>223</v>
      </c>
      <c r="Q182" s="38">
        <v>1351000000</v>
      </c>
    </row>
    <row r="183" spans="1:17" x14ac:dyDescent="0.2">
      <c r="A183" t="s">
        <v>215</v>
      </c>
      <c r="B183">
        <v>1992</v>
      </c>
      <c r="C183" t="s">
        <v>216</v>
      </c>
      <c r="E183" t="s">
        <v>217</v>
      </c>
      <c r="F183" t="s">
        <v>218</v>
      </c>
      <c r="G183">
        <v>99</v>
      </c>
      <c r="O183" t="s">
        <v>219</v>
      </c>
      <c r="P183" t="s">
        <v>234</v>
      </c>
      <c r="Q183" s="38">
        <v>1840000000</v>
      </c>
    </row>
    <row r="184" spans="1:17" x14ac:dyDescent="0.2">
      <c r="A184" t="s">
        <v>215</v>
      </c>
      <c r="B184">
        <v>1992</v>
      </c>
      <c r="C184" t="s">
        <v>216</v>
      </c>
      <c r="E184" t="s">
        <v>217</v>
      </c>
      <c r="F184" t="s">
        <v>218</v>
      </c>
      <c r="G184">
        <v>99</v>
      </c>
      <c r="O184" t="s">
        <v>219</v>
      </c>
      <c r="P184" t="s">
        <v>225</v>
      </c>
      <c r="Q184" s="38">
        <v>978000000</v>
      </c>
    </row>
    <row r="185" spans="1:17" x14ac:dyDescent="0.2">
      <c r="A185" t="s">
        <v>215</v>
      </c>
      <c r="B185">
        <v>1992</v>
      </c>
      <c r="C185" t="s">
        <v>216</v>
      </c>
      <c r="E185" t="s">
        <v>217</v>
      </c>
      <c r="F185" t="s">
        <v>218</v>
      </c>
      <c r="G185">
        <v>99</v>
      </c>
      <c r="O185" t="s">
        <v>219</v>
      </c>
      <c r="P185" t="s">
        <v>228</v>
      </c>
      <c r="Q185" s="38">
        <v>333000000</v>
      </c>
    </row>
    <row r="186" spans="1:17" x14ac:dyDescent="0.2">
      <c r="A186" t="s">
        <v>215</v>
      </c>
      <c r="B186">
        <v>1992</v>
      </c>
      <c r="C186" t="s">
        <v>216</v>
      </c>
      <c r="E186" t="s">
        <v>217</v>
      </c>
      <c r="F186" t="s">
        <v>218</v>
      </c>
      <c r="G186">
        <v>99</v>
      </c>
      <c r="O186" t="s">
        <v>229</v>
      </c>
      <c r="P186" t="s">
        <v>230</v>
      </c>
      <c r="Q186" s="38">
        <v>5070000000</v>
      </c>
    </row>
    <row r="187" spans="1:17" x14ac:dyDescent="0.2">
      <c r="A187" t="s">
        <v>215</v>
      </c>
      <c r="B187">
        <v>1992</v>
      </c>
      <c r="C187" t="s">
        <v>216</v>
      </c>
      <c r="E187" t="s">
        <v>217</v>
      </c>
      <c r="F187" t="s">
        <v>218</v>
      </c>
      <c r="G187">
        <v>99</v>
      </c>
      <c r="O187" t="s">
        <v>231</v>
      </c>
      <c r="P187" t="s">
        <v>232</v>
      </c>
      <c r="Q187" s="38">
        <v>2236000000</v>
      </c>
    </row>
    <row r="188" spans="1:17" x14ac:dyDescent="0.2">
      <c r="A188" t="s">
        <v>215</v>
      </c>
      <c r="B188">
        <v>1992</v>
      </c>
      <c r="C188" t="s">
        <v>216</v>
      </c>
      <c r="E188" t="s">
        <v>217</v>
      </c>
      <c r="F188" t="s">
        <v>218</v>
      </c>
      <c r="G188">
        <v>99</v>
      </c>
      <c r="O188" t="s">
        <v>231</v>
      </c>
      <c r="P188" t="s">
        <v>233</v>
      </c>
      <c r="Q188" s="38">
        <v>3224000000</v>
      </c>
    </row>
    <row r="189" spans="1:17" x14ac:dyDescent="0.2">
      <c r="A189" t="s">
        <v>215</v>
      </c>
      <c r="B189">
        <v>1991</v>
      </c>
      <c r="C189" t="s">
        <v>216</v>
      </c>
      <c r="E189" t="s">
        <v>217</v>
      </c>
      <c r="F189" t="s">
        <v>218</v>
      </c>
      <c r="G189">
        <v>99</v>
      </c>
      <c r="O189" t="s">
        <v>219</v>
      </c>
      <c r="P189" t="s">
        <v>222</v>
      </c>
      <c r="Q189" s="38">
        <v>646000000</v>
      </c>
    </row>
    <row r="190" spans="1:17" x14ac:dyDescent="0.2">
      <c r="A190" t="s">
        <v>215</v>
      </c>
      <c r="B190">
        <v>1991</v>
      </c>
      <c r="C190" t="s">
        <v>216</v>
      </c>
      <c r="E190" t="s">
        <v>217</v>
      </c>
      <c r="F190" t="s">
        <v>218</v>
      </c>
      <c r="G190">
        <v>99</v>
      </c>
      <c r="O190" t="s">
        <v>219</v>
      </c>
      <c r="P190" t="s">
        <v>223</v>
      </c>
      <c r="Q190" s="38">
        <v>1516000000</v>
      </c>
    </row>
    <row r="191" spans="1:17" x14ac:dyDescent="0.2">
      <c r="A191" t="s">
        <v>215</v>
      </c>
      <c r="B191">
        <v>1991</v>
      </c>
      <c r="C191" t="s">
        <v>216</v>
      </c>
      <c r="E191" t="s">
        <v>217</v>
      </c>
      <c r="F191" t="s">
        <v>218</v>
      </c>
      <c r="G191">
        <v>99</v>
      </c>
      <c r="O191" t="s">
        <v>219</v>
      </c>
      <c r="P191" t="s">
        <v>234</v>
      </c>
      <c r="Q191" s="38">
        <v>2101000000</v>
      </c>
    </row>
    <row r="192" spans="1:17" x14ac:dyDescent="0.2">
      <c r="A192" t="s">
        <v>215</v>
      </c>
      <c r="B192">
        <v>1991</v>
      </c>
      <c r="C192" t="s">
        <v>216</v>
      </c>
      <c r="E192" t="s">
        <v>217</v>
      </c>
      <c r="F192" t="s">
        <v>218</v>
      </c>
      <c r="G192">
        <v>99</v>
      </c>
      <c r="O192" t="s">
        <v>219</v>
      </c>
      <c r="P192" t="s">
        <v>225</v>
      </c>
      <c r="Q192" s="38">
        <v>1068000000</v>
      </c>
    </row>
    <row r="193" spans="1:17" x14ac:dyDescent="0.2">
      <c r="A193" t="s">
        <v>215</v>
      </c>
      <c r="B193">
        <v>1991</v>
      </c>
      <c r="C193" t="s">
        <v>216</v>
      </c>
      <c r="E193" t="s">
        <v>217</v>
      </c>
      <c r="F193" t="s">
        <v>218</v>
      </c>
      <c r="G193">
        <v>99</v>
      </c>
      <c r="O193" t="s">
        <v>219</v>
      </c>
      <c r="P193" t="s">
        <v>228</v>
      </c>
      <c r="Q193" s="38">
        <v>420000000</v>
      </c>
    </row>
    <row r="194" spans="1:17" x14ac:dyDescent="0.2">
      <c r="A194" t="s">
        <v>215</v>
      </c>
      <c r="B194">
        <v>1991</v>
      </c>
      <c r="C194" t="s">
        <v>216</v>
      </c>
      <c r="E194" t="s">
        <v>217</v>
      </c>
      <c r="F194" t="s">
        <v>218</v>
      </c>
      <c r="G194">
        <v>99</v>
      </c>
      <c r="O194" t="s">
        <v>229</v>
      </c>
      <c r="P194" t="s">
        <v>230</v>
      </c>
      <c r="Q194" s="38">
        <v>5750000000</v>
      </c>
    </row>
    <row r="195" spans="1:17" x14ac:dyDescent="0.2">
      <c r="A195" t="s">
        <v>215</v>
      </c>
      <c r="B195">
        <v>1991</v>
      </c>
      <c r="C195" t="s">
        <v>216</v>
      </c>
      <c r="E195" t="s">
        <v>217</v>
      </c>
      <c r="F195" t="s">
        <v>218</v>
      </c>
      <c r="G195">
        <v>99</v>
      </c>
      <c r="O195" t="s">
        <v>231</v>
      </c>
      <c r="P195" t="s">
        <v>232</v>
      </c>
      <c r="Q195" s="38">
        <v>2353000000</v>
      </c>
    </row>
    <row r="196" spans="1:17" x14ac:dyDescent="0.2">
      <c r="A196" t="s">
        <v>215</v>
      </c>
      <c r="B196">
        <v>1991</v>
      </c>
      <c r="C196" t="s">
        <v>216</v>
      </c>
      <c r="E196" t="s">
        <v>217</v>
      </c>
      <c r="F196" t="s">
        <v>218</v>
      </c>
      <c r="G196">
        <v>99</v>
      </c>
      <c r="O196" t="s">
        <v>231</v>
      </c>
      <c r="P196" t="s">
        <v>233</v>
      </c>
      <c r="Q196" s="38">
        <v>3397000000</v>
      </c>
    </row>
    <row r="197" spans="1:17" x14ac:dyDescent="0.2">
      <c r="A197" t="s">
        <v>215</v>
      </c>
      <c r="B197">
        <v>1990</v>
      </c>
      <c r="C197" t="s">
        <v>216</v>
      </c>
      <c r="E197" t="s">
        <v>217</v>
      </c>
      <c r="F197" t="s">
        <v>218</v>
      </c>
      <c r="G197">
        <v>99</v>
      </c>
      <c r="O197" t="s">
        <v>229</v>
      </c>
      <c r="P197" t="s">
        <v>230</v>
      </c>
      <c r="Q197" s="38">
        <v>5169000000</v>
      </c>
    </row>
    <row r="198" spans="1:17" x14ac:dyDescent="0.2">
      <c r="A198" t="s">
        <v>215</v>
      </c>
      <c r="B198">
        <v>1989</v>
      </c>
      <c r="C198" t="s">
        <v>216</v>
      </c>
      <c r="E198" t="s">
        <v>217</v>
      </c>
      <c r="F198" t="s">
        <v>218</v>
      </c>
      <c r="G198">
        <v>99</v>
      </c>
      <c r="O198" t="s">
        <v>229</v>
      </c>
      <c r="P198" t="s">
        <v>230</v>
      </c>
      <c r="Q198" s="38">
        <v>4449000000</v>
      </c>
    </row>
    <row r="199" spans="1:17" x14ac:dyDescent="0.2">
      <c r="A199" t="s">
        <v>215</v>
      </c>
      <c r="B199">
        <v>1988</v>
      </c>
      <c r="C199" t="s">
        <v>216</v>
      </c>
      <c r="E199" t="s">
        <v>217</v>
      </c>
      <c r="F199" t="s">
        <v>218</v>
      </c>
      <c r="G199">
        <v>99</v>
      </c>
      <c r="O199" t="s">
        <v>229</v>
      </c>
      <c r="P199" t="s">
        <v>230</v>
      </c>
      <c r="Q199" s="38">
        <v>4450000000</v>
      </c>
    </row>
    <row r="200" spans="1:17" x14ac:dyDescent="0.2">
      <c r="A200" t="s">
        <v>215</v>
      </c>
      <c r="B200">
        <v>1987</v>
      </c>
      <c r="C200" t="s">
        <v>216</v>
      </c>
      <c r="E200" t="s">
        <v>217</v>
      </c>
      <c r="F200" t="s">
        <v>218</v>
      </c>
      <c r="G200">
        <v>99</v>
      </c>
      <c r="O200" t="s">
        <v>229</v>
      </c>
      <c r="P200" t="s">
        <v>230</v>
      </c>
      <c r="Q200" s="38">
        <v>4351000000</v>
      </c>
    </row>
    <row r="201" spans="1:17" x14ac:dyDescent="0.2">
      <c r="A201" t="s">
        <v>215</v>
      </c>
      <c r="B201">
        <v>1986</v>
      </c>
      <c r="C201" t="s">
        <v>216</v>
      </c>
      <c r="E201" t="s">
        <v>217</v>
      </c>
      <c r="F201" t="s">
        <v>218</v>
      </c>
      <c r="G201">
        <v>99</v>
      </c>
      <c r="O201" t="s">
        <v>229</v>
      </c>
      <c r="P201" t="s">
        <v>230</v>
      </c>
      <c r="Q201" s="38">
        <v>4692000000</v>
      </c>
    </row>
    <row r="202" spans="1:17" x14ac:dyDescent="0.2">
      <c r="A202" t="s">
        <v>215</v>
      </c>
      <c r="B202">
        <v>1985</v>
      </c>
      <c r="C202" t="s">
        <v>216</v>
      </c>
      <c r="E202" t="s">
        <v>217</v>
      </c>
      <c r="F202" t="s">
        <v>218</v>
      </c>
      <c r="G202">
        <v>99</v>
      </c>
      <c r="O202" t="s">
        <v>229</v>
      </c>
      <c r="P202" t="s">
        <v>230</v>
      </c>
      <c r="Q202" s="38">
        <v>6449000000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R115"/>
  <sheetViews>
    <sheetView workbookViewId="0">
      <pane xSplit="1" ySplit="4" topLeftCell="B85" activePane="bottomRight" state="frozen"/>
      <selection pane="topRight" activeCell="B1" sqref="B1"/>
      <selection pane="bottomLeft" activeCell="A5" sqref="A5"/>
      <selection pane="bottomRight" activeCell="A100" sqref="A100"/>
    </sheetView>
  </sheetViews>
  <sheetFormatPr defaultRowHeight="12" x14ac:dyDescent="0.2"/>
  <cols>
    <col min="1" max="1" width="5.85546875" style="42" customWidth="1"/>
    <col min="2" max="3" width="6" style="42" bestFit="1" customWidth="1"/>
    <col min="4" max="4" width="5.42578125" style="42" customWidth="1"/>
    <col min="5" max="5" width="5.85546875" style="42" bestFit="1" customWidth="1"/>
    <col min="6" max="6" width="6.5703125" style="42" bestFit="1" customWidth="1"/>
    <col min="7" max="9" width="8" style="42" customWidth="1"/>
    <col min="10" max="10" width="6.7109375" style="42" customWidth="1"/>
    <col min="11" max="11" width="6.5703125" style="42" customWidth="1"/>
    <col min="12" max="13" width="5.5703125" style="42" bestFit="1" customWidth="1"/>
    <col min="14" max="14" width="8" style="42" customWidth="1"/>
    <col min="15" max="17" width="9.140625" style="42"/>
    <col min="18" max="18" width="8" style="42" customWidth="1"/>
    <col min="19" max="19" width="8.140625" style="42" customWidth="1"/>
    <col min="20" max="20" width="2" style="42" customWidth="1"/>
    <col min="21" max="21" width="8.140625" style="42" customWidth="1"/>
    <col min="22" max="22" width="3.42578125" style="42" customWidth="1"/>
    <col min="23" max="23" width="8.5703125" style="42" customWidth="1"/>
    <col min="24" max="24" width="8.28515625" style="42" bestFit="1" customWidth="1"/>
    <col min="25" max="25" width="7.5703125" style="42" bestFit="1" customWidth="1"/>
    <col min="26" max="26" width="7.7109375" style="42" bestFit="1" customWidth="1"/>
    <col min="27" max="27" width="8.28515625" style="42" bestFit="1" customWidth="1"/>
    <col min="28" max="28" width="7.7109375" style="42" bestFit="1" customWidth="1"/>
    <col min="29" max="29" width="2.7109375" style="42" customWidth="1"/>
    <col min="30" max="30" width="7" style="42" bestFit="1" customWidth="1"/>
    <col min="31" max="31" width="5.85546875" style="42" bestFit="1" customWidth="1"/>
    <col min="32" max="32" width="6" style="42" bestFit="1" customWidth="1"/>
    <col min="33" max="33" width="6.140625" style="42" bestFit="1" customWidth="1"/>
    <col min="34" max="34" width="7.5703125" style="42" bestFit="1" customWidth="1"/>
    <col min="35" max="39" width="8.28515625" style="42" bestFit="1" customWidth="1"/>
    <col min="40" max="40" width="1.42578125" style="42" customWidth="1"/>
    <col min="41" max="44" width="8.7109375" style="42" customWidth="1"/>
    <col min="45" max="45" width="8.42578125" style="42" customWidth="1"/>
    <col min="46" max="46" width="8.140625" style="42" customWidth="1"/>
    <col min="47" max="47" width="7.85546875" style="42" customWidth="1"/>
    <col min="48" max="48" width="10" style="42" bestFit="1" customWidth="1"/>
    <col min="49" max="49" width="10" style="42" customWidth="1"/>
    <col min="50" max="50" width="9.140625" style="42"/>
    <col min="51" max="52" width="5.5703125" style="42" bestFit="1" customWidth="1"/>
    <col min="53" max="53" width="6" style="42" bestFit="1" customWidth="1"/>
    <col min="54" max="55" width="6.28515625" style="42" customWidth="1"/>
    <col min="56" max="56" width="9.140625" style="42"/>
    <col min="57" max="57" width="11.5703125" style="42" bestFit="1" customWidth="1"/>
    <col min="58" max="95" width="5.42578125" style="42" bestFit="1" customWidth="1"/>
    <col min="96" max="256" width="9.140625" style="42"/>
    <col min="257" max="257" width="5.85546875" style="42" customWidth="1"/>
    <col min="258" max="259" width="6" style="42" bestFit="1" customWidth="1"/>
    <col min="260" max="260" width="5.42578125" style="42" customWidth="1"/>
    <col min="261" max="261" width="5.85546875" style="42" bestFit="1" customWidth="1"/>
    <col min="262" max="262" width="6.5703125" style="42" bestFit="1" customWidth="1"/>
    <col min="263" max="265" width="8" style="42" customWidth="1"/>
    <col min="266" max="266" width="6.7109375" style="42" customWidth="1"/>
    <col min="267" max="267" width="6.5703125" style="42" customWidth="1"/>
    <col min="268" max="269" width="5.5703125" style="42" bestFit="1" customWidth="1"/>
    <col min="270" max="270" width="8" style="42" customWidth="1"/>
    <col min="271" max="273" width="9.140625" style="42"/>
    <col min="274" max="274" width="8" style="42" customWidth="1"/>
    <col min="275" max="275" width="8.140625" style="42" customWidth="1"/>
    <col min="276" max="276" width="2" style="42" customWidth="1"/>
    <col min="277" max="277" width="8.140625" style="42" customWidth="1"/>
    <col min="278" max="278" width="3.42578125" style="42" customWidth="1"/>
    <col min="279" max="279" width="8.5703125" style="42" customWidth="1"/>
    <col min="280" max="280" width="8.28515625" style="42" bestFit="1" customWidth="1"/>
    <col min="281" max="281" width="7.5703125" style="42" bestFit="1" customWidth="1"/>
    <col min="282" max="282" width="7.7109375" style="42" bestFit="1" customWidth="1"/>
    <col min="283" max="283" width="8.28515625" style="42" bestFit="1" customWidth="1"/>
    <col min="284" max="284" width="7.7109375" style="42" bestFit="1" customWidth="1"/>
    <col min="285" max="285" width="2.7109375" style="42" customWidth="1"/>
    <col min="286" max="286" width="7" style="42" bestFit="1" customWidth="1"/>
    <col min="287" max="287" width="5.85546875" style="42" bestFit="1" customWidth="1"/>
    <col min="288" max="288" width="6" style="42" bestFit="1" customWidth="1"/>
    <col min="289" max="289" width="6.140625" style="42" bestFit="1" customWidth="1"/>
    <col min="290" max="290" width="7.5703125" style="42" bestFit="1" customWidth="1"/>
    <col min="291" max="295" width="8.28515625" style="42" bestFit="1" customWidth="1"/>
    <col min="296" max="296" width="1.42578125" style="42" customWidth="1"/>
    <col min="297" max="300" width="8.7109375" style="42" customWidth="1"/>
    <col min="301" max="301" width="8.42578125" style="42" customWidth="1"/>
    <col min="302" max="302" width="8.140625" style="42" customWidth="1"/>
    <col min="303" max="303" width="7.85546875" style="42" customWidth="1"/>
    <col min="304" max="304" width="10" style="42" bestFit="1" customWidth="1"/>
    <col min="305" max="305" width="10" style="42" customWidth="1"/>
    <col min="306" max="306" width="9.140625" style="42"/>
    <col min="307" max="308" width="5.5703125" style="42" bestFit="1" customWidth="1"/>
    <col min="309" max="309" width="6" style="42" bestFit="1" customWidth="1"/>
    <col min="310" max="311" width="6.28515625" style="42" customWidth="1"/>
    <col min="312" max="312" width="9.140625" style="42"/>
    <col min="313" max="313" width="11.5703125" style="42" bestFit="1" customWidth="1"/>
    <col min="314" max="351" width="5.42578125" style="42" bestFit="1" customWidth="1"/>
    <col min="352" max="512" width="9.140625" style="42"/>
    <col min="513" max="513" width="5.85546875" style="42" customWidth="1"/>
    <col min="514" max="515" width="6" style="42" bestFit="1" customWidth="1"/>
    <col min="516" max="516" width="5.42578125" style="42" customWidth="1"/>
    <col min="517" max="517" width="5.85546875" style="42" bestFit="1" customWidth="1"/>
    <col min="518" max="518" width="6.5703125" style="42" bestFit="1" customWidth="1"/>
    <col min="519" max="521" width="8" style="42" customWidth="1"/>
    <col min="522" max="522" width="6.7109375" style="42" customWidth="1"/>
    <col min="523" max="523" width="6.5703125" style="42" customWidth="1"/>
    <col min="524" max="525" width="5.5703125" style="42" bestFit="1" customWidth="1"/>
    <col min="526" max="526" width="8" style="42" customWidth="1"/>
    <col min="527" max="529" width="9.140625" style="42"/>
    <col min="530" max="530" width="8" style="42" customWidth="1"/>
    <col min="531" max="531" width="8.140625" style="42" customWidth="1"/>
    <col min="532" max="532" width="2" style="42" customWidth="1"/>
    <col min="533" max="533" width="8.140625" style="42" customWidth="1"/>
    <col min="534" max="534" width="3.42578125" style="42" customWidth="1"/>
    <col min="535" max="535" width="8.5703125" style="42" customWidth="1"/>
    <col min="536" max="536" width="8.28515625" style="42" bestFit="1" customWidth="1"/>
    <col min="537" max="537" width="7.5703125" style="42" bestFit="1" customWidth="1"/>
    <col min="538" max="538" width="7.7109375" style="42" bestFit="1" customWidth="1"/>
    <col min="539" max="539" width="8.28515625" style="42" bestFit="1" customWidth="1"/>
    <col min="540" max="540" width="7.7109375" style="42" bestFit="1" customWidth="1"/>
    <col min="541" max="541" width="2.7109375" style="42" customWidth="1"/>
    <col min="542" max="542" width="7" style="42" bestFit="1" customWidth="1"/>
    <col min="543" max="543" width="5.85546875" style="42" bestFit="1" customWidth="1"/>
    <col min="544" max="544" width="6" style="42" bestFit="1" customWidth="1"/>
    <col min="545" max="545" width="6.140625" style="42" bestFit="1" customWidth="1"/>
    <col min="546" max="546" width="7.5703125" style="42" bestFit="1" customWidth="1"/>
    <col min="547" max="551" width="8.28515625" style="42" bestFit="1" customWidth="1"/>
    <col min="552" max="552" width="1.42578125" style="42" customWidth="1"/>
    <col min="553" max="556" width="8.7109375" style="42" customWidth="1"/>
    <col min="557" max="557" width="8.42578125" style="42" customWidth="1"/>
    <col min="558" max="558" width="8.140625" style="42" customWidth="1"/>
    <col min="559" max="559" width="7.85546875" style="42" customWidth="1"/>
    <col min="560" max="560" width="10" style="42" bestFit="1" customWidth="1"/>
    <col min="561" max="561" width="10" style="42" customWidth="1"/>
    <col min="562" max="562" width="9.140625" style="42"/>
    <col min="563" max="564" width="5.5703125" style="42" bestFit="1" customWidth="1"/>
    <col min="565" max="565" width="6" style="42" bestFit="1" customWidth="1"/>
    <col min="566" max="567" width="6.28515625" style="42" customWidth="1"/>
    <col min="568" max="568" width="9.140625" style="42"/>
    <col min="569" max="569" width="11.5703125" style="42" bestFit="1" customWidth="1"/>
    <col min="570" max="607" width="5.42578125" style="42" bestFit="1" customWidth="1"/>
    <col min="608" max="768" width="9.140625" style="42"/>
    <col min="769" max="769" width="5.85546875" style="42" customWidth="1"/>
    <col min="770" max="771" width="6" style="42" bestFit="1" customWidth="1"/>
    <col min="772" max="772" width="5.42578125" style="42" customWidth="1"/>
    <col min="773" max="773" width="5.85546875" style="42" bestFit="1" customWidth="1"/>
    <col min="774" max="774" width="6.5703125" style="42" bestFit="1" customWidth="1"/>
    <col min="775" max="777" width="8" style="42" customWidth="1"/>
    <col min="778" max="778" width="6.7109375" style="42" customWidth="1"/>
    <col min="779" max="779" width="6.5703125" style="42" customWidth="1"/>
    <col min="780" max="781" width="5.5703125" style="42" bestFit="1" customWidth="1"/>
    <col min="782" max="782" width="8" style="42" customWidth="1"/>
    <col min="783" max="785" width="9.140625" style="42"/>
    <col min="786" max="786" width="8" style="42" customWidth="1"/>
    <col min="787" max="787" width="8.140625" style="42" customWidth="1"/>
    <col min="788" max="788" width="2" style="42" customWidth="1"/>
    <col min="789" max="789" width="8.140625" style="42" customWidth="1"/>
    <col min="790" max="790" width="3.42578125" style="42" customWidth="1"/>
    <col min="791" max="791" width="8.5703125" style="42" customWidth="1"/>
    <col min="792" max="792" width="8.28515625" style="42" bestFit="1" customWidth="1"/>
    <col min="793" max="793" width="7.5703125" style="42" bestFit="1" customWidth="1"/>
    <col min="794" max="794" width="7.7109375" style="42" bestFit="1" customWidth="1"/>
    <col min="795" max="795" width="8.28515625" style="42" bestFit="1" customWidth="1"/>
    <col min="796" max="796" width="7.7109375" style="42" bestFit="1" customWidth="1"/>
    <col min="797" max="797" width="2.7109375" style="42" customWidth="1"/>
    <col min="798" max="798" width="7" style="42" bestFit="1" customWidth="1"/>
    <col min="799" max="799" width="5.85546875" style="42" bestFit="1" customWidth="1"/>
    <col min="800" max="800" width="6" style="42" bestFit="1" customWidth="1"/>
    <col min="801" max="801" width="6.140625" style="42" bestFit="1" customWidth="1"/>
    <col min="802" max="802" width="7.5703125" style="42" bestFit="1" customWidth="1"/>
    <col min="803" max="807" width="8.28515625" style="42" bestFit="1" customWidth="1"/>
    <col min="808" max="808" width="1.42578125" style="42" customWidth="1"/>
    <col min="809" max="812" width="8.7109375" style="42" customWidth="1"/>
    <col min="813" max="813" width="8.42578125" style="42" customWidth="1"/>
    <col min="814" max="814" width="8.140625" style="42" customWidth="1"/>
    <col min="815" max="815" width="7.85546875" style="42" customWidth="1"/>
    <col min="816" max="816" width="10" style="42" bestFit="1" customWidth="1"/>
    <col min="817" max="817" width="10" style="42" customWidth="1"/>
    <col min="818" max="818" width="9.140625" style="42"/>
    <col min="819" max="820" width="5.5703125" style="42" bestFit="1" customWidth="1"/>
    <col min="821" max="821" width="6" style="42" bestFit="1" customWidth="1"/>
    <col min="822" max="823" width="6.28515625" style="42" customWidth="1"/>
    <col min="824" max="824" width="9.140625" style="42"/>
    <col min="825" max="825" width="11.5703125" style="42" bestFit="1" customWidth="1"/>
    <col min="826" max="863" width="5.42578125" style="42" bestFit="1" customWidth="1"/>
    <col min="864" max="1024" width="9.140625" style="42"/>
    <col min="1025" max="1025" width="5.85546875" style="42" customWidth="1"/>
    <col min="1026" max="1027" width="6" style="42" bestFit="1" customWidth="1"/>
    <col min="1028" max="1028" width="5.42578125" style="42" customWidth="1"/>
    <col min="1029" max="1029" width="5.85546875" style="42" bestFit="1" customWidth="1"/>
    <col min="1030" max="1030" width="6.5703125" style="42" bestFit="1" customWidth="1"/>
    <col min="1031" max="1033" width="8" style="42" customWidth="1"/>
    <col min="1034" max="1034" width="6.7109375" style="42" customWidth="1"/>
    <col min="1035" max="1035" width="6.5703125" style="42" customWidth="1"/>
    <col min="1036" max="1037" width="5.5703125" style="42" bestFit="1" customWidth="1"/>
    <col min="1038" max="1038" width="8" style="42" customWidth="1"/>
    <col min="1039" max="1041" width="9.140625" style="42"/>
    <col min="1042" max="1042" width="8" style="42" customWidth="1"/>
    <col min="1043" max="1043" width="8.140625" style="42" customWidth="1"/>
    <col min="1044" max="1044" width="2" style="42" customWidth="1"/>
    <col min="1045" max="1045" width="8.140625" style="42" customWidth="1"/>
    <col min="1046" max="1046" width="3.42578125" style="42" customWidth="1"/>
    <col min="1047" max="1047" width="8.5703125" style="42" customWidth="1"/>
    <col min="1048" max="1048" width="8.28515625" style="42" bestFit="1" customWidth="1"/>
    <col min="1049" max="1049" width="7.5703125" style="42" bestFit="1" customWidth="1"/>
    <col min="1050" max="1050" width="7.7109375" style="42" bestFit="1" customWidth="1"/>
    <col min="1051" max="1051" width="8.28515625" style="42" bestFit="1" customWidth="1"/>
    <col min="1052" max="1052" width="7.7109375" style="42" bestFit="1" customWidth="1"/>
    <col min="1053" max="1053" width="2.7109375" style="42" customWidth="1"/>
    <col min="1054" max="1054" width="7" style="42" bestFit="1" customWidth="1"/>
    <col min="1055" max="1055" width="5.85546875" style="42" bestFit="1" customWidth="1"/>
    <col min="1056" max="1056" width="6" style="42" bestFit="1" customWidth="1"/>
    <col min="1057" max="1057" width="6.140625" style="42" bestFit="1" customWidth="1"/>
    <col min="1058" max="1058" width="7.5703125" style="42" bestFit="1" customWidth="1"/>
    <col min="1059" max="1063" width="8.28515625" style="42" bestFit="1" customWidth="1"/>
    <col min="1064" max="1064" width="1.42578125" style="42" customWidth="1"/>
    <col min="1065" max="1068" width="8.7109375" style="42" customWidth="1"/>
    <col min="1069" max="1069" width="8.42578125" style="42" customWidth="1"/>
    <col min="1070" max="1070" width="8.140625" style="42" customWidth="1"/>
    <col min="1071" max="1071" width="7.85546875" style="42" customWidth="1"/>
    <col min="1072" max="1072" width="10" style="42" bestFit="1" customWidth="1"/>
    <col min="1073" max="1073" width="10" style="42" customWidth="1"/>
    <col min="1074" max="1074" width="9.140625" style="42"/>
    <col min="1075" max="1076" width="5.5703125" style="42" bestFit="1" customWidth="1"/>
    <col min="1077" max="1077" width="6" style="42" bestFit="1" customWidth="1"/>
    <col min="1078" max="1079" width="6.28515625" style="42" customWidth="1"/>
    <col min="1080" max="1080" width="9.140625" style="42"/>
    <col min="1081" max="1081" width="11.5703125" style="42" bestFit="1" customWidth="1"/>
    <col min="1082" max="1119" width="5.42578125" style="42" bestFit="1" customWidth="1"/>
    <col min="1120" max="1280" width="9.140625" style="42"/>
    <col min="1281" max="1281" width="5.85546875" style="42" customWidth="1"/>
    <col min="1282" max="1283" width="6" style="42" bestFit="1" customWidth="1"/>
    <col min="1284" max="1284" width="5.42578125" style="42" customWidth="1"/>
    <col min="1285" max="1285" width="5.85546875" style="42" bestFit="1" customWidth="1"/>
    <col min="1286" max="1286" width="6.5703125" style="42" bestFit="1" customWidth="1"/>
    <col min="1287" max="1289" width="8" style="42" customWidth="1"/>
    <col min="1290" max="1290" width="6.7109375" style="42" customWidth="1"/>
    <col min="1291" max="1291" width="6.5703125" style="42" customWidth="1"/>
    <col min="1292" max="1293" width="5.5703125" style="42" bestFit="1" customWidth="1"/>
    <col min="1294" max="1294" width="8" style="42" customWidth="1"/>
    <col min="1295" max="1297" width="9.140625" style="42"/>
    <col min="1298" max="1298" width="8" style="42" customWidth="1"/>
    <col min="1299" max="1299" width="8.140625" style="42" customWidth="1"/>
    <col min="1300" max="1300" width="2" style="42" customWidth="1"/>
    <col min="1301" max="1301" width="8.140625" style="42" customWidth="1"/>
    <col min="1302" max="1302" width="3.42578125" style="42" customWidth="1"/>
    <col min="1303" max="1303" width="8.5703125" style="42" customWidth="1"/>
    <col min="1304" max="1304" width="8.28515625" style="42" bestFit="1" customWidth="1"/>
    <col min="1305" max="1305" width="7.5703125" style="42" bestFit="1" customWidth="1"/>
    <col min="1306" max="1306" width="7.7109375" style="42" bestFit="1" customWidth="1"/>
    <col min="1307" max="1307" width="8.28515625" style="42" bestFit="1" customWidth="1"/>
    <col min="1308" max="1308" width="7.7109375" style="42" bestFit="1" customWidth="1"/>
    <col min="1309" max="1309" width="2.7109375" style="42" customWidth="1"/>
    <col min="1310" max="1310" width="7" style="42" bestFit="1" customWidth="1"/>
    <col min="1311" max="1311" width="5.85546875" style="42" bestFit="1" customWidth="1"/>
    <col min="1312" max="1312" width="6" style="42" bestFit="1" customWidth="1"/>
    <col min="1313" max="1313" width="6.140625" style="42" bestFit="1" customWidth="1"/>
    <col min="1314" max="1314" width="7.5703125" style="42" bestFit="1" customWidth="1"/>
    <col min="1315" max="1319" width="8.28515625" style="42" bestFit="1" customWidth="1"/>
    <col min="1320" max="1320" width="1.42578125" style="42" customWidth="1"/>
    <col min="1321" max="1324" width="8.7109375" style="42" customWidth="1"/>
    <col min="1325" max="1325" width="8.42578125" style="42" customWidth="1"/>
    <col min="1326" max="1326" width="8.140625" style="42" customWidth="1"/>
    <col min="1327" max="1327" width="7.85546875" style="42" customWidth="1"/>
    <col min="1328" max="1328" width="10" style="42" bestFit="1" customWidth="1"/>
    <col min="1329" max="1329" width="10" style="42" customWidth="1"/>
    <col min="1330" max="1330" width="9.140625" style="42"/>
    <col min="1331" max="1332" width="5.5703125" style="42" bestFit="1" customWidth="1"/>
    <col min="1333" max="1333" width="6" style="42" bestFit="1" customWidth="1"/>
    <col min="1334" max="1335" width="6.28515625" style="42" customWidth="1"/>
    <col min="1336" max="1336" width="9.140625" style="42"/>
    <col min="1337" max="1337" width="11.5703125" style="42" bestFit="1" customWidth="1"/>
    <col min="1338" max="1375" width="5.42578125" style="42" bestFit="1" customWidth="1"/>
    <col min="1376" max="1536" width="9.140625" style="42"/>
    <col min="1537" max="1537" width="5.85546875" style="42" customWidth="1"/>
    <col min="1538" max="1539" width="6" style="42" bestFit="1" customWidth="1"/>
    <col min="1540" max="1540" width="5.42578125" style="42" customWidth="1"/>
    <col min="1541" max="1541" width="5.85546875" style="42" bestFit="1" customWidth="1"/>
    <col min="1542" max="1542" width="6.5703125" style="42" bestFit="1" customWidth="1"/>
    <col min="1543" max="1545" width="8" style="42" customWidth="1"/>
    <col min="1546" max="1546" width="6.7109375" style="42" customWidth="1"/>
    <col min="1547" max="1547" width="6.5703125" style="42" customWidth="1"/>
    <col min="1548" max="1549" width="5.5703125" style="42" bestFit="1" customWidth="1"/>
    <col min="1550" max="1550" width="8" style="42" customWidth="1"/>
    <col min="1551" max="1553" width="9.140625" style="42"/>
    <col min="1554" max="1554" width="8" style="42" customWidth="1"/>
    <col min="1555" max="1555" width="8.140625" style="42" customWidth="1"/>
    <col min="1556" max="1556" width="2" style="42" customWidth="1"/>
    <col min="1557" max="1557" width="8.140625" style="42" customWidth="1"/>
    <col min="1558" max="1558" width="3.42578125" style="42" customWidth="1"/>
    <col min="1559" max="1559" width="8.5703125" style="42" customWidth="1"/>
    <col min="1560" max="1560" width="8.28515625" style="42" bestFit="1" customWidth="1"/>
    <col min="1561" max="1561" width="7.5703125" style="42" bestFit="1" customWidth="1"/>
    <col min="1562" max="1562" width="7.7109375" style="42" bestFit="1" customWidth="1"/>
    <col min="1563" max="1563" width="8.28515625" style="42" bestFit="1" customWidth="1"/>
    <col min="1564" max="1564" width="7.7109375" style="42" bestFit="1" customWidth="1"/>
    <col min="1565" max="1565" width="2.7109375" style="42" customWidth="1"/>
    <col min="1566" max="1566" width="7" style="42" bestFit="1" customWidth="1"/>
    <col min="1567" max="1567" width="5.85546875" style="42" bestFit="1" customWidth="1"/>
    <col min="1568" max="1568" width="6" style="42" bestFit="1" customWidth="1"/>
    <col min="1569" max="1569" width="6.140625" style="42" bestFit="1" customWidth="1"/>
    <col min="1570" max="1570" width="7.5703125" style="42" bestFit="1" customWidth="1"/>
    <col min="1571" max="1575" width="8.28515625" style="42" bestFit="1" customWidth="1"/>
    <col min="1576" max="1576" width="1.42578125" style="42" customWidth="1"/>
    <col min="1577" max="1580" width="8.7109375" style="42" customWidth="1"/>
    <col min="1581" max="1581" width="8.42578125" style="42" customWidth="1"/>
    <col min="1582" max="1582" width="8.140625" style="42" customWidth="1"/>
    <col min="1583" max="1583" width="7.85546875" style="42" customWidth="1"/>
    <col min="1584" max="1584" width="10" style="42" bestFit="1" customWidth="1"/>
    <col min="1585" max="1585" width="10" style="42" customWidth="1"/>
    <col min="1586" max="1586" width="9.140625" style="42"/>
    <col min="1587" max="1588" width="5.5703125" style="42" bestFit="1" customWidth="1"/>
    <col min="1589" max="1589" width="6" style="42" bestFit="1" customWidth="1"/>
    <col min="1590" max="1591" width="6.28515625" style="42" customWidth="1"/>
    <col min="1592" max="1592" width="9.140625" style="42"/>
    <col min="1593" max="1593" width="11.5703125" style="42" bestFit="1" customWidth="1"/>
    <col min="1594" max="1631" width="5.42578125" style="42" bestFit="1" customWidth="1"/>
    <col min="1632" max="1792" width="9.140625" style="42"/>
    <col min="1793" max="1793" width="5.85546875" style="42" customWidth="1"/>
    <col min="1794" max="1795" width="6" style="42" bestFit="1" customWidth="1"/>
    <col min="1796" max="1796" width="5.42578125" style="42" customWidth="1"/>
    <col min="1797" max="1797" width="5.85546875" style="42" bestFit="1" customWidth="1"/>
    <col min="1798" max="1798" width="6.5703125" style="42" bestFit="1" customWidth="1"/>
    <col min="1799" max="1801" width="8" style="42" customWidth="1"/>
    <col min="1802" max="1802" width="6.7109375" style="42" customWidth="1"/>
    <col min="1803" max="1803" width="6.5703125" style="42" customWidth="1"/>
    <col min="1804" max="1805" width="5.5703125" style="42" bestFit="1" customWidth="1"/>
    <col min="1806" max="1806" width="8" style="42" customWidth="1"/>
    <col min="1807" max="1809" width="9.140625" style="42"/>
    <col min="1810" max="1810" width="8" style="42" customWidth="1"/>
    <col min="1811" max="1811" width="8.140625" style="42" customWidth="1"/>
    <col min="1812" max="1812" width="2" style="42" customWidth="1"/>
    <col min="1813" max="1813" width="8.140625" style="42" customWidth="1"/>
    <col min="1814" max="1814" width="3.42578125" style="42" customWidth="1"/>
    <col min="1815" max="1815" width="8.5703125" style="42" customWidth="1"/>
    <col min="1816" max="1816" width="8.28515625" style="42" bestFit="1" customWidth="1"/>
    <col min="1817" max="1817" width="7.5703125" style="42" bestFit="1" customWidth="1"/>
    <col min="1818" max="1818" width="7.7109375" style="42" bestFit="1" customWidth="1"/>
    <col min="1819" max="1819" width="8.28515625" style="42" bestFit="1" customWidth="1"/>
    <col min="1820" max="1820" width="7.7109375" style="42" bestFit="1" customWidth="1"/>
    <col min="1821" max="1821" width="2.7109375" style="42" customWidth="1"/>
    <col min="1822" max="1822" width="7" style="42" bestFit="1" customWidth="1"/>
    <col min="1823" max="1823" width="5.85546875" style="42" bestFit="1" customWidth="1"/>
    <col min="1824" max="1824" width="6" style="42" bestFit="1" customWidth="1"/>
    <col min="1825" max="1825" width="6.140625" style="42" bestFit="1" customWidth="1"/>
    <col min="1826" max="1826" width="7.5703125" style="42" bestFit="1" customWidth="1"/>
    <col min="1827" max="1831" width="8.28515625" style="42" bestFit="1" customWidth="1"/>
    <col min="1832" max="1832" width="1.42578125" style="42" customWidth="1"/>
    <col min="1833" max="1836" width="8.7109375" style="42" customWidth="1"/>
    <col min="1837" max="1837" width="8.42578125" style="42" customWidth="1"/>
    <col min="1838" max="1838" width="8.140625" style="42" customWidth="1"/>
    <col min="1839" max="1839" width="7.85546875" style="42" customWidth="1"/>
    <col min="1840" max="1840" width="10" style="42" bestFit="1" customWidth="1"/>
    <col min="1841" max="1841" width="10" style="42" customWidth="1"/>
    <col min="1842" max="1842" width="9.140625" style="42"/>
    <col min="1843" max="1844" width="5.5703125" style="42" bestFit="1" customWidth="1"/>
    <col min="1845" max="1845" width="6" style="42" bestFit="1" customWidth="1"/>
    <col min="1846" max="1847" width="6.28515625" style="42" customWidth="1"/>
    <col min="1848" max="1848" width="9.140625" style="42"/>
    <col min="1849" max="1849" width="11.5703125" style="42" bestFit="1" customWidth="1"/>
    <col min="1850" max="1887" width="5.42578125" style="42" bestFit="1" customWidth="1"/>
    <col min="1888" max="2048" width="9.140625" style="42"/>
    <col min="2049" max="2049" width="5.85546875" style="42" customWidth="1"/>
    <col min="2050" max="2051" width="6" style="42" bestFit="1" customWidth="1"/>
    <col min="2052" max="2052" width="5.42578125" style="42" customWidth="1"/>
    <col min="2053" max="2053" width="5.85546875" style="42" bestFit="1" customWidth="1"/>
    <col min="2054" max="2054" width="6.5703125" style="42" bestFit="1" customWidth="1"/>
    <col min="2055" max="2057" width="8" style="42" customWidth="1"/>
    <col min="2058" max="2058" width="6.7109375" style="42" customWidth="1"/>
    <col min="2059" max="2059" width="6.5703125" style="42" customWidth="1"/>
    <col min="2060" max="2061" width="5.5703125" style="42" bestFit="1" customWidth="1"/>
    <col min="2062" max="2062" width="8" style="42" customWidth="1"/>
    <col min="2063" max="2065" width="9.140625" style="42"/>
    <col min="2066" max="2066" width="8" style="42" customWidth="1"/>
    <col min="2067" max="2067" width="8.140625" style="42" customWidth="1"/>
    <col min="2068" max="2068" width="2" style="42" customWidth="1"/>
    <col min="2069" max="2069" width="8.140625" style="42" customWidth="1"/>
    <col min="2070" max="2070" width="3.42578125" style="42" customWidth="1"/>
    <col min="2071" max="2071" width="8.5703125" style="42" customWidth="1"/>
    <col min="2072" max="2072" width="8.28515625" style="42" bestFit="1" customWidth="1"/>
    <col min="2073" max="2073" width="7.5703125" style="42" bestFit="1" customWidth="1"/>
    <col min="2074" max="2074" width="7.7109375" style="42" bestFit="1" customWidth="1"/>
    <col min="2075" max="2075" width="8.28515625" style="42" bestFit="1" customWidth="1"/>
    <col min="2076" max="2076" width="7.7109375" style="42" bestFit="1" customWidth="1"/>
    <col min="2077" max="2077" width="2.7109375" style="42" customWidth="1"/>
    <col min="2078" max="2078" width="7" style="42" bestFit="1" customWidth="1"/>
    <col min="2079" max="2079" width="5.85546875" style="42" bestFit="1" customWidth="1"/>
    <col min="2080" max="2080" width="6" style="42" bestFit="1" customWidth="1"/>
    <col min="2081" max="2081" width="6.140625" style="42" bestFit="1" customWidth="1"/>
    <col min="2082" max="2082" width="7.5703125" style="42" bestFit="1" customWidth="1"/>
    <col min="2083" max="2087" width="8.28515625" style="42" bestFit="1" customWidth="1"/>
    <col min="2088" max="2088" width="1.42578125" style="42" customWidth="1"/>
    <col min="2089" max="2092" width="8.7109375" style="42" customWidth="1"/>
    <col min="2093" max="2093" width="8.42578125" style="42" customWidth="1"/>
    <col min="2094" max="2094" width="8.140625" style="42" customWidth="1"/>
    <col min="2095" max="2095" width="7.85546875" style="42" customWidth="1"/>
    <col min="2096" max="2096" width="10" style="42" bestFit="1" customWidth="1"/>
    <col min="2097" max="2097" width="10" style="42" customWidth="1"/>
    <col min="2098" max="2098" width="9.140625" style="42"/>
    <col min="2099" max="2100" width="5.5703125" style="42" bestFit="1" customWidth="1"/>
    <col min="2101" max="2101" width="6" style="42" bestFit="1" customWidth="1"/>
    <col min="2102" max="2103" width="6.28515625" style="42" customWidth="1"/>
    <col min="2104" max="2104" width="9.140625" style="42"/>
    <col min="2105" max="2105" width="11.5703125" style="42" bestFit="1" customWidth="1"/>
    <col min="2106" max="2143" width="5.42578125" style="42" bestFit="1" customWidth="1"/>
    <col min="2144" max="2304" width="9.140625" style="42"/>
    <col min="2305" max="2305" width="5.85546875" style="42" customWidth="1"/>
    <col min="2306" max="2307" width="6" style="42" bestFit="1" customWidth="1"/>
    <col min="2308" max="2308" width="5.42578125" style="42" customWidth="1"/>
    <col min="2309" max="2309" width="5.85546875" style="42" bestFit="1" customWidth="1"/>
    <col min="2310" max="2310" width="6.5703125" style="42" bestFit="1" customWidth="1"/>
    <col min="2311" max="2313" width="8" style="42" customWidth="1"/>
    <col min="2314" max="2314" width="6.7109375" style="42" customWidth="1"/>
    <col min="2315" max="2315" width="6.5703125" style="42" customWidth="1"/>
    <col min="2316" max="2317" width="5.5703125" style="42" bestFit="1" customWidth="1"/>
    <col min="2318" max="2318" width="8" style="42" customWidth="1"/>
    <col min="2319" max="2321" width="9.140625" style="42"/>
    <col min="2322" max="2322" width="8" style="42" customWidth="1"/>
    <col min="2323" max="2323" width="8.140625" style="42" customWidth="1"/>
    <col min="2324" max="2324" width="2" style="42" customWidth="1"/>
    <col min="2325" max="2325" width="8.140625" style="42" customWidth="1"/>
    <col min="2326" max="2326" width="3.42578125" style="42" customWidth="1"/>
    <col min="2327" max="2327" width="8.5703125" style="42" customWidth="1"/>
    <col min="2328" max="2328" width="8.28515625" style="42" bestFit="1" customWidth="1"/>
    <col min="2329" max="2329" width="7.5703125" style="42" bestFit="1" customWidth="1"/>
    <col min="2330" max="2330" width="7.7109375" style="42" bestFit="1" customWidth="1"/>
    <col min="2331" max="2331" width="8.28515625" style="42" bestFit="1" customWidth="1"/>
    <col min="2332" max="2332" width="7.7109375" style="42" bestFit="1" customWidth="1"/>
    <col min="2333" max="2333" width="2.7109375" style="42" customWidth="1"/>
    <col min="2334" max="2334" width="7" style="42" bestFit="1" customWidth="1"/>
    <col min="2335" max="2335" width="5.85546875" style="42" bestFit="1" customWidth="1"/>
    <col min="2336" max="2336" width="6" style="42" bestFit="1" customWidth="1"/>
    <col min="2337" max="2337" width="6.140625" style="42" bestFit="1" customWidth="1"/>
    <col min="2338" max="2338" width="7.5703125" style="42" bestFit="1" customWidth="1"/>
    <col min="2339" max="2343" width="8.28515625" style="42" bestFit="1" customWidth="1"/>
    <col min="2344" max="2344" width="1.42578125" style="42" customWidth="1"/>
    <col min="2345" max="2348" width="8.7109375" style="42" customWidth="1"/>
    <col min="2349" max="2349" width="8.42578125" style="42" customWidth="1"/>
    <col min="2350" max="2350" width="8.140625" style="42" customWidth="1"/>
    <col min="2351" max="2351" width="7.85546875" style="42" customWidth="1"/>
    <col min="2352" max="2352" width="10" style="42" bestFit="1" customWidth="1"/>
    <col min="2353" max="2353" width="10" style="42" customWidth="1"/>
    <col min="2354" max="2354" width="9.140625" style="42"/>
    <col min="2355" max="2356" width="5.5703125" style="42" bestFit="1" customWidth="1"/>
    <col min="2357" max="2357" width="6" style="42" bestFit="1" customWidth="1"/>
    <col min="2358" max="2359" width="6.28515625" style="42" customWidth="1"/>
    <col min="2360" max="2360" width="9.140625" style="42"/>
    <col min="2361" max="2361" width="11.5703125" style="42" bestFit="1" customWidth="1"/>
    <col min="2362" max="2399" width="5.42578125" style="42" bestFit="1" customWidth="1"/>
    <col min="2400" max="2560" width="9.140625" style="42"/>
    <col min="2561" max="2561" width="5.85546875" style="42" customWidth="1"/>
    <col min="2562" max="2563" width="6" style="42" bestFit="1" customWidth="1"/>
    <col min="2564" max="2564" width="5.42578125" style="42" customWidth="1"/>
    <col min="2565" max="2565" width="5.85546875" style="42" bestFit="1" customWidth="1"/>
    <col min="2566" max="2566" width="6.5703125" style="42" bestFit="1" customWidth="1"/>
    <col min="2567" max="2569" width="8" style="42" customWidth="1"/>
    <col min="2570" max="2570" width="6.7109375" style="42" customWidth="1"/>
    <col min="2571" max="2571" width="6.5703125" style="42" customWidth="1"/>
    <col min="2572" max="2573" width="5.5703125" style="42" bestFit="1" customWidth="1"/>
    <col min="2574" max="2574" width="8" style="42" customWidth="1"/>
    <col min="2575" max="2577" width="9.140625" style="42"/>
    <col min="2578" max="2578" width="8" style="42" customWidth="1"/>
    <col min="2579" max="2579" width="8.140625" style="42" customWidth="1"/>
    <col min="2580" max="2580" width="2" style="42" customWidth="1"/>
    <col min="2581" max="2581" width="8.140625" style="42" customWidth="1"/>
    <col min="2582" max="2582" width="3.42578125" style="42" customWidth="1"/>
    <col min="2583" max="2583" width="8.5703125" style="42" customWidth="1"/>
    <col min="2584" max="2584" width="8.28515625" style="42" bestFit="1" customWidth="1"/>
    <col min="2585" max="2585" width="7.5703125" style="42" bestFit="1" customWidth="1"/>
    <col min="2586" max="2586" width="7.7109375" style="42" bestFit="1" customWidth="1"/>
    <col min="2587" max="2587" width="8.28515625" style="42" bestFit="1" customWidth="1"/>
    <col min="2588" max="2588" width="7.7109375" style="42" bestFit="1" customWidth="1"/>
    <col min="2589" max="2589" width="2.7109375" style="42" customWidth="1"/>
    <col min="2590" max="2590" width="7" style="42" bestFit="1" customWidth="1"/>
    <col min="2591" max="2591" width="5.85546875" style="42" bestFit="1" customWidth="1"/>
    <col min="2592" max="2592" width="6" style="42" bestFit="1" customWidth="1"/>
    <col min="2593" max="2593" width="6.140625" style="42" bestFit="1" customWidth="1"/>
    <col min="2594" max="2594" width="7.5703125" style="42" bestFit="1" customWidth="1"/>
    <col min="2595" max="2599" width="8.28515625" style="42" bestFit="1" customWidth="1"/>
    <col min="2600" max="2600" width="1.42578125" style="42" customWidth="1"/>
    <col min="2601" max="2604" width="8.7109375" style="42" customWidth="1"/>
    <col min="2605" max="2605" width="8.42578125" style="42" customWidth="1"/>
    <col min="2606" max="2606" width="8.140625" style="42" customWidth="1"/>
    <col min="2607" max="2607" width="7.85546875" style="42" customWidth="1"/>
    <col min="2608" max="2608" width="10" style="42" bestFit="1" customWidth="1"/>
    <col min="2609" max="2609" width="10" style="42" customWidth="1"/>
    <col min="2610" max="2610" width="9.140625" style="42"/>
    <col min="2611" max="2612" width="5.5703125" style="42" bestFit="1" customWidth="1"/>
    <col min="2613" max="2613" width="6" style="42" bestFit="1" customWidth="1"/>
    <col min="2614" max="2615" width="6.28515625" style="42" customWidth="1"/>
    <col min="2616" max="2616" width="9.140625" style="42"/>
    <col min="2617" max="2617" width="11.5703125" style="42" bestFit="1" customWidth="1"/>
    <col min="2618" max="2655" width="5.42578125" style="42" bestFit="1" customWidth="1"/>
    <col min="2656" max="2816" width="9.140625" style="42"/>
    <col min="2817" max="2817" width="5.85546875" style="42" customWidth="1"/>
    <col min="2818" max="2819" width="6" style="42" bestFit="1" customWidth="1"/>
    <col min="2820" max="2820" width="5.42578125" style="42" customWidth="1"/>
    <col min="2821" max="2821" width="5.85546875" style="42" bestFit="1" customWidth="1"/>
    <col min="2822" max="2822" width="6.5703125" style="42" bestFit="1" customWidth="1"/>
    <col min="2823" max="2825" width="8" style="42" customWidth="1"/>
    <col min="2826" max="2826" width="6.7109375" style="42" customWidth="1"/>
    <col min="2827" max="2827" width="6.5703125" style="42" customWidth="1"/>
    <col min="2828" max="2829" width="5.5703125" style="42" bestFit="1" customWidth="1"/>
    <col min="2830" max="2830" width="8" style="42" customWidth="1"/>
    <col min="2831" max="2833" width="9.140625" style="42"/>
    <col min="2834" max="2834" width="8" style="42" customWidth="1"/>
    <col min="2835" max="2835" width="8.140625" style="42" customWidth="1"/>
    <col min="2836" max="2836" width="2" style="42" customWidth="1"/>
    <col min="2837" max="2837" width="8.140625" style="42" customWidth="1"/>
    <col min="2838" max="2838" width="3.42578125" style="42" customWidth="1"/>
    <col min="2839" max="2839" width="8.5703125" style="42" customWidth="1"/>
    <col min="2840" max="2840" width="8.28515625" style="42" bestFit="1" customWidth="1"/>
    <col min="2841" max="2841" width="7.5703125" style="42" bestFit="1" customWidth="1"/>
    <col min="2842" max="2842" width="7.7109375" style="42" bestFit="1" customWidth="1"/>
    <col min="2843" max="2843" width="8.28515625" style="42" bestFit="1" customWidth="1"/>
    <col min="2844" max="2844" width="7.7109375" style="42" bestFit="1" customWidth="1"/>
    <col min="2845" max="2845" width="2.7109375" style="42" customWidth="1"/>
    <col min="2846" max="2846" width="7" style="42" bestFit="1" customWidth="1"/>
    <col min="2847" max="2847" width="5.85546875" style="42" bestFit="1" customWidth="1"/>
    <col min="2848" max="2848" width="6" style="42" bestFit="1" customWidth="1"/>
    <col min="2849" max="2849" width="6.140625" style="42" bestFit="1" customWidth="1"/>
    <col min="2850" max="2850" width="7.5703125" style="42" bestFit="1" customWidth="1"/>
    <col min="2851" max="2855" width="8.28515625" style="42" bestFit="1" customWidth="1"/>
    <col min="2856" max="2856" width="1.42578125" style="42" customWidth="1"/>
    <col min="2857" max="2860" width="8.7109375" style="42" customWidth="1"/>
    <col min="2861" max="2861" width="8.42578125" style="42" customWidth="1"/>
    <col min="2862" max="2862" width="8.140625" style="42" customWidth="1"/>
    <col min="2863" max="2863" width="7.85546875" style="42" customWidth="1"/>
    <col min="2864" max="2864" width="10" style="42" bestFit="1" customWidth="1"/>
    <col min="2865" max="2865" width="10" style="42" customWidth="1"/>
    <col min="2866" max="2866" width="9.140625" style="42"/>
    <col min="2867" max="2868" width="5.5703125" style="42" bestFit="1" customWidth="1"/>
    <col min="2869" max="2869" width="6" style="42" bestFit="1" customWidth="1"/>
    <col min="2870" max="2871" width="6.28515625" style="42" customWidth="1"/>
    <col min="2872" max="2872" width="9.140625" style="42"/>
    <col min="2873" max="2873" width="11.5703125" style="42" bestFit="1" customWidth="1"/>
    <col min="2874" max="2911" width="5.42578125" style="42" bestFit="1" customWidth="1"/>
    <col min="2912" max="3072" width="9.140625" style="42"/>
    <col min="3073" max="3073" width="5.85546875" style="42" customWidth="1"/>
    <col min="3074" max="3075" width="6" style="42" bestFit="1" customWidth="1"/>
    <col min="3076" max="3076" width="5.42578125" style="42" customWidth="1"/>
    <col min="3077" max="3077" width="5.85546875" style="42" bestFit="1" customWidth="1"/>
    <col min="3078" max="3078" width="6.5703125" style="42" bestFit="1" customWidth="1"/>
    <col min="3079" max="3081" width="8" style="42" customWidth="1"/>
    <col min="3082" max="3082" width="6.7109375" style="42" customWidth="1"/>
    <col min="3083" max="3083" width="6.5703125" style="42" customWidth="1"/>
    <col min="3084" max="3085" width="5.5703125" style="42" bestFit="1" customWidth="1"/>
    <col min="3086" max="3086" width="8" style="42" customWidth="1"/>
    <col min="3087" max="3089" width="9.140625" style="42"/>
    <col min="3090" max="3090" width="8" style="42" customWidth="1"/>
    <col min="3091" max="3091" width="8.140625" style="42" customWidth="1"/>
    <col min="3092" max="3092" width="2" style="42" customWidth="1"/>
    <col min="3093" max="3093" width="8.140625" style="42" customWidth="1"/>
    <col min="3094" max="3094" width="3.42578125" style="42" customWidth="1"/>
    <col min="3095" max="3095" width="8.5703125" style="42" customWidth="1"/>
    <col min="3096" max="3096" width="8.28515625" style="42" bestFit="1" customWidth="1"/>
    <col min="3097" max="3097" width="7.5703125" style="42" bestFit="1" customWidth="1"/>
    <col min="3098" max="3098" width="7.7109375" style="42" bestFit="1" customWidth="1"/>
    <col min="3099" max="3099" width="8.28515625" style="42" bestFit="1" customWidth="1"/>
    <col min="3100" max="3100" width="7.7109375" style="42" bestFit="1" customWidth="1"/>
    <col min="3101" max="3101" width="2.7109375" style="42" customWidth="1"/>
    <col min="3102" max="3102" width="7" style="42" bestFit="1" customWidth="1"/>
    <col min="3103" max="3103" width="5.85546875" style="42" bestFit="1" customWidth="1"/>
    <col min="3104" max="3104" width="6" style="42" bestFit="1" customWidth="1"/>
    <col min="3105" max="3105" width="6.140625" style="42" bestFit="1" customWidth="1"/>
    <col min="3106" max="3106" width="7.5703125" style="42" bestFit="1" customWidth="1"/>
    <col min="3107" max="3111" width="8.28515625" style="42" bestFit="1" customWidth="1"/>
    <col min="3112" max="3112" width="1.42578125" style="42" customWidth="1"/>
    <col min="3113" max="3116" width="8.7109375" style="42" customWidth="1"/>
    <col min="3117" max="3117" width="8.42578125" style="42" customWidth="1"/>
    <col min="3118" max="3118" width="8.140625" style="42" customWidth="1"/>
    <col min="3119" max="3119" width="7.85546875" style="42" customWidth="1"/>
    <col min="3120" max="3120" width="10" style="42" bestFit="1" customWidth="1"/>
    <col min="3121" max="3121" width="10" style="42" customWidth="1"/>
    <col min="3122" max="3122" width="9.140625" style="42"/>
    <col min="3123" max="3124" width="5.5703125" style="42" bestFit="1" customWidth="1"/>
    <col min="3125" max="3125" width="6" style="42" bestFit="1" customWidth="1"/>
    <col min="3126" max="3127" width="6.28515625" style="42" customWidth="1"/>
    <col min="3128" max="3128" width="9.140625" style="42"/>
    <col min="3129" max="3129" width="11.5703125" style="42" bestFit="1" customWidth="1"/>
    <col min="3130" max="3167" width="5.42578125" style="42" bestFit="1" customWidth="1"/>
    <col min="3168" max="3328" width="9.140625" style="42"/>
    <col min="3329" max="3329" width="5.85546875" style="42" customWidth="1"/>
    <col min="3330" max="3331" width="6" style="42" bestFit="1" customWidth="1"/>
    <col min="3332" max="3332" width="5.42578125" style="42" customWidth="1"/>
    <col min="3333" max="3333" width="5.85546875" style="42" bestFit="1" customWidth="1"/>
    <col min="3334" max="3334" width="6.5703125" style="42" bestFit="1" customWidth="1"/>
    <col min="3335" max="3337" width="8" style="42" customWidth="1"/>
    <col min="3338" max="3338" width="6.7109375" style="42" customWidth="1"/>
    <col min="3339" max="3339" width="6.5703125" style="42" customWidth="1"/>
    <col min="3340" max="3341" width="5.5703125" style="42" bestFit="1" customWidth="1"/>
    <col min="3342" max="3342" width="8" style="42" customWidth="1"/>
    <col min="3343" max="3345" width="9.140625" style="42"/>
    <col min="3346" max="3346" width="8" style="42" customWidth="1"/>
    <col min="3347" max="3347" width="8.140625" style="42" customWidth="1"/>
    <col min="3348" max="3348" width="2" style="42" customWidth="1"/>
    <col min="3349" max="3349" width="8.140625" style="42" customWidth="1"/>
    <col min="3350" max="3350" width="3.42578125" style="42" customWidth="1"/>
    <col min="3351" max="3351" width="8.5703125" style="42" customWidth="1"/>
    <col min="3352" max="3352" width="8.28515625" style="42" bestFit="1" customWidth="1"/>
    <col min="3353" max="3353" width="7.5703125" style="42" bestFit="1" customWidth="1"/>
    <col min="3354" max="3354" width="7.7109375" style="42" bestFit="1" customWidth="1"/>
    <col min="3355" max="3355" width="8.28515625" style="42" bestFit="1" customWidth="1"/>
    <col min="3356" max="3356" width="7.7109375" style="42" bestFit="1" customWidth="1"/>
    <col min="3357" max="3357" width="2.7109375" style="42" customWidth="1"/>
    <col min="3358" max="3358" width="7" style="42" bestFit="1" customWidth="1"/>
    <col min="3359" max="3359" width="5.85546875" style="42" bestFit="1" customWidth="1"/>
    <col min="3360" max="3360" width="6" style="42" bestFit="1" customWidth="1"/>
    <col min="3361" max="3361" width="6.140625" style="42" bestFit="1" customWidth="1"/>
    <col min="3362" max="3362" width="7.5703125" style="42" bestFit="1" customWidth="1"/>
    <col min="3363" max="3367" width="8.28515625" style="42" bestFit="1" customWidth="1"/>
    <col min="3368" max="3368" width="1.42578125" style="42" customWidth="1"/>
    <col min="3369" max="3372" width="8.7109375" style="42" customWidth="1"/>
    <col min="3373" max="3373" width="8.42578125" style="42" customWidth="1"/>
    <col min="3374" max="3374" width="8.140625" style="42" customWidth="1"/>
    <col min="3375" max="3375" width="7.85546875" style="42" customWidth="1"/>
    <col min="3376" max="3376" width="10" style="42" bestFit="1" customWidth="1"/>
    <col min="3377" max="3377" width="10" style="42" customWidth="1"/>
    <col min="3378" max="3378" width="9.140625" style="42"/>
    <col min="3379" max="3380" width="5.5703125" style="42" bestFit="1" customWidth="1"/>
    <col min="3381" max="3381" width="6" style="42" bestFit="1" customWidth="1"/>
    <col min="3382" max="3383" width="6.28515625" style="42" customWidth="1"/>
    <col min="3384" max="3384" width="9.140625" style="42"/>
    <col min="3385" max="3385" width="11.5703125" style="42" bestFit="1" customWidth="1"/>
    <col min="3386" max="3423" width="5.42578125" style="42" bestFit="1" customWidth="1"/>
    <col min="3424" max="3584" width="9.140625" style="42"/>
    <col min="3585" max="3585" width="5.85546875" style="42" customWidth="1"/>
    <col min="3586" max="3587" width="6" style="42" bestFit="1" customWidth="1"/>
    <col min="3588" max="3588" width="5.42578125" style="42" customWidth="1"/>
    <col min="3589" max="3589" width="5.85546875" style="42" bestFit="1" customWidth="1"/>
    <col min="3590" max="3590" width="6.5703125" style="42" bestFit="1" customWidth="1"/>
    <col min="3591" max="3593" width="8" style="42" customWidth="1"/>
    <col min="3594" max="3594" width="6.7109375" style="42" customWidth="1"/>
    <col min="3595" max="3595" width="6.5703125" style="42" customWidth="1"/>
    <col min="3596" max="3597" width="5.5703125" style="42" bestFit="1" customWidth="1"/>
    <col min="3598" max="3598" width="8" style="42" customWidth="1"/>
    <col min="3599" max="3601" width="9.140625" style="42"/>
    <col min="3602" max="3602" width="8" style="42" customWidth="1"/>
    <col min="3603" max="3603" width="8.140625" style="42" customWidth="1"/>
    <col min="3604" max="3604" width="2" style="42" customWidth="1"/>
    <col min="3605" max="3605" width="8.140625" style="42" customWidth="1"/>
    <col min="3606" max="3606" width="3.42578125" style="42" customWidth="1"/>
    <col min="3607" max="3607" width="8.5703125" style="42" customWidth="1"/>
    <col min="3608" max="3608" width="8.28515625" style="42" bestFit="1" customWidth="1"/>
    <col min="3609" max="3609" width="7.5703125" style="42" bestFit="1" customWidth="1"/>
    <col min="3610" max="3610" width="7.7109375" style="42" bestFit="1" customWidth="1"/>
    <col min="3611" max="3611" width="8.28515625" style="42" bestFit="1" customWidth="1"/>
    <col min="3612" max="3612" width="7.7109375" style="42" bestFit="1" customWidth="1"/>
    <col min="3613" max="3613" width="2.7109375" style="42" customWidth="1"/>
    <col min="3614" max="3614" width="7" style="42" bestFit="1" customWidth="1"/>
    <col min="3615" max="3615" width="5.85546875" style="42" bestFit="1" customWidth="1"/>
    <col min="3616" max="3616" width="6" style="42" bestFit="1" customWidth="1"/>
    <col min="3617" max="3617" width="6.140625" style="42" bestFit="1" customWidth="1"/>
    <col min="3618" max="3618" width="7.5703125" style="42" bestFit="1" customWidth="1"/>
    <col min="3619" max="3623" width="8.28515625" style="42" bestFit="1" customWidth="1"/>
    <col min="3624" max="3624" width="1.42578125" style="42" customWidth="1"/>
    <col min="3625" max="3628" width="8.7109375" style="42" customWidth="1"/>
    <col min="3629" max="3629" width="8.42578125" style="42" customWidth="1"/>
    <col min="3630" max="3630" width="8.140625" style="42" customWidth="1"/>
    <col min="3631" max="3631" width="7.85546875" style="42" customWidth="1"/>
    <col min="3632" max="3632" width="10" style="42" bestFit="1" customWidth="1"/>
    <col min="3633" max="3633" width="10" style="42" customWidth="1"/>
    <col min="3634" max="3634" width="9.140625" style="42"/>
    <col min="3635" max="3636" width="5.5703125" style="42" bestFit="1" customWidth="1"/>
    <col min="3637" max="3637" width="6" style="42" bestFit="1" customWidth="1"/>
    <col min="3638" max="3639" width="6.28515625" style="42" customWidth="1"/>
    <col min="3640" max="3640" width="9.140625" style="42"/>
    <col min="3641" max="3641" width="11.5703125" style="42" bestFit="1" customWidth="1"/>
    <col min="3642" max="3679" width="5.42578125" style="42" bestFit="1" customWidth="1"/>
    <col min="3680" max="3840" width="9.140625" style="42"/>
    <col min="3841" max="3841" width="5.85546875" style="42" customWidth="1"/>
    <col min="3842" max="3843" width="6" style="42" bestFit="1" customWidth="1"/>
    <col min="3844" max="3844" width="5.42578125" style="42" customWidth="1"/>
    <col min="3845" max="3845" width="5.85546875" style="42" bestFit="1" customWidth="1"/>
    <col min="3846" max="3846" width="6.5703125" style="42" bestFit="1" customWidth="1"/>
    <col min="3847" max="3849" width="8" style="42" customWidth="1"/>
    <col min="3850" max="3850" width="6.7109375" style="42" customWidth="1"/>
    <col min="3851" max="3851" width="6.5703125" style="42" customWidth="1"/>
    <col min="3852" max="3853" width="5.5703125" style="42" bestFit="1" customWidth="1"/>
    <col min="3854" max="3854" width="8" style="42" customWidth="1"/>
    <col min="3855" max="3857" width="9.140625" style="42"/>
    <col min="3858" max="3858" width="8" style="42" customWidth="1"/>
    <col min="3859" max="3859" width="8.140625" style="42" customWidth="1"/>
    <col min="3860" max="3860" width="2" style="42" customWidth="1"/>
    <col min="3861" max="3861" width="8.140625" style="42" customWidth="1"/>
    <col min="3862" max="3862" width="3.42578125" style="42" customWidth="1"/>
    <col min="3863" max="3863" width="8.5703125" style="42" customWidth="1"/>
    <col min="3864" max="3864" width="8.28515625" style="42" bestFit="1" customWidth="1"/>
    <col min="3865" max="3865" width="7.5703125" style="42" bestFit="1" customWidth="1"/>
    <col min="3866" max="3866" width="7.7109375" style="42" bestFit="1" customWidth="1"/>
    <col min="3867" max="3867" width="8.28515625" style="42" bestFit="1" customWidth="1"/>
    <col min="3868" max="3868" width="7.7109375" style="42" bestFit="1" customWidth="1"/>
    <col min="3869" max="3869" width="2.7109375" style="42" customWidth="1"/>
    <col min="3870" max="3870" width="7" style="42" bestFit="1" customWidth="1"/>
    <col min="3871" max="3871" width="5.85546875" style="42" bestFit="1" customWidth="1"/>
    <col min="3872" max="3872" width="6" style="42" bestFit="1" customWidth="1"/>
    <col min="3873" max="3873" width="6.140625" style="42" bestFit="1" customWidth="1"/>
    <col min="3874" max="3874" width="7.5703125" style="42" bestFit="1" customWidth="1"/>
    <col min="3875" max="3879" width="8.28515625" style="42" bestFit="1" customWidth="1"/>
    <col min="3880" max="3880" width="1.42578125" style="42" customWidth="1"/>
    <col min="3881" max="3884" width="8.7109375" style="42" customWidth="1"/>
    <col min="3885" max="3885" width="8.42578125" style="42" customWidth="1"/>
    <col min="3886" max="3886" width="8.140625" style="42" customWidth="1"/>
    <col min="3887" max="3887" width="7.85546875" style="42" customWidth="1"/>
    <col min="3888" max="3888" width="10" style="42" bestFit="1" customWidth="1"/>
    <col min="3889" max="3889" width="10" style="42" customWidth="1"/>
    <col min="3890" max="3890" width="9.140625" style="42"/>
    <col min="3891" max="3892" width="5.5703125" style="42" bestFit="1" customWidth="1"/>
    <col min="3893" max="3893" width="6" style="42" bestFit="1" customWidth="1"/>
    <col min="3894" max="3895" width="6.28515625" style="42" customWidth="1"/>
    <col min="3896" max="3896" width="9.140625" style="42"/>
    <col min="3897" max="3897" width="11.5703125" style="42" bestFit="1" customWidth="1"/>
    <col min="3898" max="3935" width="5.42578125" style="42" bestFit="1" customWidth="1"/>
    <col min="3936" max="4096" width="9.140625" style="42"/>
    <col min="4097" max="4097" width="5.85546875" style="42" customWidth="1"/>
    <col min="4098" max="4099" width="6" style="42" bestFit="1" customWidth="1"/>
    <col min="4100" max="4100" width="5.42578125" style="42" customWidth="1"/>
    <col min="4101" max="4101" width="5.85546875" style="42" bestFit="1" customWidth="1"/>
    <col min="4102" max="4102" width="6.5703125" style="42" bestFit="1" customWidth="1"/>
    <col min="4103" max="4105" width="8" style="42" customWidth="1"/>
    <col min="4106" max="4106" width="6.7109375" style="42" customWidth="1"/>
    <col min="4107" max="4107" width="6.5703125" style="42" customWidth="1"/>
    <col min="4108" max="4109" width="5.5703125" style="42" bestFit="1" customWidth="1"/>
    <col min="4110" max="4110" width="8" style="42" customWidth="1"/>
    <col min="4111" max="4113" width="9.140625" style="42"/>
    <col min="4114" max="4114" width="8" style="42" customWidth="1"/>
    <col min="4115" max="4115" width="8.140625" style="42" customWidth="1"/>
    <col min="4116" max="4116" width="2" style="42" customWidth="1"/>
    <col min="4117" max="4117" width="8.140625" style="42" customWidth="1"/>
    <col min="4118" max="4118" width="3.42578125" style="42" customWidth="1"/>
    <col min="4119" max="4119" width="8.5703125" style="42" customWidth="1"/>
    <col min="4120" max="4120" width="8.28515625" style="42" bestFit="1" customWidth="1"/>
    <col min="4121" max="4121" width="7.5703125" style="42" bestFit="1" customWidth="1"/>
    <col min="4122" max="4122" width="7.7109375" style="42" bestFit="1" customWidth="1"/>
    <col min="4123" max="4123" width="8.28515625" style="42" bestFit="1" customWidth="1"/>
    <col min="4124" max="4124" width="7.7109375" style="42" bestFit="1" customWidth="1"/>
    <col min="4125" max="4125" width="2.7109375" style="42" customWidth="1"/>
    <col min="4126" max="4126" width="7" style="42" bestFit="1" customWidth="1"/>
    <col min="4127" max="4127" width="5.85546875" style="42" bestFit="1" customWidth="1"/>
    <col min="4128" max="4128" width="6" style="42" bestFit="1" customWidth="1"/>
    <col min="4129" max="4129" width="6.140625" style="42" bestFit="1" customWidth="1"/>
    <col min="4130" max="4130" width="7.5703125" style="42" bestFit="1" customWidth="1"/>
    <col min="4131" max="4135" width="8.28515625" style="42" bestFit="1" customWidth="1"/>
    <col min="4136" max="4136" width="1.42578125" style="42" customWidth="1"/>
    <col min="4137" max="4140" width="8.7109375" style="42" customWidth="1"/>
    <col min="4141" max="4141" width="8.42578125" style="42" customWidth="1"/>
    <col min="4142" max="4142" width="8.140625" style="42" customWidth="1"/>
    <col min="4143" max="4143" width="7.85546875" style="42" customWidth="1"/>
    <col min="4144" max="4144" width="10" style="42" bestFit="1" customWidth="1"/>
    <col min="4145" max="4145" width="10" style="42" customWidth="1"/>
    <col min="4146" max="4146" width="9.140625" style="42"/>
    <col min="4147" max="4148" width="5.5703125" style="42" bestFit="1" customWidth="1"/>
    <col min="4149" max="4149" width="6" style="42" bestFit="1" customWidth="1"/>
    <col min="4150" max="4151" width="6.28515625" style="42" customWidth="1"/>
    <col min="4152" max="4152" width="9.140625" style="42"/>
    <col min="4153" max="4153" width="11.5703125" style="42" bestFit="1" customWidth="1"/>
    <col min="4154" max="4191" width="5.42578125" style="42" bestFit="1" customWidth="1"/>
    <col min="4192" max="4352" width="9.140625" style="42"/>
    <col min="4353" max="4353" width="5.85546875" style="42" customWidth="1"/>
    <col min="4354" max="4355" width="6" style="42" bestFit="1" customWidth="1"/>
    <col min="4356" max="4356" width="5.42578125" style="42" customWidth="1"/>
    <col min="4357" max="4357" width="5.85546875" style="42" bestFit="1" customWidth="1"/>
    <col min="4358" max="4358" width="6.5703125" style="42" bestFit="1" customWidth="1"/>
    <col min="4359" max="4361" width="8" style="42" customWidth="1"/>
    <col min="4362" max="4362" width="6.7109375" style="42" customWidth="1"/>
    <col min="4363" max="4363" width="6.5703125" style="42" customWidth="1"/>
    <col min="4364" max="4365" width="5.5703125" style="42" bestFit="1" customWidth="1"/>
    <col min="4366" max="4366" width="8" style="42" customWidth="1"/>
    <col min="4367" max="4369" width="9.140625" style="42"/>
    <col min="4370" max="4370" width="8" style="42" customWidth="1"/>
    <col min="4371" max="4371" width="8.140625" style="42" customWidth="1"/>
    <col min="4372" max="4372" width="2" style="42" customWidth="1"/>
    <col min="4373" max="4373" width="8.140625" style="42" customWidth="1"/>
    <col min="4374" max="4374" width="3.42578125" style="42" customWidth="1"/>
    <col min="4375" max="4375" width="8.5703125" style="42" customWidth="1"/>
    <col min="4376" max="4376" width="8.28515625" style="42" bestFit="1" customWidth="1"/>
    <col min="4377" max="4377" width="7.5703125" style="42" bestFit="1" customWidth="1"/>
    <col min="4378" max="4378" width="7.7109375" style="42" bestFit="1" customWidth="1"/>
    <col min="4379" max="4379" width="8.28515625" style="42" bestFit="1" customWidth="1"/>
    <col min="4380" max="4380" width="7.7109375" style="42" bestFit="1" customWidth="1"/>
    <col min="4381" max="4381" width="2.7109375" style="42" customWidth="1"/>
    <col min="4382" max="4382" width="7" style="42" bestFit="1" customWidth="1"/>
    <col min="4383" max="4383" width="5.85546875" style="42" bestFit="1" customWidth="1"/>
    <col min="4384" max="4384" width="6" style="42" bestFit="1" customWidth="1"/>
    <col min="4385" max="4385" width="6.140625" style="42" bestFit="1" customWidth="1"/>
    <col min="4386" max="4386" width="7.5703125" style="42" bestFit="1" customWidth="1"/>
    <col min="4387" max="4391" width="8.28515625" style="42" bestFit="1" customWidth="1"/>
    <col min="4392" max="4392" width="1.42578125" style="42" customWidth="1"/>
    <col min="4393" max="4396" width="8.7109375" style="42" customWidth="1"/>
    <col min="4397" max="4397" width="8.42578125" style="42" customWidth="1"/>
    <col min="4398" max="4398" width="8.140625" style="42" customWidth="1"/>
    <col min="4399" max="4399" width="7.85546875" style="42" customWidth="1"/>
    <col min="4400" max="4400" width="10" style="42" bestFit="1" customWidth="1"/>
    <col min="4401" max="4401" width="10" style="42" customWidth="1"/>
    <col min="4402" max="4402" width="9.140625" style="42"/>
    <col min="4403" max="4404" width="5.5703125" style="42" bestFit="1" customWidth="1"/>
    <col min="4405" max="4405" width="6" style="42" bestFit="1" customWidth="1"/>
    <col min="4406" max="4407" width="6.28515625" style="42" customWidth="1"/>
    <col min="4408" max="4408" width="9.140625" style="42"/>
    <col min="4409" max="4409" width="11.5703125" style="42" bestFit="1" customWidth="1"/>
    <col min="4410" max="4447" width="5.42578125" style="42" bestFit="1" customWidth="1"/>
    <col min="4448" max="4608" width="9.140625" style="42"/>
    <col min="4609" max="4609" width="5.85546875" style="42" customWidth="1"/>
    <col min="4610" max="4611" width="6" style="42" bestFit="1" customWidth="1"/>
    <col min="4612" max="4612" width="5.42578125" style="42" customWidth="1"/>
    <col min="4613" max="4613" width="5.85546875" style="42" bestFit="1" customWidth="1"/>
    <col min="4614" max="4614" width="6.5703125" style="42" bestFit="1" customWidth="1"/>
    <col min="4615" max="4617" width="8" style="42" customWidth="1"/>
    <col min="4618" max="4618" width="6.7109375" style="42" customWidth="1"/>
    <col min="4619" max="4619" width="6.5703125" style="42" customWidth="1"/>
    <col min="4620" max="4621" width="5.5703125" style="42" bestFit="1" customWidth="1"/>
    <col min="4622" max="4622" width="8" style="42" customWidth="1"/>
    <col min="4623" max="4625" width="9.140625" style="42"/>
    <col min="4626" max="4626" width="8" style="42" customWidth="1"/>
    <col min="4627" max="4627" width="8.140625" style="42" customWidth="1"/>
    <col min="4628" max="4628" width="2" style="42" customWidth="1"/>
    <col min="4629" max="4629" width="8.140625" style="42" customWidth="1"/>
    <col min="4630" max="4630" width="3.42578125" style="42" customWidth="1"/>
    <col min="4631" max="4631" width="8.5703125" style="42" customWidth="1"/>
    <col min="4632" max="4632" width="8.28515625" style="42" bestFit="1" customWidth="1"/>
    <col min="4633" max="4633" width="7.5703125" style="42" bestFit="1" customWidth="1"/>
    <col min="4634" max="4634" width="7.7109375" style="42" bestFit="1" customWidth="1"/>
    <col min="4635" max="4635" width="8.28515625" style="42" bestFit="1" customWidth="1"/>
    <col min="4636" max="4636" width="7.7109375" style="42" bestFit="1" customWidth="1"/>
    <col min="4637" max="4637" width="2.7109375" style="42" customWidth="1"/>
    <col min="4638" max="4638" width="7" style="42" bestFit="1" customWidth="1"/>
    <col min="4639" max="4639" width="5.85546875" style="42" bestFit="1" customWidth="1"/>
    <col min="4640" max="4640" width="6" style="42" bestFit="1" customWidth="1"/>
    <col min="4641" max="4641" width="6.140625" style="42" bestFit="1" customWidth="1"/>
    <col min="4642" max="4642" width="7.5703125" style="42" bestFit="1" customWidth="1"/>
    <col min="4643" max="4647" width="8.28515625" style="42" bestFit="1" customWidth="1"/>
    <col min="4648" max="4648" width="1.42578125" style="42" customWidth="1"/>
    <col min="4649" max="4652" width="8.7109375" style="42" customWidth="1"/>
    <col min="4653" max="4653" width="8.42578125" style="42" customWidth="1"/>
    <col min="4654" max="4654" width="8.140625" style="42" customWidth="1"/>
    <col min="4655" max="4655" width="7.85546875" style="42" customWidth="1"/>
    <col min="4656" max="4656" width="10" style="42" bestFit="1" customWidth="1"/>
    <col min="4657" max="4657" width="10" style="42" customWidth="1"/>
    <col min="4658" max="4658" width="9.140625" style="42"/>
    <col min="4659" max="4660" width="5.5703125" style="42" bestFit="1" customWidth="1"/>
    <col min="4661" max="4661" width="6" style="42" bestFit="1" customWidth="1"/>
    <col min="4662" max="4663" width="6.28515625" style="42" customWidth="1"/>
    <col min="4664" max="4664" width="9.140625" style="42"/>
    <col min="4665" max="4665" width="11.5703125" style="42" bestFit="1" customWidth="1"/>
    <col min="4666" max="4703" width="5.42578125" style="42" bestFit="1" customWidth="1"/>
    <col min="4704" max="4864" width="9.140625" style="42"/>
    <col min="4865" max="4865" width="5.85546875" style="42" customWidth="1"/>
    <col min="4866" max="4867" width="6" style="42" bestFit="1" customWidth="1"/>
    <col min="4868" max="4868" width="5.42578125" style="42" customWidth="1"/>
    <col min="4869" max="4869" width="5.85546875" style="42" bestFit="1" customWidth="1"/>
    <col min="4870" max="4870" width="6.5703125" style="42" bestFit="1" customWidth="1"/>
    <col min="4871" max="4873" width="8" style="42" customWidth="1"/>
    <col min="4874" max="4874" width="6.7109375" style="42" customWidth="1"/>
    <col min="4875" max="4875" width="6.5703125" style="42" customWidth="1"/>
    <col min="4876" max="4877" width="5.5703125" style="42" bestFit="1" customWidth="1"/>
    <col min="4878" max="4878" width="8" style="42" customWidth="1"/>
    <col min="4879" max="4881" width="9.140625" style="42"/>
    <col min="4882" max="4882" width="8" style="42" customWidth="1"/>
    <col min="4883" max="4883" width="8.140625" style="42" customWidth="1"/>
    <col min="4884" max="4884" width="2" style="42" customWidth="1"/>
    <col min="4885" max="4885" width="8.140625" style="42" customWidth="1"/>
    <col min="4886" max="4886" width="3.42578125" style="42" customWidth="1"/>
    <col min="4887" max="4887" width="8.5703125" style="42" customWidth="1"/>
    <col min="4888" max="4888" width="8.28515625" style="42" bestFit="1" customWidth="1"/>
    <col min="4889" max="4889" width="7.5703125" style="42" bestFit="1" customWidth="1"/>
    <col min="4890" max="4890" width="7.7109375" style="42" bestFit="1" customWidth="1"/>
    <col min="4891" max="4891" width="8.28515625" style="42" bestFit="1" customWidth="1"/>
    <col min="4892" max="4892" width="7.7109375" style="42" bestFit="1" customWidth="1"/>
    <col min="4893" max="4893" width="2.7109375" style="42" customWidth="1"/>
    <col min="4894" max="4894" width="7" style="42" bestFit="1" customWidth="1"/>
    <col min="4895" max="4895" width="5.85546875" style="42" bestFit="1" customWidth="1"/>
    <col min="4896" max="4896" width="6" style="42" bestFit="1" customWidth="1"/>
    <col min="4897" max="4897" width="6.140625" style="42" bestFit="1" customWidth="1"/>
    <col min="4898" max="4898" width="7.5703125" style="42" bestFit="1" customWidth="1"/>
    <col min="4899" max="4903" width="8.28515625" style="42" bestFit="1" customWidth="1"/>
    <col min="4904" max="4904" width="1.42578125" style="42" customWidth="1"/>
    <col min="4905" max="4908" width="8.7109375" style="42" customWidth="1"/>
    <col min="4909" max="4909" width="8.42578125" style="42" customWidth="1"/>
    <col min="4910" max="4910" width="8.140625" style="42" customWidth="1"/>
    <col min="4911" max="4911" width="7.85546875" style="42" customWidth="1"/>
    <col min="4912" max="4912" width="10" style="42" bestFit="1" customWidth="1"/>
    <col min="4913" max="4913" width="10" style="42" customWidth="1"/>
    <col min="4914" max="4914" width="9.140625" style="42"/>
    <col min="4915" max="4916" width="5.5703125" style="42" bestFit="1" customWidth="1"/>
    <col min="4917" max="4917" width="6" style="42" bestFit="1" customWidth="1"/>
    <col min="4918" max="4919" width="6.28515625" style="42" customWidth="1"/>
    <col min="4920" max="4920" width="9.140625" style="42"/>
    <col min="4921" max="4921" width="11.5703125" style="42" bestFit="1" customWidth="1"/>
    <col min="4922" max="4959" width="5.42578125" style="42" bestFit="1" customWidth="1"/>
    <col min="4960" max="5120" width="9.140625" style="42"/>
    <col min="5121" max="5121" width="5.85546875" style="42" customWidth="1"/>
    <col min="5122" max="5123" width="6" style="42" bestFit="1" customWidth="1"/>
    <col min="5124" max="5124" width="5.42578125" style="42" customWidth="1"/>
    <col min="5125" max="5125" width="5.85546875" style="42" bestFit="1" customWidth="1"/>
    <col min="5126" max="5126" width="6.5703125" style="42" bestFit="1" customWidth="1"/>
    <col min="5127" max="5129" width="8" style="42" customWidth="1"/>
    <col min="5130" max="5130" width="6.7109375" style="42" customWidth="1"/>
    <col min="5131" max="5131" width="6.5703125" style="42" customWidth="1"/>
    <col min="5132" max="5133" width="5.5703125" style="42" bestFit="1" customWidth="1"/>
    <col min="5134" max="5134" width="8" style="42" customWidth="1"/>
    <col min="5135" max="5137" width="9.140625" style="42"/>
    <col min="5138" max="5138" width="8" style="42" customWidth="1"/>
    <col min="5139" max="5139" width="8.140625" style="42" customWidth="1"/>
    <col min="5140" max="5140" width="2" style="42" customWidth="1"/>
    <col min="5141" max="5141" width="8.140625" style="42" customWidth="1"/>
    <col min="5142" max="5142" width="3.42578125" style="42" customWidth="1"/>
    <col min="5143" max="5143" width="8.5703125" style="42" customWidth="1"/>
    <col min="5144" max="5144" width="8.28515625" style="42" bestFit="1" customWidth="1"/>
    <col min="5145" max="5145" width="7.5703125" style="42" bestFit="1" customWidth="1"/>
    <col min="5146" max="5146" width="7.7109375" style="42" bestFit="1" customWidth="1"/>
    <col min="5147" max="5147" width="8.28515625" style="42" bestFit="1" customWidth="1"/>
    <col min="5148" max="5148" width="7.7109375" style="42" bestFit="1" customWidth="1"/>
    <col min="5149" max="5149" width="2.7109375" style="42" customWidth="1"/>
    <col min="5150" max="5150" width="7" style="42" bestFit="1" customWidth="1"/>
    <col min="5151" max="5151" width="5.85546875" style="42" bestFit="1" customWidth="1"/>
    <col min="5152" max="5152" width="6" style="42" bestFit="1" customWidth="1"/>
    <col min="5153" max="5153" width="6.140625" style="42" bestFit="1" customWidth="1"/>
    <col min="5154" max="5154" width="7.5703125" style="42" bestFit="1" customWidth="1"/>
    <col min="5155" max="5159" width="8.28515625" style="42" bestFit="1" customWidth="1"/>
    <col min="5160" max="5160" width="1.42578125" style="42" customWidth="1"/>
    <col min="5161" max="5164" width="8.7109375" style="42" customWidth="1"/>
    <col min="5165" max="5165" width="8.42578125" style="42" customWidth="1"/>
    <col min="5166" max="5166" width="8.140625" style="42" customWidth="1"/>
    <col min="5167" max="5167" width="7.85546875" style="42" customWidth="1"/>
    <col min="5168" max="5168" width="10" style="42" bestFit="1" customWidth="1"/>
    <col min="5169" max="5169" width="10" style="42" customWidth="1"/>
    <col min="5170" max="5170" width="9.140625" style="42"/>
    <col min="5171" max="5172" width="5.5703125" style="42" bestFit="1" customWidth="1"/>
    <col min="5173" max="5173" width="6" style="42" bestFit="1" customWidth="1"/>
    <col min="5174" max="5175" width="6.28515625" style="42" customWidth="1"/>
    <col min="5176" max="5176" width="9.140625" style="42"/>
    <col min="5177" max="5177" width="11.5703125" style="42" bestFit="1" customWidth="1"/>
    <col min="5178" max="5215" width="5.42578125" style="42" bestFit="1" customWidth="1"/>
    <col min="5216" max="5376" width="9.140625" style="42"/>
    <col min="5377" max="5377" width="5.85546875" style="42" customWidth="1"/>
    <col min="5378" max="5379" width="6" style="42" bestFit="1" customWidth="1"/>
    <col min="5380" max="5380" width="5.42578125" style="42" customWidth="1"/>
    <col min="5381" max="5381" width="5.85546875" style="42" bestFit="1" customWidth="1"/>
    <col min="5382" max="5382" width="6.5703125" style="42" bestFit="1" customWidth="1"/>
    <col min="5383" max="5385" width="8" style="42" customWidth="1"/>
    <col min="5386" max="5386" width="6.7109375" style="42" customWidth="1"/>
    <col min="5387" max="5387" width="6.5703125" style="42" customWidth="1"/>
    <col min="5388" max="5389" width="5.5703125" style="42" bestFit="1" customWidth="1"/>
    <col min="5390" max="5390" width="8" style="42" customWidth="1"/>
    <col min="5391" max="5393" width="9.140625" style="42"/>
    <col min="5394" max="5394" width="8" style="42" customWidth="1"/>
    <col min="5395" max="5395" width="8.140625" style="42" customWidth="1"/>
    <col min="5396" max="5396" width="2" style="42" customWidth="1"/>
    <col min="5397" max="5397" width="8.140625" style="42" customWidth="1"/>
    <col min="5398" max="5398" width="3.42578125" style="42" customWidth="1"/>
    <col min="5399" max="5399" width="8.5703125" style="42" customWidth="1"/>
    <col min="5400" max="5400" width="8.28515625" style="42" bestFit="1" customWidth="1"/>
    <col min="5401" max="5401" width="7.5703125" style="42" bestFit="1" customWidth="1"/>
    <col min="5402" max="5402" width="7.7109375" style="42" bestFit="1" customWidth="1"/>
    <col min="5403" max="5403" width="8.28515625" style="42" bestFit="1" customWidth="1"/>
    <col min="5404" max="5404" width="7.7109375" style="42" bestFit="1" customWidth="1"/>
    <col min="5405" max="5405" width="2.7109375" style="42" customWidth="1"/>
    <col min="5406" max="5406" width="7" style="42" bestFit="1" customWidth="1"/>
    <col min="5407" max="5407" width="5.85546875" style="42" bestFit="1" customWidth="1"/>
    <col min="5408" max="5408" width="6" style="42" bestFit="1" customWidth="1"/>
    <col min="5409" max="5409" width="6.140625" style="42" bestFit="1" customWidth="1"/>
    <col min="5410" max="5410" width="7.5703125" style="42" bestFit="1" customWidth="1"/>
    <col min="5411" max="5415" width="8.28515625" style="42" bestFit="1" customWidth="1"/>
    <col min="5416" max="5416" width="1.42578125" style="42" customWidth="1"/>
    <col min="5417" max="5420" width="8.7109375" style="42" customWidth="1"/>
    <col min="5421" max="5421" width="8.42578125" style="42" customWidth="1"/>
    <col min="5422" max="5422" width="8.140625" style="42" customWidth="1"/>
    <col min="5423" max="5423" width="7.85546875" style="42" customWidth="1"/>
    <col min="5424" max="5424" width="10" style="42" bestFit="1" customWidth="1"/>
    <col min="5425" max="5425" width="10" style="42" customWidth="1"/>
    <col min="5426" max="5426" width="9.140625" style="42"/>
    <col min="5427" max="5428" width="5.5703125" style="42" bestFit="1" customWidth="1"/>
    <col min="5429" max="5429" width="6" style="42" bestFit="1" customWidth="1"/>
    <col min="5430" max="5431" width="6.28515625" style="42" customWidth="1"/>
    <col min="5432" max="5432" width="9.140625" style="42"/>
    <col min="5433" max="5433" width="11.5703125" style="42" bestFit="1" customWidth="1"/>
    <col min="5434" max="5471" width="5.42578125" style="42" bestFit="1" customWidth="1"/>
    <col min="5472" max="5632" width="9.140625" style="42"/>
    <col min="5633" max="5633" width="5.85546875" style="42" customWidth="1"/>
    <col min="5634" max="5635" width="6" style="42" bestFit="1" customWidth="1"/>
    <col min="5636" max="5636" width="5.42578125" style="42" customWidth="1"/>
    <col min="5637" max="5637" width="5.85546875" style="42" bestFit="1" customWidth="1"/>
    <col min="5638" max="5638" width="6.5703125" style="42" bestFit="1" customWidth="1"/>
    <col min="5639" max="5641" width="8" style="42" customWidth="1"/>
    <col min="5642" max="5642" width="6.7109375" style="42" customWidth="1"/>
    <col min="5643" max="5643" width="6.5703125" style="42" customWidth="1"/>
    <col min="5644" max="5645" width="5.5703125" style="42" bestFit="1" customWidth="1"/>
    <col min="5646" max="5646" width="8" style="42" customWidth="1"/>
    <col min="5647" max="5649" width="9.140625" style="42"/>
    <col min="5650" max="5650" width="8" style="42" customWidth="1"/>
    <col min="5651" max="5651" width="8.140625" style="42" customWidth="1"/>
    <col min="5652" max="5652" width="2" style="42" customWidth="1"/>
    <col min="5653" max="5653" width="8.140625" style="42" customWidth="1"/>
    <col min="5654" max="5654" width="3.42578125" style="42" customWidth="1"/>
    <col min="5655" max="5655" width="8.5703125" style="42" customWidth="1"/>
    <col min="5656" max="5656" width="8.28515625" style="42" bestFit="1" customWidth="1"/>
    <col min="5657" max="5657" width="7.5703125" style="42" bestFit="1" customWidth="1"/>
    <col min="5658" max="5658" width="7.7109375" style="42" bestFit="1" customWidth="1"/>
    <col min="5659" max="5659" width="8.28515625" style="42" bestFit="1" customWidth="1"/>
    <col min="5660" max="5660" width="7.7109375" style="42" bestFit="1" customWidth="1"/>
    <col min="5661" max="5661" width="2.7109375" style="42" customWidth="1"/>
    <col min="5662" max="5662" width="7" style="42" bestFit="1" customWidth="1"/>
    <col min="5663" max="5663" width="5.85546875" style="42" bestFit="1" customWidth="1"/>
    <col min="5664" max="5664" width="6" style="42" bestFit="1" customWidth="1"/>
    <col min="5665" max="5665" width="6.140625" style="42" bestFit="1" customWidth="1"/>
    <col min="5666" max="5666" width="7.5703125" style="42" bestFit="1" customWidth="1"/>
    <col min="5667" max="5671" width="8.28515625" style="42" bestFit="1" customWidth="1"/>
    <col min="5672" max="5672" width="1.42578125" style="42" customWidth="1"/>
    <col min="5673" max="5676" width="8.7109375" style="42" customWidth="1"/>
    <col min="5677" max="5677" width="8.42578125" style="42" customWidth="1"/>
    <col min="5678" max="5678" width="8.140625" style="42" customWidth="1"/>
    <col min="5679" max="5679" width="7.85546875" style="42" customWidth="1"/>
    <col min="5680" max="5680" width="10" style="42" bestFit="1" customWidth="1"/>
    <col min="5681" max="5681" width="10" style="42" customWidth="1"/>
    <col min="5682" max="5682" width="9.140625" style="42"/>
    <col min="5683" max="5684" width="5.5703125" style="42" bestFit="1" customWidth="1"/>
    <col min="5685" max="5685" width="6" style="42" bestFit="1" customWidth="1"/>
    <col min="5686" max="5687" width="6.28515625" style="42" customWidth="1"/>
    <col min="5688" max="5688" width="9.140625" style="42"/>
    <col min="5689" max="5689" width="11.5703125" style="42" bestFit="1" customWidth="1"/>
    <col min="5690" max="5727" width="5.42578125" style="42" bestFit="1" customWidth="1"/>
    <col min="5728" max="5888" width="9.140625" style="42"/>
    <col min="5889" max="5889" width="5.85546875" style="42" customWidth="1"/>
    <col min="5890" max="5891" width="6" style="42" bestFit="1" customWidth="1"/>
    <col min="5892" max="5892" width="5.42578125" style="42" customWidth="1"/>
    <col min="5893" max="5893" width="5.85546875" style="42" bestFit="1" customWidth="1"/>
    <col min="5894" max="5894" width="6.5703125" style="42" bestFit="1" customWidth="1"/>
    <col min="5895" max="5897" width="8" style="42" customWidth="1"/>
    <col min="5898" max="5898" width="6.7109375" style="42" customWidth="1"/>
    <col min="5899" max="5899" width="6.5703125" style="42" customWidth="1"/>
    <col min="5900" max="5901" width="5.5703125" style="42" bestFit="1" customWidth="1"/>
    <col min="5902" max="5902" width="8" style="42" customWidth="1"/>
    <col min="5903" max="5905" width="9.140625" style="42"/>
    <col min="5906" max="5906" width="8" style="42" customWidth="1"/>
    <col min="5907" max="5907" width="8.140625" style="42" customWidth="1"/>
    <col min="5908" max="5908" width="2" style="42" customWidth="1"/>
    <col min="5909" max="5909" width="8.140625" style="42" customWidth="1"/>
    <col min="5910" max="5910" width="3.42578125" style="42" customWidth="1"/>
    <col min="5911" max="5911" width="8.5703125" style="42" customWidth="1"/>
    <col min="5912" max="5912" width="8.28515625" style="42" bestFit="1" customWidth="1"/>
    <col min="5913" max="5913" width="7.5703125" style="42" bestFit="1" customWidth="1"/>
    <col min="5914" max="5914" width="7.7109375" style="42" bestFit="1" customWidth="1"/>
    <col min="5915" max="5915" width="8.28515625" style="42" bestFit="1" customWidth="1"/>
    <col min="5916" max="5916" width="7.7109375" style="42" bestFit="1" customWidth="1"/>
    <col min="5917" max="5917" width="2.7109375" style="42" customWidth="1"/>
    <col min="5918" max="5918" width="7" style="42" bestFit="1" customWidth="1"/>
    <col min="5919" max="5919" width="5.85546875" style="42" bestFit="1" customWidth="1"/>
    <col min="5920" max="5920" width="6" style="42" bestFit="1" customWidth="1"/>
    <col min="5921" max="5921" width="6.140625" style="42" bestFit="1" customWidth="1"/>
    <col min="5922" max="5922" width="7.5703125" style="42" bestFit="1" customWidth="1"/>
    <col min="5923" max="5927" width="8.28515625" style="42" bestFit="1" customWidth="1"/>
    <col min="5928" max="5928" width="1.42578125" style="42" customWidth="1"/>
    <col min="5929" max="5932" width="8.7109375" style="42" customWidth="1"/>
    <col min="5933" max="5933" width="8.42578125" style="42" customWidth="1"/>
    <col min="5934" max="5934" width="8.140625" style="42" customWidth="1"/>
    <col min="5935" max="5935" width="7.85546875" style="42" customWidth="1"/>
    <col min="5936" max="5936" width="10" style="42" bestFit="1" customWidth="1"/>
    <col min="5937" max="5937" width="10" style="42" customWidth="1"/>
    <col min="5938" max="5938" width="9.140625" style="42"/>
    <col min="5939" max="5940" width="5.5703125" style="42" bestFit="1" customWidth="1"/>
    <col min="5941" max="5941" width="6" style="42" bestFit="1" customWidth="1"/>
    <col min="5942" max="5943" width="6.28515625" style="42" customWidth="1"/>
    <col min="5944" max="5944" width="9.140625" style="42"/>
    <col min="5945" max="5945" width="11.5703125" style="42" bestFit="1" customWidth="1"/>
    <col min="5946" max="5983" width="5.42578125" style="42" bestFit="1" customWidth="1"/>
    <col min="5984" max="6144" width="9.140625" style="42"/>
    <col min="6145" max="6145" width="5.85546875" style="42" customWidth="1"/>
    <col min="6146" max="6147" width="6" style="42" bestFit="1" customWidth="1"/>
    <col min="6148" max="6148" width="5.42578125" style="42" customWidth="1"/>
    <col min="6149" max="6149" width="5.85546875" style="42" bestFit="1" customWidth="1"/>
    <col min="6150" max="6150" width="6.5703125" style="42" bestFit="1" customWidth="1"/>
    <col min="6151" max="6153" width="8" style="42" customWidth="1"/>
    <col min="6154" max="6154" width="6.7109375" style="42" customWidth="1"/>
    <col min="6155" max="6155" width="6.5703125" style="42" customWidth="1"/>
    <col min="6156" max="6157" width="5.5703125" style="42" bestFit="1" customWidth="1"/>
    <col min="6158" max="6158" width="8" style="42" customWidth="1"/>
    <col min="6159" max="6161" width="9.140625" style="42"/>
    <col min="6162" max="6162" width="8" style="42" customWidth="1"/>
    <col min="6163" max="6163" width="8.140625" style="42" customWidth="1"/>
    <col min="6164" max="6164" width="2" style="42" customWidth="1"/>
    <col min="6165" max="6165" width="8.140625" style="42" customWidth="1"/>
    <col min="6166" max="6166" width="3.42578125" style="42" customWidth="1"/>
    <col min="6167" max="6167" width="8.5703125" style="42" customWidth="1"/>
    <col min="6168" max="6168" width="8.28515625" style="42" bestFit="1" customWidth="1"/>
    <col min="6169" max="6169" width="7.5703125" style="42" bestFit="1" customWidth="1"/>
    <col min="6170" max="6170" width="7.7109375" style="42" bestFit="1" customWidth="1"/>
    <col min="6171" max="6171" width="8.28515625" style="42" bestFit="1" customWidth="1"/>
    <col min="6172" max="6172" width="7.7109375" style="42" bestFit="1" customWidth="1"/>
    <col min="6173" max="6173" width="2.7109375" style="42" customWidth="1"/>
    <col min="6174" max="6174" width="7" style="42" bestFit="1" customWidth="1"/>
    <col min="6175" max="6175" width="5.85546875" style="42" bestFit="1" customWidth="1"/>
    <col min="6176" max="6176" width="6" style="42" bestFit="1" customWidth="1"/>
    <col min="6177" max="6177" width="6.140625" style="42" bestFit="1" customWidth="1"/>
    <col min="6178" max="6178" width="7.5703125" style="42" bestFit="1" customWidth="1"/>
    <col min="6179" max="6183" width="8.28515625" style="42" bestFit="1" customWidth="1"/>
    <col min="6184" max="6184" width="1.42578125" style="42" customWidth="1"/>
    <col min="6185" max="6188" width="8.7109375" style="42" customWidth="1"/>
    <col min="6189" max="6189" width="8.42578125" style="42" customWidth="1"/>
    <col min="6190" max="6190" width="8.140625" style="42" customWidth="1"/>
    <col min="6191" max="6191" width="7.85546875" style="42" customWidth="1"/>
    <col min="6192" max="6192" width="10" style="42" bestFit="1" customWidth="1"/>
    <col min="6193" max="6193" width="10" style="42" customWidth="1"/>
    <col min="6194" max="6194" width="9.140625" style="42"/>
    <col min="6195" max="6196" width="5.5703125" style="42" bestFit="1" customWidth="1"/>
    <col min="6197" max="6197" width="6" style="42" bestFit="1" customWidth="1"/>
    <col min="6198" max="6199" width="6.28515625" style="42" customWidth="1"/>
    <col min="6200" max="6200" width="9.140625" style="42"/>
    <col min="6201" max="6201" width="11.5703125" style="42" bestFit="1" customWidth="1"/>
    <col min="6202" max="6239" width="5.42578125" style="42" bestFit="1" customWidth="1"/>
    <col min="6240" max="6400" width="9.140625" style="42"/>
    <col min="6401" max="6401" width="5.85546875" style="42" customWidth="1"/>
    <col min="6402" max="6403" width="6" style="42" bestFit="1" customWidth="1"/>
    <col min="6404" max="6404" width="5.42578125" style="42" customWidth="1"/>
    <col min="6405" max="6405" width="5.85546875" style="42" bestFit="1" customWidth="1"/>
    <col min="6406" max="6406" width="6.5703125" style="42" bestFit="1" customWidth="1"/>
    <col min="6407" max="6409" width="8" style="42" customWidth="1"/>
    <col min="6410" max="6410" width="6.7109375" style="42" customWidth="1"/>
    <col min="6411" max="6411" width="6.5703125" style="42" customWidth="1"/>
    <col min="6412" max="6413" width="5.5703125" style="42" bestFit="1" customWidth="1"/>
    <col min="6414" max="6414" width="8" style="42" customWidth="1"/>
    <col min="6415" max="6417" width="9.140625" style="42"/>
    <col min="6418" max="6418" width="8" style="42" customWidth="1"/>
    <col min="6419" max="6419" width="8.140625" style="42" customWidth="1"/>
    <col min="6420" max="6420" width="2" style="42" customWidth="1"/>
    <col min="6421" max="6421" width="8.140625" style="42" customWidth="1"/>
    <col min="6422" max="6422" width="3.42578125" style="42" customWidth="1"/>
    <col min="6423" max="6423" width="8.5703125" style="42" customWidth="1"/>
    <col min="6424" max="6424" width="8.28515625" style="42" bestFit="1" customWidth="1"/>
    <col min="6425" max="6425" width="7.5703125" style="42" bestFit="1" customWidth="1"/>
    <col min="6426" max="6426" width="7.7109375" style="42" bestFit="1" customWidth="1"/>
    <col min="6427" max="6427" width="8.28515625" style="42" bestFit="1" customWidth="1"/>
    <col min="6428" max="6428" width="7.7109375" style="42" bestFit="1" customWidth="1"/>
    <col min="6429" max="6429" width="2.7109375" style="42" customWidth="1"/>
    <col min="6430" max="6430" width="7" style="42" bestFit="1" customWidth="1"/>
    <col min="6431" max="6431" width="5.85546875" style="42" bestFit="1" customWidth="1"/>
    <col min="6432" max="6432" width="6" style="42" bestFit="1" customWidth="1"/>
    <col min="6433" max="6433" width="6.140625" style="42" bestFit="1" customWidth="1"/>
    <col min="6434" max="6434" width="7.5703125" style="42" bestFit="1" customWidth="1"/>
    <col min="6435" max="6439" width="8.28515625" style="42" bestFit="1" customWidth="1"/>
    <col min="6440" max="6440" width="1.42578125" style="42" customWidth="1"/>
    <col min="6441" max="6444" width="8.7109375" style="42" customWidth="1"/>
    <col min="6445" max="6445" width="8.42578125" style="42" customWidth="1"/>
    <col min="6446" max="6446" width="8.140625" style="42" customWidth="1"/>
    <col min="6447" max="6447" width="7.85546875" style="42" customWidth="1"/>
    <col min="6448" max="6448" width="10" style="42" bestFit="1" customWidth="1"/>
    <col min="6449" max="6449" width="10" style="42" customWidth="1"/>
    <col min="6450" max="6450" width="9.140625" style="42"/>
    <col min="6451" max="6452" width="5.5703125" style="42" bestFit="1" customWidth="1"/>
    <col min="6453" max="6453" width="6" style="42" bestFit="1" customWidth="1"/>
    <col min="6454" max="6455" width="6.28515625" style="42" customWidth="1"/>
    <col min="6456" max="6456" width="9.140625" style="42"/>
    <col min="6457" max="6457" width="11.5703125" style="42" bestFit="1" customWidth="1"/>
    <col min="6458" max="6495" width="5.42578125" style="42" bestFit="1" customWidth="1"/>
    <col min="6496" max="6656" width="9.140625" style="42"/>
    <col min="6657" max="6657" width="5.85546875" style="42" customWidth="1"/>
    <col min="6658" max="6659" width="6" style="42" bestFit="1" customWidth="1"/>
    <col min="6660" max="6660" width="5.42578125" style="42" customWidth="1"/>
    <col min="6661" max="6661" width="5.85546875" style="42" bestFit="1" customWidth="1"/>
    <col min="6662" max="6662" width="6.5703125" style="42" bestFit="1" customWidth="1"/>
    <col min="6663" max="6665" width="8" style="42" customWidth="1"/>
    <col min="6666" max="6666" width="6.7109375" style="42" customWidth="1"/>
    <col min="6667" max="6667" width="6.5703125" style="42" customWidth="1"/>
    <col min="6668" max="6669" width="5.5703125" style="42" bestFit="1" customWidth="1"/>
    <col min="6670" max="6670" width="8" style="42" customWidth="1"/>
    <col min="6671" max="6673" width="9.140625" style="42"/>
    <col min="6674" max="6674" width="8" style="42" customWidth="1"/>
    <col min="6675" max="6675" width="8.140625" style="42" customWidth="1"/>
    <col min="6676" max="6676" width="2" style="42" customWidth="1"/>
    <col min="6677" max="6677" width="8.140625" style="42" customWidth="1"/>
    <col min="6678" max="6678" width="3.42578125" style="42" customWidth="1"/>
    <col min="6679" max="6679" width="8.5703125" style="42" customWidth="1"/>
    <col min="6680" max="6680" width="8.28515625" style="42" bestFit="1" customWidth="1"/>
    <col min="6681" max="6681" width="7.5703125" style="42" bestFit="1" customWidth="1"/>
    <col min="6682" max="6682" width="7.7109375" style="42" bestFit="1" customWidth="1"/>
    <col min="6683" max="6683" width="8.28515625" style="42" bestFit="1" customWidth="1"/>
    <col min="6684" max="6684" width="7.7109375" style="42" bestFit="1" customWidth="1"/>
    <col min="6685" max="6685" width="2.7109375" style="42" customWidth="1"/>
    <col min="6686" max="6686" width="7" style="42" bestFit="1" customWidth="1"/>
    <col min="6687" max="6687" width="5.85546875" style="42" bestFit="1" customWidth="1"/>
    <col min="6688" max="6688" width="6" style="42" bestFit="1" customWidth="1"/>
    <col min="6689" max="6689" width="6.140625" style="42" bestFit="1" customWidth="1"/>
    <col min="6690" max="6690" width="7.5703125" style="42" bestFit="1" customWidth="1"/>
    <col min="6691" max="6695" width="8.28515625" style="42" bestFit="1" customWidth="1"/>
    <col min="6696" max="6696" width="1.42578125" style="42" customWidth="1"/>
    <col min="6697" max="6700" width="8.7109375" style="42" customWidth="1"/>
    <col min="6701" max="6701" width="8.42578125" style="42" customWidth="1"/>
    <col min="6702" max="6702" width="8.140625" style="42" customWidth="1"/>
    <col min="6703" max="6703" width="7.85546875" style="42" customWidth="1"/>
    <col min="6704" max="6704" width="10" style="42" bestFit="1" customWidth="1"/>
    <col min="6705" max="6705" width="10" style="42" customWidth="1"/>
    <col min="6706" max="6706" width="9.140625" style="42"/>
    <col min="6707" max="6708" width="5.5703125" style="42" bestFit="1" customWidth="1"/>
    <col min="6709" max="6709" width="6" style="42" bestFit="1" customWidth="1"/>
    <col min="6710" max="6711" width="6.28515625" style="42" customWidth="1"/>
    <col min="6712" max="6712" width="9.140625" style="42"/>
    <col min="6713" max="6713" width="11.5703125" style="42" bestFit="1" customWidth="1"/>
    <col min="6714" max="6751" width="5.42578125" style="42" bestFit="1" customWidth="1"/>
    <col min="6752" max="6912" width="9.140625" style="42"/>
    <col min="6913" max="6913" width="5.85546875" style="42" customWidth="1"/>
    <col min="6914" max="6915" width="6" style="42" bestFit="1" customWidth="1"/>
    <col min="6916" max="6916" width="5.42578125" style="42" customWidth="1"/>
    <col min="6917" max="6917" width="5.85546875" style="42" bestFit="1" customWidth="1"/>
    <col min="6918" max="6918" width="6.5703125" style="42" bestFit="1" customWidth="1"/>
    <col min="6919" max="6921" width="8" style="42" customWidth="1"/>
    <col min="6922" max="6922" width="6.7109375" style="42" customWidth="1"/>
    <col min="6923" max="6923" width="6.5703125" style="42" customWidth="1"/>
    <col min="6924" max="6925" width="5.5703125" style="42" bestFit="1" customWidth="1"/>
    <col min="6926" max="6926" width="8" style="42" customWidth="1"/>
    <col min="6927" max="6929" width="9.140625" style="42"/>
    <col min="6930" max="6930" width="8" style="42" customWidth="1"/>
    <col min="6931" max="6931" width="8.140625" style="42" customWidth="1"/>
    <col min="6932" max="6932" width="2" style="42" customWidth="1"/>
    <col min="6933" max="6933" width="8.140625" style="42" customWidth="1"/>
    <col min="6934" max="6934" width="3.42578125" style="42" customWidth="1"/>
    <col min="6935" max="6935" width="8.5703125" style="42" customWidth="1"/>
    <col min="6936" max="6936" width="8.28515625" style="42" bestFit="1" customWidth="1"/>
    <col min="6937" max="6937" width="7.5703125" style="42" bestFit="1" customWidth="1"/>
    <col min="6938" max="6938" width="7.7109375" style="42" bestFit="1" customWidth="1"/>
    <col min="6939" max="6939" width="8.28515625" style="42" bestFit="1" customWidth="1"/>
    <col min="6940" max="6940" width="7.7109375" style="42" bestFit="1" customWidth="1"/>
    <col min="6941" max="6941" width="2.7109375" style="42" customWidth="1"/>
    <col min="6942" max="6942" width="7" style="42" bestFit="1" customWidth="1"/>
    <col min="6943" max="6943" width="5.85546875" style="42" bestFit="1" customWidth="1"/>
    <col min="6944" max="6944" width="6" style="42" bestFit="1" customWidth="1"/>
    <col min="6945" max="6945" width="6.140625" style="42" bestFit="1" customWidth="1"/>
    <col min="6946" max="6946" width="7.5703125" style="42" bestFit="1" customWidth="1"/>
    <col min="6947" max="6951" width="8.28515625" style="42" bestFit="1" customWidth="1"/>
    <col min="6952" max="6952" width="1.42578125" style="42" customWidth="1"/>
    <col min="6953" max="6956" width="8.7109375" style="42" customWidth="1"/>
    <col min="6957" max="6957" width="8.42578125" style="42" customWidth="1"/>
    <col min="6958" max="6958" width="8.140625" style="42" customWidth="1"/>
    <col min="6959" max="6959" width="7.85546875" style="42" customWidth="1"/>
    <col min="6960" max="6960" width="10" style="42" bestFit="1" customWidth="1"/>
    <col min="6961" max="6961" width="10" style="42" customWidth="1"/>
    <col min="6962" max="6962" width="9.140625" style="42"/>
    <col min="6963" max="6964" width="5.5703125" style="42" bestFit="1" customWidth="1"/>
    <col min="6965" max="6965" width="6" style="42" bestFit="1" customWidth="1"/>
    <col min="6966" max="6967" width="6.28515625" style="42" customWidth="1"/>
    <col min="6968" max="6968" width="9.140625" style="42"/>
    <col min="6969" max="6969" width="11.5703125" style="42" bestFit="1" customWidth="1"/>
    <col min="6970" max="7007" width="5.42578125" style="42" bestFit="1" customWidth="1"/>
    <col min="7008" max="7168" width="9.140625" style="42"/>
    <col min="7169" max="7169" width="5.85546875" style="42" customWidth="1"/>
    <col min="7170" max="7171" width="6" style="42" bestFit="1" customWidth="1"/>
    <col min="7172" max="7172" width="5.42578125" style="42" customWidth="1"/>
    <col min="7173" max="7173" width="5.85546875" style="42" bestFit="1" customWidth="1"/>
    <col min="7174" max="7174" width="6.5703125" style="42" bestFit="1" customWidth="1"/>
    <col min="7175" max="7177" width="8" style="42" customWidth="1"/>
    <col min="7178" max="7178" width="6.7109375" style="42" customWidth="1"/>
    <col min="7179" max="7179" width="6.5703125" style="42" customWidth="1"/>
    <col min="7180" max="7181" width="5.5703125" style="42" bestFit="1" customWidth="1"/>
    <col min="7182" max="7182" width="8" style="42" customWidth="1"/>
    <col min="7183" max="7185" width="9.140625" style="42"/>
    <col min="7186" max="7186" width="8" style="42" customWidth="1"/>
    <col min="7187" max="7187" width="8.140625" style="42" customWidth="1"/>
    <col min="7188" max="7188" width="2" style="42" customWidth="1"/>
    <col min="7189" max="7189" width="8.140625" style="42" customWidth="1"/>
    <col min="7190" max="7190" width="3.42578125" style="42" customWidth="1"/>
    <col min="7191" max="7191" width="8.5703125" style="42" customWidth="1"/>
    <col min="7192" max="7192" width="8.28515625" style="42" bestFit="1" customWidth="1"/>
    <col min="7193" max="7193" width="7.5703125" style="42" bestFit="1" customWidth="1"/>
    <col min="7194" max="7194" width="7.7109375" style="42" bestFit="1" customWidth="1"/>
    <col min="7195" max="7195" width="8.28515625" style="42" bestFit="1" customWidth="1"/>
    <col min="7196" max="7196" width="7.7109375" style="42" bestFit="1" customWidth="1"/>
    <col min="7197" max="7197" width="2.7109375" style="42" customWidth="1"/>
    <col min="7198" max="7198" width="7" style="42" bestFit="1" customWidth="1"/>
    <col min="7199" max="7199" width="5.85546875" style="42" bestFit="1" customWidth="1"/>
    <col min="7200" max="7200" width="6" style="42" bestFit="1" customWidth="1"/>
    <col min="7201" max="7201" width="6.140625" style="42" bestFit="1" customWidth="1"/>
    <col min="7202" max="7202" width="7.5703125" style="42" bestFit="1" customWidth="1"/>
    <col min="7203" max="7207" width="8.28515625" style="42" bestFit="1" customWidth="1"/>
    <col min="7208" max="7208" width="1.42578125" style="42" customWidth="1"/>
    <col min="7209" max="7212" width="8.7109375" style="42" customWidth="1"/>
    <col min="7213" max="7213" width="8.42578125" style="42" customWidth="1"/>
    <col min="7214" max="7214" width="8.140625" style="42" customWidth="1"/>
    <col min="7215" max="7215" width="7.85546875" style="42" customWidth="1"/>
    <col min="7216" max="7216" width="10" style="42" bestFit="1" customWidth="1"/>
    <col min="7217" max="7217" width="10" style="42" customWidth="1"/>
    <col min="7218" max="7218" width="9.140625" style="42"/>
    <col min="7219" max="7220" width="5.5703125" style="42" bestFit="1" customWidth="1"/>
    <col min="7221" max="7221" width="6" style="42" bestFit="1" customWidth="1"/>
    <col min="7222" max="7223" width="6.28515625" style="42" customWidth="1"/>
    <col min="7224" max="7224" width="9.140625" style="42"/>
    <col min="7225" max="7225" width="11.5703125" style="42" bestFit="1" customWidth="1"/>
    <col min="7226" max="7263" width="5.42578125" style="42" bestFit="1" customWidth="1"/>
    <col min="7264" max="7424" width="9.140625" style="42"/>
    <col min="7425" max="7425" width="5.85546875" style="42" customWidth="1"/>
    <col min="7426" max="7427" width="6" style="42" bestFit="1" customWidth="1"/>
    <col min="7428" max="7428" width="5.42578125" style="42" customWidth="1"/>
    <col min="7429" max="7429" width="5.85546875" style="42" bestFit="1" customWidth="1"/>
    <col min="7430" max="7430" width="6.5703125" style="42" bestFit="1" customWidth="1"/>
    <col min="7431" max="7433" width="8" style="42" customWidth="1"/>
    <col min="7434" max="7434" width="6.7109375" style="42" customWidth="1"/>
    <col min="7435" max="7435" width="6.5703125" style="42" customWidth="1"/>
    <col min="7436" max="7437" width="5.5703125" style="42" bestFit="1" customWidth="1"/>
    <col min="7438" max="7438" width="8" style="42" customWidth="1"/>
    <col min="7439" max="7441" width="9.140625" style="42"/>
    <col min="7442" max="7442" width="8" style="42" customWidth="1"/>
    <col min="7443" max="7443" width="8.140625" style="42" customWidth="1"/>
    <col min="7444" max="7444" width="2" style="42" customWidth="1"/>
    <col min="7445" max="7445" width="8.140625" style="42" customWidth="1"/>
    <col min="7446" max="7446" width="3.42578125" style="42" customWidth="1"/>
    <col min="7447" max="7447" width="8.5703125" style="42" customWidth="1"/>
    <col min="7448" max="7448" width="8.28515625" style="42" bestFit="1" customWidth="1"/>
    <col min="7449" max="7449" width="7.5703125" style="42" bestFit="1" customWidth="1"/>
    <col min="7450" max="7450" width="7.7109375" style="42" bestFit="1" customWidth="1"/>
    <col min="7451" max="7451" width="8.28515625" style="42" bestFit="1" customWidth="1"/>
    <col min="7452" max="7452" width="7.7109375" style="42" bestFit="1" customWidth="1"/>
    <col min="7453" max="7453" width="2.7109375" style="42" customWidth="1"/>
    <col min="7454" max="7454" width="7" style="42" bestFit="1" customWidth="1"/>
    <col min="7455" max="7455" width="5.85546875" style="42" bestFit="1" customWidth="1"/>
    <col min="7456" max="7456" width="6" style="42" bestFit="1" customWidth="1"/>
    <col min="7457" max="7457" width="6.140625" style="42" bestFit="1" customWidth="1"/>
    <col min="7458" max="7458" width="7.5703125" style="42" bestFit="1" customWidth="1"/>
    <col min="7459" max="7463" width="8.28515625" style="42" bestFit="1" customWidth="1"/>
    <col min="7464" max="7464" width="1.42578125" style="42" customWidth="1"/>
    <col min="7465" max="7468" width="8.7109375" style="42" customWidth="1"/>
    <col min="7469" max="7469" width="8.42578125" style="42" customWidth="1"/>
    <col min="7470" max="7470" width="8.140625" style="42" customWidth="1"/>
    <col min="7471" max="7471" width="7.85546875" style="42" customWidth="1"/>
    <col min="7472" max="7472" width="10" style="42" bestFit="1" customWidth="1"/>
    <col min="7473" max="7473" width="10" style="42" customWidth="1"/>
    <col min="7474" max="7474" width="9.140625" style="42"/>
    <col min="7475" max="7476" width="5.5703125" style="42" bestFit="1" customWidth="1"/>
    <col min="7477" max="7477" width="6" style="42" bestFit="1" customWidth="1"/>
    <col min="7478" max="7479" width="6.28515625" style="42" customWidth="1"/>
    <col min="7480" max="7480" width="9.140625" style="42"/>
    <col min="7481" max="7481" width="11.5703125" style="42" bestFit="1" customWidth="1"/>
    <col min="7482" max="7519" width="5.42578125" style="42" bestFit="1" customWidth="1"/>
    <col min="7520" max="7680" width="9.140625" style="42"/>
    <col min="7681" max="7681" width="5.85546875" style="42" customWidth="1"/>
    <col min="7682" max="7683" width="6" style="42" bestFit="1" customWidth="1"/>
    <col min="7684" max="7684" width="5.42578125" style="42" customWidth="1"/>
    <col min="7685" max="7685" width="5.85546875" style="42" bestFit="1" customWidth="1"/>
    <col min="7686" max="7686" width="6.5703125" style="42" bestFit="1" customWidth="1"/>
    <col min="7687" max="7689" width="8" style="42" customWidth="1"/>
    <col min="7690" max="7690" width="6.7109375" style="42" customWidth="1"/>
    <col min="7691" max="7691" width="6.5703125" style="42" customWidth="1"/>
    <col min="7692" max="7693" width="5.5703125" style="42" bestFit="1" customWidth="1"/>
    <col min="7694" max="7694" width="8" style="42" customWidth="1"/>
    <col min="7695" max="7697" width="9.140625" style="42"/>
    <col min="7698" max="7698" width="8" style="42" customWidth="1"/>
    <col min="7699" max="7699" width="8.140625" style="42" customWidth="1"/>
    <col min="7700" max="7700" width="2" style="42" customWidth="1"/>
    <col min="7701" max="7701" width="8.140625" style="42" customWidth="1"/>
    <col min="7702" max="7702" width="3.42578125" style="42" customWidth="1"/>
    <col min="7703" max="7703" width="8.5703125" style="42" customWidth="1"/>
    <col min="7704" max="7704" width="8.28515625" style="42" bestFit="1" customWidth="1"/>
    <col min="7705" max="7705" width="7.5703125" style="42" bestFit="1" customWidth="1"/>
    <col min="7706" max="7706" width="7.7109375" style="42" bestFit="1" customWidth="1"/>
    <col min="7707" max="7707" width="8.28515625" style="42" bestFit="1" customWidth="1"/>
    <col min="7708" max="7708" width="7.7109375" style="42" bestFit="1" customWidth="1"/>
    <col min="7709" max="7709" width="2.7109375" style="42" customWidth="1"/>
    <col min="7710" max="7710" width="7" style="42" bestFit="1" customWidth="1"/>
    <col min="7711" max="7711" width="5.85546875" style="42" bestFit="1" customWidth="1"/>
    <col min="7712" max="7712" width="6" style="42" bestFit="1" customWidth="1"/>
    <col min="7713" max="7713" width="6.140625" style="42" bestFit="1" customWidth="1"/>
    <col min="7714" max="7714" width="7.5703125" style="42" bestFit="1" customWidth="1"/>
    <col min="7715" max="7719" width="8.28515625" style="42" bestFit="1" customWidth="1"/>
    <col min="7720" max="7720" width="1.42578125" style="42" customWidth="1"/>
    <col min="7721" max="7724" width="8.7109375" style="42" customWidth="1"/>
    <col min="7725" max="7725" width="8.42578125" style="42" customWidth="1"/>
    <col min="7726" max="7726" width="8.140625" style="42" customWidth="1"/>
    <col min="7727" max="7727" width="7.85546875" style="42" customWidth="1"/>
    <col min="7728" max="7728" width="10" style="42" bestFit="1" customWidth="1"/>
    <col min="7729" max="7729" width="10" style="42" customWidth="1"/>
    <col min="7730" max="7730" width="9.140625" style="42"/>
    <col min="7731" max="7732" width="5.5703125" style="42" bestFit="1" customWidth="1"/>
    <col min="7733" max="7733" width="6" style="42" bestFit="1" customWidth="1"/>
    <col min="7734" max="7735" width="6.28515625" style="42" customWidth="1"/>
    <col min="7736" max="7736" width="9.140625" style="42"/>
    <col min="7737" max="7737" width="11.5703125" style="42" bestFit="1" customWidth="1"/>
    <col min="7738" max="7775" width="5.42578125" style="42" bestFit="1" customWidth="1"/>
    <col min="7776" max="7936" width="9.140625" style="42"/>
    <col min="7937" max="7937" width="5.85546875" style="42" customWidth="1"/>
    <col min="7938" max="7939" width="6" style="42" bestFit="1" customWidth="1"/>
    <col min="7940" max="7940" width="5.42578125" style="42" customWidth="1"/>
    <col min="7941" max="7941" width="5.85546875" style="42" bestFit="1" customWidth="1"/>
    <col min="7942" max="7942" width="6.5703125" style="42" bestFit="1" customWidth="1"/>
    <col min="7943" max="7945" width="8" style="42" customWidth="1"/>
    <col min="7946" max="7946" width="6.7109375" style="42" customWidth="1"/>
    <col min="7947" max="7947" width="6.5703125" style="42" customWidth="1"/>
    <col min="7948" max="7949" width="5.5703125" style="42" bestFit="1" customWidth="1"/>
    <col min="7950" max="7950" width="8" style="42" customWidth="1"/>
    <col min="7951" max="7953" width="9.140625" style="42"/>
    <col min="7954" max="7954" width="8" style="42" customWidth="1"/>
    <col min="7955" max="7955" width="8.140625" style="42" customWidth="1"/>
    <col min="7956" max="7956" width="2" style="42" customWidth="1"/>
    <col min="7957" max="7957" width="8.140625" style="42" customWidth="1"/>
    <col min="7958" max="7958" width="3.42578125" style="42" customWidth="1"/>
    <col min="7959" max="7959" width="8.5703125" style="42" customWidth="1"/>
    <col min="7960" max="7960" width="8.28515625" style="42" bestFit="1" customWidth="1"/>
    <col min="7961" max="7961" width="7.5703125" style="42" bestFit="1" customWidth="1"/>
    <col min="7962" max="7962" width="7.7109375" style="42" bestFit="1" customWidth="1"/>
    <col min="7963" max="7963" width="8.28515625" style="42" bestFit="1" customWidth="1"/>
    <col min="7964" max="7964" width="7.7109375" style="42" bestFit="1" customWidth="1"/>
    <col min="7965" max="7965" width="2.7109375" style="42" customWidth="1"/>
    <col min="7966" max="7966" width="7" style="42" bestFit="1" customWidth="1"/>
    <col min="7967" max="7967" width="5.85546875" style="42" bestFit="1" customWidth="1"/>
    <col min="7968" max="7968" width="6" style="42" bestFit="1" customWidth="1"/>
    <col min="7969" max="7969" width="6.140625" style="42" bestFit="1" customWidth="1"/>
    <col min="7970" max="7970" width="7.5703125" style="42" bestFit="1" customWidth="1"/>
    <col min="7971" max="7975" width="8.28515625" style="42" bestFit="1" customWidth="1"/>
    <col min="7976" max="7976" width="1.42578125" style="42" customWidth="1"/>
    <col min="7977" max="7980" width="8.7109375" style="42" customWidth="1"/>
    <col min="7981" max="7981" width="8.42578125" style="42" customWidth="1"/>
    <col min="7982" max="7982" width="8.140625" style="42" customWidth="1"/>
    <col min="7983" max="7983" width="7.85546875" style="42" customWidth="1"/>
    <col min="7984" max="7984" width="10" style="42" bestFit="1" customWidth="1"/>
    <col min="7985" max="7985" width="10" style="42" customWidth="1"/>
    <col min="7986" max="7986" width="9.140625" style="42"/>
    <col min="7987" max="7988" width="5.5703125" style="42" bestFit="1" customWidth="1"/>
    <col min="7989" max="7989" width="6" style="42" bestFit="1" customWidth="1"/>
    <col min="7990" max="7991" width="6.28515625" style="42" customWidth="1"/>
    <col min="7992" max="7992" width="9.140625" style="42"/>
    <col min="7993" max="7993" width="11.5703125" style="42" bestFit="1" customWidth="1"/>
    <col min="7994" max="8031" width="5.42578125" style="42" bestFit="1" customWidth="1"/>
    <col min="8032" max="8192" width="9.140625" style="42"/>
    <col min="8193" max="8193" width="5.85546875" style="42" customWidth="1"/>
    <col min="8194" max="8195" width="6" style="42" bestFit="1" customWidth="1"/>
    <col min="8196" max="8196" width="5.42578125" style="42" customWidth="1"/>
    <col min="8197" max="8197" width="5.85546875" style="42" bestFit="1" customWidth="1"/>
    <col min="8198" max="8198" width="6.5703125" style="42" bestFit="1" customWidth="1"/>
    <col min="8199" max="8201" width="8" style="42" customWidth="1"/>
    <col min="8202" max="8202" width="6.7109375" style="42" customWidth="1"/>
    <col min="8203" max="8203" width="6.5703125" style="42" customWidth="1"/>
    <col min="8204" max="8205" width="5.5703125" style="42" bestFit="1" customWidth="1"/>
    <col min="8206" max="8206" width="8" style="42" customWidth="1"/>
    <col min="8207" max="8209" width="9.140625" style="42"/>
    <col min="8210" max="8210" width="8" style="42" customWidth="1"/>
    <col min="8211" max="8211" width="8.140625" style="42" customWidth="1"/>
    <col min="8212" max="8212" width="2" style="42" customWidth="1"/>
    <col min="8213" max="8213" width="8.140625" style="42" customWidth="1"/>
    <col min="8214" max="8214" width="3.42578125" style="42" customWidth="1"/>
    <col min="8215" max="8215" width="8.5703125" style="42" customWidth="1"/>
    <col min="8216" max="8216" width="8.28515625" style="42" bestFit="1" customWidth="1"/>
    <col min="8217" max="8217" width="7.5703125" style="42" bestFit="1" customWidth="1"/>
    <col min="8218" max="8218" width="7.7109375" style="42" bestFit="1" customWidth="1"/>
    <col min="8219" max="8219" width="8.28515625" style="42" bestFit="1" customWidth="1"/>
    <col min="8220" max="8220" width="7.7109375" style="42" bestFit="1" customWidth="1"/>
    <col min="8221" max="8221" width="2.7109375" style="42" customWidth="1"/>
    <col min="8222" max="8222" width="7" style="42" bestFit="1" customWidth="1"/>
    <col min="8223" max="8223" width="5.85546875" style="42" bestFit="1" customWidth="1"/>
    <col min="8224" max="8224" width="6" style="42" bestFit="1" customWidth="1"/>
    <col min="8225" max="8225" width="6.140625" style="42" bestFit="1" customWidth="1"/>
    <col min="8226" max="8226" width="7.5703125" style="42" bestFit="1" customWidth="1"/>
    <col min="8227" max="8231" width="8.28515625" style="42" bestFit="1" customWidth="1"/>
    <col min="8232" max="8232" width="1.42578125" style="42" customWidth="1"/>
    <col min="8233" max="8236" width="8.7109375" style="42" customWidth="1"/>
    <col min="8237" max="8237" width="8.42578125" style="42" customWidth="1"/>
    <col min="8238" max="8238" width="8.140625" style="42" customWidth="1"/>
    <col min="8239" max="8239" width="7.85546875" style="42" customWidth="1"/>
    <col min="8240" max="8240" width="10" style="42" bestFit="1" customWidth="1"/>
    <col min="8241" max="8241" width="10" style="42" customWidth="1"/>
    <col min="8242" max="8242" width="9.140625" style="42"/>
    <col min="8243" max="8244" width="5.5703125" style="42" bestFit="1" customWidth="1"/>
    <col min="8245" max="8245" width="6" style="42" bestFit="1" customWidth="1"/>
    <col min="8246" max="8247" width="6.28515625" style="42" customWidth="1"/>
    <col min="8248" max="8248" width="9.140625" style="42"/>
    <col min="8249" max="8249" width="11.5703125" style="42" bestFit="1" customWidth="1"/>
    <col min="8250" max="8287" width="5.42578125" style="42" bestFit="1" customWidth="1"/>
    <col min="8288" max="8448" width="9.140625" style="42"/>
    <col min="8449" max="8449" width="5.85546875" style="42" customWidth="1"/>
    <col min="8450" max="8451" width="6" style="42" bestFit="1" customWidth="1"/>
    <col min="8452" max="8452" width="5.42578125" style="42" customWidth="1"/>
    <col min="8453" max="8453" width="5.85546875" style="42" bestFit="1" customWidth="1"/>
    <col min="8454" max="8454" width="6.5703125" style="42" bestFit="1" customWidth="1"/>
    <col min="8455" max="8457" width="8" style="42" customWidth="1"/>
    <col min="8458" max="8458" width="6.7109375" style="42" customWidth="1"/>
    <col min="8459" max="8459" width="6.5703125" style="42" customWidth="1"/>
    <col min="8460" max="8461" width="5.5703125" style="42" bestFit="1" customWidth="1"/>
    <col min="8462" max="8462" width="8" style="42" customWidth="1"/>
    <col min="8463" max="8465" width="9.140625" style="42"/>
    <col min="8466" max="8466" width="8" style="42" customWidth="1"/>
    <col min="8467" max="8467" width="8.140625" style="42" customWidth="1"/>
    <col min="8468" max="8468" width="2" style="42" customWidth="1"/>
    <col min="8469" max="8469" width="8.140625" style="42" customWidth="1"/>
    <col min="8470" max="8470" width="3.42578125" style="42" customWidth="1"/>
    <col min="8471" max="8471" width="8.5703125" style="42" customWidth="1"/>
    <col min="8472" max="8472" width="8.28515625" style="42" bestFit="1" customWidth="1"/>
    <col min="8473" max="8473" width="7.5703125" style="42" bestFit="1" customWidth="1"/>
    <col min="8474" max="8474" width="7.7109375" style="42" bestFit="1" customWidth="1"/>
    <col min="8475" max="8475" width="8.28515625" style="42" bestFit="1" customWidth="1"/>
    <col min="8476" max="8476" width="7.7109375" style="42" bestFit="1" customWidth="1"/>
    <col min="8477" max="8477" width="2.7109375" style="42" customWidth="1"/>
    <col min="8478" max="8478" width="7" style="42" bestFit="1" customWidth="1"/>
    <col min="8479" max="8479" width="5.85546875" style="42" bestFit="1" customWidth="1"/>
    <col min="8480" max="8480" width="6" style="42" bestFit="1" customWidth="1"/>
    <col min="8481" max="8481" width="6.140625" style="42" bestFit="1" customWidth="1"/>
    <col min="8482" max="8482" width="7.5703125" style="42" bestFit="1" customWidth="1"/>
    <col min="8483" max="8487" width="8.28515625" style="42" bestFit="1" customWidth="1"/>
    <col min="8488" max="8488" width="1.42578125" style="42" customWidth="1"/>
    <col min="8489" max="8492" width="8.7109375" style="42" customWidth="1"/>
    <col min="8493" max="8493" width="8.42578125" style="42" customWidth="1"/>
    <col min="8494" max="8494" width="8.140625" style="42" customWidth="1"/>
    <col min="8495" max="8495" width="7.85546875" style="42" customWidth="1"/>
    <col min="8496" max="8496" width="10" style="42" bestFit="1" customWidth="1"/>
    <col min="8497" max="8497" width="10" style="42" customWidth="1"/>
    <col min="8498" max="8498" width="9.140625" style="42"/>
    <col min="8499" max="8500" width="5.5703125" style="42" bestFit="1" customWidth="1"/>
    <col min="8501" max="8501" width="6" style="42" bestFit="1" customWidth="1"/>
    <col min="8502" max="8503" width="6.28515625" style="42" customWidth="1"/>
    <col min="8504" max="8504" width="9.140625" style="42"/>
    <col min="8505" max="8505" width="11.5703125" style="42" bestFit="1" customWidth="1"/>
    <col min="8506" max="8543" width="5.42578125" style="42" bestFit="1" customWidth="1"/>
    <col min="8544" max="8704" width="9.140625" style="42"/>
    <col min="8705" max="8705" width="5.85546875" style="42" customWidth="1"/>
    <col min="8706" max="8707" width="6" style="42" bestFit="1" customWidth="1"/>
    <col min="8708" max="8708" width="5.42578125" style="42" customWidth="1"/>
    <col min="8709" max="8709" width="5.85546875" style="42" bestFit="1" customWidth="1"/>
    <col min="8710" max="8710" width="6.5703125" style="42" bestFit="1" customWidth="1"/>
    <col min="8711" max="8713" width="8" style="42" customWidth="1"/>
    <col min="8714" max="8714" width="6.7109375" style="42" customWidth="1"/>
    <col min="8715" max="8715" width="6.5703125" style="42" customWidth="1"/>
    <col min="8716" max="8717" width="5.5703125" style="42" bestFit="1" customWidth="1"/>
    <col min="8718" max="8718" width="8" style="42" customWidth="1"/>
    <col min="8719" max="8721" width="9.140625" style="42"/>
    <col min="8722" max="8722" width="8" style="42" customWidth="1"/>
    <col min="8723" max="8723" width="8.140625" style="42" customWidth="1"/>
    <col min="8724" max="8724" width="2" style="42" customWidth="1"/>
    <col min="8725" max="8725" width="8.140625" style="42" customWidth="1"/>
    <col min="8726" max="8726" width="3.42578125" style="42" customWidth="1"/>
    <col min="8727" max="8727" width="8.5703125" style="42" customWidth="1"/>
    <col min="8728" max="8728" width="8.28515625" style="42" bestFit="1" customWidth="1"/>
    <col min="8729" max="8729" width="7.5703125" style="42" bestFit="1" customWidth="1"/>
    <col min="8730" max="8730" width="7.7109375" style="42" bestFit="1" customWidth="1"/>
    <col min="8731" max="8731" width="8.28515625" style="42" bestFit="1" customWidth="1"/>
    <col min="8732" max="8732" width="7.7109375" style="42" bestFit="1" customWidth="1"/>
    <col min="8733" max="8733" width="2.7109375" style="42" customWidth="1"/>
    <col min="8734" max="8734" width="7" style="42" bestFit="1" customWidth="1"/>
    <col min="8735" max="8735" width="5.85546875" style="42" bestFit="1" customWidth="1"/>
    <col min="8736" max="8736" width="6" style="42" bestFit="1" customWidth="1"/>
    <col min="8737" max="8737" width="6.140625" style="42" bestFit="1" customWidth="1"/>
    <col min="8738" max="8738" width="7.5703125" style="42" bestFit="1" customWidth="1"/>
    <col min="8739" max="8743" width="8.28515625" style="42" bestFit="1" customWidth="1"/>
    <col min="8744" max="8744" width="1.42578125" style="42" customWidth="1"/>
    <col min="8745" max="8748" width="8.7109375" style="42" customWidth="1"/>
    <col min="8749" max="8749" width="8.42578125" style="42" customWidth="1"/>
    <col min="8750" max="8750" width="8.140625" style="42" customWidth="1"/>
    <col min="8751" max="8751" width="7.85546875" style="42" customWidth="1"/>
    <col min="8752" max="8752" width="10" style="42" bestFit="1" customWidth="1"/>
    <col min="8753" max="8753" width="10" style="42" customWidth="1"/>
    <col min="8754" max="8754" width="9.140625" style="42"/>
    <col min="8755" max="8756" width="5.5703125" style="42" bestFit="1" customWidth="1"/>
    <col min="8757" max="8757" width="6" style="42" bestFit="1" customWidth="1"/>
    <col min="8758" max="8759" width="6.28515625" style="42" customWidth="1"/>
    <col min="8760" max="8760" width="9.140625" style="42"/>
    <col min="8761" max="8761" width="11.5703125" style="42" bestFit="1" customWidth="1"/>
    <col min="8762" max="8799" width="5.42578125" style="42" bestFit="1" customWidth="1"/>
    <col min="8800" max="8960" width="9.140625" style="42"/>
    <col min="8961" max="8961" width="5.85546875" style="42" customWidth="1"/>
    <col min="8962" max="8963" width="6" style="42" bestFit="1" customWidth="1"/>
    <col min="8964" max="8964" width="5.42578125" style="42" customWidth="1"/>
    <col min="8965" max="8965" width="5.85546875" style="42" bestFit="1" customWidth="1"/>
    <col min="8966" max="8966" width="6.5703125" style="42" bestFit="1" customWidth="1"/>
    <col min="8967" max="8969" width="8" style="42" customWidth="1"/>
    <col min="8970" max="8970" width="6.7109375" style="42" customWidth="1"/>
    <col min="8971" max="8971" width="6.5703125" style="42" customWidth="1"/>
    <col min="8972" max="8973" width="5.5703125" style="42" bestFit="1" customWidth="1"/>
    <col min="8974" max="8974" width="8" style="42" customWidth="1"/>
    <col min="8975" max="8977" width="9.140625" style="42"/>
    <col min="8978" max="8978" width="8" style="42" customWidth="1"/>
    <col min="8979" max="8979" width="8.140625" style="42" customWidth="1"/>
    <col min="8980" max="8980" width="2" style="42" customWidth="1"/>
    <col min="8981" max="8981" width="8.140625" style="42" customWidth="1"/>
    <col min="8982" max="8982" width="3.42578125" style="42" customWidth="1"/>
    <col min="8983" max="8983" width="8.5703125" style="42" customWidth="1"/>
    <col min="8984" max="8984" width="8.28515625" style="42" bestFit="1" customWidth="1"/>
    <col min="8985" max="8985" width="7.5703125" style="42" bestFit="1" customWidth="1"/>
    <col min="8986" max="8986" width="7.7109375" style="42" bestFit="1" customWidth="1"/>
    <col min="8987" max="8987" width="8.28515625" style="42" bestFit="1" customWidth="1"/>
    <col min="8988" max="8988" width="7.7109375" style="42" bestFit="1" customWidth="1"/>
    <col min="8989" max="8989" width="2.7109375" style="42" customWidth="1"/>
    <col min="8990" max="8990" width="7" style="42" bestFit="1" customWidth="1"/>
    <col min="8991" max="8991" width="5.85546875" style="42" bestFit="1" customWidth="1"/>
    <col min="8992" max="8992" width="6" style="42" bestFit="1" customWidth="1"/>
    <col min="8993" max="8993" width="6.140625" style="42" bestFit="1" customWidth="1"/>
    <col min="8994" max="8994" width="7.5703125" style="42" bestFit="1" customWidth="1"/>
    <col min="8995" max="8999" width="8.28515625" style="42" bestFit="1" customWidth="1"/>
    <col min="9000" max="9000" width="1.42578125" style="42" customWidth="1"/>
    <col min="9001" max="9004" width="8.7109375" style="42" customWidth="1"/>
    <col min="9005" max="9005" width="8.42578125" style="42" customWidth="1"/>
    <col min="9006" max="9006" width="8.140625" style="42" customWidth="1"/>
    <col min="9007" max="9007" width="7.85546875" style="42" customWidth="1"/>
    <col min="9008" max="9008" width="10" style="42" bestFit="1" customWidth="1"/>
    <col min="9009" max="9009" width="10" style="42" customWidth="1"/>
    <col min="9010" max="9010" width="9.140625" style="42"/>
    <col min="9011" max="9012" width="5.5703125" style="42" bestFit="1" customWidth="1"/>
    <col min="9013" max="9013" width="6" style="42" bestFit="1" customWidth="1"/>
    <col min="9014" max="9015" width="6.28515625" style="42" customWidth="1"/>
    <col min="9016" max="9016" width="9.140625" style="42"/>
    <col min="9017" max="9017" width="11.5703125" style="42" bestFit="1" customWidth="1"/>
    <col min="9018" max="9055" width="5.42578125" style="42" bestFit="1" customWidth="1"/>
    <col min="9056" max="9216" width="9.140625" style="42"/>
    <col min="9217" max="9217" width="5.85546875" style="42" customWidth="1"/>
    <col min="9218" max="9219" width="6" style="42" bestFit="1" customWidth="1"/>
    <col min="9220" max="9220" width="5.42578125" style="42" customWidth="1"/>
    <col min="9221" max="9221" width="5.85546875" style="42" bestFit="1" customWidth="1"/>
    <col min="9222" max="9222" width="6.5703125" style="42" bestFit="1" customWidth="1"/>
    <col min="9223" max="9225" width="8" style="42" customWidth="1"/>
    <col min="9226" max="9226" width="6.7109375" style="42" customWidth="1"/>
    <col min="9227" max="9227" width="6.5703125" style="42" customWidth="1"/>
    <col min="9228" max="9229" width="5.5703125" style="42" bestFit="1" customWidth="1"/>
    <col min="9230" max="9230" width="8" style="42" customWidth="1"/>
    <col min="9231" max="9233" width="9.140625" style="42"/>
    <col min="9234" max="9234" width="8" style="42" customWidth="1"/>
    <col min="9235" max="9235" width="8.140625" style="42" customWidth="1"/>
    <col min="9236" max="9236" width="2" style="42" customWidth="1"/>
    <col min="9237" max="9237" width="8.140625" style="42" customWidth="1"/>
    <col min="9238" max="9238" width="3.42578125" style="42" customWidth="1"/>
    <col min="9239" max="9239" width="8.5703125" style="42" customWidth="1"/>
    <col min="9240" max="9240" width="8.28515625" style="42" bestFit="1" customWidth="1"/>
    <col min="9241" max="9241" width="7.5703125" style="42" bestFit="1" customWidth="1"/>
    <col min="9242" max="9242" width="7.7109375" style="42" bestFit="1" customWidth="1"/>
    <col min="9243" max="9243" width="8.28515625" style="42" bestFit="1" customWidth="1"/>
    <col min="9244" max="9244" width="7.7109375" style="42" bestFit="1" customWidth="1"/>
    <col min="9245" max="9245" width="2.7109375" style="42" customWidth="1"/>
    <col min="9246" max="9246" width="7" style="42" bestFit="1" customWidth="1"/>
    <col min="9247" max="9247" width="5.85546875" style="42" bestFit="1" customWidth="1"/>
    <col min="9248" max="9248" width="6" style="42" bestFit="1" customWidth="1"/>
    <col min="9249" max="9249" width="6.140625" style="42" bestFit="1" customWidth="1"/>
    <col min="9250" max="9250" width="7.5703125" style="42" bestFit="1" customWidth="1"/>
    <col min="9251" max="9255" width="8.28515625" style="42" bestFit="1" customWidth="1"/>
    <col min="9256" max="9256" width="1.42578125" style="42" customWidth="1"/>
    <col min="9257" max="9260" width="8.7109375" style="42" customWidth="1"/>
    <col min="9261" max="9261" width="8.42578125" style="42" customWidth="1"/>
    <col min="9262" max="9262" width="8.140625" style="42" customWidth="1"/>
    <col min="9263" max="9263" width="7.85546875" style="42" customWidth="1"/>
    <col min="9264" max="9264" width="10" style="42" bestFit="1" customWidth="1"/>
    <col min="9265" max="9265" width="10" style="42" customWidth="1"/>
    <col min="9266" max="9266" width="9.140625" style="42"/>
    <col min="9267" max="9268" width="5.5703125" style="42" bestFit="1" customWidth="1"/>
    <col min="9269" max="9269" width="6" style="42" bestFit="1" customWidth="1"/>
    <col min="9270" max="9271" width="6.28515625" style="42" customWidth="1"/>
    <col min="9272" max="9272" width="9.140625" style="42"/>
    <col min="9273" max="9273" width="11.5703125" style="42" bestFit="1" customWidth="1"/>
    <col min="9274" max="9311" width="5.42578125" style="42" bestFit="1" customWidth="1"/>
    <col min="9312" max="9472" width="9.140625" style="42"/>
    <col min="9473" max="9473" width="5.85546875" style="42" customWidth="1"/>
    <col min="9474" max="9475" width="6" style="42" bestFit="1" customWidth="1"/>
    <col min="9476" max="9476" width="5.42578125" style="42" customWidth="1"/>
    <col min="9477" max="9477" width="5.85546875" style="42" bestFit="1" customWidth="1"/>
    <col min="9478" max="9478" width="6.5703125" style="42" bestFit="1" customWidth="1"/>
    <col min="9479" max="9481" width="8" style="42" customWidth="1"/>
    <col min="9482" max="9482" width="6.7109375" style="42" customWidth="1"/>
    <col min="9483" max="9483" width="6.5703125" style="42" customWidth="1"/>
    <col min="9484" max="9485" width="5.5703125" style="42" bestFit="1" customWidth="1"/>
    <col min="9486" max="9486" width="8" style="42" customWidth="1"/>
    <col min="9487" max="9489" width="9.140625" style="42"/>
    <col min="9490" max="9490" width="8" style="42" customWidth="1"/>
    <col min="9491" max="9491" width="8.140625" style="42" customWidth="1"/>
    <col min="9492" max="9492" width="2" style="42" customWidth="1"/>
    <col min="9493" max="9493" width="8.140625" style="42" customWidth="1"/>
    <col min="9494" max="9494" width="3.42578125" style="42" customWidth="1"/>
    <col min="9495" max="9495" width="8.5703125" style="42" customWidth="1"/>
    <col min="9496" max="9496" width="8.28515625" style="42" bestFit="1" customWidth="1"/>
    <col min="9497" max="9497" width="7.5703125" style="42" bestFit="1" customWidth="1"/>
    <col min="9498" max="9498" width="7.7109375" style="42" bestFit="1" customWidth="1"/>
    <col min="9499" max="9499" width="8.28515625" style="42" bestFit="1" customWidth="1"/>
    <col min="9500" max="9500" width="7.7109375" style="42" bestFit="1" customWidth="1"/>
    <col min="9501" max="9501" width="2.7109375" style="42" customWidth="1"/>
    <col min="9502" max="9502" width="7" style="42" bestFit="1" customWidth="1"/>
    <col min="9503" max="9503" width="5.85546875" style="42" bestFit="1" customWidth="1"/>
    <col min="9504" max="9504" width="6" style="42" bestFit="1" customWidth="1"/>
    <col min="9505" max="9505" width="6.140625" style="42" bestFit="1" customWidth="1"/>
    <col min="9506" max="9506" width="7.5703125" style="42" bestFit="1" customWidth="1"/>
    <col min="9507" max="9511" width="8.28515625" style="42" bestFit="1" customWidth="1"/>
    <col min="9512" max="9512" width="1.42578125" style="42" customWidth="1"/>
    <col min="9513" max="9516" width="8.7109375" style="42" customWidth="1"/>
    <col min="9517" max="9517" width="8.42578125" style="42" customWidth="1"/>
    <col min="9518" max="9518" width="8.140625" style="42" customWidth="1"/>
    <col min="9519" max="9519" width="7.85546875" style="42" customWidth="1"/>
    <col min="9520" max="9520" width="10" style="42" bestFit="1" customWidth="1"/>
    <col min="9521" max="9521" width="10" style="42" customWidth="1"/>
    <col min="9522" max="9522" width="9.140625" style="42"/>
    <col min="9523" max="9524" width="5.5703125" style="42" bestFit="1" customWidth="1"/>
    <col min="9525" max="9525" width="6" style="42" bestFit="1" customWidth="1"/>
    <col min="9526" max="9527" width="6.28515625" style="42" customWidth="1"/>
    <col min="9528" max="9528" width="9.140625" style="42"/>
    <col min="9529" max="9529" width="11.5703125" style="42" bestFit="1" customWidth="1"/>
    <col min="9530" max="9567" width="5.42578125" style="42" bestFit="1" customWidth="1"/>
    <col min="9568" max="9728" width="9.140625" style="42"/>
    <col min="9729" max="9729" width="5.85546875" style="42" customWidth="1"/>
    <col min="9730" max="9731" width="6" style="42" bestFit="1" customWidth="1"/>
    <col min="9732" max="9732" width="5.42578125" style="42" customWidth="1"/>
    <col min="9733" max="9733" width="5.85546875" style="42" bestFit="1" customWidth="1"/>
    <col min="9734" max="9734" width="6.5703125" style="42" bestFit="1" customWidth="1"/>
    <col min="9735" max="9737" width="8" style="42" customWidth="1"/>
    <col min="9738" max="9738" width="6.7109375" style="42" customWidth="1"/>
    <col min="9739" max="9739" width="6.5703125" style="42" customWidth="1"/>
    <col min="9740" max="9741" width="5.5703125" style="42" bestFit="1" customWidth="1"/>
    <col min="9742" max="9742" width="8" style="42" customWidth="1"/>
    <col min="9743" max="9745" width="9.140625" style="42"/>
    <col min="9746" max="9746" width="8" style="42" customWidth="1"/>
    <col min="9747" max="9747" width="8.140625" style="42" customWidth="1"/>
    <col min="9748" max="9748" width="2" style="42" customWidth="1"/>
    <col min="9749" max="9749" width="8.140625" style="42" customWidth="1"/>
    <col min="9750" max="9750" width="3.42578125" style="42" customWidth="1"/>
    <col min="9751" max="9751" width="8.5703125" style="42" customWidth="1"/>
    <col min="9752" max="9752" width="8.28515625" style="42" bestFit="1" customWidth="1"/>
    <col min="9753" max="9753" width="7.5703125" style="42" bestFit="1" customWidth="1"/>
    <col min="9754" max="9754" width="7.7109375" style="42" bestFit="1" customWidth="1"/>
    <col min="9755" max="9755" width="8.28515625" style="42" bestFit="1" customWidth="1"/>
    <col min="9756" max="9756" width="7.7109375" style="42" bestFit="1" customWidth="1"/>
    <col min="9757" max="9757" width="2.7109375" style="42" customWidth="1"/>
    <col min="9758" max="9758" width="7" style="42" bestFit="1" customWidth="1"/>
    <col min="9759" max="9759" width="5.85546875" style="42" bestFit="1" customWidth="1"/>
    <col min="9760" max="9760" width="6" style="42" bestFit="1" customWidth="1"/>
    <col min="9761" max="9761" width="6.140625" style="42" bestFit="1" customWidth="1"/>
    <col min="9762" max="9762" width="7.5703125" style="42" bestFit="1" customWidth="1"/>
    <col min="9763" max="9767" width="8.28515625" style="42" bestFit="1" customWidth="1"/>
    <col min="9768" max="9768" width="1.42578125" style="42" customWidth="1"/>
    <col min="9769" max="9772" width="8.7109375" style="42" customWidth="1"/>
    <col min="9773" max="9773" width="8.42578125" style="42" customWidth="1"/>
    <col min="9774" max="9774" width="8.140625" style="42" customWidth="1"/>
    <col min="9775" max="9775" width="7.85546875" style="42" customWidth="1"/>
    <col min="9776" max="9776" width="10" style="42" bestFit="1" customWidth="1"/>
    <col min="9777" max="9777" width="10" style="42" customWidth="1"/>
    <col min="9778" max="9778" width="9.140625" style="42"/>
    <col min="9779" max="9780" width="5.5703125" style="42" bestFit="1" customWidth="1"/>
    <col min="9781" max="9781" width="6" style="42" bestFit="1" customWidth="1"/>
    <col min="9782" max="9783" width="6.28515625" style="42" customWidth="1"/>
    <col min="9784" max="9784" width="9.140625" style="42"/>
    <col min="9785" max="9785" width="11.5703125" style="42" bestFit="1" customWidth="1"/>
    <col min="9786" max="9823" width="5.42578125" style="42" bestFit="1" customWidth="1"/>
    <col min="9824" max="9984" width="9.140625" style="42"/>
    <col min="9985" max="9985" width="5.85546875" style="42" customWidth="1"/>
    <col min="9986" max="9987" width="6" style="42" bestFit="1" customWidth="1"/>
    <col min="9988" max="9988" width="5.42578125" style="42" customWidth="1"/>
    <col min="9989" max="9989" width="5.85546875" style="42" bestFit="1" customWidth="1"/>
    <col min="9990" max="9990" width="6.5703125" style="42" bestFit="1" customWidth="1"/>
    <col min="9991" max="9993" width="8" style="42" customWidth="1"/>
    <col min="9994" max="9994" width="6.7109375" style="42" customWidth="1"/>
    <col min="9995" max="9995" width="6.5703125" style="42" customWidth="1"/>
    <col min="9996" max="9997" width="5.5703125" style="42" bestFit="1" customWidth="1"/>
    <col min="9998" max="9998" width="8" style="42" customWidth="1"/>
    <col min="9999" max="10001" width="9.140625" style="42"/>
    <col min="10002" max="10002" width="8" style="42" customWidth="1"/>
    <col min="10003" max="10003" width="8.140625" style="42" customWidth="1"/>
    <col min="10004" max="10004" width="2" style="42" customWidth="1"/>
    <col min="10005" max="10005" width="8.140625" style="42" customWidth="1"/>
    <col min="10006" max="10006" width="3.42578125" style="42" customWidth="1"/>
    <col min="10007" max="10007" width="8.5703125" style="42" customWidth="1"/>
    <col min="10008" max="10008" width="8.28515625" style="42" bestFit="1" customWidth="1"/>
    <col min="10009" max="10009" width="7.5703125" style="42" bestFit="1" customWidth="1"/>
    <col min="10010" max="10010" width="7.7109375" style="42" bestFit="1" customWidth="1"/>
    <col min="10011" max="10011" width="8.28515625" style="42" bestFit="1" customWidth="1"/>
    <col min="10012" max="10012" width="7.7109375" style="42" bestFit="1" customWidth="1"/>
    <col min="10013" max="10013" width="2.7109375" style="42" customWidth="1"/>
    <col min="10014" max="10014" width="7" style="42" bestFit="1" customWidth="1"/>
    <col min="10015" max="10015" width="5.85546875" style="42" bestFit="1" customWidth="1"/>
    <col min="10016" max="10016" width="6" style="42" bestFit="1" customWidth="1"/>
    <col min="10017" max="10017" width="6.140625" style="42" bestFit="1" customWidth="1"/>
    <col min="10018" max="10018" width="7.5703125" style="42" bestFit="1" customWidth="1"/>
    <col min="10019" max="10023" width="8.28515625" style="42" bestFit="1" customWidth="1"/>
    <col min="10024" max="10024" width="1.42578125" style="42" customWidth="1"/>
    <col min="10025" max="10028" width="8.7109375" style="42" customWidth="1"/>
    <col min="10029" max="10029" width="8.42578125" style="42" customWidth="1"/>
    <col min="10030" max="10030" width="8.140625" style="42" customWidth="1"/>
    <col min="10031" max="10031" width="7.85546875" style="42" customWidth="1"/>
    <col min="10032" max="10032" width="10" style="42" bestFit="1" customWidth="1"/>
    <col min="10033" max="10033" width="10" style="42" customWidth="1"/>
    <col min="10034" max="10034" width="9.140625" style="42"/>
    <col min="10035" max="10036" width="5.5703125" style="42" bestFit="1" customWidth="1"/>
    <col min="10037" max="10037" width="6" style="42" bestFit="1" customWidth="1"/>
    <col min="10038" max="10039" width="6.28515625" style="42" customWidth="1"/>
    <col min="10040" max="10040" width="9.140625" style="42"/>
    <col min="10041" max="10041" width="11.5703125" style="42" bestFit="1" customWidth="1"/>
    <col min="10042" max="10079" width="5.42578125" style="42" bestFit="1" customWidth="1"/>
    <col min="10080" max="10240" width="9.140625" style="42"/>
    <col min="10241" max="10241" width="5.85546875" style="42" customWidth="1"/>
    <col min="10242" max="10243" width="6" style="42" bestFit="1" customWidth="1"/>
    <col min="10244" max="10244" width="5.42578125" style="42" customWidth="1"/>
    <col min="10245" max="10245" width="5.85546875" style="42" bestFit="1" customWidth="1"/>
    <col min="10246" max="10246" width="6.5703125" style="42" bestFit="1" customWidth="1"/>
    <col min="10247" max="10249" width="8" style="42" customWidth="1"/>
    <col min="10250" max="10250" width="6.7109375" style="42" customWidth="1"/>
    <col min="10251" max="10251" width="6.5703125" style="42" customWidth="1"/>
    <col min="10252" max="10253" width="5.5703125" style="42" bestFit="1" customWidth="1"/>
    <col min="10254" max="10254" width="8" style="42" customWidth="1"/>
    <col min="10255" max="10257" width="9.140625" style="42"/>
    <col min="10258" max="10258" width="8" style="42" customWidth="1"/>
    <col min="10259" max="10259" width="8.140625" style="42" customWidth="1"/>
    <col min="10260" max="10260" width="2" style="42" customWidth="1"/>
    <col min="10261" max="10261" width="8.140625" style="42" customWidth="1"/>
    <col min="10262" max="10262" width="3.42578125" style="42" customWidth="1"/>
    <col min="10263" max="10263" width="8.5703125" style="42" customWidth="1"/>
    <col min="10264" max="10264" width="8.28515625" style="42" bestFit="1" customWidth="1"/>
    <col min="10265" max="10265" width="7.5703125" style="42" bestFit="1" customWidth="1"/>
    <col min="10266" max="10266" width="7.7109375" style="42" bestFit="1" customWidth="1"/>
    <col min="10267" max="10267" width="8.28515625" style="42" bestFit="1" customWidth="1"/>
    <col min="10268" max="10268" width="7.7109375" style="42" bestFit="1" customWidth="1"/>
    <col min="10269" max="10269" width="2.7109375" style="42" customWidth="1"/>
    <col min="10270" max="10270" width="7" style="42" bestFit="1" customWidth="1"/>
    <col min="10271" max="10271" width="5.85546875" style="42" bestFit="1" customWidth="1"/>
    <col min="10272" max="10272" width="6" style="42" bestFit="1" customWidth="1"/>
    <col min="10273" max="10273" width="6.140625" style="42" bestFit="1" customWidth="1"/>
    <col min="10274" max="10274" width="7.5703125" style="42" bestFit="1" customWidth="1"/>
    <col min="10275" max="10279" width="8.28515625" style="42" bestFit="1" customWidth="1"/>
    <col min="10280" max="10280" width="1.42578125" style="42" customWidth="1"/>
    <col min="10281" max="10284" width="8.7109375" style="42" customWidth="1"/>
    <col min="10285" max="10285" width="8.42578125" style="42" customWidth="1"/>
    <col min="10286" max="10286" width="8.140625" style="42" customWidth="1"/>
    <col min="10287" max="10287" width="7.85546875" style="42" customWidth="1"/>
    <col min="10288" max="10288" width="10" style="42" bestFit="1" customWidth="1"/>
    <col min="10289" max="10289" width="10" style="42" customWidth="1"/>
    <col min="10290" max="10290" width="9.140625" style="42"/>
    <col min="10291" max="10292" width="5.5703125" style="42" bestFit="1" customWidth="1"/>
    <col min="10293" max="10293" width="6" style="42" bestFit="1" customWidth="1"/>
    <col min="10294" max="10295" width="6.28515625" style="42" customWidth="1"/>
    <col min="10296" max="10296" width="9.140625" style="42"/>
    <col min="10297" max="10297" width="11.5703125" style="42" bestFit="1" customWidth="1"/>
    <col min="10298" max="10335" width="5.42578125" style="42" bestFit="1" customWidth="1"/>
    <col min="10336" max="10496" width="9.140625" style="42"/>
    <col min="10497" max="10497" width="5.85546875" style="42" customWidth="1"/>
    <col min="10498" max="10499" width="6" style="42" bestFit="1" customWidth="1"/>
    <col min="10500" max="10500" width="5.42578125" style="42" customWidth="1"/>
    <col min="10501" max="10501" width="5.85546875" style="42" bestFit="1" customWidth="1"/>
    <col min="10502" max="10502" width="6.5703125" style="42" bestFit="1" customWidth="1"/>
    <col min="10503" max="10505" width="8" style="42" customWidth="1"/>
    <col min="10506" max="10506" width="6.7109375" style="42" customWidth="1"/>
    <col min="10507" max="10507" width="6.5703125" style="42" customWidth="1"/>
    <col min="10508" max="10509" width="5.5703125" style="42" bestFit="1" customWidth="1"/>
    <col min="10510" max="10510" width="8" style="42" customWidth="1"/>
    <col min="10511" max="10513" width="9.140625" style="42"/>
    <col min="10514" max="10514" width="8" style="42" customWidth="1"/>
    <col min="10515" max="10515" width="8.140625" style="42" customWidth="1"/>
    <col min="10516" max="10516" width="2" style="42" customWidth="1"/>
    <col min="10517" max="10517" width="8.140625" style="42" customWidth="1"/>
    <col min="10518" max="10518" width="3.42578125" style="42" customWidth="1"/>
    <col min="10519" max="10519" width="8.5703125" style="42" customWidth="1"/>
    <col min="10520" max="10520" width="8.28515625" style="42" bestFit="1" customWidth="1"/>
    <col min="10521" max="10521" width="7.5703125" style="42" bestFit="1" customWidth="1"/>
    <col min="10522" max="10522" width="7.7109375" style="42" bestFit="1" customWidth="1"/>
    <col min="10523" max="10523" width="8.28515625" style="42" bestFit="1" customWidth="1"/>
    <col min="10524" max="10524" width="7.7109375" style="42" bestFit="1" customWidth="1"/>
    <col min="10525" max="10525" width="2.7109375" style="42" customWidth="1"/>
    <col min="10526" max="10526" width="7" style="42" bestFit="1" customWidth="1"/>
    <col min="10527" max="10527" width="5.85546875" style="42" bestFit="1" customWidth="1"/>
    <col min="10528" max="10528" width="6" style="42" bestFit="1" customWidth="1"/>
    <col min="10529" max="10529" width="6.140625" style="42" bestFit="1" customWidth="1"/>
    <col min="10530" max="10530" width="7.5703125" style="42" bestFit="1" customWidth="1"/>
    <col min="10531" max="10535" width="8.28515625" style="42" bestFit="1" customWidth="1"/>
    <col min="10536" max="10536" width="1.42578125" style="42" customWidth="1"/>
    <col min="10537" max="10540" width="8.7109375" style="42" customWidth="1"/>
    <col min="10541" max="10541" width="8.42578125" style="42" customWidth="1"/>
    <col min="10542" max="10542" width="8.140625" style="42" customWidth="1"/>
    <col min="10543" max="10543" width="7.85546875" style="42" customWidth="1"/>
    <col min="10544" max="10544" width="10" style="42" bestFit="1" customWidth="1"/>
    <col min="10545" max="10545" width="10" style="42" customWidth="1"/>
    <col min="10546" max="10546" width="9.140625" style="42"/>
    <col min="10547" max="10548" width="5.5703125" style="42" bestFit="1" customWidth="1"/>
    <col min="10549" max="10549" width="6" style="42" bestFit="1" customWidth="1"/>
    <col min="10550" max="10551" width="6.28515625" style="42" customWidth="1"/>
    <col min="10552" max="10552" width="9.140625" style="42"/>
    <col min="10553" max="10553" width="11.5703125" style="42" bestFit="1" customWidth="1"/>
    <col min="10554" max="10591" width="5.42578125" style="42" bestFit="1" customWidth="1"/>
    <col min="10592" max="10752" width="9.140625" style="42"/>
    <col min="10753" max="10753" width="5.85546875" style="42" customWidth="1"/>
    <col min="10754" max="10755" width="6" style="42" bestFit="1" customWidth="1"/>
    <col min="10756" max="10756" width="5.42578125" style="42" customWidth="1"/>
    <col min="10757" max="10757" width="5.85546875" style="42" bestFit="1" customWidth="1"/>
    <col min="10758" max="10758" width="6.5703125" style="42" bestFit="1" customWidth="1"/>
    <col min="10759" max="10761" width="8" style="42" customWidth="1"/>
    <col min="10762" max="10762" width="6.7109375" style="42" customWidth="1"/>
    <col min="10763" max="10763" width="6.5703125" style="42" customWidth="1"/>
    <col min="10764" max="10765" width="5.5703125" style="42" bestFit="1" customWidth="1"/>
    <col min="10766" max="10766" width="8" style="42" customWidth="1"/>
    <col min="10767" max="10769" width="9.140625" style="42"/>
    <col min="10770" max="10770" width="8" style="42" customWidth="1"/>
    <col min="10771" max="10771" width="8.140625" style="42" customWidth="1"/>
    <col min="10772" max="10772" width="2" style="42" customWidth="1"/>
    <col min="10773" max="10773" width="8.140625" style="42" customWidth="1"/>
    <col min="10774" max="10774" width="3.42578125" style="42" customWidth="1"/>
    <col min="10775" max="10775" width="8.5703125" style="42" customWidth="1"/>
    <col min="10776" max="10776" width="8.28515625" style="42" bestFit="1" customWidth="1"/>
    <col min="10777" max="10777" width="7.5703125" style="42" bestFit="1" customWidth="1"/>
    <col min="10778" max="10778" width="7.7109375" style="42" bestFit="1" customWidth="1"/>
    <col min="10779" max="10779" width="8.28515625" style="42" bestFit="1" customWidth="1"/>
    <col min="10780" max="10780" width="7.7109375" style="42" bestFit="1" customWidth="1"/>
    <col min="10781" max="10781" width="2.7109375" style="42" customWidth="1"/>
    <col min="10782" max="10782" width="7" style="42" bestFit="1" customWidth="1"/>
    <col min="10783" max="10783" width="5.85546875" style="42" bestFit="1" customWidth="1"/>
    <col min="10784" max="10784" width="6" style="42" bestFit="1" customWidth="1"/>
    <col min="10785" max="10785" width="6.140625" style="42" bestFit="1" customWidth="1"/>
    <col min="10786" max="10786" width="7.5703125" style="42" bestFit="1" customWidth="1"/>
    <col min="10787" max="10791" width="8.28515625" style="42" bestFit="1" customWidth="1"/>
    <col min="10792" max="10792" width="1.42578125" style="42" customWidth="1"/>
    <col min="10793" max="10796" width="8.7109375" style="42" customWidth="1"/>
    <col min="10797" max="10797" width="8.42578125" style="42" customWidth="1"/>
    <col min="10798" max="10798" width="8.140625" style="42" customWidth="1"/>
    <col min="10799" max="10799" width="7.85546875" style="42" customWidth="1"/>
    <col min="10800" max="10800" width="10" style="42" bestFit="1" customWidth="1"/>
    <col min="10801" max="10801" width="10" style="42" customWidth="1"/>
    <col min="10802" max="10802" width="9.140625" style="42"/>
    <col min="10803" max="10804" width="5.5703125" style="42" bestFit="1" customWidth="1"/>
    <col min="10805" max="10805" width="6" style="42" bestFit="1" customWidth="1"/>
    <col min="10806" max="10807" width="6.28515625" style="42" customWidth="1"/>
    <col min="10808" max="10808" width="9.140625" style="42"/>
    <col min="10809" max="10809" width="11.5703125" style="42" bestFit="1" customWidth="1"/>
    <col min="10810" max="10847" width="5.42578125" style="42" bestFit="1" customWidth="1"/>
    <col min="10848" max="11008" width="9.140625" style="42"/>
    <col min="11009" max="11009" width="5.85546875" style="42" customWidth="1"/>
    <col min="11010" max="11011" width="6" style="42" bestFit="1" customWidth="1"/>
    <col min="11012" max="11012" width="5.42578125" style="42" customWidth="1"/>
    <col min="11013" max="11013" width="5.85546875" style="42" bestFit="1" customWidth="1"/>
    <col min="11014" max="11014" width="6.5703125" style="42" bestFit="1" customWidth="1"/>
    <col min="11015" max="11017" width="8" style="42" customWidth="1"/>
    <col min="11018" max="11018" width="6.7109375" style="42" customWidth="1"/>
    <col min="11019" max="11019" width="6.5703125" style="42" customWidth="1"/>
    <col min="11020" max="11021" width="5.5703125" style="42" bestFit="1" customWidth="1"/>
    <col min="11022" max="11022" width="8" style="42" customWidth="1"/>
    <col min="11023" max="11025" width="9.140625" style="42"/>
    <col min="11026" max="11026" width="8" style="42" customWidth="1"/>
    <col min="11027" max="11027" width="8.140625" style="42" customWidth="1"/>
    <col min="11028" max="11028" width="2" style="42" customWidth="1"/>
    <col min="11029" max="11029" width="8.140625" style="42" customWidth="1"/>
    <col min="11030" max="11030" width="3.42578125" style="42" customWidth="1"/>
    <col min="11031" max="11031" width="8.5703125" style="42" customWidth="1"/>
    <col min="11032" max="11032" width="8.28515625" style="42" bestFit="1" customWidth="1"/>
    <col min="11033" max="11033" width="7.5703125" style="42" bestFit="1" customWidth="1"/>
    <col min="11034" max="11034" width="7.7109375" style="42" bestFit="1" customWidth="1"/>
    <col min="11035" max="11035" width="8.28515625" style="42" bestFit="1" customWidth="1"/>
    <col min="11036" max="11036" width="7.7109375" style="42" bestFit="1" customWidth="1"/>
    <col min="11037" max="11037" width="2.7109375" style="42" customWidth="1"/>
    <col min="11038" max="11038" width="7" style="42" bestFit="1" customWidth="1"/>
    <col min="11039" max="11039" width="5.85546875" style="42" bestFit="1" customWidth="1"/>
    <col min="11040" max="11040" width="6" style="42" bestFit="1" customWidth="1"/>
    <col min="11041" max="11041" width="6.140625" style="42" bestFit="1" customWidth="1"/>
    <col min="11042" max="11042" width="7.5703125" style="42" bestFit="1" customWidth="1"/>
    <col min="11043" max="11047" width="8.28515625" style="42" bestFit="1" customWidth="1"/>
    <col min="11048" max="11048" width="1.42578125" style="42" customWidth="1"/>
    <col min="11049" max="11052" width="8.7109375" style="42" customWidth="1"/>
    <col min="11053" max="11053" width="8.42578125" style="42" customWidth="1"/>
    <col min="11054" max="11054" width="8.140625" style="42" customWidth="1"/>
    <col min="11055" max="11055" width="7.85546875" style="42" customWidth="1"/>
    <col min="11056" max="11056" width="10" style="42" bestFit="1" customWidth="1"/>
    <col min="11057" max="11057" width="10" style="42" customWidth="1"/>
    <col min="11058" max="11058" width="9.140625" style="42"/>
    <col min="11059" max="11060" width="5.5703125" style="42" bestFit="1" customWidth="1"/>
    <col min="11061" max="11061" width="6" style="42" bestFit="1" customWidth="1"/>
    <col min="11062" max="11063" width="6.28515625" style="42" customWidth="1"/>
    <col min="11064" max="11064" width="9.140625" style="42"/>
    <col min="11065" max="11065" width="11.5703125" style="42" bestFit="1" customWidth="1"/>
    <col min="11066" max="11103" width="5.42578125" style="42" bestFit="1" customWidth="1"/>
    <col min="11104" max="11264" width="9.140625" style="42"/>
    <col min="11265" max="11265" width="5.85546875" style="42" customWidth="1"/>
    <col min="11266" max="11267" width="6" style="42" bestFit="1" customWidth="1"/>
    <col min="11268" max="11268" width="5.42578125" style="42" customWidth="1"/>
    <col min="11269" max="11269" width="5.85546875" style="42" bestFit="1" customWidth="1"/>
    <col min="11270" max="11270" width="6.5703125" style="42" bestFit="1" customWidth="1"/>
    <col min="11271" max="11273" width="8" style="42" customWidth="1"/>
    <col min="11274" max="11274" width="6.7109375" style="42" customWidth="1"/>
    <col min="11275" max="11275" width="6.5703125" style="42" customWidth="1"/>
    <col min="11276" max="11277" width="5.5703125" style="42" bestFit="1" customWidth="1"/>
    <col min="11278" max="11278" width="8" style="42" customWidth="1"/>
    <col min="11279" max="11281" width="9.140625" style="42"/>
    <col min="11282" max="11282" width="8" style="42" customWidth="1"/>
    <col min="11283" max="11283" width="8.140625" style="42" customWidth="1"/>
    <col min="11284" max="11284" width="2" style="42" customWidth="1"/>
    <col min="11285" max="11285" width="8.140625" style="42" customWidth="1"/>
    <col min="11286" max="11286" width="3.42578125" style="42" customWidth="1"/>
    <col min="11287" max="11287" width="8.5703125" style="42" customWidth="1"/>
    <col min="11288" max="11288" width="8.28515625" style="42" bestFit="1" customWidth="1"/>
    <col min="11289" max="11289" width="7.5703125" style="42" bestFit="1" customWidth="1"/>
    <col min="11290" max="11290" width="7.7109375" style="42" bestFit="1" customWidth="1"/>
    <col min="11291" max="11291" width="8.28515625" style="42" bestFit="1" customWidth="1"/>
    <col min="11292" max="11292" width="7.7109375" style="42" bestFit="1" customWidth="1"/>
    <col min="11293" max="11293" width="2.7109375" style="42" customWidth="1"/>
    <col min="11294" max="11294" width="7" style="42" bestFit="1" customWidth="1"/>
    <col min="11295" max="11295" width="5.85546875" style="42" bestFit="1" customWidth="1"/>
    <col min="11296" max="11296" width="6" style="42" bestFit="1" customWidth="1"/>
    <col min="11297" max="11297" width="6.140625" style="42" bestFit="1" customWidth="1"/>
    <col min="11298" max="11298" width="7.5703125" style="42" bestFit="1" customWidth="1"/>
    <col min="11299" max="11303" width="8.28515625" style="42" bestFit="1" customWidth="1"/>
    <col min="11304" max="11304" width="1.42578125" style="42" customWidth="1"/>
    <col min="11305" max="11308" width="8.7109375" style="42" customWidth="1"/>
    <col min="11309" max="11309" width="8.42578125" style="42" customWidth="1"/>
    <col min="11310" max="11310" width="8.140625" style="42" customWidth="1"/>
    <col min="11311" max="11311" width="7.85546875" style="42" customWidth="1"/>
    <col min="11312" max="11312" width="10" style="42" bestFit="1" customWidth="1"/>
    <col min="11313" max="11313" width="10" style="42" customWidth="1"/>
    <col min="11314" max="11314" width="9.140625" style="42"/>
    <col min="11315" max="11316" width="5.5703125" style="42" bestFit="1" customWidth="1"/>
    <col min="11317" max="11317" width="6" style="42" bestFit="1" customWidth="1"/>
    <col min="11318" max="11319" width="6.28515625" style="42" customWidth="1"/>
    <col min="11320" max="11320" width="9.140625" style="42"/>
    <col min="11321" max="11321" width="11.5703125" style="42" bestFit="1" customWidth="1"/>
    <col min="11322" max="11359" width="5.42578125" style="42" bestFit="1" customWidth="1"/>
    <col min="11360" max="11520" width="9.140625" style="42"/>
    <col min="11521" max="11521" width="5.85546875" style="42" customWidth="1"/>
    <col min="11522" max="11523" width="6" style="42" bestFit="1" customWidth="1"/>
    <col min="11524" max="11524" width="5.42578125" style="42" customWidth="1"/>
    <col min="11525" max="11525" width="5.85546875" style="42" bestFit="1" customWidth="1"/>
    <col min="11526" max="11526" width="6.5703125" style="42" bestFit="1" customWidth="1"/>
    <col min="11527" max="11529" width="8" style="42" customWidth="1"/>
    <col min="11530" max="11530" width="6.7109375" style="42" customWidth="1"/>
    <col min="11531" max="11531" width="6.5703125" style="42" customWidth="1"/>
    <col min="11532" max="11533" width="5.5703125" style="42" bestFit="1" customWidth="1"/>
    <col min="11534" max="11534" width="8" style="42" customWidth="1"/>
    <col min="11535" max="11537" width="9.140625" style="42"/>
    <col min="11538" max="11538" width="8" style="42" customWidth="1"/>
    <col min="11539" max="11539" width="8.140625" style="42" customWidth="1"/>
    <col min="11540" max="11540" width="2" style="42" customWidth="1"/>
    <col min="11541" max="11541" width="8.140625" style="42" customWidth="1"/>
    <col min="11542" max="11542" width="3.42578125" style="42" customWidth="1"/>
    <col min="11543" max="11543" width="8.5703125" style="42" customWidth="1"/>
    <col min="11544" max="11544" width="8.28515625" style="42" bestFit="1" customWidth="1"/>
    <col min="11545" max="11545" width="7.5703125" style="42" bestFit="1" customWidth="1"/>
    <col min="11546" max="11546" width="7.7109375" style="42" bestFit="1" customWidth="1"/>
    <col min="11547" max="11547" width="8.28515625" style="42" bestFit="1" customWidth="1"/>
    <col min="11548" max="11548" width="7.7109375" style="42" bestFit="1" customWidth="1"/>
    <col min="11549" max="11549" width="2.7109375" style="42" customWidth="1"/>
    <col min="11550" max="11550" width="7" style="42" bestFit="1" customWidth="1"/>
    <col min="11551" max="11551" width="5.85546875" style="42" bestFit="1" customWidth="1"/>
    <col min="11552" max="11552" width="6" style="42" bestFit="1" customWidth="1"/>
    <col min="11553" max="11553" width="6.140625" style="42" bestFit="1" customWidth="1"/>
    <col min="11554" max="11554" width="7.5703125" style="42" bestFit="1" customWidth="1"/>
    <col min="11555" max="11559" width="8.28515625" style="42" bestFit="1" customWidth="1"/>
    <col min="11560" max="11560" width="1.42578125" style="42" customWidth="1"/>
    <col min="11561" max="11564" width="8.7109375" style="42" customWidth="1"/>
    <col min="11565" max="11565" width="8.42578125" style="42" customWidth="1"/>
    <col min="11566" max="11566" width="8.140625" style="42" customWidth="1"/>
    <col min="11567" max="11567" width="7.85546875" style="42" customWidth="1"/>
    <col min="11568" max="11568" width="10" style="42" bestFit="1" customWidth="1"/>
    <col min="11569" max="11569" width="10" style="42" customWidth="1"/>
    <col min="11570" max="11570" width="9.140625" style="42"/>
    <col min="11571" max="11572" width="5.5703125" style="42" bestFit="1" customWidth="1"/>
    <col min="11573" max="11573" width="6" style="42" bestFit="1" customWidth="1"/>
    <col min="11574" max="11575" width="6.28515625" style="42" customWidth="1"/>
    <col min="11576" max="11576" width="9.140625" style="42"/>
    <col min="11577" max="11577" width="11.5703125" style="42" bestFit="1" customWidth="1"/>
    <col min="11578" max="11615" width="5.42578125" style="42" bestFit="1" customWidth="1"/>
    <col min="11616" max="11776" width="9.140625" style="42"/>
    <col min="11777" max="11777" width="5.85546875" style="42" customWidth="1"/>
    <col min="11778" max="11779" width="6" style="42" bestFit="1" customWidth="1"/>
    <col min="11780" max="11780" width="5.42578125" style="42" customWidth="1"/>
    <col min="11781" max="11781" width="5.85546875" style="42" bestFit="1" customWidth="1"/>
    <col min="11782" max="11782" width="6.5703125" style="42" bestFit="1" customWidth="1"/>
    <col min="11783" max="11785" width="8" style="42" customWidth="1"/>
    <col min="11786" max="11786" width="6.7109375" style="42" customWidth="1"/>
    <col min="11787" max="11787" width="6.5703125" style="42" customWidth="1"/>
    <col min="11788" max="11789" width="5.5703125" style="42" bestFit="1" customWidth="1"/>
    <col min="11790" max="11790" width="8" style="42" customWidth="1"/>
    <col min="11791" max="11793" width="9.140625" style="42"/>
    <col min="11794" max="11794" width="8" style="42" customWidth="1"/>
    <col min="11795" max="11795" width="8.140625" style="42" customWidth="1"/>
    <col min="11796" max="11796" width="2" style="42" customWidth="1"/>
    <col min="11797" max="11797" width="8.140625" style="42" customWidth="1"/>
    <col min="11798" max="11798" width="3.42578125" style="42" customWidth="1"/>
    <col min="11799" max="11799" width="8.5703125" style="42" customWidth="1"/>
    <col min="11800" max="11800" width="8.28515625" style="42" bestFit="1" customWidth="1"/>
    <col min="11801" max="11801" width="7.5703125" style="42" bestFit="1" customWidth="1"/>
    <col min="11802" max="11802" width="7.7109375" style="42" bestFit="1" customWidth="1"/>
    <col min="11803" max="11803" width="8.28515625" style="42" bestFit="1" customWidth="1"/>
    <col min="11804" max="11804" width="7.7109375" style="42" bestFit="1" customWidth="1"/>
    <col min="11805" max="11805" width="2.7109375" style="42" customWidth="1"/>
    <col min="11806" max="11806" width="7" style="42" bestFit="1" customWidth="1"/>
    <col min="11807" max="11807" width="5.85546875" style="42" bestFit="1" customWidth="1"/>
    <col min="11808" max="11808" width="6" style="42" bestFit="1" customWidth="1"/>
    <col min="11809" max="11809" width="6.140625" style="42" bestFit="1" customWidth="1"/>
    <col min="11810" max="11810" width="7.5703125" style="42" bestFit="1" customWidth="1"/>
    <col min="11811" max="11815" width="8.28515625" style="42" bestFit="1" customWidth="1"/>
    <col min="11816" max="11816" width="1.42578125" style="42" customWidth="1"/>
    <col min="11817" max="11820" width="8.7109375" style="42" customWidth="1"/>
    <col min="11821" max="11821" width="8.42578125" style="42" customWidth="1"/>
    <col min="11822" max="11822" width="8.140625" style="42" customWidth="1"/>
    <col min="11823" max="11823" width="7.85546875" style="42" customWidth="1"/>
    <col min="11824" max="11824" width="10" style="42" bestFit="1" customWidth="1"/>
    <col min="11825" max="11825" width="10" style="42" customWidth="1"/>
    <col min="11826" max="11826" width="9.140625" style="42"/>
    <col min="11827" max="11828" width="5.5703125" style="42" bestFit="1" customWidth="1"/>
    <col min="11829" max="11829" width="6" style="42" bestFit="1" customWidth="1"/>
    <col min="11830" max="11831" width="6.28515625" style="42" customWidth="1"/>
    <col min="11832" max="11832" width="9.140625" style="42"/>
    <col min="11833" max="11833" width="11.5703125" style="42" bestFit="1" customWidth="1"/>
    <col min="11834" max="11871" width="5.42578125" style="42" bestFit="1" customWidth="1"/>
    <col min="11872" max="12032" width="9.140625" style="42"/>
    <col min="12033" max="12033" width="5.85546875" style="42" customWidth="1"/>
    <col min="12034" max="12035" width="6" style="42" bestFit="1" customWidth="1"/>
    <col min="12036" max="12036" width="5.42578125" style="42" customWidth="1"/>
    <col min="12037" max="12037" width="5.85546875" style="42" bestFit="1" customWidth="1"/>
    <col min="12038" max="12038" width="6.5703125" style="42" bestFit="1" customWidth="1"/>
    <col min="12039" max="12041" width="8" style="42" customWidth="1"/>
    <col min="12042" max="12042" width="6.7109375" style="42" customWidth="1"/>
    <col min="12043" max="12043" width="6.5703125" style="42" customWidth="1"/>
    <col min="12044" max="12045" width="5.5703125" style="42" bestFit="1" customWidth="1"/>
    <col min="12046" max="12046" width="8" style="42" customWidth="1"/>
    <col min="12047" max="12049" width="9.140625" style="42"/>
    <col min="12050" max="12050" width="8" style="42" customWidth="1"/>
    <col min="12051" max="12051" width="8.140625" style="42" customWidth="1"/>
    <col min="12052" max="12052" width="2" style="42" customWidth="1"/>
    <col min="12053" max="12053" width="8.140625" style="42" customWidth="1"/>
    <col min="12054" max="12054" width="3.42578125" style="42" customWidth="1"/>
    <col min="12055" max="12055" width="8.5703125" style="42" customWidth="1"/>
    <col min="12056" max="12056" width="8.28515625" style="42" bestFit="1" customWidth="1"/>
    <col min="12057" max="12057" width="7.5703125" style="42" bestFit="1" customWidth="1"/>
    <col min="12058" max="12058" width="7.7109375" style="42" bestFit="1" customWidth="1"/>
    <col min="12059" max="12059" width="8.28515625" style="42" bestFit="1" customWidth="1"/>
    <col min="12060" max="12060" width="7.7109375" style="42" bestFit="1" customWidth="1"/>
    <col min="12061" max="12061" width="2.7109375" style="42" customWidth="1"/>
    <col min="12062" max="12062" width="7" style="42" bestFit="1" customWidth="1"/>
    <col min="12063" max="12063" width="5.85546875" style="42" bestFit="1" customWidth="1"/>
    <col min="12064" max="12064" width="6" style="42" bestFit="1" customWidth="1"/>
    <col min="12065" max="12065" width="6.140625" style="42" bestFit="1" customWidth="1"/>
    <col min="12066" max="12066" width="7.5703125" style="42" bestFit="1" customWidth="1"/>
    <col min="12067" max="12071" width="8.28515625" style="42" bestFit="1" customWidth="1"/>
    <col min="12072" max="12072" width="1.42578125" style="42" customWidth="1"/>
    <col min="12073" max="12076" width="8.7109375" style="42" customWidth="1"/>
    <col min="12077" max="12077" width="8.42578125" style="42" customWidth="1"/>
    <col min="12078" max="12078" width="8.140625" style="42" customWidth="1"/>
    <col min="12079" max="12079" width="7.85546875" style="42" customWidth="1"/>
    <col min="12080" max="12080" width="10" style="42" bestFit="1" customWidth="1"/>
    <col min="12081" max="12081" width="10" style="42" customWidth="1"/>
    <col min="12082" max="12082" width="9.140625" style="42"/>
    <col min="12083" max="12084" width="5.5703125" style="42" bestFit="1" customWidth="1"/>
    <col min="12085" max="12085" width="6" style="42" bestFit="1" customWidth="1"/>
    <col min="12086" max="12087" width="6.28515625" style="42" customWidth="1"/>
    <col min="12088" max="12088" width="9.140625" style="42"/>
    <col min="12089" max="12089" width="11.5703125" style="42" bestFit="1" customWidth="1"/>
    <col min="12090" max="12127" width="5.42578125" style="42" bestFit="1" customWidth="1"/>
    <col min="12128" max="12288" width="9.140625" style="42"/>
    <col min="12289" max="12289" width="5.85546875" style="42" customWidth="1"/>
    <col min="12290" max="12291" width="6" style="42" bestFit="1" customWidth="1"/>
    <col min="12292" max="12292" width="5.42578125" style="42" customWidth="1"/>
    <col min="12293" max="12293" width="5.85546875" style="42" bestFit="1" customWidth="1"/>
    <col min="12294" max="12294" width="6.5703125" style="42" bestFit="1" customWidth="1"/>
    <col min="12295" max="12297" width="8" style="42" customWidth="1"/>
    <col min="12298" max="12298" width="6.7109375" style="42" customWidth="1"/>
    <col min="12299" max="12299" width="6.5703125" style="42" customWidth="1"/>
    <col min="12300" max="12301" width="5.5703125" style="42" bestFit="1" customWidth="1"/>
    <col min="12302" max="12302" width="8" style="42" customWidth="1"/>
    <col min="12303" max="12305" width="9.140625" style="42"/>
    <col min="12306" max="12306" width="8" style="42" customWidth="1"/>
    <col min="12307" max="12307" width="8.140625" style="42" customWidth="1"/>
    <col min="12308" max="12308" width="2" style="42" customWidth="1"/>
    <col min="12309" max="12309" width="8.140625" style="42" customWidth="1"/>
    <col min="12310" max="12310" width="3.42578125" style="42" customWidth="1"/>
    <col min="12311" max="12311" width="8.5703125" style="42" customWidth="1"/>
    <col min="12312" max="12312" width="8.28515625" style="42" bestFit="1" customWidth="1"/>
    <col min="12313" max="12313" width="7.5703125" style="42" bestFit="1" customWidth="1"/>
    <col min="12314" max="12314" width="7.7109375" style="42" bestFit="1" customWidth="1"/>
    <col min="12315" max="12315" width="8.28515625" style="42" bestFit="1" customWidth="1"/>
    <col min="12316" max="12316" width="7.7109375" style="42" bestFit="1" customWidth="1"/>
    <col min="12317" max="12317" width="2.7109375" style="42" customWidth="1"/>
    <col min="12318" max="12318" width="7" style="42" bestFit="1" customWidth="1"/>
    <col min="12319" max="12319" width="5.85546875" style="42" bestFit="1" customWidth="1"/>
    <col min="12320" max="12320" width="6" style="42" bestFit="1" customWidth="1"/>
    <col min="12321" max="12321" width="6.140625" style="42" bestFit="1" customWidth="1"/>
    <col min="12322" max="12322" width="7.5703125" style="42" bestFit="1" customWidth="1"/>
    <col min="12323" max="12327" width="8.28515625" style="42" bestFit="1" customWidth="1"/>
    <col min="12328" max="12328" width="1.42578125" style="42" customWidth="1"/>
    <col min="12329" max="12332" width="8.7109375" style="42" customWidth="1"/>
    <col min="12333" max="12333" width="8.42578125" style="42" customWidth="1"/>
    <col min="12334" max="12334" width="8.140625" style="42" customWidth="1"/>
    <col min="12335" max="12335" width="7.85546875" style="42" customWidth="1"/>
    <col min="12336" max="12336" width="10" style="42" bestFit="1" customWidth="1"/>
    <col min="12337" max="12337" width="10" style="42" customWidth="1"/>
    <col min="12338" max="12338" width="9.140625" style="42"/>
    <col min="12339" max="12340" width="5.5703125" style="42" bestFit="1" customWidth="1"/>
    <col min="12341" max="12341" width="6" style="42" bestFit="1" customWidth="1"/>
    <col min="12342" max="12343" width="6.28515625" style="42" customWidth="1"/>
    <col min="12344" max="12344" width="9.140625" style="42"/>
    <col min="12345" max="12345" width="11.5703125" style="42" bestFit="1" customWidth="1"/>
    <col min="12346" max="12383" width="5.42578125" style="42" bestFit="1" customWidth="1"/>
    <col min="12384" max="12544" width="9.140625" style="42"/>
    <col min="12545" max="12545" width="5.85546875" style="42" customWidth="1"/>
    <col min="12546" max="12547" width="6" style="42" bestFit="1" customWidth="1"/>
    <col min="12548" max="12548" width="5.42578125" style="42" customWidth="1"/>
    <col min="12549" max="12549" width="5.85546875" style="42" bestFit="1" customWidth="1"/>
    <col min="12550" max="12550" width="6.5703125" style="42" bestFit="1" customWidth="1"/>
    <col min="12551" max="12553" width="8" style="42" customWidth="1"/>
    <col min="12554" max="12554" width="6.7109375" style="42" customWidth="1"/>
    <col min="12555" max="12555" width="6.5703125" style="42" customWidth="1"/>
    <col min="12556" max="12557" width="5.5703125" style="42" bestFit="1" customWidth="1"/>
    <col min="12558" max="12558" width="8" style="42" customWidth="1"/>
    <col min="12559" max="12561" width="9.140625" style="42"/>
    <col min="12562" max="12562" width="8" style="42" customWidth="1"/>
    <col min="12563" max="12563" width="8.140625" style="42" customWidth="1"/>
    <col min="12564" max="12564" width="2" style="42" customWidth="1"/>
    <col min="12565" max="12565" width="8.140625" style="42" customWidth="1"/>
    <col min="12566" max="12566" width="3.42578125" style="42" customWidth="1"/>
    <col min="12567" max="12567" width="8.5703125" style="42" customWidth="1"/>
    <col min="12568" max="12568" width="8.28515625" style="42" bestFit="1" customWidth="1"/>
    <col min="12569" max="12569" width="7.5703125" style="42" bestFit="1" customWidth="1"/>
    <col min="12570" max="12570" width="7.7109375" style="42" bestFit="1" customWidth="1"/>
    <col min="12571" max="12571" width="8.28515625" style="42" bestFit="1" customWidth="1"/>
    <col min="12572" max="12572" width="7.7109375" style="42" bestFit="1" customWidth="1"/>
    <col min="12573" max="12573" width="2.7109375" style="42" customWidth="1"/>
    <col min="12574" max="12574" width="7" style="42" bestFit="1" customWidth="1"/>
    <col min="12575" max="12575" width="5.85546875" style="42" bestFit="1" customWidth="1"/>
    <col min="12576" max="12576" width="6" style="42" bestFit="1" customWidth="1"/>
    <col min="12577" max="12577" width="6.140625" style="42" bestFit="1" customWidth="1"/>
    <col min="12578" max="12578" width="7.5703125" style="42" bestFit="1" customWidth="1"/>
    <col min="12579" max="12583" width="8.28515625" style="42" bestFit="1" customWidth="1"/>
    <col min="12584" max="12584" width="1.42578125" style="42" customWidth="1"/>
    <col min="12585" max="12588" width="8.7109375" style="42" customWidth="1"/>
    <col min="12589" max="12589" width="8.42578125" style="42" customWidth="1"/>
    <col min="12590" max="12590" width="8.140625" style="42" customWidth="1"/>
    <col min="12591" max="12591" width="7.85546875" style="42" customWidth="1"/>
    <col min="12592" max="12592" width="10" style="42" bestFit="1" customWidth="1"/>
    <col min="12593" max="12593" width="10" style="42" customWidth="1"/>
    <col min="12594" max="12594" width="9.140625" style="42"/>
    <col min="12595" max="12596" width="5.5703125" style="42" bestFit="1" customWidth="1"/>
    <col min="12597" max="12597" width="6" style="42" bestFit="1" customWidth="1"/>
    <col min="12598" max="12599" width="6.28515625" style="42" customWidth="1"/>
    <col min="12600" max="12600" width="9.140625" style="42"/>
    <col min="12601" max="12601" width="11.5703125" style="42" bestFit="1" customWidth="1"/>
    <col min="12602" max="12639" width="5.42578125" style="42" bestFit="1" customWidth="1"/>
    <col min="12640" max="12800" width="9.140625" style="42"/>
    <col min="12801" max="12801" width="5.85546875" style="42" customWidth="1"/>
    <col min="12802" max="12803" width="6" style="42" bestFit="1" customWidth="1"/>
    <col min="12804" max="12804" width="5.42578125" style="42" customWidth="1"/>
    <col min="12805" max="12805" width="5.85546875" style="42" bestFit="1" customWidth="1"/>
    <col min="12806" max="12806" width="6.5703125" style="42" bestFit="1" customWidth="1"/>
    <col min="12807" max="12809" width="8" style="42" customWidth="1"/>
    <col min="12810" max="12810" width="6.7109375" style="42" customWidth="1"/>
    <col min="12811" max="12811" width="6.5703125" style="42" customWidth="1"/>
    <col min="12812" max="12813" width="5.5703125" style="42" bestFit="1" customWidth="1"/>
    <col min="12814" max="12814" width="8" style="42" customWidth="1"/>
    <col min="12815" max="12817" width="9.140625" style="42"/>
    <col min="12818" max="12818" width="8" style="42" customWidth="1"/>
    <col min="12819" max="12819" width="8.140625" style="42" customWidth="1"/>
    <col min="12820" max="12820" width="2" style="42" customWidth="1"/>
    <col min="12821" max="12821" width="8.140625" style="42" customWidth="1"/>
    <col min="12822" max="12822" width="3.42578125" style="42" customWidth="1"/>
    <col min="12823" max="12823" width="8.5703125" style="42" customWidth="1"/>
    <col min="12824" max="12824" width="8.28515625" style="42" bestFit="1" customWidth="1"/>
    <col min="12825" max="12825" width="7.5703125" style="42" bestFit="1" customWidth="1"/>
    <col min="12826" max="12826" width="7.7109375" style="42" bestFit="1" customWidth="1"/>
    <col min="12827" max="12827" width="8.28515625" style="42" bestFit="1" customWidth="1"/>
    <col min="12828" max="12828" width="7.7109375" style="42" bestFit="1" customWidth="1"/>
    <col min="12829" max="12829" width="2.7109375" style="42" customWidth="1"/>
    <col min="12830" max="12830" width="7" style="42" bestFit="1" customWidth="1"/>
    <col min="12831" max="12831" width="5.85546875" style="42" bestFit="1" customWidth="1"/>
    <col min="12832" max="12832" width="6" style="42" bestFit="1" customWidth="1"/>
    <col min="12833" max="12833" width="6.140625" style="42" bestFit="1" customWidth="1"/>
    <col min="12834" max="12834" width="7.5703125" style="42" bestFit="1" customWidth="1"/>
    <col min="12835" max="12839" width="8.28515625" style="42" bestFit="1" customWidth="1"/>
    <col min="12840" max="12840" width="1.42578125" style="42" customWidth="1"/>
    <col min="12841" max="12844" width="8.7109375" style="42" customWidth="1"/>
    <col min="12845" max="12845" width="8.42578125" style="42" customWidth="1"/>
    <col min="12846" max="12846" width="8.140625" style="42" customWidth="1"/>
    <col min="12847" max="12847" width="7.85546875" style="42" customWidth="1"/>
    <col min="12848" max="12848" width="10" style="42" bestFit="1" customWidth="1"/>
    <col min="12849" max="12849" width="10" style="42" customWidth="1"/>
    <col min="12850" max="12850" width="9.140625" style="42"/>
    <col min="12851" max="12852" width="5.5703125" style="42" bestFit="1" customWidth="1"/>
    <col min="12853" max="12853" width="6" style="42" bestFit="1" customWidth="1"/>
    <col min="12854" max="12855" width="6.28515625" style="42" customWidth="1"/>
    <col min="12856" max="12856" width="9.140625" style="42"/>
    <col min="12857" max="12857" width="11.5703125" style="42" bestFit="1" customWidth="1"/>
    <col min="12858" max="12895" width="5.42578125" style="42" bestFit="1" customWidth="1"/>
    <col min="12896" max="13056" width="9.140625" style="42"/>
    <col min="13057" max="13057" width="5.85546875" style="42" customWidth="1"/>
    <col min="13058" max="13059" width="6" style="42" bestFit="1" customWidth="1"/>
    <col min="13060" max="13060" width="5.42578125" style="42" customWidth="1"/>
    <col min="13061" max="13061" width="5.85546875" style="42" bestFit="1" customWidth="1"/>
    <col min="13062" max="13062" width="6.5703125" style="42" bestFit="1" customWidth="1"/>
    <col min="13063" max="13065" width="8" style="42" customWidth="1"/>
    <col min="13066" max="13066" width="6.7109375" style="42" customWidth="1"/>
    <col min="13067" max="13067" width="6.5703125" style="42" customWidth="1"/>
    <col min="13068" max="13069" width="5.5703125" style="42" bestFit="1" customWidth="1"/>
    <col min="13070" max="13070" width="8" style="42" customWidth="1"/>
    <col min="13071" max="13073" width="9.140625" style="42"/>
    <col min="13074" max="13074" width="8" style="42" customWidth="1"/>
    <col min="13075" max="13075" width="8.140625" style="42" customWidth="1"/>
    <col min="13076" max="13076" width="2" style="42" customWidth="1"/>
    <col min="13077" max="13077" width="8.140625" style="42" customWidth="1"/>
    <col min="13078" max="13078" width="3.42578125" style="42" customWidth="1"/>
    <col min="13079" max="13079" width="8.5703125" style="42" customWidth="1"/>
    <col min="13080" max="13080" width="8.28515625" style="42" bestFit="1" customWidth="1"/>
    <col min="13081" max="13081" width="7.5703125" style="42" bestFit="1" customWidth="1"/>
    <col min="13082" max="13082" width="7.7109375" style="42" bestFit="1" customWidth="1"/>
    <col min="13083" max="13083" width="8.28515625" style="42" bestFit="1" customWidth="1"/>
    <col min="13084" max="13084" width="7.7109375" style="42" bestFit="1" customWidth="1"/>
    <col min="13085" max="13085" width="2.7109375" style="42" customWidth="1"/>
    <col min="13086" max="13086" width="7" style="42" bestFit="1" customWidth="1"/>
    <col min="13087" max="13087" width="5.85546875" style="42" bestFit="1" customWidth="1"/>
    <col min="13088" max="13088" width="6" style="42" bestFit="1" customWidth="1"/>
    <col min="13089" max="13089" width="6.140625" style="42" bestFit="1" customWidth="1"/>
    <col min="13090" max="13090" width="7.5703125" style="42" bestFit="1" customWidth="1"/>
    <col min="13091" max="13095" width="8.28515625" style="42" bestFit="1" customWidth="1"/>
    <col min="13096" max="13096" width="1.42578125" style="42" customWidth="1"/>
    <col min="13097" max="13100" width="8.7109375" style="42" customWidth="1"/>
    <col min="13101" max="13101" width="8.42578125" style="42" customWidth="1"/>
    <col min="13102" max="13102" width="8.140625" style="42" customWidth="1"/>
    <col min="13103" max="13103" width="7.85546875" style="42" customWidth="1"/>
    <col min="13104" max="13104" width="10" style="42" bestFit="1" customWidth="1"/>
    <col min="13105" max="13105" width="10" style="42" customWidth="1"/>
    <col min="13106" max="13106" width="9.140625" style="42"/>
    <col min="13107" max="13108" width="5.5703125" style="42" bestFit="1" customWidth="1"/>
    <col min="13109" max="13109" width="6" style="42" bestFit="1" customWidth="1"/>
    <col min="13110" max="13111" width="6.28515625" style="42" customWidth="1"/>
    <col min="13112" max="13112" width="9.140625" style="42"/>
    <col min="13113" max="13113" width="11.5703125" style="42" bestFit="1" customWidth="1"/>
    <col min="13114" max="13151" width="5.42578125" style="42" bestFit="1" customWidth="1"/>
    <col min="13152" max="13312" width="9.140625" style="42"/>
    <col min="13313" max="13313" width="5.85546875" style="42" customWidth="1"/>
    <col min="13314" max="13315" width="6" style="42" bestFit="1" customWidth="1"/>
    <col min="13316" max="13316" width="5.42578125" style="42" customWidth="1"/>
    <col min="13317" max="13317" width="5.85546875" style="42" bestFit="1" customWidth="1"/>
    <col min="13318" max="13318" width="6.5703125" style="42" bestFit="1" customWidth="1"/>
    <col min="13319" max="13321" width="8" style="42" customWidth="1"/>
    <col min="13322" max="13322" width="6.7109375" style="42" customWidth="1"/>
    <col min="13323" max="13323" width="6.5703125" style="42" customWidth="1"/>
    <col min="13324" max="13325" width="5.5703125" style="42" bestFit="1" customWidth="1"/>
    <col min="13326" max="13326" width="8" style="42" customWidth="1"/>
    <col min="13327" max="13329" width="9.140625" style="42"/>
    <col min="13330" max="13330" width="8" style="42" customWidth="1"/>
    <col min="13331" max="13331" width="8.140625" style="42" customWidth="1"/>
    <col min="13332" max="13332" width="2" style="42" customWidth="1"/>
    <col min="13333" max="13333" width="8.140625" style="42" customWidth="1"/>
    <col min="13334" max="13334" width="3.42578125" style="42" customWidth="1"/>
    <col min="13335" max="13335" width="8.5703125" style="42" customWidth="1"/>
    <col min="13336" max="13336" width="8.28515625" style="42" bestFit="1" customWidth="1"/>
    <col min="13337" max="13337" width="7.5703125" style="42" bestFit="1" customWidth="1"/>
    <col min="13338" max="13338" width="7.7109375" style="42" bestFit="1" customWidth="1"/>
    <col min="13339" max="13339" width="8.28515625" style="42" bestFit="1" customWidth="1"/>
    <col min="13340" max="13340" width="7.7109375" style="42" bestFit="1" customWidth="1"/>
    <col min="13341" max="13341" width="2.7109375" style="42" customWidth="1"/>
    <col min="13342" max="13342" width="7" style="42" bestFit="1" customWidth="1"/>
    <col min="13343" max="13343" width="5.85546875" style="42" bestFit="1" customWidth="1"/>
    <col min="13344" max="13344" width="6" style="42" bestFit="1" customWidth="1"/>
    <col min="13345" max="13345" width="6.140625" style="42" bestFit="1" customWidth="1"/>
    <col min="13346" max="13346" width="7.5703125" style="42" bestFit="1" customWidth="1"/>
    <col min="13347" max="13351" width="8.28515625" style="42" bestFit="1" customWidth="1"/>
    <col min="13352" max="13352" width="1.42578125" style="42" customWidth="1"/>
    <col min="13353" max="13356" width="8.7109375" style="42" customWidth="1"/>
    <col min="13357" max="13357" width="8.42578125" style="42" customWidth="1"/>
    <col min="13358" max="13358" width="8.140625" style="42" customWidth="1"/>
    <col min="13359" max="13359" width="7.85546875" style="42" customWidth="1"/>
    <col min="13360" max="13360" width="10" style="42" bestFit="1" customWidth="1"/>
    <col min="13361" max="13361" width="10" style="42" customWidth="1"/>
    <col min="13362" max="13362" width="9.140625" style="42"/>
    <col min="13363" max="13364" width="5.5703125" style="42" bestFit="1" customWidth="1"/>
    <col min="13365" max="13365" width="6" style="42" bestFit="1" customWidth="1"/>
    <col min="13366" max="13367" width="6.28515625" style="42" customWidth="1"/>
    <col min="13368" max="13368" width="9.140625" style="42"/>
    <col min="13369" max="13369" width="11.5703125" style="42" bestFit="1" customWidth="1"/>
    <col min="13370" max="13407" width="5.42578125" style="42" bestFit="1" customWidth="1"/>
    <col min="13408" max="13568" width="9.140625" style="42"/>
    <col min="13569" max="13569" width="5.85546875" style="42" customWidth="1"/>
    <col min="13570" max="13571" width="6" style="42" bestFit="1" customWidth="1"/>
    <col min="13572" max="13572" width="5.42578125" style="42" customWidth="1"/>
    <col min="13573" max="13573" width="5.85546875" style="42" bestFit="1" customWidth="1"/>
    <col min="13574" max="13574" width="6.5703125" style="42" bestFit="1" customWidth="1"/>
    <col min="13575" max="13577" width="8" style="42" customWidth="1"/>
    <col min="13578" max="13578" width="6.7109375" style="42" customWidth="1"/>
    <col min="13579" max="13579" width="6.5703125" style="42" customWidth="1"/>
    <col min="13580" max="13581" width="5.5703125" style="42" bestFit="1" customWidth="1"/>
    <col min="13582" max="13582" width="8" style="42" customWidth="1"/>
    <col min="13583" max="13585" width="9.140625" style="42"/>
    <col min="13586" max="13586" width="8" style="42" customWidth="1"/>
    <col min="13587" max="13587" width="8.140625" style="42" customWidth="1"/>
    <col min="13588" max="13588" width="2" style="42" customWidth="1"/>
    <col min="13589" max="13589" width="8.140625" style="42" customWidth="1"/>
    <col min="13590" max="13590" width="3.42578125" style="42" customWidth="1"/>
    <col min="13591" max="13591" width="8.5703125" style="42" customWidth="1"/>
    <col min="13592" max="13592" width="8.28515625" style="42" bestFit="1" customWidth="1"/>
    <col min="13593" max="13593" width="7.5703125" style="42" bestFit="1" customWidth="1"/>
    <col min="13594" max="13594" width="7.7109375" style="42" bestFit="1" customWidth="1"/>
    <col min="13595" max="13595" width="8.28515625" style="42" bestFit="1" customWidth="1"/>
    <col min="13596" max="13596" width="7.7109375" style="42" bestFit="1" customWidth="1"/>
    <col min="13597" max="13597" width="2.7109375" style="42" customWidth="1"/>
    <col min="13598" max="13598" width="7" style="42" bestFit="1" customWidth="1"/>
    <col min="13599" max="13599" width="5.85546875" style="42" bestFit="1" customWidth="1"/>
    <col min="13600" max="13600" width="6" style="42" bestFit="1" customWidth="1"/>
    <col min="13601" max="13601" width="6.140625" style="42" bestFit="1" customWidth="1"/>
    <col min="13602" max="13602" width="7.5703125" style="42" bestFit="1" customWidth="1"/>
    <col min="13603" max="13607" width="8.28515625" style="42" bestFit="1" customWidth="1"/>
    <col min="13608" max="13608" width="1.42578125" style="42" customWidth="1"/>
    <col min="13609" max="13612" width="8.7109375" style="42" customWidth="1"/>
    <col min="13613" max="13613" width="8.42578125" style="42" customWidth="1"/>
    <col min="13614" max="13614" width="8.140625" style="42" customWidth="1"/>
    <col min="13615" max="13615" width="7.85546875" style="42" customWidth="1"/>
    <col min="13616" max="13616" width="10" style="42" bestFit="1" customWidth="1"/>
    <col min="13617" max="13617" width="10" style="42" customWidth="1"/>
    <col min="13618" max="13618" width="9.140625" style="42"/>
    <col min="13619" max="13620" width="5.5703125" style="42" bestFit="1" customWidth="1"/>
    <col min="13621" max="13621" width="6" style="42" bestFit="1" customWidth="1"/>
    <col min="13622" max="13623" width="6.28515625" style="42" customWidth="1"/>
    <col min="13624" max="13624" width="9.140625" style="42"/>
    <col min="13625" max="13625" width="11.5703125" style="42" bestFit="1" customWidth="1"/>
    <col min="13626" max="13663" width="5.42578125" style="42" bestFit="1" customWidth="1"/>
    <col min="13664" max="13824" width="9.140625" style="42"/>
    <col min="13825" max="13825" width="5.85546875" style="42" customWidth="1"/>
    <col min="13826" max="13827" width="6" style="42" bestFit="1" customWidth="1"/>
    <col min="13828" max="13828" width="5.42578125" style="42" customWidth="1"/>
    <col min="13829" max="13829" width="5.85546875" style="42" bestFit="1" customWidth="1"/>
    <col min="13830" max="13830" width="6.5703125" style="42" bestFit="1" customWidth="1"/>
    <col min="13831" max="13833" width="8" style="42" customWidth="1"/>
    <col min="13834" max="13834" width="6.7109375" style="42" customWidth="1"/>
    <col min="13835" max="13835" width="6.5703125" style="42" customWidth="1"/>
    <col min="13836" max="13837" width="5.5703125" style="42" bestFit="1" customWidth="1"/>
    <col min="13838" max="13838" width="8" style="42" customWidth="1"/>
    <col min="13839" max="13841" width="9.140625" style="42"/>
    <col min="13842" max="13842" width="8" style="42" customWidth="1"/>
    <col min="13843" max="13843" width="8.140625" style="42" customWidth="1"/>
    <col min="13844" max="13844" width="2" style="42" customWidth="1"/>
    <col min="13845" max="13845" width="8.140625" style="42" customWidth="1"/>
    <col min="13846" max="13846" width="3.42578125" style="42" customWidth="1"/>
    <col min="13847" max="13847" width="8.5703125" style="42" customWidth="1"/>
    <col min="13848" max="13848" width="8.28515625" style="42" bestFit="1" customWidth="1"/>
    <col min="13849" max="13849" width="7.5703125" style="42" bestFit="1" customWidth="1"/>
    <col min="13850" max="13850" width="7.7109375" style="42" bestFit="1" customWidth="1"/>
    <col min="13851" max="13851" width="8.28515625" style="42" bestFit="1" customWidth="1"/>
    <col min="13852" max="13852" width="7.7109375" style="42" bestFit="1" customWidth="1"/>
    <col min="13853" max="13853" width="2.7109375" style="42" customWidth="1"/>
    <col min="13854" max="13854" width="7" style="42" bestFit="1" customWidth="1"/>
    <col min="13855" max="13855" width="5.85546875" style="42" bestFit="1" customWidth="1"/>
    <col min="13856" max="13856" width="6" style="42" bestFit="1" customWidth="1"/>
    <col min="13857" max="13857" width="6.140625" style="42" bestFit="1" customWidth="1"/>
    <col min="13858" max="13858" width="7.5703125" style="42" bestFit="1" customWidth="1"/>
    <col min="13859" max="13863" width="8.28515625" style="42" bestFit="1" customWidth="1"/>
    <col min="13864" max="13864" width="1.42578125" style="42" customWidth="1"/>
    <col min="13865" max="13868" width="8.7109375" style="42" customWidth="1"/>
    <col min="13869" max="13869" width="8.42578125" style="42" customWidth="1"/>
    <col min="13870" max="13870" width="8.140625" style="42" customWidth="1"/>
    <col min="13871" max="13871" width="7.85546875" style="42" customWidth="1"/>
    <col min="13872" max="13872" width="10" style="42" bestFit="1" customWidth="1"/>
    <col min="13873" max="13873" width="10" style="42" customWidth="1"/>
    <col min="13874" max="13874" width="9.140625" style="42"/>
    <col min="13875" max="13876" width="5.5703125" style="42" bestFit="1" customWidth="1"/>
    <col min="13877" max="13877" width="6" style="42" bestFit="1" customWidth="1"/>
    <col min="13878" max="13879" width="6.28515625" style="42" customWidth="1"/>
    <col min="13880" max="13880" width="9.140625" style="42"/>
    <col min="13881" max="13881" width="11.5703125" style="42" bestFit="1" customWidth="1"/>
    <col min="13882" max="13919" width="5.42578125" style="42" bestFit="1" customWidth="1"/>
    <col min="13920" max="14080" width="9.140625" style="42"/>
    <col min="14081" max="14081" width="5.85546875" style="42" customWidth="1"/>
    <col min="14082" max="14083" width="6" style="42" bestFit="1" customWidth="1"/>
    <col min="14084" max="14084" width="5.42578125" style="42" customWidth="1"/>
    <col min="14085" max="14085" width="5.85546875" style="42" bestFit="1" customWidth="1"/>
    <col min="14086" max="14086" width="6.5703125" style="42" bestFit="1" customWidth="1"/>
    <col min="14087" max="14089" width="8" style="42" customWidth="1"/>
    <col min="14090" max="14090" width="6.7109375" style="42" customWidth="1"/>
    <col min="14091" max="14091" width="6.5703125" style="42" customWidth="1"/>
    <col min="14092" max="14093" width="5.5703125" style="42" bestFit="1" customWidth="1"/>
    <col min="14094" max="14094" width="8" style="42" customWidth="1"/>
    <col min="14095" max="14097" width="9.140625" style="42"/>
    <col min="14098" max="14098" width="8" style="42" customWidth="1"/>
    <col min="14099" max="14099" width="8.140625" style="42" customWidth="1"/>
    <col min="14100" max="14100" width="2" style="42" customWidth="1"/>
    <col min="14101" max="14101" width="8.140625" style="42" customWidth="1"/>
    <col min="14102" max="14102" width="3.42578125" style="42" customWidth="1"/>
    <col min="14103" max="14103" width="8.5703125" style="42" customWidth="1"/>
    <col min="14104" max="14104" width="8.28515625" style="42" bestFit="1" customWidth="1"/>
    <col min="14105" max="14105" width="7.5703125" style="42" bestFit="1" customWidth="1"/>
    <col min="14106" max="14106" width="7.7109375" style="42" bestFit="1" customWidth="1"/>
    <col min="14107" max="14107" width="8.28515625" style="42" bestFit="1" customWidth="1"/>
    <col min="14108" max="14108" width="7.7109375" style="42" bestFit="1" customWidth="1"/>
    <col min="14109" max="14109" width="2.7109375" style="42" customWidth="1"/>
    <col min="14110" max="14110" width="7" style="42" bestFit="1" customWidth="1"/>
    <col min="14111" max="14111" width="5.85546875" style="42" bestFit="1" customWidth="1"/>
    <col min="14112" max="14112" width="6" style="42" bestFit="1" customWidth="1"/>
    <col min="14113" max="14113" width="6.140625" style="42" bestFit="1" customWidth="1"/>
    <col min="14114" max="14114" width="7.5703125" style="42" bestFit="1" customWidth="1"/>
    <col min="14115" max="14119" width="8.28515625" style="42" bestFit="1" customWidth="1"/>
    <col min="14120" max="14120" width="1.42578125" style="42" customWidth="1"/>
    <col min="14121" max="14124" width="8.7109375" style="42" customWidth="1"/>
    <col min="14125" max="14125" width="8.42578125" style="42" customWidth="1"/>
    <col min="14126" max="14126" width="8.140625" style="42" customWidth="1"/>
    <col min="14127" max="14127" width="7.85546875" style="42" customWidth="1"/>
    <col min="14128" max="14128" width="10" style="42" bestFit="1" customWidth="1"/>
    <col min="14129" max="14129" width="10" style="42" customWidth="1"/>
    <col min="14130" max="14130" width="9.140625" style="42"/>
    <col min="14131" max="14132" width="5.5703125" style="42" bestFit="1" customWidth="1"/>
    <col min="14133" max="14133" width="6" style="42" bestFit="1" customWidth="1"/>
    <col min="14134" max="14135" width="6.28515625" style="42" customWidth="1"/>
    <col min="14136" max="14136" width="9.140625" style="42"/>
    <col min="14137" max="14137" width="11.5703125" style="42" bestFit="1" customWidth="1"/>
    <col min="14138" max="14175" width="5.42578125" style="42" bestFit="1" customWidth="1"/>
    <col min="14176" max="14336" width="9.140625" style="42"/>
    <col min="14337" max="14337" width="5.85546875" style="42" customWidth="1"/>
    <col min="14338" max="14339" width="6" style="42" bestFit="1" customWidth="1"/>
    <col min="14340" max="14340" width="5.42578125" style="42" customWidth="1"/>
    <col min="14341" max="14341" width="5.85546875" style="42" bestFit="1" customWidth="1"/>
    <col min="14342" max="14342" width="6.5703125" style="42" bestFit="1" customWidth="1"/>
    <col min="14343" max="14345" width="8" style="42" customWidth="1"/>
    <col min="14346" max="14346" width="6.7109375" style="42" customWidth="1"/>
    <col min="14347" max="14347" width="6.5703125" style="42" customWidth="1"/>
    <col min="14348" max="14349" width="5.5703125" style="42" bestFit="1" customWidth="1"/>
    <col min="14350" max="14350" width="8" style="42" customWidth="1"/>
    <col min="14351" max="14353" width="9.140625" style="42"/>
    <col min="14354" max="14354" width="8" style="42" customWidth="1"/>
    <col min="14355" max="14355" width="8.140625" style="42" customWidth="1"/>
    <col min="14356" max="14356" width="2" style="42" customWidth="1"/>
    <col min="14357" max="14357" width="8.140625" style="42" customWidth="1"/>
    <col min="14358" max="14358" width="3.42578125" style="42" customWidth="1"/>
    <col min="14359" max="14359" width="8.5703125" style="42" customWidth="1"/>
    <col min="14360" max="14360" width="8.28515625" style="42" bestFit="1" customWidth="1"/>
    <col min="14361" max="14361" width="7.5703125" style="42" bestFit="1" customWidth="1"/>
    <col min="14362" max="14362" width="7.7109375" style="42" bestFit="1" customWidth="1"/>
    <col min="14363" max="14363" width="8.28515625" style="42" bestFit="1" customWidth="1"/>
    <col min="14364" max="14364" width="7.7109375" style="42" bestFit="1" customWidth="1"/>
    <col min="14365" max="14365" width="2.7109375" style="42" customWidth="1"/>
    <col min="14366" max="14366" width="7" style="42" bestFit="1" customWidth="1"/>
    <col min="14367" max="14367" width="5.85546875" style="42" bestFit="1" customWidth="1"/>
    <col min="14368" max="14368" width="6" style="42" bestFit="1" customWidth="1"/>
    <col min="14369" max="14369" width="6.140625" style="42" bestFit="1" customWidth="1"/>
    <col min="14370" max="14370" width="7.5703125" style="42" bestFit="1" customWidth="1"/>
    <col min="14371" max="14375" width="8.28515625" style="42" bestFit="1" customWidth="1"/>
    <col min="14376" max="14376" width="1.42578125" style="42" customWidth="1"/>
    <col min="14377" max="14380" width="8.7109375" style="42" customWidth="1"/>
    <col min="14381" max="14381" width="8.42578125" style="42" customWidth="1"/>
    <col min="14382" max="14382" width="8.140625" style="42" customWidth="1"/>
    <col min="14383" max="14383" width="7.85546875" style="42" customWidth="1"/>
    <col min="14384" max="14384" width="10" style="42" bestFit="1" customWidth="1"/>
    <col min="14385" max="14385" width="10" style="42" customWidth="1"/>
    <col min="14386" max="14386" width="9.140625" style="42"/>
    <col min="14387" max="14388" width="5.5703125" style="42" bestFit="1" customWidth="1"/>
    <col min="14389" max="14389" width="6" style="42" bestFit="1" customWidth="1"/>
    <col min="14390" max="14391" width="6.28515625" style="42" customWidth="1"/>
    <col min="14392" max="14392" width="9.140625" style="42"/>
    <col min="14393" max="14393" width="11.5703125" style="42" bestFit="1" customWidth="1"/>
    <col min="14394" max="14431" width="5.42578125" style="42" bestFit="1" customWidth="1"/>
    <col min="14432" max="14592" width="9.140625" style="42"/>
    <col min="14593" max="14593" width="5.85546875" style="42" customWidth="1"/>
    <col min="14594" max="14595" width="6" style="42" bestFit="1" customWidth="1"/>
    <col min="14596" max="14596" width="5.42578125" style="42" customWidth="1"/>
    <col min="14597" max="14597" width="5.85546875" style="42" bestFit="1" customWidth="1"/>
    <col min="14598" max="14598" width="6.5703125" style="42" bestFit="1" customWidth="1"/>
    <col min="14599" max="14601" width="8" style="42" customWidth="1"/>
    <col min="14602" max="14602" width="6.7109375" style="42" customWidth="1"/>
    <col min="14603" max="14603" width="6.5703125" style="42" customWidth="1"/>
    <col min="14604" max="14605" width="5.5703125" style="42" bestFit="1" customWidth="1"/>
    <col min="14606" max="14606" width="8" style="42" customWidth="1"/>
    <col min="14607" max="14609" width="9.140625" style="42"/>
    <col min="14610" max="14610" width="8" style="42" customWidth="1"/>
    <col min="14611" max="14611" width="8.140625" style="42" customWidth="1"/>
    <col min="14612" max="14612" width="2" style="42" customWidth="1"/>
    <col min="14613" max="14613" width="8.140625" style="42" customWidth="1"/>
    <col min="14614" max="14614" width="3.42578125" style="42" customWidth="1"/>
    <col min="14615" max="14615" width="8.5703125" style="42" customWidth="1"/>
    <col min="14616" max="14616" width="8.28515625" style="42" bestFit="1" customWidth="1"/>
    <col min="14617" max="14617" width="7.5703125" style="42" bestFit="1" customWidth="1"/>
    <col min="14618" max="14618" width="7.7109375" style="42" bestFit="1" customWidth="1"/>
    <col min="14619" max="14619" width="8.28515625" style="42" bestFit="1" customWidth="1"/>
    <col min="14620" max="14620" width="7.7109375" style="42" bestFit="1" customWidth="1"/>
    <col min="14621" max="14621" width="2.7109375" style="42" customWidth="1"/>
    <col min="14622" max="14622" width="7" style="42" bestFit="1" customWidth="1"/>
    <col min="14623" max="14623" width="5.85546875" style="42" bestFit="1" customWidth="1"/>
    <col min="14624" max="14624" width="6" style="42" bestFit="1" customWidth="1"/>
    <col min="14625" max="14625" width="6.140625" style="42" bestFit="1" customWidth="1"/>
    <col min="14626" max="14626" width="7.5703125" style="42" bestFit="1" customWidth="1"/>
    <col min="14627" max="14631" width="8.28515625" style="42" bestFit="1" customWidth="1"/>
    <col min="14632" max="14632" width="1.42578125" style="42" customWidth="1"/>
    <col min="14633" max="14636" width="8.7109375" style="42" customWidth="1"/>
    <col min="14637" max="14637" width="8.42578125" style="42" customWidth="1"/>
    <col min="14638" max="14638" width="8.140625" style="42" customWidth="1"/>
    <col min="14639" max="14639" width="7.85546875" style="42" customWidth="1"/>
    <col min="14640" max="14640" width="10" style="42" bestFit="1" customWidth="1"/>
    <col min="14641" max="14641" width="10" style="42" customWidth="1"/>
    <col min="14642" max="14642" width="9.140625" style="42"/>
    <col min="14643" max="14644" width="5.5703125" style="42" bestFit="1" customWidth="1"/>
    <col min="14645" max="14645" width="6" style="42" bestFit="1" customWidth="1"/>
    <col min="14646" max="14647" width="6.28515625" style="42" customWidth="1"/>
    <col min="14648" max="14648" width="9.140625" style="42"/>
    <col min="14649" max="14649" width="11.5703125" style="42" bestFit="1" customWidth="1"/>
    <col min="14650" max="14687" width="5.42578125" style="42" bestFit="1" customWidth="1"/>
    <col min="14688" max="14848" width="9.140625" style="42"/>
    <col min="14849" max="14849" width="5.85546875" style="42" customWidth="1"/>
    <col min="14850" max="14851" width="6" style="42" bestFit="1" customWidth="1"/>
    <col min="14852" max="14852" width="5.42578125" style="42" customWidth="1"/>
    <col min="14853" max="14853" width="5.85546875" style="42" bestFit="1" customWidth="1"/>
    <col min="14854" max="14854" width="6.5703125" style="42" bestFit="1" customWidth="1"/>
    <col min="14855" max="14857" width="8" style="42" customWidth="1"/>
    <col min="14858" max="14858" width="6.7109375" style="42" customWidth="1"/>
    <col min="14859" max="14859" width="6.5703125" style="42" customWidth="1"/>
    <col min="14860" max="14861" width="5.5703125" style="42" bestFit="1" customWidth="1"/>
    <col min="14862" max="14862" width="8" style="42" customWidth="1"/>
    <col min="14863" max="14865" width="9.140625" style="42"/>
    <col min="14866" max="14866" width="8" style="42" customWidth="1"/>
    <col min="14867" max="14867" width="8.140625" style="42" customWidth="1"/>
    <col min="14868" max="14868" width="2" style="42" customWidth="1"/>
    <col min="14869" max="14869" width="8.140625" style="42" customWidth="1"/>
    <col min="14870" max="14870" width="3.42578125" style="42" customWidth="1"/>
    <col min="14871" max="14871" width="8.5703125" style="42" customWidth="1"/>
    <col min="14872" max="14872" width="8.28515625" style="42" bestFit="1" customWidth="1"/>
    <col min="14873" max="14873" width="7.5703125" style="42" bestFit="1" customWidth="1"/>
    <col min="14874" max="14874" width="7.7109375" style="42" bestFit="1" customWidth="1"/>
    <col min="14875" max="14875" width="8.28515625" style="42" bestFit="1" customWidth="1"/>
    <col min="14876" max="14876" width="7.7109375" style="42" bestFit="1" customWidth="1"/>
    <col min="14877" max="14877" width="2.7109375" style="42" customWidth="1"/>
    <col min="14878" max="14878" width="7" style="42" bestFit="1" customWidth="1"/>
    <col min="14879" max="14879" width="5.85546875" style="42" bestFit="1" customWidth="1"/>
    <col min="14880" max="14880" width="6" style="42" bestFit="1" customWidth="1"/>
    <col min="14881" max="14881" width="6.140625" style="42" bestFit="1" customWidth="1"/>
    <col min="14882" max="14882" width="7.5703125" style="42" bestFit="1" customWidth="1"/>
    <col min="14883" max="14887" width="8.28515625" style="42" bestFit="1" customWidth="1"/>
    <col min="14888" max="14888" width="1.42578125" style="42" customWidth="1"/>
    <col min="14889" max="14892" width="8.7109375" style="42" customWidth="1"/>
    <col min="14893" max="14893" width="8.42578125" style="42" customWidth="1"/>
    <col min="14894" max="14894" width="8.140625" style="42" customWidth="1"/>
    <col min="14895" max="14895" width="7.85546875" style="42" customWidth="1"/>
    <col min="14896" max="14896" width="10" style="42" bestFit="1" customWidth="1"/>
    <col min="14897" max="14897" width="10" style="42" customWidth="1"/>
    <col min="14898" max="14898" width="9.140625" style="42"/>
    <col min="14899" max="14900" width="5.5703125" style="42" bestFit="1" customWidth="1"/>
    <col min="14901" max="14901" width="6" style="42" bestFit="1" customWidth="1"/>
    <col min="14902" max="14903" width="6.28515625" style="42" customWidth="1"/>
    <col min="14904" max="14904" width="9.140625" style="42"/>
    <col min="14905" max="14905" width="11.5703125" style="42" bestFit="1" customWidth="1"/>
    <col min="14906" max="14943" width="5.42578125" style="42" bestFit="1" customWidth="1"/>
    <col min="14944" max="15104" width="9.140625" style="42"/>
    <col min="15105" max="15105" width="5.85546875" style="42" customWidth="1"/>
    <col min="15106" max="15107" width="6" style="42" bestFit="1" customWidth="1"/>
    <col min="15108" max="15108" width="5.42578125" style="42" customWidth="1"/>
    <col min="15109" max="15109" width="5.85546875" style="42" bestFit="1" customWidth="1"/>
    <col min="15110" max="15110" width="6.5703125" style="42" bestFit="1" customWidth="1"/>
    <col min="15111" max="15113" width="8" style="42" customWidth="1"/>
    <col min="15114" max="15114" width="6.7109375" style="42" customWidth="1"/>
    <col min="15115" max="15115" width="6.5703125" style="42" customWidth="1"/>
    <col min="15116" max="15117" width="5.5703125" style="42" bestFit="1" customWidth="1"/>
    <col min="15118" max="15118" width="8" style="42" customWidth="1"/>
    <col min="15119" max="15121" width="9.140625" style="42"/>
    <col min="15122" max="15122" width="8" style="42" customWidth="1"/>
    <col min="15123" max="15123" width="8.140625" style="42" customWidth="1"/>
    <col min="15124" max="15124" width="2" style="42" customWidth="1"/>
    <col min="15125" max="15125" width="8.140625" style="42" customWidth="1"/>
    <col min="15126" max="15126" width="3.42578125" style="42" customWidth="1"/>
    <col min="15127" max="15127" width="8.5703125" style="42" customWidth="1"/>
    <col min="15128" max="15128" width="8.28515625" style="42" bestFit="1" customWidth="1"/>
    <col min="15129" max="15129" width="7.5703125" style="42" bestFit="1" customWidth="1"/>
    <col min="15130" max="15130" width="7.7109375" style="42" bestFit="1" customWidth="1"/>
    <col min="15131" max="15131" width="8.28515625" style="42" bestFit="1" customWidth="1"/>
    <col min="15132" max="15132" width="7.7109375" style="42" bestFit="1" customWidth="1"/>
    <col min="15133" max="15133" width="2.7109375" style="42" customWidth="1"/>
    <col min="15134" max="15134" width="7" style="42" bestFit="1" customWidth="1"/>
    <col min="15135" max="15135" width="5.85546875" style="42" bestFit="1" customWidth="1"/>
    <col min="15136" max="15136" width="6" style="42" bestFit="1" customWidth="1"/>
    <col min="15137" max="15137" width="6.140625" style="42" bestFit="1" customWidth="1"/>
    <col min="15138" max="15138" width="7.5703125" style="42" bestFit="1" customWidth="1"/>
    <col min="15139" max="15143" width="8.28515625" style="42" bestFit="1" customWidth="1"/>
    <col min="15144" max="15144" width="1.42578125" style="42" customWidth="1"/>
    <col min="15145" max="15148" width="8.7109375" style="42" customWidth="1"/>
    <col min="15149" max="15149" width="8.42578125" style="42" customWidth="1"/>
    <col min="15150" max="15150" width="8.140625" style="42" customWidth="1"/>
    <col min="15151" max="15151" width="7.85546875" style="42" customWidth="1"/>
    <col min="15152" max="15152" width="10" style="42" bestFit="1" customWidth="1"/>
    <col min="15153" max="15153" width="10" style="42" customWidth="1"/>
    <col min="15154" max="15154" width="9.140625" style="42"/>
    <col min="15155" max="15156" width="5.5703125" style="42" bestFit="1" customWidth="1"/>
    <col min="15157" max="15157" width="6" style="42" bestFit="1" customWidth="1"/>
    <col min="15158" max="15159" width="6.28515625" style="42" customWidth="1"/>
    <col min="15160" max="15160" width="9.140625" style="42"/>
    <col min="15161" max="15161" width="11.5703125" style="42" bestFit="1" customWidth="1"/>
    <col min="15162" max="15199" width="5.42578125" style="42" bestFit="1" customWidth="1"/>
    <col min="15200" max="15360" width="9.140625" style="42"/>
    <col min="15361" max="15361" width="5.85546875" style="42" customWidth="1"/>
    <col min="15362" max="15363" width="6" style="42" bestFit="1" customWidth="1"/>
    <col min="15364" max="15364" width="5.42578125" style="42" customWidth="1"/>
    <col min="15365" max="15365" width="5.85546875" style="42" bestFit="1" customWidth="1"/>
    <col min="15366" max="15366" width="6.5703125" style="42" bestFit="1" customWidth="1"/>
    <col min="15367" max="15369" width="8" style="42" customWidth="1"/>
    <col min="15370" max="15370" width="6.7109375" style="42" customWidth="1"/>
    <col min="15371" max="15371" width="6.5703125" style="42" customWidth="1"/>
    <col min="15372" max="15373" width="5.5703125" style="42" bestFit="1" customWidth="1"/>
    <col min="15374" max="15374" width="8" style="42" customWidth="1"/>
    <col min="15375" max="15377" width="9.140625" style="42"/>
    <col min="15378" max="15378" width="8" style="42" customWidth="1"/>
    <col min="15379" max="15379" width="8.140625" style="42" customWidth="1"/>
    <col min="15380" max="15380" width="2" style="42" customWidth="1"/>
    <col min="15381" max="15381" width="8.140625" style="42" customWidth="1"/>
    <col min="15382" max="15382" width="3.42578125" style="42" customWidth="1"/>
    <col min="15383" max="15383" width="8.5703125" style="42" customWidth="1"/>
    <col min="15384" max="15384" width="8.28515625" style="42" bestFit="1" customWidth="1"/>
    <col min="15385" max="15385" width="7.5703125" style="42" bestFit="1" customWidth="1"/>
    <col min="15386" max="15386" width="7.7109375" style="42" bestFit="1" customWidth="1"/>
    <col min="15387" max="15387" width="8.28515625" style="42" bestFit="1" customWidth="1"/>
    <col min="15388" max="15388" width="7.7109375" style="42" bestFit="1" customWidth="1"/>
    <col min="15389" max="15389" width="2.7109375" style="42" customWidth="1"/>
    <col min="15390" max="15390" width="7" style="42" bestFit="1" customWidth="1"/>
    <col min="15391" max="15391" width="5.85546875" style="42" bestFit="1" customWidth="1"/>
    <col min="15392" max="15392" width="6" style="42" bestFit="1" customWidth="1"/>
    <col min="15393" max="15393" width="6.140625" style="42" bestFit="1" customWidth="1"/>
    <col min="15394" max="15394" width="7.5703125" style="42" bestFit="1" customWidth="1"/>
    <col min="15395" max="15399" width="8.28515625" style="42" bestFit="1" customWidth="1"/>
    <col min="15400" max="15400" width="1.42578125" style="42" customWidth="1"/>
    <col min="15401" max="15404" width="8.7109375" style="42" customWidth="1"/>
    <col min="15405" max="15405" width="8.42578125" style="42" customWidth="1"/>
    <col min="15406" max="15406" width="8.140625" style="42" customWidth="1"/>
    <col min="15407" max="15407" width="7.85546875" style="42" customWidth="1"/>
    <col min="15408" max="15408" width="10" style="42" bestFit="1" customWidth="1"/>
    <col min="15409" max="15409" width="10" style="42" customWidth="1"/>
    <col min="15410" max="15410" width="9.140625" style="42"/>
    <col min="15411" max="15412" width="5.5703125" style="42" bestFit="1" customWidth="1"/>
    <col min="15413" max="15413" width="6" style="42" bestFit="1" customWidth="1"/>
    <col min="15414" max="15415" width="6.28515625" style="42" customWidth="1"/>
    <col min="15416" max="15416" width="9.140625" style="42"/>
    <col min="15417" max="15417" width="11.5703125" style="42" bestFit="1" customWidth="1"/>
    <col min="15418" max="15455" width="5.42578125" style="42" bestFit="1" customWidth="1"/>
    <col min="15456" max="15616" width="9.140625" style="42"/>
    <col min="15617" max="15617" width="5.85546875" style="42" customWidth="1"/>
    <col min="15618" max="15619" width="6" style="42" bestFit="1" customWidth="1"/>
    <col min="15620" max="15620" width="5.42578125" style="42" customWidth="1"/>
    <col min="15621" max="15621" width="5.85546875" style="42" bestFit="1" customWidth="1"/>
    <col min="15622" max="15622" width="6.5703125" style="42" bestFit="1" customWidth="1"/>
    <col min="15623" max="15625" width="8" style="42" customWidth="1"/>
    <col min="15626" max="15626" width="6.7109375" style="42" customWidth="1"/>
    <col min="15627" max="15627" width="6.5703125" style="42" customWidth="1"/>
    <col min="15628" max="15629" width="5.5703125" style="42" bestFit="1" customWidth="1"/>
    <col min="15630" max="15630" width="8" style="42" customWidth="1"/>
    <col min="15631" max="15633" width="9.140625" style="42"/>
    <col min="15634" max="15634" width="8" style="42" customWidth="1"/>
    <col min="15635" max="15635" width="8.140625" style="42" customWidth="1"/>
    <col min="15636" max="15636" width="2" style="42" customWidth="1"/>
    <col min="15637" max="15637" width="8.140625" style="42" customWidth="1"/>
    <col min="15638" max="15638" width="3.42578125" style="42" customWidth="1"/>
    <col min="15639" max="15639" width="8.5703125" style="42" customWidth="1"/>
    <col min="15640" max="15640" width="8.28515625" style="42" bestFit="1" customWidth="1"/>
    <col min="15641" max="15641" width="7.5703125" style="42" bestFit="1" customWidth="1"/>
    <col min="15642" max="15642" width="7.7109375" style="42" bestFit="1" customWidth="1"/>
    <col min="15643" max="15643" width="8.28515625" style="42" bestFit="1" customWidth="1"/>
    <col min="15644" max="15644" width="7.7109375" style="42" bestFit="1" customWidth="1"/>
    <col min="15645" max="15645" width="2.7109375" style="42" customWidth="1"/>
    <col min="15646" max="15646" width="7" style="42" bestFit="1" customWidth="1"/>
    <col min="15647" max="15647" width="5.85546875" style="42" bestFit="1" customWidth="1"/>
    <col min="15648" max="15648" width="6" style="42" bestFit="1" customWidth="1"/>
    <col min="15649" max="15649" width="6.140625" style="42" bestFit="1" customWidth="1"/>
    <col min="15650" max="15650" width="7.5703125" style="42" bestFit="1" customWidth="1"/>
    <col min="15651" max="15655" width="8.28515625" style="42" bestFit="1" customWidth="1"/>
    <col min="15656" max="15656" width="1.42578125" style="42" customWidth="1"/>
    <col min="15657" max="15660" width="8.7109375" style="42" customWidth="1"/>
    <col min="15661" max="15661" width="8.42578125" style="42" customWidth="1"/>
    <col min="15662" max="15662" width="8.140625" style="42" customWidth="1"/>
    <col min="15663" max="15663" width="7.85546875" style="42" customWidth="1"/>
    <col min="15664" max="15664" width="10" style="42" bestFit="1" customWidth="1"/>
    <col min="15665" max="15665" width="10" style="42" customWidth="1"/>
    <col min="15666" max="15666" width="9.140625" style="42"/>
    <col min="15667" max="15668" width="5.5703125" style="42" bestFit="1" customWidth="1"/>
    <col min="15669" max="15669" width="6" style="42" bestFit="1" customWidth="1"/>
    <col min="15670" max="15671" width="6.28515625" style="42" customWidth="1"/>
    <col min="15672" max="15672" width="9.140625" style="42"/>
    <col min="15673" max="15673" width="11.5703125" style="42" bestFit="1" customWidth="1"/>
    <col min="15674" max="15711" width="5.42578125" style="42" bestFit="1" customWidth="1"/>
    <col min="15712" max="15872" width="9.140625" style="42"/>
    <col min="15873" max="15873" width="5.85546875" style="42" customWidth="1"/>
    <col min="15874" max="15875" width="6" style="42" bestFit="1" customWidth="1"/>
    <col min="15876" max="15876" width="5.42578125" style="42" customWidth="1"/>
    <col min="15877" max="15877" width="5.85546875" style="42" bestFit="1" customWidth="1"/>
    <col min="15878" max="15878" width="6.5703125" style="42" bestFit="1" customWidth="1"/>
    <col min="15879" max="15881" width="8" style="42" customWidth="1"/>
    <col min="15882" max="15882" width="6.7109375" style="42" customWidth="1"/>
    <col min="15883" max="15883" width="6.5703125" style="42" customWidth="1"/>
    <col min="15884" max="15885" width="5.5703125" style="42" bestFit="1" customWidth="1"/>
    <col min="15886" max="15886" width="8" style="42" customWidth="1"/>
    <col min="15887" max="15889" width="9.140625" style="42"/>
    <col min="15890" max="15890" width="8" style="42" customWidth="1"/>
    <col min="15891" max="15891" width="8.140625" style="42" customWidth="1"/>
    <col min="15892" max="15892" width="2" style="42" customWidth="1"/>
    <col min="15893" max="15893" width="8.140625" style="42" customWidth="1"/>
    <col min="15894" max="15894" width="3.42578125" style="42" customWidth="1"/>
    <col min="15895" max="15895" width="8.5703125" style="42" customWidth="1"/>
    <col min="15896" max="15896" width="8.28515625" style="42" bestFit="1" customWidth="1"/>
    <col min="15897" max="15897" width="7.5703125" style="42" bestFit="1" customWidth="1"/>
    <col min="15898" max="15898" width="7.7109375" style="42" bestFit="1" customWidth="1"/>
    <col min="15899" max="15899" width="8.28515625" style="42" bestFit="1" customWidth="1"/>
    <col min="15900" max="15900" width="7.7109375" style="42" bestFit="1" customWidth="1"/>
    <col min="15901" max="15901" width="2.7109375" style="42" customWidth="1"/>
    <col min="15902" max="15902" width="7" style="42" bestFit="1" customWidth="1"/>
    <col min="15903" max="15903" width="5.85546875" style="42" bestFit="1" customWidth="1"/>
    <col min="15904" max="15904" width="6" style="42" bestFit="1" customWidth="1"/>
    <col min="15905" max="15905" width="6.140625" style="42" bestFit="1" customWidth="1"/>
    <col min="15906" max="15906" width="7.5703125" style="42" bestFit="1" customWidth="1"/>
    <col min="15907" max="15911" width="8.28515625" style="42" bestFit="1" customWidth="1"/>
    <col min="15912" max="15912" width="1.42578125" style="42" customWidth="1"/>
    <col min="15913" max="15916" width="8.7109375" style="42" customWidth="1"/>
    <col min="15917" max="15917" width="8.42578125" style="42" customWidth="1"/>
    <col min="15918" max="15918" width="8.140625" style="42" customWidth="1"/>
    <col min="15919" max="15919" width="7.85546875" style="42" customWidth="1"/>
    <col min="15920" max="15920" width="10" style="42" bestFit="1" customWidth="1"/>
    <col min="15921" max="15921" width="10" style="42" customWidth="1"/>
    <col min="15922" max="15922" width="9.140625" style="42"/>
    <col min="15923" max="15924" width="5.5703125" style="42" bestFit="1" customWidth="1"/>
    <col min="15925" max="15925" width="6" style="42" bestFit="1" customWidth="1"/>
    <col min="15926" max="15927" width="6.28515625" style="42" customWidth="1"/>
    <col min="15928" max="15928" width="9.140625" style="42"/>
    <col min="15929" max="15929" width="11.5703125" style="42" bestFit="1" customWidth="1"/>
    <col min="15930" max="15967" width="5.42578125" style="42" bestFit="1" customWidth="1"/>
    <col min="15968" max="16128" width="9.140625" style="42"/>
    <col min="16129" max="16129" width="5.85546875" style="42" customWidth="1"/>
    <col min="16130" max="16131" width="6" style="42" bestFit="1" customWidth="1"/>
    <col min="16132" max="16132" width="5.42578125" style="42" customWidth="1"/>
    <col min="16133" max="16133" width="5.85546875" style="42" bestFit="1" customWidth="1"/>
    <col min="16134" max="16134" width="6.5703125" style="42" bestFit="1" customWidth="1"/>
    <col min="16135" max="16137" width="8" style="42" customWidth="1"/>
    <col min="16138" max="16138" width="6.7109375" style="42" customWidth="1"/>
    <col min="16139" max="16139" width="6.5703125" style="42" customWidth="1"/>
    <col min="16140" max="16141" width="5.5703125" style="42" bestFit="1" customWidth="1"/>
    <col min="16142" max="16142" width="8" style="42" customWidth="1"/>
    <col min="16143" max="16145" width="9.140625" style="42"/>
    <col min="16146" max="16146" width="8" style="42" customWidth="1"/>
    <col min="16147" max="16147" width="8.140625" style="42" customWidth="1"/>
    <col min="16148" max="16148" width="2" style="42" customWidth="1"/>
    <col min="16149" max="16149" width="8.140625" style="42" customWidth="1"/>
    <col min="16150" max="16150" width="3.42578125" style="42" customWidth="1"/>
    <col min="16151" max="16151" width="8.5703125" style="42" customWidth="1"/>
    <col min="16152" max="16152" width="8.28515625" style="42" bestFit="1" customWidth="1"/>
    <col min="16153" max="16153" width="7.5703125" style="42" bestFit="1" customWidth="1"/>
    <col min="16154" max="16154" width="7.7109375" style="42" bestFit="1" customWidth="1"/>
    <col min="16155" max="16155" width="8.28515625" style="42" bestFit="1" customWidth="1"/>
    <col min="16156" max="16156" width="7.7109375" style="42" bestFit="1" customWidth="1"/>
    <col min="16157" max="16157" width="2.7109375" style="42" customWidth="1"/>
    <col min="16158" max="16158" width="7" style="42" bestFit="1" customWidth="1"/>
    <col min="16159" max="16159" width="5.85546875" style="42" bestFit="1" customWidth="1"/>
    <col min="16160" max="16160" width="6" style="42" bestFit="1" customWidth="1"/>
    <col min="16161" max="16161" width="6.140625" style="42" bestFit="1" customWidth="1"/>
    <col min="16162" max="16162" width="7.5703125" style="42" bestFit="1" customWidth="1"/>
    <col min="16163" max="16167" width="8.28515625" style="42" bestFit="1" customWidth="1"/>
    <col min="16168" max="16168" width="1.42578125" style="42" customWidth="1"/>
    <col min="16169" max="16172" width="8.7109375" style="42" customWidth="1"/>
    <col min="16173" max="16173" width="8.42578125" style="42" customWidth="1"/>
    <col min="16174" max="16174" width="8.140625" style="42" customWidth="1"/>
    <col min="16175" max="16175" width="7.85546875" style="42" customWidth="1"/>
    <col min="16176" max="16176" width="10" style="42" bestFit="1" customWidth="1"/>
    <col min="16177" max="16177" width="10" style="42" customWidth="1"/>
    <col min="16178" max="16178" width="9.140625" style="42"/>
    <col min="16179" max="16180" width="5.5703125" style="42" bestFit="1" customWidth="1"/>
    <col min="16181" max="16181" width="6" style="42" bestFit="1" customWidth="1"/>
    <col min="16182" max="16183" width="6.28515625" style="42" customWidth="1"/>
    <col min="16184" max="16184" width="9.140625" style="42"/>
    <col min="16185" max="16185" width="11.5703125" style="42" bestFit="1" customWidth="1"/>
    <col min="16186" max="16223" width="5.42578125" style="42" bestFit="1" customWidth="1"/>
    <col min="16224" max="16384" width="9.140625" style="42"/>
  </cols>
  <sheetData>
    <row r="1" spans="1:96" x14ac:dyDescent="0.2">
      <c r="A1" s="41" t="s">
        <v>237</v>
      </c>
      <c r="B1" s="41"/>
      <c r="C1" s="41"/>
      <c r="D1" s="41"/>
      <c r="E1" s="41"/>
      <c r="F1" s="41"/>
      <c r="O1" s="42" t="s">
        <v>238</v>
      </c>
      <c r="W1" s="42" t="str">
        <f>A1</f>
        <v>Table -- U.S. Farm Sector Energy Use, Direct and Indirect</v>
      </c>
    </row>
    <row r="2" spans="1:96" ht="12" customHeight="1" x14ac:dyDescent="0.2">
      <c r="A2" s="43"/>
      <c r="B2" s="44"/>
      <c r="C2" s="44"/>
      <c r="D2" s="44"/>
      <c r="E2" s="44"/>
      <c r="F2" s="44"/>
      <c r="G2" s="155" t="s">
        <v>239</v>
      </c>
      <c r="H2" s="155" t="s">
        <v>239</v>
      </c>
      <c r="I2" s="155" t="s">
        <v>239</v>
      </c>
      <c r="J2" s="45"/>
      <c r="K2" s="44"/>
      <c r="L2" s="44"/>
      <c r="M2" s="44"/>
      <c r="N2" s="44" t="s">
        <v>144</v>
      </c>
      <c r="O2" s="155" t="s">
        <v>240</v>
      </c>
      <c r="P2" s="155" t="s">
        <v>241</v>
      </c>
      <c r="Q2" s="155" t="s">
        <v>241</v>
      </c>
      <c r="R2" s="152" t="s">
        <v>242</v>
      </c>
      <c r="S2" s="46"/>
      <c r="T2" s="47"/>
      <c r="U2" s="154" t="s">
        <v>243</v>
      </c>
      <c r="V2" s="43"/>
      <c r="W2" s="43"/>
      <c r="X2" s="43"/>
      <c r="Y2" s="43"/>
      <c r="Z2" s="48"/>
      <c r="AA2" s="43"/>
      <c r="AB2" s="43"/>
      <c r="AC2" s="43"/>
      <c r="AD2" s="48"/>
      <c r="AE2" s="43"/>
      <c r="AF2" s="43"/>
      <c r="AG2" s="43"/>
      <c r="AH2" s="48"/>
      <c r="AI2" s="49"/>
      <c r="AJ2" s="48"/>
      <c r="AK2" s="43"/>
      <c r="AL2" s="43"/>
      <c r="AM2" s="43"/>
      <c r="AN2" s="50"/>
      <c r="AO2" s="51" t="s">
        <v>244</v>
      </c>
      <c r="AP2" s="52" t="s">
        <v>245</v>
      </c>
      <c r="AQ2" s="52" t="s">
        <v>245</v>
      </c>
      <c r="AR2" s="52" t="s">
        <v>245</v>
      </c>
      <c r="AS2" s="52" t="s">
        <v>245</v>
      </c>
      <c r="AT2" s="52" t="s">
        <v>245</v>
      </c>
      <c r="AU2" s="52" t="s">
        <v>245</v>
      </c>
      <c r="AV2" s="50"/>
      <c r="AW2" s="155" t="s">
        <v>246</v>
      </c>
      <c r="AX2" s="155" t="s">
        <v>239</v>
      </c>
      <c r="AY2" s="53"/>
      <c r="AZ2" s="53"/>
      <c r="BA2" s="53"/>
      <c r="BB2" s="53"/>
      <c r="BC2" s="53"/>
      <c r="BD2" s="155" t="s">
        <v>240</v>
      </c>
      <c r="BE2" s="54"/>
    </row>
    <row r="3" spans="1:96" ht="45" x14ac:dyDescent="0.2">
      <c r="A3" s="55" t="s">
        <v>13</v>
      </c>
      <c r="B3" s="56" t="s">
        <v>247</v>
      </c>
      <c r="C3" s="56" t="s">
        <v>93</v>
      </c>
      <c r="D3" s="56" t="s">
        <v>248</v>
      </c>
      <c r="E3" s="56" t="s">
        <v>6</v>
      </c>
      <c r="F3" s="56" t="s">
        <v>249</v>
      </c>
      <c r="G3" s="156"/>
      <c r="H3" s="156"/>
      <c r="I3" s="156"/>
      <c r="J3" s="57" t="s">
        <v>250</v>
      </c>
      <c r="K3" s="56" t="s">
        <v>251</v>
      </c>
      <c r="L3" s="56" t="s">
        <v>252</v>
      </c>
      <c r="M3" s="56" t="s">
        <v>253</v>
      </c>
      <c r="N3" s="56" t="s">
        <v>254</v>
      </c>
      <c r="O3" s="156"/>
      <c r="P3" s="156"/>
      <c r="Q3" s="156"/>
      <c r="R3" s="153"/>
      <c r="S3" s="58" t="s">
        <v>255</v>
      </c>
      <c r="T3" s="59"/>
      <c r="U3" s="153"/>
      <c r="V3" s="56"/>
      <c r="W3" s="56" t="s">
        <v>256</v>
      </c>
      <c r="X3" s="56" t="s">
        <v>257</v>
      </c>
      <c r="Y3" s="56" t="s">
        <v>253</v>
      </c>
      <c r="Z3" s="57" t="str">
        <f>W3</f>
        <v>Nitrogen</v>
      </c>
      <c r="AA3" s="56" t="str">
        <f>X3</f>
        <v>Phosphate</v>
      </c>
      <c r="AB3" s="56" t="str">
        <f>Y3</f>
        <v>Potash</v>
      </c>
      <c r="AC3" s="55"/>
      <c r="AD3" s="57" t="s">
        <v>92</v>
      </c>
      <c r="AE3" s="56" t="s">
        <v>93</v>
      </c>
      <c r="AF3" s="56" t="s">
        <v>248</v>
      </c>
      <c r="AG3" s="56" t="s">
        <v>6</v>
      </c>
      <c r="AH3" s="57" t="s">
        <v>0</v>
      </c>
      <c r="AI3" s="60" t="s">
        <v>258</v>
      </c>
      <c r="AJ3" s="57" t="s">
        <v>256</v>
      </c>
      <c r="AK3" s="56" t="s">
        <v>257</v>
      </c>
      <c r="AL3" s="56" t="s">
        <v>253</v>
      </c>
      <c r="AM3" s="56" t="s">
        <v>259</v>
      </c>
      <c r="AN3" s="61"/>
      <c r="AO3" s="62" t="s">
        <v>260</v>
      </c>
      <c r="AP3" s="62" t="s">
        <v>261</v>
      </c>
      <c r="AQ3" s="62" t="s">
        <v>262</v>
      </c>
      <c r="AR3" s="62" t="s">
        <v>263</v>
      </c>
      <c r="AS3" s="62" t="s">
        <v>261</v>
      </c>
      <c r="AT3" s="62" t="s">
        <v>262</v>
      </c>
      <c r="AU3" s="62" t="s">
        <v>263</v>
      </c>
      <c r="AW3" s="156"/>
      <c r="AX3" s="156"/>
      <c r="AY3" s="56" t="str">
        <f>B3</f>
        <v>Gas-oline</v>
      </c>
      <c r="AZ3" s="56" t="str">
        <f>C3</f>
        <v>Diesel</v>
      </c>
      <c r="BA3" s="56" t="str">
        <f>D3</f>
        <v>LP Gas</v>
      </c>
      <c r="BB3" s="56" t="str">
        <f>E3</f>
        <v>Natural Gas</v>
      </c>
      <c r="BC3" s="56" t="s">
        <v>264</v>
      </c>
      <c r="BD3" s="156"/>
      <c r="BE3" s="63"/>
    </row>
    <row r="4" spans="1:96" ht="22.5" x14ac:dyDescent="0.2">
      <c r="B4" s="64" t="s">
        <v>265</v>
      </c>
      <c r="C4" s="64" t="s">
        <v>265</v>
      </c>
      <c r="D4" s="64" t="s">
        <v>265</v>
      </c>
      <c r="E4" s="64" t="s">
        <v>265</v>
      </c>
      <c r="F4" s="64" t="s">
        <v>265</v>
      </c>
      <c r="G4" s="65" t="s">
        <v>265</v>
      </c>
      <c r="H4" s="65" t="s">
        <v>266</v>
      </c>
      <c r="I4" s="65" t="s">
        <v>267</v>
      </c>
      <c r="J4" s="66" t="s">
        <v>265</v>
      </c>
      <c r="K4" s="64" t="s">
        <v>265</v>
      </c>
      <c r="L4" s="64" t="s">
        <v>265</v>
      </c>
      <c r="M4" s="64" t="s">
        <v>265</v>
      </c>
      <c r="N4" s="64" t="s">
        <v>265</v>
      </c>
      <c r="O4" s="65" t="s">
        <v>265</v>
      </c>
      <c r="P4" s="65" t="s">
        <v>266</v>
      </c>
      <c r="Q4" s="65" t="s">
        <v>267</v>
      </c>
      <c r="R4" s="67" t="s">
        <v>265</v>
      </c>
      <c r="S4" s="65" t="s">
        <v>267</v>
      </c>
      <c r="T4" s="68"/>
      <c r="U4" s="64" t="s">
        <v>265</v>
      </c>
      <c r="V4" s="64"/>
      <c r="W4" s="64" t="s">
        <v>268</v>
      </c>
      <c r="X4" s="64" t="s">
        <v>268</v>
      </c>
      <c r="Y4" s="64" t="s">
        <v>268</v>
      </c>
      <c r="Z4" s="66" t="s">
        <v>269</v>
      </c>
      <c r="AA4" s="64" t="s">
        <v>269</v>
      </c>
      <c r="AB4" s="64" t="s">
        <v>269</v>
      </c>
      <c r="AD4" s="66" t="s">
        <v>270</v>
      </c>
      <c r="AE4" s="64" t="s">
        <v>270</v>
      </c>
      <c r="AF4" s="64" t="s">
        <v>270</v>
      </c>
      <c r="AG4" s="64" t="s">
        <v>271</v>
      </c>
      <c r="AH4" s="66"/>
      <c r="AI4" s="68" t="s">
        <v>272</v>
      </c>
      <c r="AJ4" s="66" t="s">
        <v>272</v>
      </c>
      <c r="AK4" s="64" t="s">
        <v>272</v>
      </c>
      <c r="AL4" s="64" t="s">
        <v>272</v>
      </c>
      <c r="AM4" s="64" t="s">
        <v>272</v>
      </c>
      <c r="AN4" s="64"/>
      <c r="AO4" s="69" t="s">
        <v>273</v>
      </c>
      <c r="AP4" s="69" t="s">
        <v>274</v>
      </c>
      <c r="AQ4" s="69" t="s">
        <v>274</v>
      </c>
      <c r="AR4" s="69" t="s">
        <v>274</v>
      </c>
      <c r="AS4" s="69" t="s">
        <v>275</v>
      </c>
      <c r="AT4" s="69" t="s">
        <v>275</v>
      </c>
      <c r="AU4" s="69" t="s">
        <v>275</v>
      </c>
      <c r="AW4" s="65" t="s">
        <v>276</v>
      </c>
      <c r="AX4" s="65" t="s">
        <v>276</v>
      </c>
      <c r="AY4" s="65"/>
      <c r="AZ4" s="65"/>
      <c r="BA4" s="65"/>
      <c r="BB4" s="65"/>
      <c r="BC4" s="65"/>
      <c r="BD4" s="65" t="s">
        <v>276</v>
      </c>
      <c r="BE4" s="65"/>
    </row>
    <row r="5" spans="1:96" x14ac:dyDescent="0.2">
      <c r="B5" s="64"/>
      <c r="C5" s="64"/>
      <c r="D5" s="64"/>
      <c r="E5" s="64"/>
      <c r="F5" s="64"/>
      <c r="G5" s="65"/>
      <c r="H5" s="65"/>
      <c r="I5" s="65"/>
      <c r="J5" s="66"/>
      <c r="K5" s="64"/>
      <c r="L5" s="64"/>
      <c r="M5" s="64"/>
      <c r="N5" s="64"/>
      <c r="O5" s="65"/>
      <c r="P5" s="65"/>
      <c r="Q5" s="65"/>
      <c r="R5" s="70"/>
      <c r="S5" s="64"/>
      <c r="T5" s="68"/>
      <c r="U5" s="64"/>
      <c r="V5" s="64"/>
      <c r="W5" s="64"/>
      <c r="X5" s="64"/>
      <c r="Y5" s="64"/>
      <c r="Z5" s="66"/>
      <c r="AA5" s="64"/>
      <c r="AB5" s="64"/>
      <c r="AD5" s="66"/>
      <c r="AE5" s="64"/>
      <c r="AF5" s="64"/>
      <c r="AG5" s="64"/>
      <c r="AH5" s="66"/>
      <c r="AI5" s="68"/>
      <c r="AJ5" s="66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BF5" s="42">
        <v>1965</v>
      </c>
      <c r="BG5" s="42">
        <v>1966</v>
      </c>
      <c r="BH5" s="42">
        <v>1967</v>
      </c>
      <c r="BI5" s="42">
        <v>1968</v>
      </c>
      <c r="BJ5" s="42">
        <v>1969</v>
      </c>
      <c r="BK5" s="42">
        <v>1970</v>
      </c>
      <c r="BL5" s="42">
        <v>1971</v>
      </c>
      <c r="BM5" s="42">
        <v>1972</v>
      </c>
      <c r="BN5" s="42">
        <v>1973</v>
      </c>
      <c r="BO5" s="42">
        <v>1974</v>
      </c>
      <c r="BP5" s="42">
        <v>1975</v>
      </c>
      <c r="BQ5" s="42">
        <v>1976</v>
      </c>
      <c r="BR5" s="42">
        <v>1977</v>
      </c>
      <c r="BS5" s="42">
        <v>1978</v>
      </c>
      <c r="BT5" s="42">
        <v>1979</v>
      </c>
      <c r="BU5" s="42">
        <v>1980</v>
      </c>
      <c r="BV5" s="42">
        <v>1981</v>
      </c>
      <c r="BW5" s="42">
        <v>1982</v>
      </c>
      <c r="BX5" s="42">
        <v>1983</v>
      </c>
      <c r="BY5" s="42">
        <v>1984</v>
      </c>
      <c r="BZ5" s="42">
        <v>1985</v>
      </c>
      <c r="CA5" s="42">
        <v>1986</v>
      </c>
      <c r="CB5" s="42">
        <v>1987</v>
      </c>
      <c r="CC5" s="42">
        <v>1988</v>
      </c>
      <c r="CD5" s="42">
        <v>1989</v>
      </c>
      <c r="CE5" s="42">
        <v>1990</v>
      </c>
      <c r="CF5" s="42">
        <v>1991</v>
      </c>
      <c r="CG5" s="42">
        <v>1992</v>
      </c>
      <c r="CH5" s="42">
        <v>1993</v>
      </c>
      <c r="CI5" s="42">
        <v>1994</v>
      </c>
      <c r="CJ5" s="42">
        <v>1995</v>
      </c>
      <c r="CK5" s="42">
        <v>1996</v>
      </c>
      <c r="CL5" s="42">
        <v>1997</v>
      </c>
      <c r="CM5" s="42">
        <v>1998</v>
      </c>
      <c r="CN5" s="42">
        <v>1999</v>
      </c>
      <c r="CO5" s="42">
        <v>2000</v>
      </c>
      <c r="CP5" s="42">
        <v>2001</v>
      </c>
      <c r="CQ5" s="42">
        <v>2002</v>
      </c>
    </row>
    <row r="6" spans="1:96" ht="12.75" x14ac:dyDescent="0.2">
      <c r="A6" s="71">
        <v>1965</v>
      </c>
      <c r="B6" s="71">
        <v>654</v>
      </c>
      <c r="C6" s="71">
        <v>203</v>
      </c>
      <c r="D6" s="71">
        <v>110</v>
      </c>
      <c r="E6" s="71">
        <v>135</v>
      </c>
      <c r="F6" s="72">
        <v>93.498999999999995</v>
      </c>
      <c r="G6" s="73">
        <f t="shared" ref="G6:G43" si="0">SUM(B6:F6)</f>
        <v>1195.499</v>
      </c>
      <c r="H6" s="74">
        <f>G6/$R6</f>
        <v>0.74648750951452358</v>
      </c>
      <c r="I6" s="75">
        <f>G6/$U6</f>
        <v>2.2131812371465762E-2</v>
      </c>
      <c r="J6" s="76"/>
      <c r="O6" s="73">
        <v>406</v>
      </c>
      <c r="P6" s="74">
        <f>O6/$R6</f>
        <v>0.25351249048547642</v>
      </c>
      <c r="Q6" s="75">
        <f>O6/$U6</f>
        <v>7.5161215716743369E-3</v>
      </c>
      <c r="R6" s="77">
        <f>G6+O6</f>
        <v>1601.499</v>
      </c>
      <c r="S6" s="78">
        <f t="shared" ref="S6:S43" si="1">R6/U6</f>
        <v>2.9647933943140099E-2</v>
      </c>
      <c r="T6" s="79"/>
      <c r="U6" s="80">
        <f>'[8]Cons by Sector'!AN23/1000</f>
        <v>54017.220999999998</v>
      </c>
      <c r="Z6" s="81"/>
      <c r="AD6" s="81"/>
      <c r="AH6" s="81"/>
      <c r="AI6" s="79"/>
      <c r="AJ6" s="81"/>
      <c r="AO6" s="82">
        <v>287758</v>
      </c>
      <c r="AP6" s="83">
        <f t="shared" ref="AP6:AP43" si="2">(R6*1000)/AO6</f>
        <v>5.565436929642269</v>
      </c>
      <c r="AQ6" s="83">
        <f>(G6*1000)/$AO6</f>
        <v>4.1545291529688138</v>
      </c>
      <c r="AR6" s="83">
        <f>(O6*1000)/$AO6</f>
        <v>1.4109077766734548</v>
      </c>
      <c r="AS6" s="84">
        <f>(AP6/AP$28)*100</f>
        <v>92.70000299555565</v>
      </c>
      <c r="AT6" s="84">
        <f>(AQ6/AQ$28)*100</f>
        <v>120.77200662014955</v>
      </c>
      <c r="AU6" s="84">
        <f>(AR6/AR$28)*100</f>
        <v>55.03338956069873</v>
      </c>
      <c r="AV6" s="72"/>
      <c r="AW6" s="85">
        <v>1.601499</v>
      </c>
      <c r="AX6" s="86">
        <v>1.1954990000000001</v>
      </c>
      <c r="AY6" s="86">
        <f>B6/1000</f>
        <v>0.65400000000000003</v>
      </c>
      <c r="AZ6" s="86">
        <f>C6/1000</f>
        <v>0.20300000000000001</v>
      </c>
      <c r="BA6" s="86">
        <f>D6/1000</f>
        <v>0.11</v>
      </c>
      <c r="BB6" s="86">
        <f>E6/1000</f>
        <v>0.13500000000000001</v>
      </c>
      <c r="BC6" s="86">
        <f>F6/1000</f>
        <v>9.3498999999999999E-2</v>
      </c>
      <c r="BD6" s="86">
        <v>0.40600000000000003</v>
      </c>
      <c r="BE6" s="86" t="s">
        <v>277</v>
      </c>
      <c r="BF6" s="87">
        <v>1.1954990000000001</v>
      </c>
      <c r="BG6" s="87">
        <v>1.1835529999999999</v>
      </c>
      <c r="BH6" s="87">
        <v>1.1755529999999998</v>
      </c>
      <c r="BI6" s="87">
        <v>1.202134</v>
      </c>
      <c r="BJ6" s="87">
        <v>1.220715</v>
      </c>
      <c r="BK6" s="87">
        <v>1.2298230000000001</v>
      </c>
      <c r="BL6" s="87">
        <v>1.252931</v>
      </c>
      <c r="BM6" s="87">
        <v>1.214512</v>
      </c>
      <c r="BN6" s="87">
        <v>1.443147</v>
      </c>
      <c r="BO6" s="87">
        <v>1.1573089999999999</v>
      </c>
      <c r="BP6" s="87">
        <v>1.338687</v>
      </c>
      <c r="BQ6" s="87">
        <v>1.429173</v>
      </c>
      <c r="BR6" s="87">
        <v>1.433173</v>
      </c>
      <c r="BS6" s="87">
        <v>1.592713</v>
      </c>
      <c r="BT6" s="87">
        <v>1.4611320000000001</v>
      </c>
      <c r="BU6" s="87">
        <v>1.3099700000000001</v>
      </c>
      <c r="BV6" s="87">
        <v>1.2420239999999998</v>
      </c>
      <c r="BW6" s="87">
        <v>1.1845509999999999</v>
      </c>
      <c r="BX6" s="87">
        <v>1.1438079999999999</v>
      </c>
      <c r="BY6" s="87">
        <v>1.1366240000000001</v>
      </c>
      <c r="BZ6" s="87">
        <v>1.0517000000000001</v>
      </c>
      <c r="CA6" s="87">
        <v>0.94759199999999999</v>
      </c>
      <c r="CB6" s="87">
        <v>0.99560500000000007</v>
      </c>
      <c r="CC6" s="87">
        <v>1.0092939999999999</v>
      </c>
      <c r="CD6" s="87">
        <v>0.98209100000000005</v>
      </c>
      <c r="CE6" s="87">
        <v>0.95740200000000009</v>
      </c>
      <c r="CF6" s="87">
        <v>0.97587500000000005</v>
      </c>
      <c r="CG6" s="87">
        <v>1.0753060000000001</v>
      </c>
      <c r="CH6" s="87">
        <v>1.104973</v>
      </c>
      <c r="CI6" s="87">
        <v>1.157278</v>
      </c>
      <c r="CJ6" s="87">
        <v>1.209158</v>
      </c>
      <c r="CK6" s="87">
        <v>1.21377</v>
      </c>
      <c r="CL6" s="87">
        <v>1.1471589999999998</v>
      </c>
      <c r="CM6" s="87">
        <v>1.1604049999999999</v>
      </c>
      <c r="CN6" s="87">
        <v>1.1503840000000001</v>
      </c>
      <c r="CO6" s="87">
        <v>1.0915489999999999</v>
      </c>
      <c r="CP6" s="87">
        <v>1.120962</v>
      </c>
      <c r="CQ6" s="87">
        <v>1.111</v>
      </c>
      <c r="CR6" s="88">
        <f>MAX(BF6:CQ6)</f>
        <v>1.592713</v>
      </c>
    </row>
    <row r="7" spans="1:96" ht="12.75" x14ac:dyDescent="0.2">
      <c r="A7" s="71">
        <f t="shared" ref="A7:A45" si="3">+A6+1</f>
        <v>1966</v>
      </c>
      <c r="B7" s="71">
        <v>604</v>
      </c>
      <c r="C7" s="71">
        <v>230</v>
      </c>
      <c r="D7" s="71">
        <v>111</v>
      </c>
      <c r="E7" s="71">
        <v>140</v>
      </c>
      <c r="F7" s="72">
        <v>98.552999999999997</v>
      </c>
      <c r="G7" s="73">
        <f t="shared" si="0"/>
        <v>1183.5529999999999</v>
      </c>
      <c r="H7" s="74">
        <f t="shared" ref="H7:H43" si="4">G7/$R7</f>
        <v>0.71968066702623745</v>
      </c>
      <c r="I7" s="75">
        <f t="shared" ref="I7:I43" si="5">G7/$U7</f>
        <v>2.0758063146690601E-2</v>
      </c>
      <c r="J7" s="76"/>
      <c r="O7" s="73">
        <v>461</v>
      </c>
      <c r="P7" s="74">
        <f t="shared" ref="P7:P43" si="6">O7/$R7</f>
        <v>0.28031933297376249</v>
      </c>
      <c r="Q7" s="75">
        <f t="shared" ref="Q7:Q43" si="7">O7/$U7</f>
        <v>8.0853726961313665E-3</v>
      </c>
      <c r="R7" s="77">
        <f t="shared" ref="R7:R43" si="8">G7+O7</f>
        <v>1644.5529999999999</v>
      </c>
      <c r="S7" s="78">
        <f t="shared" si="1"/>
        <v>2.8843435842821969E-2</v>
      </c>
      <c r="T7" s="79"/>
      <c r="U7" s="80">
        <f>'[8]Cons by Sector'!AN24/1000</f>
        <v>57016.542999999998</v>
      </c>
      <c r="Z7" s="81"/>
      <c r="AD7" s="81"/>
      <c r="AH7" s="81"/>
      <c r="AI7" s="79"/>
      <c r="AJ7" s="81"/>
      <c r="AO7" s="82">
        <v>283511</v>
      </c>
      <c r="AP7" s="83">
        <f t="shared" si="2"/>
        <v>5.8006673462405338</v>
      </c>
      <c r="AQ7" s="83">
        <f t="shared" ref="AQ7:AQ43" si="9">(G7*1000)/$AO7</f>
        <v>4.1746281449397022</v>
      </c>
      <c r="AR7" s="83">
        <f t="shared" ref="AR7:AR43" si="10">(O7*1000)/$AO7</f>
        <v>1.6260392013008313</v>
      </c>
      <c r="AS7" s="84">
        <f t="shared" ref="AS7:AU43" si="11">(AP7/AP$28)*100</f>
        <v>96.618088960588153</v>
      </c>
      <c r="AT7" s="84">
        <f t="shared" si="11"/>
        <v>121.35628356273207</v>
      </c>
      <c r="AU7" s="84">
        <f t="shared" si="11"/>
        <v>63.424732846211484</v>
      </c>
      <c r="AV7" s="72"/>
      <c r="AW7" s="85">
        <v>1.6445529999999999</v>
      </c>
      <c r="AX7" s="86">
        <v>1.1835529999999999</v>
      </c>
      <c r="AY7" s="86">
        <f t="shared" ref="AY7:BC43" si="12">B7/1000</f>
        <v>0.60399999999999998</v>
      </c>
      <c r="AZ7" s="86">
        <f t="shared" si="12"/>
        <v>0.23</v>
      </c>
      <c r="BA7" s="86">
        <f t="shared" si="12"/>
        <v>0.111</v>
      </c>
      <c r="BB7" s="86">
        <f t="shared" si="12"/>
        <v>0.14000000000000001</v>
      </c>
      <c r="BC7" s="86">
        <f t="shared" si="12"/>
        <v>9.8553000000000002E-2</v>
      </c>
      <c r="BD7" s="86">
        <v>0.46100000000000002</v>
      </c>
      <c r="BE7" s="86" t="s">
        <v>278</v>
      </c>
      <c r="BF7" s="87">
        <v>0.40600000000000003</v>
      </c>
      <c r="BG7" s="87">
        <v>0.46100000000000002</v>
      </c>
      <c r="BH7" s="87">
        <v>0.51900000000000002</v>
      </c>
      <c r="BI7" s="87">
        <v>0.57299999999999995</v>
      </c>
      <c r="BJ7" s="87">
        <v>0.58899999999999997</v>
      </c>
      <c r="BK7" s="87">
        <v>0.623</v>
      </c>
      <c r="BL7" s="87">
        <v>0.67500000000000004</v>
      </c>
      <c r="BM7" s="87">
        <v>0.67200000000000004</v>
      </c>
      <c r="BN7" s="87">
        <v>0.70199999999999996</v>
      </c>
      <c r="BO7" s="87">
        <v>0.76500000000000001</v>
      </c>
      <c r="BP7" s="87">
        <v>0.71799999999999997</v>
      </c>
      <c r="BQ7" s="87">
        <v>0.85099999999999987</v>
      </c>
      <c r="BR7" s="87">
        <v>0.88600000000000012</v>
      </c>
      <c r="BS7" s="87">
        <v>0.83299999999999996</v>
      </c>
      <c r="BT7" s="87">
        <v>0.89900000000000002</v>
      </c>
      <c r="BU7" s="87">
        <v>0.94299999999999984</v>
      </c>
      <c r="BV7" s="87">
        <v>0.98</v>
      </c>
      <c r="BW7" s="87">
        <v>0.90500000000000003</v>
      </c>
      <c r="BX7" s="87">
        <v>0.72699999999999998</v>
      </c>
      <c r="BY7" s="87">
        <v>0.872</v>
      </c>
      <c r="BZ7" s="87">
        <v>0.89100000000000001</v>
      </c>
      <c r="CA7" s="87">
        <v>0.81299999999999994</v>
      </c>
      <c r="CB7" s="87">
        <v>0.7420000000000001</v>
      </c>
      <c r="CC7" s="87">
        <v>0.75996800000000009</v>
      </c>
      <c r="CD7" s="87">
        <v>0.74554999999999993</v>
      </c>
      <c r="CE7" s="87">
        <v>0.759544</v>
      </c>
      <c r="CF7" s="87">
        <v>0.74422099999999991</v>
      </c>
      <c r="CG7" s="87">
        <v>0.73229299999999997</v>
      </c>
      <c r="CH7" s="87">
        <v>0.70811999999999997</v>
      </c>
      <c r="CI7" s="87">
        <v>0.75313399999999997</v>
      </c>
      <c r="CJ7" s="87">
        <v>0.68884500000000004</v>
      </c>
      <c r="CK7" s="87">
        <v>0.69682699999999997</v>
      </c>
      <c r="CL7" s="87">
        <v>0.69403200000000009</v>
      </c>
      <c r="CM7" s="87">
        <v>0.66020000000000001</v>
      </c>
      <c r="CN7" s="87">
        <v>0.64206400000000008</v>
      </c>
      <c r="CO7" s="87">
        <v>0.61561900000000003</v>
      </c>
      <c r="CP7" s="87">
        <v>0.58493700000000004</v>
      </c>
      <c r="CQ7" s="87">
        <v>0.60619100000000004</v>
      </c>
      <c r="CR7" s="88">
        <f>MAX(BF7:CQ7)</f>
        <v>0.98</v>
      </c>
    </row>
    <row r="8" spans="1:96" ht="12.75" x14ac:dyDescent="0.2">
      <c r="A8" s="71">
        <f t="shared" si="3"/>
        <v>1967</v>
      </c>
      <c r="B8" s="71">
        <v>570</v>
      </c>
      <c r="C8" s="71">
        <v>252</v>
      </c>
      <c r="D8" s="71">
        <v>112</v>
      </c>
      <c r="E8" s="71">
        <v>143</v>
      </c>
      <c r="F8" s="72">
        <v>98.552999999999997</v>
      </c>
      <c r="G8" s="73">
        <f t="shared" si="0"/>
        <v>1175.5529999999999</v>
      </c>
      <c r="H8" s="74">
        <f t="shared" si="4"/>
        <v>0.69372453974587989</v>
      </c>
      <c r="I8" s="75">
        <f t="shared" si="5"/>
        <v>1.9955707964682889E-2</v>
      </c>
      <c r="J8" s="76"/>
      <c r="O8" s="73">
        <v>519</v>
      </c>
      <c r="P8" s="74">
        <f t="shared" si="6"/>
        <v>0.30627546025412011</v>
      </c>
      <c r="Q8" s="75">
        <f t="shared" si="7"/>
        <v>8.8103321872092712E-3</v>
      </c>
      <c r="R8" s="77">
        <f t="shared" si="8"/>
        <v>1694.5529999999999</v>
      </c>
      <c r="S8" s="78">
        <f t="shared" si="1"/>
        <v>2.8766040151892162E-2</v>
      </c>
      <c r="T8" s="79"/>
      <c r="U8" s="80">
        <f>'[8]Cons by Sector'!AN25/1000</f>
        <v>58908.108</v>
      </c>
      <c r="Z8" s="81"/>
      <c r="AD8" s="81"/>
      <c r="AH8" s="81"/>
      <c r="AI8" s="79"/>
      <c r="AJ8" s="81"/>
      <c r="AO8" s="82">
        <v>295447</v>
      </c>
      <c r="AP8" s="83">
        <f t="shared" si="2"/>
        <v>5.7355566311385795</v>
      </c>
      <c r="AQ8" s="83">
        <f t="shared" si="9"/>
        <v>3.9788963841230407</v>
      </c>
      <c r="AR8" s="83">
        <f t="shared" si="10"/>
        <v>1.7566602470155392</v>
      </c>
      <c r="AS8" s="84">
        <f t="shared" si="11"/>
        <v>95.53358049138842</v>
      </c>
      <c r="AT8" s="84">
        <f t="shared" si="11"/>
        <v>115.66636861864481</v>
      </c>
      <c r="AU8" s="84">
        <f t="shared" si="11"/>
        <v>68.5196929934948</v>
      </c>
      <c r="AV8" s="72"/>
      <c r="AW8" s="85">
        <v>1.694553</v>
      </c>
      <c r="AX8" s="86">
        <v>1.1755529999999998</v>
      </c>
      <c r="AY8" s="86">
        <f t="shared" si="12"/>
        <v>0.56999999999999995</v>
      </c>
      <c r="AZ8" s="86">
        <f t="shared" si="12"/>
        <v>0.252</v>
      </c>
      <c r="BA8" s="86">
        <f t="shared" si="12"/>
        <v>0.112</v>
      </c>
      <c r="BB8" s="86">
        <f t="shared" si="12"/>
        <v>0.14299999999999999</v>
      </c>
      <c r="BC8" s="86">
        <f t="shared" si="12"/>
        <v>9.8553000000000002E-2</v>
      </c>
      <c r="BD8" s="86">
        <v>0.51900000000000002</v>
      </c>
      <c r="BE8" s="86" t="s">
        <v>92</v>
      </c>
      <c r="BF8" s="88">
        <v>0.65400000000000003</v>
      </c>
      <c r="BG8" s="88">
        <v>0.60399999999999998</v>
      </c>
      <c r="BH8" s="88">
        <v>0.56999999999999995</v>
      </c>
      <c r="BI8" s="88">
        <v>0.57199999999999995</v>
      </c>
      <c r="BJ8" s="88">
        <v>0.55000000000000004</v>
      </c>
      <c r="BK8" s="88">
        <v>0.54100000000000004</v>
      </c>
      <c r="BL8" s="88">
        <v>0.52300000000000002</v>
      </c>
      <c r="BM8" s="88">
        <v>0.47599999999999998</v>
      </c>
      <c r="BN8" s="88">
        <v>0.59</v>
      </c>
      <c r="BO8" s="88">
        <v>0.44700000000000001</v>
      </c>
      <c r="BP8" s="88">
        <v>0.55500000000000005</v>
      </c>
      <c r="BQ8" s="88">
        <v>0.48199999999999998</v>
      </c>
      <c r="BR8" s="88">
        <v>0.47899999999999998</v>
      </c>
      <c r="BS8" s="88">
        <v>0.432</v>
      </c>
      <c r="BT8" s="88">
        <v>0.43099999999999999</v>
      </c>
      <c r="BU8" s="88">
        <v>0.371</v>
      </c>
      <c r="BV8" s="88">
        <v>0.35399999999999998</v>
      </c>
      <c r="BW8" s="88">
        <v>0.28799999999999998</v>
      </c>
      <c r="BX8" s="88">
        <v>0.27700000000000002</v>
      </c>
      <c r="BY8" s="88">
        <v>0.25600000000000001</v>
      </c>
      <c r="BZ8" s="88">
        <v>0.23200000000000001</v>
      </c>
      <c r="CA8" s="88">
        <v>0.19900000000000001</v>
      </c>
      <c r="CB8" s="88">
        <v>0.186</v>
      </c>
      <c r="CC8" s="88">
        <v>0.19</v>
      </c>
      <c r="CD8" s="88">
        <v>0.17199999999999999</v>
      </c>
      <c r="CE8" s="88">
        <v>0.17799999999999999</v>
      </c>
      <c r="CF8" s="88">
        <v>0.159</v>
      </c>
      <c r="CG8" s="88">
        <v>0.183</v>
      </c>
      <c r="CH8" s="88">
        <v>0.18725</v>
      </c>
      <c r="CI8" s="88">
        <v>0.19612499999999999</v>
      </c>
      <c r="CJ8" s="88">
        <v>0.17824999999999999</v>
      </c>
      <c r="CK8" s="88">
        <v>0.17774999999999999</v>
      </c>
      <c r="CL8" s="88">
        <v>0.1875</v>
      </c>
      <c r="CM8" s="88">
        <v>0.16284000000000001</v>
      </c>
      <c r="CN8" s="88">
        <v>0.16375000000000001</v>
      </c>
      <c r="CO8" s="88">
        <v>0.15625</v>
      </c>
      <c r="CP8" s="88">
        <v>0.14374999999999999</v>
      </c>
      <c r="CQ8" s="88">
        <v>0.14599999999999999</v>
      </c>
    </row>
    <row r="9" spans="1:96" ht="12.75" x14ac:dyDescent="0.2">
      <c r="A9" s="71">
        <f t="shared" si="3"/>
        <v>1968</v>
      </c>
      <c r="B9" s="71">
        <v>572</v>
      </c>
      <c r="C9" s="71">
        <v>265</v>
      </c>
      <c r="D9" s="71">
        <v>113</v>
      </c>
      <c r="E9" s="71">
        <v>146</v>
      </c>
      <c r="F9" s="72">
        <v>106.134</v>
      </c>
      <c r="G9" s="73">
        <f t="shared" si="0"/>
        <v>1202.134</v>
      </c>
      <c r="H9" s="74">
        <f t="shared" si="4"/>
        <v>0.67720746715459224</v>
      </c>
      <c r="I9" s="75">
        <f t="shared" si="5"/>
        <v>1.9258983157974096E-2</v>
      </c>
      <c r="J9" s="76"/>
      <c r="O9" s="73">
        <v>573</v>
      </c>
      <c r="P9" s="74">
        <f t="shared" si="6"/>
        <v>0.32279253284540771</v>
      </c>
      <c r="Q9" s="75">
        <f t="shared" si="7"/>
        <v>9.1798396431006513E-3</v>
      </c>
      <c r="R9" s="77">
        <f t="shared" si="8"/>
        <v>1775.134</v>
      </c>
      <c r="S9" s="78">
        <f t="shared" si="1"/>
        <v>2.8438822801074747E-2</v>
      </c>
      <c r="T9" s="79"/>
      <c r="U9" s="80">
        <f>'[8]Cons by Sector'!AN26/1000</f>
        <v>62419.391000000003</v>
      </c>
      <c r="Z9" s="81"/>
      <c r="AD9" s="81"/>
      <c r="AH9" s="81"/>
      <c r="AI9" s="79"/>
      <c r="AJ9" s="81"/>
      <c r="AO9" s="82">
        <v>289668</v>
      </c>
      <c r="AP9" s="83">
        <f t="shared" si="2"/>
        <v>6.1281674192523852</v>
      </c>
      <c r="AQ9" s="83">
        <f t="shared" si="9"/>
        <v>4.150040736291202</v>
      </c>
      <c r="AR9" s="83">
        <f t="shared" si="10"/>
        <v>1.9781266829611832</v>
      </c>
      <c r="AS9" s="84">
        <f t="shared" si="11"/>
        <v>102.07305289837817</v>
      </c>
      <c r="AT9" s="84">
        <f t="shared" si="11"/>
        <v>120.64152851571379</v>
      </c>
      <c r="AU9" s="84">
        <f t="shared" si="11"/>
        <v>77.158137578974589</v>
      </c>
      <c r="AV9" s="72"/>
      <c r="AW9" s="85">
        <v>1.775134</v>
      </c>
      <c r="AX9" s="86">
        <v>1.202134</v>
      </c>
      <c r="AY9" s="86">
        <f t="shared" si="12"/>
        <v>0.57199999999999995</v>
      </c>
      <c r="AZ9" s="86">
        <f t="shared" si="12"/>
        <v>0.26500000000000001</v>
      </c>
      <c r="BA9" s="86">
        <f t="shared" si="12"/>
        <v>0.113</v>
      </c>
      <c r="BB9" s="86">
        <f t="shared" si="12"/>
        <v>0.14599999999999999</v>
      </c>
      <c r="BC9" s="86">
        <f t="shared" si="12"/>
        <v>0.10613400000000001</v>
      </c>
      <c r="BD9" s="86">
        <v>0.57299999999999995</v>
      </c>
      <c r="BE9" s="86" t="s">
        <v>93</v>
      </c>
      <c r="BF9" s="88">
        <v>0.20300000000000001</v>
      </c>
      <c r="BG9" s="88">
        <v>0.23</v>
      </c>
      <c r="BH9" s="88">
        <v>0.252</v>
      </c>
      <c r="BI9" s="88">
        <v>0.26500000000000001</v>
      </c>
      <c r="BJ9" s="88">
        <v>0.29299999999999998</v>
      </c>
      <c r="BK9" s="88">
        <v>0.29799999999999999</v>
      </c>
      <c r="BL9" s="88">
        <v>0.32800000000000001</v>
      </c>
      <c r="BM9" s="88">
        <v>0.32500000000000001</v>
      </c>
      <c r="BN9" s="88">
        <v>0.41399999999999998</v>
      </c>
      <c r="BO9" s="88">
        <v>0.34499999999999997</v>
      </c>
      <c r="BP9" s="88">
        <v>0.35399999999999998</v>
      </c>
      <c r="BQ9" s="88">
        <v>0.41799999999999998</v>
      </c>
      <c r="BR9" s="88">
        <v>0.434</v>
      </c>
      <c r="BS9" s="88">
        <v>0.57499999999999996</v>
      </c>
      <c r="BT9" s="88">
        <v>0.498</v>
      </c>
      <c r="BU9" s="88">
        <v>0.46800000000000003</v>
      </c>
      <c r="BV9" s="88">
        <v>0.42899999999999999</v>
      </c>
      <c r="BW9" s="88">
        <v>0.41599999999999998</v>
      </c>
      <c r="BX9" s="88">
        <v>0.45200000000000001</v>
      </c>
      <c r="BY9" s="88">
        <v>0.435</v>
      </c>
      <c r="BZ9" s="88">
        <v>0.42599999999999999</v>
      </c>
      <c r="CA9" s="88">
        <v>0.379</v>
      </c>
      <c r="CB9" s="88">
        <v>0.42499999999999999</v>
      </c>
      <c r="CC9" s="88">
        <v>0.40400000000000003</v>
      </c>
      <c r="CD9" s="88">
        <v>0.38600000000000001</v>
      </c>
      <c r="CE9" s="88">
        <v>0.35499999999999998</v>
      </c>
      <c r="CF9" s="88">
        <v>0.372</v>
      </c>
      <c r="CG9" s="88">
        <v>0.43618000000000001</v>
      </c>
      <c r="CH9" s="88">
        <v>0.455735</v>
      </c>
      <c r="CI9" s="88">
        <v>0.48208600000000001</v>
      </c>
      <c r="CJ9" s="88">
        <v>0.50483199999999995</v>
      </c>
      <c r="CK9" s="88">
        <v>0.48832700000000001</v>
      </c>
      <c r="CL9" s="88">
        <v>0.49928400000000001</v>
      </c>
      <c r="CM9" s="88">
        <v>0.50739999999999996</v>
      </c>
      <c r="CN9" s="88">
        <v>0.52979600000000004</v>
      </c>
      <c r="CO9" s="88">
        <v>0.46877199999999997</v>
      </c>
      <c r="CP9" s="88">
        <v>0.48402800000000001</v>
      </c>
      <c r="CQ9" s="88">
        <v>0.46899999999999997</v>
      </c>
    </row>
    <row r="10" spans="1:96" ht="12.75" x14ac:dyDescent="0.2">
      <c r="A10" s="71">
        <f t="shared" si="3"/>
        <v>1969</v>
      </c>
      <c r="B10" s="71">
        <v>550</v>
      </c>
      <c r="C10" s="71">
        <v>293</v>
      </c>
      <c r="D10" s="71">
        <v>114</v>
      </c>
      <c r="E10" s="71">
        <v>150</v>
      </c>
      <c r="F10" s="72">
        <v>113.715</v>
      </c>
      <c r="G10" s="73">
        <f t="shared" si="0"/>
        <v>1220.7149999999999</v>
      </c>
      <c r="H10" s="74">
        <f t="shared" si="4"/>
        <v>0.67453438801137189</v>
      </c>
      <c r="I10" s="75">
        <f t="shared" si="5"/>
        <v>1.8602539597191312E-2</v>
      </c>
      <c r="J10" s="76"/>
      <c r="O10" s="73">
        <v>589</v>
      </c>
      <c r="P10" s="74">
        <f t="shared" si="6"/>
        <v>0.32546561198862806</v>
      </c>
      <c r="Q10" s="75">
        <f t="shared" si="7"/>
        <v>8.9758017413939239E-3</v>
      </c>
      <c r="R10" s="77">
        <f t="shared" si="8"/>
        <v>1809.7149999999999</v>
      </c>
      <c r="S10" s="78">
        <f t="shared" si="1"/>
        <v>2.7578341338585239E-2</v>
      </c>
      <c r="T10" s="79"/>
      <c r="U10" s="80">
        <f>'[8]Cons by Sector'!AN27/1000</f>
        <v>65620.879000000001</v>
      </c>
      <c r="Z10" s="81"/>
      <c r="AD10" s="81"/>
      <c r="AH10" s="81"/>
      <c r="AI10" s="79"/>
      <c r="AJ10" s="81"/>
      <c r="AO10" s="82">
        <v>280586</v>
      </c>
      <c r="AP10" s="83">
        <f t="shared" si="2"/>
        <v>6.4497694111609274</v>
      </c>
      <c r="AQ10" s="83">
        <f t="shared" si="9"/>
        <v>4.3505912625719034</v>
      </c>
      <c r="AR10" s="83">
        <f t="shared" si="10"/>
        <v>2.0991781485890244</v>
      </c>
      <c r="AS10" s="84">
        <f t="shared" si="11"/>
        <v>107.42977618716669</v>
      </c>
      <c r="AT10" s="84">
        <f t="shared" si="11"/>
        <v>126.47152479106526</v>
      </c>
      <c r="AU10" s="84">
        <f t="shared" si="11"/>
        <v>81.879829935435652</v>
      </c>
      <c r="AV10" s="72"/>
      <c r="AW10" s="85">
        <v>1.809715</v>
      </c>
      <c r="AX10" s="86">
        <v>1.220715</v>
      </c>
      <c r="AY10" s="86">
        <f t="shared" si="12"/>
        <v>0.55000000000000004</v>
      </c>
      <c r="AZ10" s="86">
        <f t="shared" si="12"/>
        <v>0.29299999999999998</v>
      </c>
      <c r="BA10" s="86">
        <f t="shared" si="12"/>
        <v>0.114</v>
      </c>
      <c r="BB10" s="86">
        <f t="shared" si="12"/>
        <v>0.15</v>
      </c>
      <c r="BC10" s="86">
        <f t="shared" si="12"/>
        <v>0.113715</v>
      </c>
      <c r="BD10" s="86">
        <v>0.58899999999999997</v>
      </c>
      <c r="BE10" s="86" t="s">
        <v>248</v>
      </c>
      <c r="BF10" s="88">
        <v>0.11</v>
      </c>
      <c r="BG10" s="88">
        <v>0.111</v>
      </c>
      <c r="BH10" s="88">
        <v>0.112</v>
      </c>
      <c r="BI10" s="88">
        <v>0.113</v>
      </c>
      <c r="BJ10" s="88">
        <v>0.114</v>
      </c>
      <c r="BK10" s="88">
        <v>0.114</v>
      </c>
      <c r="BL10" s="88">
        <v>0.111</v>
      </c>
      <c r="BM10" s="88">
        <v>0.123</v>
      </c>
      <c r="BN10" s="88">
        <v>0.126</v>
      </c>
      <c r="BO10" s="88">
        <v>8.6999999999999994E-2</v>
      </c>
      <c r="BP10" s="88">
        <v>9.0999999999999998E-2</v>
      </c>
      <c r="BQ10" s="88">
        <v>0.111</v>
      </c>
      <c r="BR10" s="88">
        <v>0.10199999999999999</v>
      </c>
      <c r="BS10" s="88">
        <v>0.112</v>
      </c>
      <c r="BT10" s="88">
        <v>0.114</v>
      </c>
      <c r="BU10" s="88">
        <v>0.1</v>
      </c>
      <c r="BV10" s="88">
        <v>9.4E-2</v>
      </c>
      <c r="BW10" s="88">
        <v>9.8000000000000004E-2</v>
      </c>
      <c r="BX10" s="88">
        <v>7.9000000000000001E-2</v>
      </c>
      <c r="BY10" s="88">
        <v>8.5999999999999993E-2</v>
      </c>
      <c r="BZ10" s="88">
        <v>8.6999999999999994E-2</v>
      </c>
      <c r="CA10" s="88">
        <v>6.5000000000000002E-2</v>
      </c>
      <c r="CB10" s="88">
        <v>5.8000000000000003E-2</v>
      </c>
      <c r="CC10" s="88">
        <v>5.8999999999999997E-2</v>
      </c>
      <c r="CD10" s="88">
        <v>0.06</v>
      </c>
      <c r="CE10" s="88">
        <v>5.8000000000000003E-2</v>
      </c>
      <c r="CF10" s="88">
        <v>5.3999999999999999E-2</v>
      </c>
      <c r="CG10" s="88">
        <v>7.8243999999999994E-2</v>
      </c>
      <c r="CH10" s="88">
        <v>6.9388000000000005E-2</v>
      </c>
      <c r="CI10" s="88">
        <v>7.7330999999999997E-2</v>
      </c>
      <c r="CJ10" s="88">
        <v>7.0027000000000006E-2</v>
      </c>
      <c r="CK10" s="88">
        <v>7.1671000000000012E-2</v>
      </c>
      <c r="CL10" s="88">
        <v>9.1299999999999992E-2</v>
      </c>
      <c r="CM10" s="88">
        <v>7.9060000000000005E-2</v>
      </c>
      <c r="CN10" s="88">
        <v>9.0386999999999995E-2</v>
      </c>
      <c r="CO10" s="88">
        <v>7.8153E-2</v>
      </c>
      <c r="CP10" s="88">
        <v>6.5736000000000003E-2</v>
      </c>
      <c r="CQ10" s="88">
        <v>7.8E-2</v>
      </c>
    </row>
    <row r="11" spans="1:96" ht="12.75" x14ac:dyDescent="0.2">
      <c r="A11" s="71">
        <f t="shared" si="3"/>
        <v>1970</v>
      </c>
      <c r="B11" s="71">
        <v>541</v>
      </c>
      <c r="C11" s="71">
        <v>298</v>
      </c>
      <c r="D11" s="71">
        <v>114</v>
      </c>
      <c r="E11" s="71">
        <v>153</v>
      </c>
      <c r="F11" s="72">
        <v>123.82299999999999</v>
      </c>
      <c r="G11" s="73">
        <f t="shared" si="0"/>
        <v>1229.8230000000001</v>
      </c>
      <c r="H11" s="74">
        <f t="shared" si="4"/>
        <v>0.66375633290389857</v>
      </c>
      <c r="I11" s="75">
        <f t="shared" si="5"/>
        <v>1.8127175306950884E-2</v>
      </c>
      <c r="J11" s="76"/>
      <c r="O11" s="73">
        <v>623</v>
      </c>
      <c r="P11" s="74">
        <f t="shared" si="6"/>
        <v>0.33624366709610143</v>
      </c>
      <c r="Q11" s="75">
        <f t="shared" si="7"/>
        <v>9.1828094093462237E-3</v>
      </c>
      <c r="R11" s="77">
        <f t="shared" si="8"/>
        <v>1852.8230000000001</v>
      </c>
      <c r="S11" s="78">
        <f t="shared" si="1"/>
        <v>2.7309984716297107E-2</v>
      </c>
      <c r="T11" s="79"/>
      <c r="U11" s="80">
        <f>'[8]Cons by Sector'!AN28/1000</f>
        <v>67844.160999999993</v>
      </c>
      <c r="Z11" s="81"/>
      <c r="AD11" s="81"/>
      <c r="AH11" s="81"/>
      <c r="AI11" s="79"/>
      <c r="AJ11" s="81"/>
      <c r="AO11" s="82">
        <v>283096</v>
      </c>
      <c r="AP11" s="83">
        <f t="shared" si="2"/>
        <v>6.5448575748156106</v>
      </c>
      <c r="AQ11" s="83">
        <f t="shared" si="9"/>
        <v>4.3441906632379119</v>
      </c>
      <c r="AR11" s="83">
        <f t="shared" si="10"/>
        <v>2.2006669115776982</v>
      </c>
      <c r="AS11" s="84">
        <f t="shared" si="11"/>
        <v>109.0136002726905</v>
      </c>
      <c r="AT11" s="84">
        <f t="shared" si="11"/>
        <v>126.28545960854385</v>
      </c>
      <c r="AU11" s="84">
        <f t="shared" si="11"/>
        <v>85.838466156690103</v>
      </c>
      <c r="AV11" s="72"/>
      <c r="AW11" s="85">
        <v>1.8528230000000001</v>
      </c>
      <c r="AX11" s="86">
        <v>1.2298230000000001</v>
      </c>
      <c r="AY11" s="86">
        <f t="shared" si="12"/>
        <v>0.54100000000000004</v>
      </c>
      <c r="AZ11" s="86">
        <f t="shared" si="12"/>
        <v>0.29799999999999999</v>
      </c>
      <c r="BA11" s="86">
        <f t="shared" si="12"/>
        <v>0.114</v>
      </c>
      <c r="BB11" s="86">
        <f t="shared" si="12"/>
        <v>0.153</v>
      </c>
      <c r="BC11" s="86">
        <f t="shared" si="12"/>
        <v>0.12382299999999999</v>
      </c>
      <c r="BD11" s="86">
        <v>0.623</v>
      </c>
      <c r="BE11" s="86" t="s">
        <v>6</v>
      </c>
      <c r="BF11" s="88">
        <v>0.13500000000000001</v>
      </c>
      <c r="BG11" s="88">
        <v>0.14000000000000001</v>
      </c>
      <c r="BH11" s="88">
        <v>0.14299999999999999</v>
      </c>
      <c r="BI11" s="88">
        <v>0.14599999999999999</v>
      </c>
      <c r="BJ11" s="88">
        <v>0.15</v>
      </c>
      <c r="BK11" s="88">
        <v>0.153</v>
      </c>
      <c r="BL11" s="88">
        <v>0.157</v>
      </c>
      <c r="BM11" s="88">
        <v>0.14899999999999999</v>
      </c>
      <c r="BN11" s="88">
        <v>0.159</v>
      </c>
      <c r="BO11" s="88">
        <v>0.109</v>
      </c>
      <c r="BP11" s="88">
        <v>0.13400000000000001</v>
      </c>
      <c r="BQ11" s="88">
        <v>0.16800000000000001</v>
      </c>
      <c r="BR11" s="88">
        <v>0.11799999999999999</v>
      </c>
      <c r="BS11" s="88">
        <v>0.17299999999999999</v>
      </c>
      <c r="BT11" s="88">
        <v>0.125</v>
      </c>
      <c r="BU11" s="88">
        <v>9.2999999999999999E-2</v>
      </c>
      <c r="BV11" s="88">
        <v>8.2000000000000003E-2</v>
      </c>
      <c r="BW11" s="88">
        <v>9.7000000000000003E-2</v>
      </c>
      <c r="BX11" s="88">
        <v>7.2999999999999995E-2</v>
      </c>
      <c r="BY11" s="88">
        <v>7.5999999999999998E-2</v>
      </c>
      <c r="BZ11" s="88">
        <v>5.3999999999999999E-2</v>
      </c>
      <c r="CA11" s="88">
        <v>6.2E-2</v>
      </c>
      <c r="CB11" s="88">
        <v>3.5999999999999997E-2</v>
      </c>
      <c r="CC11" s="88">
        <v>4.8000000000000001E-2</v>
      </c>
      <c r="CD11" s="88">
        <v>2.8000000000000001E-2</v>
      </c>
      <c r="CE11" s="88">
        <v>4.8000000000000001E-2</v>
      </c>
      <c r="CF11" s="88">
        <v>7.4999999999999997E-2</v>
      </c>
      <c r="CG11" s="88">
        <v>4.7677999999999998E-2</v>
      </c>
      <c r="CH11" s="88">
        <v>5.8942000000000001E-2</v>
      </c>
      <c r="CI11" s="88">
        <v>6.8078E-2</v>
      </c>
      <c r="CJ11" s="88">
        <v>8.4501000000000007E-2</v>
      </c>
      <c r="CK11" s="88">
        <v>7.4574000000000001E-2</v>
      </c>
      <c r="CL11" s="88">
        <v>6.5331999999999987E-2</v>
      </c>
      <c r="CM11" s="88">
        <v>0.08</v>
      </c>
      <c r="CN11" s="88">
        <v>8.6565000000000003E-2</v>
      </c>
      <c r="CO11" s="88">
        <v>7.5845999999999997E-2</v>
      </c>
      <c r="CP11" s="88">
        <v>5.7561999999999995E-2</v>
      </c>
      <c r="CQ11" s="88">
        <v>6.2E-2</v>
      </c>
    </row>
    <row r="12" spans="1:96" ht="12.75" x14ac:dyDescent="0.2">
      <c r="A12" s="71">
        <f t="shared" si="3"/>
        <v>1971</v>
      </c>
      <c r="B12" s="71">
        <v>523</v>
      </c>
      <c r="C12" s="71">
        <v>328</v>
      </c>
      <c r="D12" s="71">
        <v>111</v>
      </c>
      <c r="E12" s="71">
        <v>157</v>
      </c>
      <c r="F12" s="72">
        <v>133.93100000000001</v>
      </c>
      <c r="G12" s="73">
        <f t="shared" si="0"/>
        <v>1252.931</v>
      </c>
      <c r="H12" s="74">
        <f t="shared" si="4"/>
        <v>0.64988373546563649</v>
      </c>
      <c r="I12" s="75">
        <f t="shared" si="5"/>
        <v>1.8082692072001538E-2</v>
      </c>
      <c r="J12" s="76"/>
      <c r="O12" s="73">
        <v>675</v>
      </c>
      <c r="P12" s="74">
        <f t="shared" si="6"/>
        <v>0.35011626453436351</v>
      </c>
      <c r="Q12" s="75">
        <f t="shared" si="7"/>
        <v>9.7418111201662636E-3</v>
      </c>
      <c r="R12" s="77">
        <f t="shared" si="8"/>
        <v>1927.931</v>
      </c>
      <c r="S12" s="78">
        <f t="shared" si="1"/>
        <v>2.7824503192167799E-2</v>
      </c>
      <c r="T12" s="79"/>
      <c r="U12" s="80">
        <f>'[8]Cons by Sector'!AN29/1000</f>
        <v>69288.964000000007</v>
      </c>
      <c r="Z12" s="81"/>
      <c r="AD12" s="81"/>
      <c r="AH12" s="81"/>
      <c r="AI12" s="79"/>
      <c r="AJ12" s="81"/>
      <c r="AO12" s="82">
        <v>295056</v>
      </c>
      <c r="AP12" s="83">
        <f t="shared" si="2"/>
        <v>6.5341189469117724</v>
      </c>
      <c r="AQ12" s="83">
        <f t="shared" si="9"/>
        <v>4.2464176291958138</v>
      </c>
      <c r="AR12" s="83">
        <f t="shared" si="10"/>
        <v>2.2877013177159591</v>
      </c>
      <c r="AS12" s="84">
        <f t="shared" si="11"/>
        <v>108.83473366231675</v>
      </c>
      <c r="AT12" s="84">
        <f t="shared" si="11"/>
        <v>123.44320117688351</v>
      </c>
      <c r="AU12" s="84">
        <f t="shared" si="11"/>
        <v>89.23330064366418</v>
      </c>
      <c r="AV12" s="72"/>
      <c r="AW12" s="85">
        <v>1.9279310000000001</v>
      </c>
      <c r="AX12" s="86">
        <v>1.252931</v>
      </c>
      <c r="AY12" s="86">
        <f t="shared" si="12"/>
        <v>0.52300000000000002</v>
      </c>
      <c r="AZ12" s="86">
        <f t="shared" si="12"/>
        <v>0.32800000000000001</v>
      </c>
      <c r="BA12" s="86">
        <f t="shared" si="12"/>
        <v>0.111</v>
      </c>
      <c r="BB12" s="86">
        <f t="shared" si="12"/>
        <v>0.157</v>
      </c>
      <c r="BC12" s="86">
        <f t="shared" si="12"/>
        <v>0.13393100000000002</v>
      </c>
      <c r="BD12" s="86">
        <v>0.67500000000000004</v>
      </c>
      <c r="BE12" s="86" t="s">
        <v>0</v>
      </c>
      <c r="BF12" s="88">
        <v>9.3498999999999999E-2</v>
      </c>
      <c r="BG12" s="88">
        <v>9.8553000000000002E-2</v>
      </c>
      <c r="BH12" s="88">
        <v>9.8553000000000002E-2</v>
      </c>
      <c r="BI12" s="88">
        <v>0.10613400000000001</v>
      </c>
      <c r="BJ12" s="88">
        <v>0.113715</v>
      </c>
      <c r="BK12" s="88">
        <v>0.12382299999999999</v>
      </c>
      <c r="BL12" s="88">
        <v>0.13393100000000002</v>
      </c>
      <c r="BM12" s="88">
        <v>0.141512</v>
      </c>
      <c r="BN12" s="88">
        <v>0.15414699999999998</v>
      </c>
      <c r="BO12" s="88">
        <v>0.16930899999999999</v>
      </c>
      <c r="BP12" s="88">
        <v>0.20468700000000001</v>
      </c>
      <c r="BQ12" s="88">
        <v>0.25017299999999998</v>
      </c>
      <c r="BR12" s="88">
        <v>0.30017300000000002</v>
      </c>
      <c r="BS12" s="88">
        <v>0.30071300000000001</v>
      </c>
      <c r="BT12" s="88">
        <v>0.293132</v>
      </c>
      <c r="BU12" s="88">
        <v>0.27797000000000005</v>
      </c>
      <c r="BV12" s="88">
        <v>0.283024</v>
      </c>
      <c r="BW12" s="88">
        <v>0.285551</v>
      </c>
      <c r="BX12" s="88">
        <v>0.26280799999999999</v>
      </c>
      <c r="BY12" s="88">
        <v>0.28362400000000004</v>
      </c>
      <c r="BZ12" s="88">
        <v>0.25269999999999998</v>
      </c>
      <c r="CA12" s="88">
        <v>0.242592</v>
      </c>
      <c r="CB12" s="88">
        <v>0.290605</v>
      </c>
      <c r="CC12" s="88">
        <v>0.30829399999999996</v>
      </c>
      <c r="CD12" s="88">
        <v>0.33609100000000003</v>
      </c>
      <c r="CE12" s="88">
        <v>0.31840199999999996</v>
      </c>
      <c r="CF12" s="88">
        <v>0.31587500000000002</v>
      </c>
      <c r="CG12" s="88">
        <v>0.330204</v>
      </c>
      <c r="CH12" s="88">
        <v>0.33365800000000001</v>
      </c>
      <c r="CI12" s="88">
        <v>0.33365800000000001</v>
      </c>
      <c r="CJ12" s="88">
        <v>0.37154799999999999</v>
      </c>
      <c r="CK12" s="88">
        <v>0.40144799999999997</v>
      </c>
      <c r="CL12" s="88">
        <v>0.30374299999999999</v>
      </c>
      <c r="CM12" s="88">
        <v>0.33110500000000004</v>
      </c>
      <c r="CN12" s="88">
        <v>0.27988600000000002</v>
      </c>
      <c r="CO12" s="88">
        <v>0.31252800000000003</v>
      </c>
      <c r="CP12" s="88">
        <v>0.36988600000000005</v>
      </c>
      <c r="CQ12" s="88">
        <v>0.35599999999999998</v>
      </c>
    </row>
    <row r="13" spans="1:96" ht="12.75" x14ac:dyDescent="0.2">
      <c r="A13" s="71">
        <f t="shared" si="3"/>
        <v>1972</v>
      </c>
      <c r="B13" s="71">
        <v>476</v>
      </c>
      <c r="C13" s="71">
        <v>325</v>
      </c>
      <c r="D13" s="71">
        <v>123</v>
      </c>
      <c r="E13" s="71">
        <v>149</v>
      </c>
      <c r="F13" s="72">
        <v>141.512</v>
      </c>
      <c r="G13" s="73">
        <f t="shared" si="0"/>
        <v>1214.5119999999999</v>
      </c>
      <c r="H13" s="74">
        <f t="shared" si="4"/>
        <v>0.64378705250748469</v>
      </c>
      <c r="I13" s="75">
        <f t="shared" si="5"/>
        <v>1.6704824216163268E-2</v>
      </c>
      <c r="J13" s="76"/>
      <c r="O13" s="73">
        <v>672</v>
      </c>
      <c r="P13" s="74">
        <f t="shared" si="6"/>
        <v>0.35621294749251531</v>
      </c>
      <c r="Q13" s="75">
        <f t="shared" si="7"/>
        <v>9.242923802532799E-3</v>
      </c>
      <c r="R13" s="77">
        <f t="shared" si="8"/>
        <v>1886.5119999999999</v>
      </c>
      <c r="S13" s="78">
        <f t="shared" si="1"/>
        <v>2.5947748018696065E-2</v>
      </c>
      <c r="T13" s="79"/>
      <c r="U13" s="80">
        <f>'[8]Cons by Sector'!AN30/1000</f>
        <v>72704.267000000007</v>
      </c>
      <c r="Z13" s="81"/>
      <c r="AD13" s="81"/>
      <c r="AH13" s="81"/>
      <c r="AI13" s="79"/>
      <c r="AJ13" s="81"/>
      <c r="AO13" s="82">
        <v>282976</v>
      </c>
      <c r="AP13" s="83">
        <f t="shared" si="2"/>
        <v>6.6666855139658487</v>
      </c>
      <c r="AQ13" s="83">
        <f t="shared" si="9"/>
        <v>4.2919258170304193</v>
      </c>
      <c r="AR13" s="83">
        <f t="shared" si="10"/>
        <v>2.374759696935429</v>
      </c>
      <c r="AS13" s="84">
        <f t="shared" si="11"/>
        <v>111.04281207886855</v>
      </c>
      <c r="AT13" s="84">
        <f t="shared" si="11"/>
        <v>124.76612249000137</v>
      </c>
      <c r="AU13" s="84">
        <f t="shared" si="11"/>
        <v>92.629070216502114</v>
      </c>
      <c r="AV13" s="72"/>
      <c r="AW13" s="85">
        <v>1.886512</v>
      </c>
      <c r="AX13" s="86">
        <v>1.214512</v>
      </c>
      <c r="AY13" s="86">
        <f t="shared" si="12"/>
        <v>0.47599999999999998</v>
      </c>
      <c r="AZ13" s="86">
        <f t="shared" si="12"/>
        <v>0.32500000000000001</v>
      </c>
      <c r="BA13" s="86">
        <f t="shared" si="12"/>
        <v>0.123</v>
      </c>
      <c r="BB13" s="86">
        <f t="shared" si="12"/>
        <v>0.14899999999999999</v>
      </c>
      <c r="BC13" s="86">
        <f t="shared" si="12"/>
        <v>0.141512</v>
      </c>
      <c r="BD13" s="86">
        <v>0.67200000000000004</v>
      </c>
      <c r="BE13" s="86"/>
      <c r="BF13" s="88">
        <f>SUM(BF8:BF12)</f>
        <v>1.1954989999999999</v>
      </c>
      <c r="BG13" s="88">
        <f t="shared" ref="BG13:CR13" si="13">SUM(BG8:BG12)</f>
        <v>1.1835529999999999</v>
      </c>
      <c r="BH13" s="88">
        <f t="shared" si="13"/>
        <v>1.1755529999999998</v>
      </c>
      <c r="BI13" s="88">
        <f t="shared" si="13"/>
        <v>1.2021339999999998</v>
      </c>
      <c r="BJ13" s="88">
        <f t="shared" si="13"/>
        <v>1.220715</v>
      </c>
      <c r="BK13" s="88">
        <f t="shared" si="13"/>
        <v>1.2298229999999999</v>
      </c>
      <c r="BL13" s="88">
        <f t="shared" si="13"/>
        <v>1.252931</v>
      </c>
      <c r="BM13" s="88">
        <f t="shared" si="13"/>
        <v>1.214512</v>
      </c>
      <c r="BN13" s="88">
        <f t="shared" si="13"/>
        <v>1.443147</v>
      </c>
      <c r="BO13" s="88">
        <f t="shared" si="13"/>
        <v>1.1573089999999999</v>
      </c>
      <c r="BP13" s="88">
        <f t="shared" si="13"/>
        <v>1.338687</v>
      </c>
      <c r="BQ13" s="88">
        <f t="shared" si="13"/>
        <v>1.4291729999999998</v>
      </c>
      <c r="BR13" s="88">
        <f t="shared" si="13"/>
        <v>1.433173</v>
      </c>
      <c r="BS13" s="88">
        <f t="shared" si="13"/>
        <v>1.592713</v>
      </c>
      <c r="BT13" s="88">
        <f t="shared" si="13"/>
        <v>1.4611320000000001</v>
      </c>
      <c r="BU13" s="88">
        <f t="shared" si="13"/>
        <v>1.3099700000000001</v>
      </c>
      <c r="BV13" s="88">
        <f t="shared" si="13"/>
        <v>1.2420239999999998</v>
      </c>
      <c r="BW13" s="88">
        <f t="shared" si="13"/>
        <v>1.1845509999999999</v>
      </c>
      <c r="BX13" s="88">
        <f t="shared" si="13"/>
        <v>1.1438079999999999</v>
      </c>
      <c r="BY13" s="88">
        <f t="shared" si="13"/>
        <v>1.1366240000000001</v>
      </c>
      <c r="BZ13" s="88">
        <f t="shared" si="13"/>
        <v>1.0517000000000001</v>
      </c>
      <c r="CA13" s="88">
        <f t="shared" si="13"/>
        <v>0.9475920000000001</v>
      </c>
      <c r="CB13" s="88">
        <f t="shared" si="13"/>
        <v>0.99560500000000007</v>
      </c>
      <c r="CC13" s="88">
        <f t="shared" si="13"/>
        <v>1.0092940000000001</v>
      </c>
      <c r="CD13" s="88">
        <f t="shared" si="13"/>
        <v>0.98209100000000016</v>
      </c>
      <c r="CE13" s="88">
        <f t="shared" si="13"/>
        <v>0.95740199999999998</v>
      </c>
      <c r="CF13" s="88">
        <f t="shared" si="13"/>
        <v>0.97587500000000005</v>
      </c>
      <c r="CG13" s="88">
        <f t="shared" si="13"/>
        <v>1.0753060000000001</v>
      </c>
      <c r="CH13" s="88">
        <f t="shared" si="13"/>
        <v>1.1049730000000002</v>
      </c>
      <c r="CI13" s="88">
        <f t="shared" si="13"/>
        <v>1.157278</v>
      </c>
      <c r="CJ13" s="88">
        <f t="shared" si="13"/>
        <v>1.209158</v>
      </c>
      <c r="CK13" s="88">
        <f t="shared" si="13"/>
        <v>1.21377</v>
      </c>
      <c r="CL13" s="88">
        <f t="shared" si="13"/>
        <v>1.1471589999999998</v>
      </c>
      <c r="CM13" s="88">
        <f t="shared" si="13"/>
        <v>1.1604049999999999</v>
      </c>
      <c r="CN13" s="88">
        <f t="shared" si="13"/>
        <v>1.1503840000000001</v>
      </c>
      <c r="CO13" s="88">
        <f t="shared" si="13"/>
        <v>1.0915490000000001</v>
      </c>
      <c r="CP13" s="88">
        <f t="shared" si="13"/>
        <v>1.120962</v>
      </c>
      <c r="CQ13" s="88">
        <f t="shared" si="13"/>
        <v>1.1109999999999998</v>
      </c>
      <c r="CR13" s="88">
        <f t="shared" si="13"/>
        <v>0</v>
      </c>
    </row>
    <row r="14" spans="1:96" ht="12.75" x14ac:dyDescent="0.2">
      <c r="A14" s="71">
        <f t="shared" si="3"/>
        <v>1973</v>
      </c>
      <c r="B14" s="71">
        <v>590</v>
      </c>
      <c r="C14" s="71">
        <v>414</v>
      </c>
      <c r="D14" s="71">
        <v>126</v>
      </c>
      <c r="E14" s="71">
        <v>159</v>
      </c>
      <c r="F14" s="72">
        <v>154.14699999999999</v>
      </c>
      <c r="G14" s="73">
        <f t="shared" si="0"/>
        <v>1443.1469999999999</v>
      </c>
      <c r="H14" s="74">
        <f t="shared" si="4"/>
        <v>0.67274969967093168</v>
      </c>
      <c r="I14" s="75">
        <f t="shared" si="5"/>
        <v>1.9061922933640462E-2</v>
      </c>
      <c r="J14" s="76"/>
      <c r="O14" s="73">
        <v>702</v>
      </c>
      <c r="P14" s="74">
        <f t="shared" si="6"/>
        <v>0.32725030032906838</v>
      </c>
      <c r="Q14" s="75">
        <f t="shared" si="7"/>
        <v>9.2724233216821324E-3</v>
      </c>
      <c r="R14" s="77">
        <f t="shared" si="8"/>
        <v>2145.1469999999999</v>
      </c>
      <c r="S14" s="78">
        <f t="shared" si="1"/>
        <v>2.8334346255322593E-2</v>
      </c>
      <c r="T14" s="79"/>
      <c r="U14" s="80">
        <f>'[8]Cons by Fuel'!M5</f>
        <v>75708.364000000001</v>
      </c>
      <c r="Z14" s="81"/>
      <c r="AD14" s="81"/>
      <c r="AH14" s="81"/>
      <c r="AI14" s="79"/>
      <c r="AJ14" s="81"/>
      <c r="AO14" s="82">
        <v>309956</v>
      </c>
      <c r="AP14" s="83">
        <f t="shared" si="2"/>
        <v>6.9208113409645238</v>
      </c>
      <c r="AQ14" s="83">
        <f t="shared" si="9"/>
        <v>4.655973751113061</v>
      </c>
      <c r="AR14" s="83">
        <f t="shared" si="10"/>
        <v>2.2648375898514628</v>
      </c>
      <c r="AS14" s="84">
        <f t="shared" si="11"/>
        <v>115.27562708006909</v>
      </c>
      <c r="AT14" s="84">
        <f t="shared" si="11"/>
        <v>135.34898227656998</v>
      </c>
      <c r="AU14" s="84">
        <f t="shared" si="11"/>
        <v>88.341485839621299</v>
      </c>
      <c r="AV14" s="72"/>
      <c r="AW14" s="85">
        <v>2.1451470000000001</v>
      </c>
      <c r="AX14" s="86">
        <v>1.443147</v>
      </c>
      <c r="AY14" s="86">
        <f t="shared" si="12"/>
        <v>0.59</v>
      </c>
      <c r="AZ14" s="86">
        <f t="shared" si="12"/>
        <v>0.41399999999999998</v>
      </c>
      <c r="BA14" s="86">
        <f t="shared" si="12"/>
        <v>0.126</v>
      </c>
      <c r="BB14" s="86">
        <f t="shared" si="12"/>
        <v>0.159</v>
      </c>
      <c r="BC14" s="86">
        <f t="shared" si="12"/>
        <v>0.15414699999999998</v>
      </c>
      <c r="BD14" s="86">
        <v>0.70199999999999996</v>
      </c>
      <c r="BE14" s="86"/>
    </row>
    <row r="15" spans="1:96" ht="12.75" x14ac:dyDescent="0.2">
      <c r="A15" s="71">
        <f t="shared" si="3"/>
        <v>1974</v>
      </c>
      <c r="B15" s="89">
        <v>447</v>
      </c>
      <c r="C15" s="89">
        <v>345</v>
      </c>
      <c r="D15" s="89">
        <v>87</v>
      </c>
      <c r="E15" s="89">
        <v>109</v>
      </c>
      <c r="F15" s="72">
        <v>169.309</v>
      </c>
      <c r="G15" s="73">
        <f t="shared" si="0"/>
        <v>1157.309</v>
      </c>
      <c r="H15" s="74">
        <f t="shared" si="4"/>
        <v>0.60204108704687953</v>
      </c>
      <c r="I15" s="75">
        <f t="shared" si="5"/>
        <v>1.5641238487770385E-2</v>
      </c>
      <c r="J15" s="76">
        <v>56.9</v>
      </c>
      <c r="K15" s="72">
        <v>570.4</v>
      </c>
      <c r="L15" s="72">
        <v>51</v>
      </c>
      <c r="M15" s="72">
        <v>86.7</v>
      </c>
      <c r="N15" s="72">
        <f t="shared" ref="N15:N42" si="14">SUM(K15:M15)</f>
        <v>708.1</v>
      </c>
      <c r="O15" s="73">
        <f t="shared" ref="O15:O43" si="15">J15+N15</f>
        <v>765</v>
      </c>
      <c r="P15" s="74">
        <f t="shared" si="6"/>
        <v>0.39795891295312047</v>
      </c>
      <c r="Q15" s="75">
        <f t="shared" si="7"/>
        <v>1.0339112063540804E-2</v>
      </c>
      <c r="R15" s="77">
        <f t="shared" si="8"/>
        <v>1922.309</v>
      </c>
      <c r="S15" s="78">
        <f t="shared" si="1"/>
        <v>2.5980350551311187E-2</v>
      </c>
      <c r="T15" s="90"/>
      <c r="U15" s="80">
        <f>'[8]Cons by Fuel'!M6</f>
        <v>73990.880000000005</v>
      </c>
      <c r="W15" s="80">
        <v>570400</v>
      </c>
      <c r="X15" s="80">
        <v>86700</v>
      </c>
      <c r="Y15" s="80">
        <v>51000</v>
      </c>
      <c r="Z15" s="91">
        <f t="shared" ref="Z15:AB42" si="16">W15/AJ15</f>
        <v>62</v>
      </c>
      <c r="AA15" s="92">
        <f t="shared" si="16"/>
        <v>17</v>
      </c>
      <c r="AB15" s="92">
        <f t="shared" si="16"/>
        <v>10</v>
      </c>
      <c r="AD15" s="93">
        <v>3.7</v>
      </c>
      <c r="AE15" s="94">
        <v>2.6</v>
      </c>
      <c r="AF15" s="94">
        <v>1.4</v>
      </c>
      <c r="AH15" s="81"/>
      <c r="AI15" s="79"/>
      <c r="AJ15" s="95">
        <v>9200</v>
      </c>
      <c r="AK15" s="80">
        <v>5100</v>
      </c>
      <c r="AL15" s="80">
        <v>5100</v>
      </c>
      <c r="AM15" s="96">
        <f>SUM(AJ15:AL15)</f>
        <v>19400</v>
      </c>
      <c r="AN15" s="96"/>
      <c r="AO15" s="82">
        <v>315941</v>
      </c>
      <c r="AP15" s="83">
        <f t="shared" si="2"/>
        <v>6.0843923390759667</v>
      </c>
      <c r="AQ15" s="83">
        <f t="shared" si="9"/>
        <v>3.6630541778370014</v>
      </c>
      <c r="AR15" s="83">
        <f t="shared" si="10"/>
        <v>2.4213381612389657</v>
      </c>
      <c r="AS15" s="84">
        <f t="shared" si="11"/>
        <v>101.34391875944443</v>
      </c>
      <c r="AT15" s="84">
        <f t="shared" si="11"/>
        <v>106.48484753069145</v>
      </c>
      <c r="AU15" s="84">
        <f t="shared" si="11"/>
        <v>94.445893976024792</v>
      </c>
      <c r="AV15" s="72"/>
      <c r="AW15" s="85">
        <v>1.922309</v>
      </c>
      <c r="AX15" s="86">
        <v>1.1573089999999999</v>
      </c>
      <c r="AY15" s="86">
        <f t="shared" si="12"/>
        <v>0.44700000000000001</v>
      </c>
      <c r="AZ15" s="86">
        <f t="shared" si="12"/>
        <v>0.34499999999999997</v>
      </c>
      <c r="BA15" s="86">
        <f t="shared" si="12"/>
        <v>8.6999999999999994E-2</v>
      </c>
      <c r="BB15" s="86">
        <f t="shared" si="12"/>
        <v>0.109</v>
      </c>
      <c r="BC15" s="86">
        <f t="shared" si="12"/>
        <v>0.16930899999999999</v>
      </c>
      <c r="BD15" s="86">
        <v>0.76500000000000001</v>
      </c>
      <c r="BE15" s="86"/>
    </row>
    <row r="16" spans="1:96" ht="12.75" x14ac:dyDescent="0.2">
      <c r="A16" s="71">
        <f t="shared" si="3"/>
        <v>1975</v>
      </c>
      <c r="B16" s="89">
        <v>555</v>
      </c>
      <c r="C16" s="89">
        <v>354</v>
      </c>
      <c r="D16" s="89">
        <v>91</v>
      </c>
      <c r="E16" s="89">
        <v>134</v>
      </c>
      <c r="F16" s="72">
        <v>204.68700000000001</v>
      </c>
      <c r="G16" s="73">
        <f t="shared" si="0"/>
        <v>1338.6869999999999</v>
      </c>
      <c r="H16" s="74">
        <f t="shared" si="4"/>
        <v>0.65089486149326559</v>
      </c>
      <c r="I16" s="75">
        <f t="shared" si="5"/>
        <v>1.8593083913956754E-2</v>
      </c>
      <c r="J16" s="76">
        <v>64.3</v>
      </c>
      <c r="K16" s="72">
        <v>533.20000000000005</v>
      </c>
      <c r="L16" s="72">
        <v>44</v>
      </c>
      <c r="M16" s="72">
        <v>76.5</v>
      </c>
      <c r="N16" s="72">
        <f t="shared" si="14"/>
        <v>653.70000000000005</v>
      </c>
      <c r="O16" s="73">
        <f t="shared" si="15"/>
        <v>718</v>
      </c>
      <c r="P16" s="74">
        <f t="shared" si="6"/>
        <v>0.34910513850673441</v>
      </c>
      <c r="Q16" s="75">
        <f t="shared" si="7"/>
        <v>9.9723342724781436E-3</v>
      </c>
      <c r="R16" s="77">
        <f t="shared" si="8"/>
        <v>2056.6869999999999</v>
      </c>
      <c r="S16" s="78">
        <f t="shared" si="1"/>
        <v>2.8565418186434897E-2</v>
      </c>
      <c r="T16" s="90"/>
      <c r="U16" s="80">
        <f>'[8]Cons by Fuel'!M7</f>
        <v>71999.191000000006</v>
      </c>
      <c r="W16" s="80">
        <v>533200</v>
      </c>
      <c r="X16" s="80">
        <v>76500</v>
      </c>
      <c r="Y16" s="80">
        <v>44000</v>
      </c>
      <c r="Z16" s="91">
        <f t="shared" si="16"/>
        <v>62</v>
      </c>
      <c r="AA16" s="92">
        <f t="shared" si="16"/>
        <v>17.386363636363637</v>
      </c>
      <c r="AB16" s="92">
        <f t="shared" si="16"/>
        <v>9.7777777777777786</v>
      </c>
      <c r="AD16" s="93">
        <v>4.5</v>
      </c>
      <c r="AE16" s="94">
        <v>2.4</v>
      </c>
      <c r="AF16" s="94">
        <v>1</v>
      </c>
      <c r="AH16" s="81"/>
      <c r="AI16" s="79"/>
      <c r="AJ16" s="95">
        <v>8600</v>
      </c>
      <c r="AK16" s="80">
        <v>4400</v>
      </c>
      <c r="AL16" s="80">
        <v>4500</v>
      </c>
      <c r="AM16" s="96">
        <f t="shared" ref="AM16:AM43" si="17">SUM(AJ16:AL16)</f>
        <v>17500</v>
      </c>
      <c r="AN16" s="96"/>
      <c r="AO16" s="82">
        <v>324040</v>
      </c>
      <c r="AP16" s="83">
        <f t="shared" si="2"/>
        <v>6.3470158005184549</v>
      </c>
      <c r="AQ16" s="83">
        <f t="shared" si="9"/>
        <v>4.1312399703740281</v>
      </c>
      <c r="AR16" s="83">
        <f t="shared" si="10"/>
        <v>2.2157758301444268</v>
      </c>
      <c r="AS16" s="84">
        <f t="shared" si="11"/>
        <v>105.71827354419744</v>
      </c>
      <c r="AT16" s="84">
        <f t="shared" si="11"/>
        <v>120.09499095580998</v>
      </c>
      <c r="AU16" s="84">
        <f t="shared" si="11"/>
        <v>86.427799502973073</v>
      </c>
      <c r="AV16" s="72"/>
      <c r="AW16" s="85">
        <v>2.0566869999999997</v>
      </c>
      <c r="AX16" s="86">
        <v>1.338687</v>
      </c>
      <c r="AY16" s="86">
        <f t="shared" si="12"/>
        <v>0.55500000000000005</v>
      </c>
      <c r="AZ16" s="86">
        <f t="shared" si="12"/>
        <v>0.35399999999999998</v>
      </c>
      <c r="BA16" s="86">
        <f t="shared" si="12"/>
        <v>9.0999999999999998E-2</v>
      </c>
      <c r="BB16" s="86">
        <f t="shared" si="12"/>
        <v>0.13400000000000001</v>
      </c>
      <c r="BC16" s="86">
        <f t="shared" si="12"/>
        <v>0.20468700000000001</v>
      </c>
      <c r="BD16" s="86">
        <v>0.71799999999999997</v>
      </c>
      <c r="BE16" s="86"/>
    </row>
    <row r="17" spans="1:57" ht="12.75" x14ac:dyDescent="0.2">
      <c r="A17" s="71">
        <f t="shared" si="3"/>
        <v>1976</v>
      </c>
      <c r="B17" s="89">
        <v>482</v>
      </c>
      <c r="C17" s="89">
        <v>418</v>
      </c>
      <c r="D17" s="89">
        <v>111</v>
      </c>
      <c r="E17" s="89">
        <v>168</v>
      </c>
      <c r="F17" s="72">
        <v>250.173</v>
      </c>
      <c r="G17" s="73">
        <f t="shared" si="0"/>
        <v>1429.173</v>
      </c>
      <c r="H17" s="74">
        <f t="shared" si="4"/>
        <v>0.62678270464565633</v>
      </c>
      <c r="I17" s="75">
        <f t="shared" si="5"/>
        <v>1.8801846904582229E-2</v>
      </c>
      <c r="J17" s="76">
        <v>65.8</v>
      </c>
      <c r="K17" s="72">
        <v>644.79999999999995</v>
      </c>
      <c r="L17" s="72">
        <v>52</v>
      </c>
      <c r="M17" s="72">
        <v>88.4</v>
      </c>
      <c r="N17" s="72">
        <f t="shared" si="14"/>
        <v>785.19999999999993</v>
      </c>
      <c r="O17" s="73">
        <f t="shared" si="15"/>
        <v>850.99999999999989</v>
      </c>
      <c r="P17" s="74">
        <f t="shared" si="6"/>
        <v>0.37321729535434373</v>
      </c>
      <c r="Q17" s="75">
        <f t="shared" si="7"/>
        <v>1.1195545756741469E-2</v>
      </c>
      <c r="R17" s="77">
        <f t="shared" si="8"/>
        <v>2280.1729999999998</v>
      </c>
      <c r="S17" s="78">
        <f t="shared" si="1"/>
        <v>2.9997392661323698E-2</v>
      </c>
      <c r="T17" s="90"/>
      <c r="U17" s="80">
        <f>'[8]Cons by Fuel'!M8</f>
        <v>76012.373000000007</v>
      </c>
      <c r="W17" s="80">
        <v>644800</v>
      </c>
      <c r="X17" s="80">
        <v>88400</v>
      </c>
      <c r="Y17" s="80">
        <v>52000</v>
      </c>
      <c r="Z17" s="91">
        <f t="shared" si="16"/>
        <v>62</v>
      </c>
      <c r="AA17" s="92">
        <f t="shared" si="16"/>
        <v>17</v>
      </c>
      <c r="AB17" s="92">
        <f t="shared" si="16"/>
        <v>10</v>
      </c>
      <c r="AD17" s="93">
        <v>3.9</v>
      </c>
      <c r="AE17" s="94">
        <v>2.8</v>
      </c>
      <c r="AF17" s="94">
        <v>1.2</v>
      </c>
      <c r="AH17" s="81"/>
      <c r="AI17" s="79"/>
      <c r="AJ17" s="95">
        <v>10400</v>
      </c>
      <c r="AK17" s="80">
        <v>5200</v>
      </c>
      <c r="AL17" s="80">
        <v>5200</v>
      </c>
      <c r="AM17" s="96">
        <f t="shared" si="17"/>
        <v>20800</v>
      </c>
      <c r="AN17" s="96"/>
      <c r="AO17" s="82">
        <v>325324</v>
      </c>
      <c r="AP17" s="83">
        <f t="shared" si="2"/>
        <v>7.0089295594545744</v>
      </c>
      <c r="AQ17" s="83">
        <f t="shared" si="9"/>
        <v>4.393075825945826</v>
      </c>
      <c r="AR17" s="83">
        <f t="shared" si="10"/>
        <v>2.6158537335087479</v>
      </c>
      <c r="AS17" s="84">
        <f t="shared" si="11"/>
        <v>116.74335714713425</v>
      </c>
      <c r="AT17" s="84">
        <f t="shared" si="11"/>
        <v>127.706549454542</v>
      </c>
      <c r="AU17" s="84">
        <f t="shared" si="11"/>
        <v>102.03310232608744</v>
      </c>
      <c r="AV17" s="72"/>
      <c r="AW17" s="85">
        <v>2.2801729999999996</v>
      </c>
      <c r="AX17" s="86">
        <v>1.429173</v>
      </c>
      <c r="AY17" s="86">
        <f t="shared" si="12"/>
        <v>0.48199999999999998</v>
      </c>
      <c r="AZ17" s="86">
        <f t="shared" si="12"/>
        <v>0.41799999999999998</v>
      </c>
      <c r="BA17" s="86">
        <f t="shared" si="12"/>
        <v>0.111</v>
      </c>
      <c r="BB17" s="86">
        <f t="shared" si="12"/>
        <v>0.16800000000000001</v>
      </c>
      <c r="BC17" s="86">
        <f t="shared" si="12"/>
        <v>0.25017299999999998</v>
      </c>
      <c r="BD17" s="86">
        <v>0.85099999999999987</v>
      </c>
      <c r="BE17" s="86"/>
    </row>
    <row r="18" spans="1:57" ht="12.75" x14ac:dyDescent="0.2">
      <c r="A18" s="71">
        <f t="shared" si="3"/>
        <v>1977</v>
      </c>
      <c r="B18" s="89">
        <v>479</v>
      </c>
      <c r="C18" s="89">
        <v>434</v>
      </c>
      <c r="D18" s="89">
        <v>102</v>
      </c>
      <c r="E18" s="89">
        <v>118</v>
      </c>
      <c r="F18" s="72">
        <v>300.173</v>
      </c>
      <c r="G18" s="73">
        <f t="shared" si="0"/>
        <v>1433.173</v>
      </c>
      <c r="H18" s="74">
        <f t="shared" si="4"/>
        <v>0.61796726678001157</v>
      </c>
      <c r="I18" s="75">
        <f t="shared" si="5"/>
        <v>1.8374117882776611E-2</v>
      </c>
      <c r="J18" s="76">
        <v>75.599999999999994</v>
      </c>
      <c r="K18" s="72">
        <v>657.2</v>
      </c>
      <c r="L18" s="72">
        <v>58</v>
      </c>
      <c r="M18" s="72">
        <v>95.2</v>
      </c>
      <c r="N18" s="72">
        <f t="shared" si="14"/>
        <v>810.40000000000009</v>
      </c>
      <c r="O18" s="73">
        <f t="shared" si="15"/>
        <v>886.00000000000011</v>
      </c>
      <c r="P18" s="74">
        <f t="shared" si="6"/>
        <v>0.38203273321998832</v>
      </c>
      <c r="Q18" s="75">
        <f t="shared" si="7"/>
        <v>1.1359039309378616E-2</v>
      </c>
      <c r="R18" s="77">
        <f t="shared" si="8"/>
        <v>2319.1730000000002</v>
      </c>
      <c r="S18" s="78">
        <f t="shared" si="1"/>
        <v>2.9733157192155229E-2</v>
      </c>
      <c r="T18" s="90"/>
      <c r="U18" s="80">
        <f>'[8]Cons by Fuel'!M9</f>
        <v>77999.554000000004</v>
      </c>
      <c r="W18" s="80">
        <v>657200</v>
      </c>
      <c r="X18" s="80">
        <v>95200</v>
      </c>
      <c r="Y18" s="80">
        <v>58000</v>
      </c>
      <c r="Z18" s="91">
        <f t="shared" si="16"/>
        <v>62</v>
      </c>
      <c r="AA18" s="92">
        <f t="shared" si="16"/>
        <v>16.413793103448278</v>
      </c>
      <c r="AB18" s="92">
        <f t="shared" si="16"/>
        <v>10.357142857142858</v>
      </c>
      <c r="AD18" s="93">
        <v>3.8</v>
      </c>
      <c r="AE18" s="94">
        <v>2.9</v>
      </c>
      <c r="AF18" s="94">
        <v>1.1000000000000001</v>
      </c>
      <c r="AH18" s="81"/>
      <c r="AI18" s="79"/>
      <c r="AJ18" s="95">
        <v>10600</v>
      </c>
      <c r="AK18" s="80">
        <v>5800</v>
      </c>
      <c r="AL18" s="80">
        <v>5600</v>
      </c>
      <c r="AM18" s="96">
        <f t="shared" si="17"/>
        <v>22000</v>
      </c>
      <c r="AN18" s="96"/>
      <c r="AO18" s="82">
        <v>333282</v>
      </c>
      <c r="AP18" s="83">
        <f t="shared" si="2"/>
        <v>6.9585906229559349</v>
      </c>
      <c r="AQ18" s="83">
        <f t="shared" si="9"/>
        <v>4.3001812279090981</v>
      </c>
      <c r="AR18" s="83">
        <f t="shared" si="10"/>
        <v>2.6584093950468377</v>
      </c>
      <c r="AS18" s="84">
        <f t="shared" si="11"/>
        <v>115.90489295767176</v>
      </c>
      <c r="AT18" s="84">
        <f t="shared" si="11"/>
        <v>125.00610697454381</v>
      </c>
      <c r="AU18" s="84">
        <f t="shared" si="11"/>
        <v>103.69301400717599</v>
      </c>
      <c r="AV18" s="72"/>
      <c r="AW18" s="85">
        <v>2.3191730000000002</v>
      </c>
      <c r="AX18" s="86">
        <v>1.433173</v>
      </c>
      <c r="AY18" s="86">
        <f t="shared" si="12"/>
        <v>0.47899999999999998</v>
      </c>
      <c r="AZ18" s="86">
        <f t="shared" si="12"/>
        <v>0.434</v>
      </c>
      <c r="BA18" s="86">
        <f t="shared" si="12"/>
        <v>0.10199999999999999</v>
      </c>
      <c r="BB18" s="86">
        <f t="shared" si="12"/>
        <v>0.11799999999999999</v>
      </c>
      <c r="BC18" s="86">
        <f t="shared" si="12"/>
        <v>0.30017300000000002</v>
      </c>
      <c r="BD18" s="86">
        <v>0.88600000000000012</v>
      </c>
      <c r="BE18" s="86"/>
    </row>
    <row r="19" spans="1:57" ht="12.75" x14ac:dyDescent="0.2">
      <c r="A19" s="97">
        <f t="shared" si="3"/>
        <v>1978</v>
      </c>
      <c r="B19" s="89">
        <v>432</v>
      </c>
      <c r="C19" s="89">
        <v>575</v>
      </c>
      <c r="D19" s="89">
        <v>112</v>
      </c>
      <c r="E19" s="89">
        <v>173</v>
      </c>
      <c r="F19" s="72">
        <v>300.71300000000002</v>
      </c>
      <c r="G19" s="73">
        <f t="shared" si="0"/>
        <v>1592.713</v>
      </c>
      <c r="H19" s="74">
        <f t="shared" si="4"/>
        <v>0.6565958132722215</v>
      </c>
      <c r="I19" s="75">
        <f t="shared" si="5"/>
        <v>1.9912303316350983E-2</v>
      </c>
      <c r="J19" s="76">
        <v>71.3</v>
      </c>
      <c r="K19" s="72">
        <v>620</v>
      </c>
      <c r="L19" s="72">
        <v>55</v>
      </c>
      <c r="M19" s="72">
        <v>86.7</v>
      </c>
      <c r="N19" s="72">
        <f t="shared" si="14"/>
        <v>761.7</v>
      </c>
      <c r="O19" s="73">
        <f t="shared" si="15"/>
        <v>833</v>
      </c>
      <c r="P19" s="74">
        <f t="shared" si="6"/>
        <v>0.34340418672777862</v>
      </c>
      <c r="Q19" s="75">
        <f t="shared" si="7"/>
        <v>1.0414273420585108E-2</v>
      </c>
      <c r="R19" s="77">
        <f t="shared" si="8"/>
        <v>2425.7129999999997</v>
      </c>
      <c r="S19" s="78">
        <f t="shared" si="1"/>
        <v>3.0326576736936089E-2</v>
      </c>
      <c r="T19" s="90"/>
      <c r="U19" s="80">
        <f>'[8]Cons by Fuel'!M10</f>
        <v>79986.376999999993</v>
      </c>
      <c r="W19" s="80">
        <v>620000</v>
      </c>
      <c r="X19" s="80">
        <v>86700</v>
      </c>
      <c r="Y19" s="80">
        <v>55000</v>
      </c>
      <c r="Z19" s="91">
        <f t="shared" si="16"/>
        <v>62</v>
      </c>
      <c r="AA19" s="92">
        <f t="shared" si="16"/>
        <v>15.763636363636364</v>
      </c>
      <c r="AB19" s="92">
        <f t="shared" si="16"/>
        <v>10.784313725490197</v>
      </c>
      <c r="AD19" s="93">
        <v>3.6</v>
      </c>
      <c r="AE19" s="94">
        <v>3.2</v>
      </c>
      <c r="AF19" s="94">
        <v>1.3</v>
      </c>
      <c r="AH19" s="81"/>
      <c r="AI19" s="98">
        <v>5.6665000000000001</v>
      </c>
      <c r="AJ19" s="95">
        <v>10000</v>
      </c>
      <c r="AK19" s="80">
        <v>5500</v>
      </c>
      <c r="AL19" s="80">
        <v>5100</v>
      </c>
      <c r="AM19" s="96">
        <f t="shared" si="17"/>
        <v>20600</v>
      </c>
      <c r="AN19" s="96"/>
      <c r="AO19" s="82">
        <v>326423</v>
      </c>
      <c r="AP19" s="99">
        <f t="shared" si="2"/>
        <v>7.4311951057370331</v>
      </c>
      <c r="AQ19" s="99">
        <f t="shared" si="9"/>
        <v>4.8792915940359594</v>
      </c>
      <c r="AR19" s="83">
        <f t="shared" si="10"/>
        <v>2.5519035117010751</v>
      </c>
      <c r="AS19" s="84">
        <f t="shared" si="11"/>
        <v>123.77677031849146</v>
      </c>
      <c r="AT19" s="84">
        <f t="shared" si="11"/>
        <v>141.84082359259702</v>
      </c>
      <c r="AU19" s="84">
        <f t="shared" si="11"/>
        <v>99.538681693200601</v>
      </c>
      <c r="AV19" s="72"/>
      <c r="AW19" s="85">
        <v>2.4257129999999996</v>
      </c>
      <c r="AX19" s="86">
        <v>1.592713</v>
      </c>
      <c r="AY19" s="86">
        <f t="shared" si="12"/>
        <v>0.432</v>
      </c>
      <c r="AZ19" s="86">
        <f t="shared" si="12"/>
        <v>0.57499999999999996</v>
      </c>
      <c r="BA19" s="86">
        <f t="shared" si="12"/>
        <v>0.112</v>
      </c>
      <c r="BB19" s="86">
        <f t="shared" si="12"/>
        <v>0.17299999999999999</v>
      </c>
      <c r="BC19" s="86">
        <f t="shared" si="12"/>
        <v>0.30071300000000001</v>
      </c>
      <c r="BD19" s="86">
        <v>0.83299999999999996</v>
      </c>
      <c r="BE19" s="86"/>
    </row>
    <row r="20" spans="1:57" ht="12.75" x14ac:dyDescent="0.2">
      <c r="A20" s="71">
        <f t="shared" si="3"/>
        <v>1979</v>
      </c>
      <c r="B20" s="89">
        <v>431</v>
      </c>
      <c r="C20" s="89">
        <v>498</v>
      </c>
      <c r="D20" s="89">
        <v>114</v>
      </c>
      <c r="E20" s="89">
        <v>125</v>
      </c>
      <c r="F20" s="72">
        <v>293.13200000000001</v>
      </c>
      <c r="G20" s="73">
        <f t="shared" si="0"/>
        <v>1461.1320000000001</v>
      </c>
      <c r="H20" s="74">
        <f t="shared" si="4"/>
        <v>0.6190891017960013</v>
      </c>
      <c r="I20" s="75">
        <f t="shared" si="5"/>
        <v>1.8060246208259509E-2</v>
      </c>
      <c r="J20" s="76">
        <v>78.400000000000006</v>
      </c>
      <c r="K20" s="72">
        <v>663.4</v>
      </c>
      <c r="L20" s="72">
        <v>62</v>
      </c>
      <c r="M20" s="72">
        <v>95.2</v>
      </c>
      <c r="N20" s="72">
        <f t="shared" si="14"/>
        <v>820.6</v>
      </c>
      <c r="O20" s="73">
        <f t="shared" si="15"/>
        <v>899</v>
      </c>
      <c r="P20" s="74">
        <f t="shared" si="6"/>
        <v>0.38091089820399876</v>
      </c>
      <c r="Q20" s="75">
        <f t="shared" si="7"/>
        <v>1.1112042814218905E-2</v>
      </c>
      <c r="R20" s="77">
        <f t="shared" si="8"/>
        <v>2360.1320000000001</v>
      </c>
      <c r="S20" s="78">
        <f t="shared" si="1"/>
        <v>2.9172289022478416E-2</v>
      </c>
      <c r="T20" s="90"/>
      <c r="U20" s="80">
        <f>'[8]Cons by Fuel'!M11</f>
        <v>80903.216</v>
      </c>
      <c r="W20" s="80">
        <v>663400</v>
      </c>
      <c r="X20" s="80">
        <v>95200</v>
      </c>
      <c r="Y20" s="80">
        <v>62000</v>
      </c>
      <c r="Z20" s="91">
        <f t="shared" si="16"/>
        <v>62</v>
      </c>
      <c r="AA20" s="92">
        <f t="shared" si="16"/>
        <v>15.35483870967742</v>
      </c>
      <c r="AB20" s="92">
        <f t="shared" si="16"/>
        <v>11.071428571428571</v>
      </c>
      <c r="AD20" s="93">
        <v>3.4</v>
      </c>
      <c r="AE20" s="94">
        <v>3.2</v>
      </c>
      <c r="AF20" s="94">
        <v>1.1000000000000001</v>
      </c>
      <c r="AH20" s="81"/>
      <c r="AI20" s="79"/>
      <c r="AJ20" s="95">
        <v>10700</v>
      </c>
      <c r="AK20" s="80">
        <v>6200</v>
      </c>
      <c r="AL20" s="80">
        <v>5600</v>
      </c>
      <c r="AM20" s="96">
        <f t="shared" si="17"/>
        <v>22500</v>
      </c>
      <c r="AN20" s="96"/>
      <c r="AO20" s="82">
        <v>336736</v>
      </c>
      <c r="AP20" s="83">
        <f t="shared" si="2"/>
        <v>7.0088496626437324</v>
      </c>
      <c r="AQ20" s="83">
        <f t="shared" si="9"/>
        <v>4.339102442269315</v>
      </c>
      <c r="AR20" s="83">
        <f t="shared" si="10"/>
        <v>2.6697472203744179</v>
      </c>
      <c r="AS20" s="84">
        <f t="shared" si="11"/>
        <v>116.74202635591371</v>
      </c>
      <c r="AT20" s="84">
        <f t="shared" si="11"/>
        <v>126.13754521587073</v>
      </c>
      <c r="AU20" s="84">
        <f t="shared" si="11"/>
        <v>104.1352533713214</v>
      </c>
      <c r="AV20" s="72"/>
      <c r="AW20" s="85">
        <v>2.3601320000000001</v>
      </c>
      <c r="AX20" s="86">
        <v>1.4611320000000001</v>
      </c>
      <c r="AY20" s="86">
        <f t="shared" si="12"/>
        <v>0.43099999999999999</v>
      </c>
      <c r="AZ20" s="86">
        <f t="shared" si="12"/>
        <v>0.498</v>
      </c>
      <c r="BA20" s="86">
        <f t="shared" si="12"/>
        <v>0.114</v>
      </c>
      <c r="BB20" s="86">
        <f t="shared" si="12"/>
        <v>0.125</v>
      </c>
      <c r="BC20" s="86">
        <f t="shared" si="12"/>
        <v>0.293132</v>
      </c>
      <c r="BD20" s="86">
        <v>0.89900000000000002</v>
      </c>
      <c r="BE20" s="86"/>
    </row>
    <row r="21" spans="1:57" ht="12.75" x14ac:dyDescent="0.2">
      <c r="A21" s="100">
        <f t="shared" si="3"/>
        <v>1980</v>
      </c>
      <c r="B21" s="89">
        <v>371</v>
      </c>
      <c r="C21" s="89">
        <v>468</v>
      </c>
      <c r="D21" s="89">
        <v>100</v>
      </c>
      <c r="E21" s="89">
        <v>93</v>
      </c>
      <c r="F21" s="72">
        <v>277.97000000000003</v>
      </c>
      <c r="G21" s="73">
        <f t="shared" si="0"/>
        <v>1309.97</v>
      </c>
      <c r="H21" s="74">
        <f t="shared" si="4"/>
        <v>0.58144138625902708</v>
      </c>
      <c r="I21" s="75">
        <f t="shared" si="5"/>
        <v>1.6732443066079655E-2</v>
      </c>
      <c r="J21" s="76">
        <v>82.4</v>
      </c>
      <c r="K21" s="72">
        <v>706.8</v>
      </c>
      <c r="L21" s="72">
        <v>62</v>
      </c>
      <c r="M21" s="72">
        <v>91.8</v>
      </c>
      <c r="N21" s="72">
        <f t="shared" si="14"/>
        <v>860.59999999999991</v>
      </c>
      <c r="O21" s="73">
        <f t="shared" si="15"/>
        <v>942.99999999999989</v>
      </c>
      <c r="P21" s="74">
        <f t="shared" si="6"/>
        <v>0.41855861374097303</v>
      </c>
      <c r="Q21" s="75">
        <f t="shared" si="7"/>
        <v>1.2045080277649955E-2</v>
      </c>
      <c r="R21" s="77">
        <f t="shared" si="8"/>
        <v>2252.9699999999998</v>
      </c>
      <c r="S21" s="78">
        <f t="shared" si="1"/>
        <v>2.8777523343729607E-2</v>
      </c>
      <c r="T21" s="90"/>
      <c r="U21" s="80">
        <f>'[8]Cons by Fuel'!M12</f>
        <v>78289.225000000006</v>
      </c>
      <c r="W21" s="80">
        <v>706800</v>
      </c>
      <c r="X21" s="80">
        <v>91800</v>
      </c>
      <c r="Y21" s="80">
        <v>62000</v>
      </c>
      <c r="Z21" s="91">
        <f t="shared" si="16"/>
        <v>62</v>
      </c>
      <c r="AA21" s="92">
        <f t="shared" si="16"/>
        <v>14.806451612903226</v>
      </c>
      <c r="AB21" s="92">
        <f t="shared" si="16"/>
        <v>11.481481481481481</v>
      </c>
      <c r="AD21" s="93">
        <v>3</v>
      </c>
      <c r="AE21" s="94">
        <v>3.2</v>
      </c>
      <c r="AF21" s="94">
        <v>1.1000000000000001</v>
      </c>
      <c r="AH21" s="81"/>
      <c r="AI21" s="79"/>
      <c r="AJ21" s="95">
        <v>11400</v>
      </c>
      <c r="AK21" s="80">
        <v>6200</v>
      </c>
      <c r="AL21" s="80">
        <v>5400</v>
      </c>
      <c r="AM21" s="96">
        <f t="shared" si="17"/>
        <v>23000</v>
      </c>
      <c r="AN21" s="96"/>
      <c r="AO21" s="82">
        <v>340103</v>
      </c>
      <c r="AP21" s="83">
        <f t="shared" si="2"/>
        <v>6.6243755568166112</v>
      </c>
      <c r="AQ21" s="83">
        <f t="shared" si="9"/>
        <v>3.8516861068558641</v>
      </c>
      <c r="AR21" s="101">
        <f t="shared" si="10"/>
        <v>2.7726894499607466</v>
      </c>
      <c r="AS21" s="84">
        <f t="shared" si="11"/>
        <v>110.33808157809037</v>
      </c>
      <c r="AT21" s="84">
        <f t="shared" si="11"/>
        <v>111.96837063076602</v>
      </c>
      <c r="AU21" s="84">
        <f t="shared" si="11"/>
        <v>108.1505830170538</v>
      </c>
      <c r="AV21" s="72"/>
      <c r="AW21" s="85">
        <v>2.2529699999999999</v>
      </c>
      <c r="AX21" s="86">
        <v>1.3099700000000001</v>
      </c>
      <c r="AY21" s="86">
        <f t="shared" si="12"/>
        <v>0.371</v>
      </c>
      <c r="AZ21" s="86">
        <f t="shared" si="12"/>
        <v>0.46800000000000003</v>
      </c>
      <c r="BA21" s="86">
        <f t="shared" si="12"/>
        <v>0.1</v>
      </c>
      <c r="BB21" s="86">
        <f t="shared" si="12"/>
        <v>9.2999999999999999E-2</v>
      </c>
      <c r="BC21" s="86">
        <f t="shared" si="12"/>
        <v>0.27797000000000005</v>
      </c>
      <c r="BD21" s="86">
        <v>0.94299999999999984</v>
      </c>
      <c r="BE21" s="86"/>
    </row>
    <row r="22" spans="1:57" ht="12.75" x14ac:dyDescent="0.2">
      <c r="A22" s="71">
        <f t="shared" si="3"/>
        <v>1981</v>
      </c>
      <c r="B22" s="89">
        <v>354</v>
      </c>
      <c r="C22" s="89">
        <v>429</v>
      </c>
      <c r="D22" s="89">
        <v>94</v>
      </c>
      <c r="E22" s="89">
        <v>82</v>
      </c>
      <c r="F22" s="72">
        <v>283.024</v>
      </c>
      <c r="G22" s="73">
        <f t="shared" si="0"/>
        <v>1242.0239999999999</v>
      </c>
      <c r="H22" s="74">
        <f t="shared" si="4"/>
        <v>0.55896065929080874</v>
      </c>
      <c r="I22" s="75">
        <f t="shared" si="5"/>
        <v>1.6269218133775971E-2</v>
      </c>
      <c r="J22" s="76">
        <v>87.4</v>
      </c>
      <c r="K22" s="72">
        <v>737.8</v>
      </c>
      <c r="L22" s="72">
        <v>63</v>
      </c>
      <c r="M22" s="72">
        <v>91.8</v>
      </c>
      <c r="N22" s="72">
        <f t="shared" si="14"/>
        <v>892.59999999999991</v>
      </c>
      <c r="O22" s="73">
        <f t="shared" si="15"/>
        <v>979.99999999999989</v>
      </c>
      <c r="P22" s="74">
        <f t="shared" si="6"/>
        <v>0.44103934070919121</v>
      </c>
      <c r="Q22" s="75">
        <f t="shared" si="7"/>
        <v>1.283697720100453E-2</v>
      </c>
      <c r="R22" s="77">
        <f t="shared" si="8"/>
        <v>2222.0239999999999</v>
      </c>
      <c r="S22" s="78">
        <f t="shared" si="1"/>
        <v>2.9106195334780503E-2</v>
      </c>
      <c r="T22" s="90"/>
      <c r="U22" s="80">
        <f>'[8]Cons by Fuel'!M13</f>
        <v>76341.960000000006</v>
      </c>
      <c r="W22" s="80">
        <v>737800</v>
      </c>
      <c r="X22" s="80">
        <v>91800</v>
      </c>
      <c r="Y22" s="80">
        <v>63000</v>
      </c>
      <c r="Z22" s="91">
        <f t="shared" si="16"/>
        <v>62</v>
      </c>
      <c r="AA22" s="92">
        <f t="shared" si="16"/>
        <v>14.571428571428571</v>
      </c>
      <c r="AB22" s="92">
        <f t="shared" si="16"/>
        <v>11.666666666666666</v>
      </c>
      <c r="AD22" s="93">
        <v>2.7</v>
      </c>
      <c r="AE22" s="94">
        <v>3.1</v>
      </c>
      <c r="AF22" s="94">
        <v>1</v>
      </c>
      <c r="AH22" s="81"/>
      <c r="AI22" s="79"/>
      <c r="AJ22" s="95">
        <v>11900</v>
      </c>
      <c r="AK22" s="80">
        <v>6300</v>
      </c>
      <c r="AL22" s="80">
        <v>5400</v>
      </c>
      <c r="AM22" s="96">
        <f t="shared" si="17"/>
        <v>23600</v>
      </c>
      <c r="AN22" s="96"/>
      <c r="AO22" s="82">
        <v>354295</v>
      </c>
      <c r="AP22" s="83">
        <f t="shared" si="2"/>
        <v>6.2716775568382284</v>
      </c>
      <c r="AQ22" s="83">
        <f t="shared" si="9"/>
        <v>3.5056210220296644</v>
      </c>
      <c r="AR22" s="83">
        <f t="shared" si="10"/>
        <v>2.7660565348085631</v>
      </c>
      <c r="AS22" s="84">
        <f t="shared" si="11"/>
        <v>104.46341152651112</v>
      </c>
      <c r="AT22" s="84">
        <f t="shared" si="11"/>
        <v>101.90827159745778</v>
      </c>
      <c r="AU22" s="84">
        <f t="shared" si="11"/>
        <v>107.8918617813159</v>
      </c>
      <c r="AV22" s="72"/>
      <c r="AW22" s="85">
        <v>2.2220239999999998</v>
      </c>
      <c r="AX22" s="86">
        <v>1.2420239999999998</v>
      </c>
      <c r="AY22" s="86">
        <f t="shared" si="12"/>
        <v>0.35399999999999998</v>
      </c>
      <c r="AZ22" s="86">
        <f t="shared" si="12"/>
        <v>0.42899999999999999</v>
      </c>
      <c r="BA22" s="86">
        <f t="shared" si="12"/>
        <v>9.4E-2</v>
      </c>
      <c r="BB22" s="86">
        <f t="shared" si="12"/>
        <v>8.2000000000000003E-2</v>
      </c>
      <c r="BC22" s="86">
        <f t="shared" si="12"/>
        <v>0.283024</v>
      </c>
      <c r="BD22" s="86">
        <v>0.98</v>
      </c>
      <c r="BE22" s="86"/>
    </row>
    <row r="23" spans="1:57" ht="12.75" x14ac:dyDescent="0.2">
      <c r="A23" s="71">
        <f t="shared" si="3"/>
        <v>1982</v>
      </c>
      <c r="B23" s="89">
        <v>288</v>
      </c>
      <c r="C23" s="89">
        <v>416</v>
      </c>
      <c r="D23" s="89">
        <v>98</v>
      </c>
      <c r="E23" s="89">
        <v>97</v>
      </c>
      <c r="F23" s="72">
        <v>285.55099999999999</v>
      </c>
      <c r="G23" s="73">
        <f t="shared" si="0"/>
        <v>1184.5509999999999</v>
      </c>
      <c r="H23" s="74">
        <f t="shared" si="4"/>
        <v>0.56689260037204159</v>
      </c>
      <c r="I23" s="75">
        <f t="shared" si="5"/>
        <v>1.6170715321373635E-2</v>
      </c>
      <c r="J23" s="76">
        <v>85.4</v>
      </c>
      <c r="K23" s="72">
        <v>682</v>
      </c>
      <c r="L23" s="72">
        <v>56</v>
      </c>
      <c r="M23" s="72">
        <v>81.599999999999994</v>
      </c>
      <c r="N23" s="72">
        <f t="shared" si="14"/>
        <v>819.6</v>
      </c>
      <c r="O23" s="73">
        <f t="shared" si="15"/>
        <v>905</v>
      </c>
      <c r="P23" s="74">
        <f t="shared" si="6"/>
        <v>0.43310739962795836</v>
      </c>
      <c r="Q23" s="75">
        <f t="shared" si="7"/>
        <v>1.2354467951015314E-2</v>
      </c>
      <c r="R23" s="77">
        <f t="shared" si="8"/>
        <v>2089.5509999999999</v>
      </c>
      <c r="S23" s="78">
        <f t="shared" si="1"/>
        <v>2.8525183272388947E-2</v>
      </c>
      <c r="T23" s="90"/>
      <c r="U23" s="80">
        <f>'[8]Cons by Fuel'!M14</f>
        <v>73252.850999999995</v>
      </c>
      <c r="W23" s="80">
        <v>682000</v>
      </c>
      <c r="X23" s="80">
        <v>81600</v>
      </c>
      <c r="Y23" s="80">
        <v>56000</v>
      </c>
      <c r="Z23" s="91">
        <f t="shared" si="16"/>
        <v>62</v>
      </c>
      <c r="AA23" s="92">
        <f t="shared" si="16"/>
        <v>14.571428571428571</v>
      </c>
      <c r="AB23" s="92">
        <f t="shared" si="16"/>
        <v>11.666666666666666</v>
      </c>
      <c r="AD23" s="93">
        <v>2.4</v>
      </c>
      <c r="AE23" s="94">
        <v>2.9</v>
      </c>
      <c r="AF23" s="94">
        <v>1.1000000000000001</v>
      </c>
      <c r="AH23" s="81"/>
      <c r="AI23" s="98">
        <v>286.22399999999999</v>
      </c>
      <c r="AJ23" s="95">
        <v>11000</v>
      </c>
      <c r="AK23" s="80">
        <v>5600</v>
      </c>
      <c r="AL23" s="80">
        <v>4800</v>
      </c>
      <c r="AM23" s="96">
        <f t="shared" si="17"/>
        <v>21400</v>
      </c>
      <c r="AN23" s="96"/>
      <c r="AO23" s="82">
        <v>349644</v>
      </c>
      <c r="AP23" s="83">
        <f t="shared" si="2"/>
        <v>5.9762243882348907</v>
      </c>
      <c r="AQ23" s="83">
        <f t="shared" si="9"/>
        <v>3.387877383853291</v>
      </c>
      <c r="AR23" s="83">
        <f t="shared" si="10"/>
        <v>2.5883470043815997</v>
      </c>
      <c r="AS23" s="84">
        <f t="shared" si="11"/>
        <v>99.542232837251191</v>
      </c>
      <c r="AT23" s="84">
        <f t="shared" si="11"/>
        <v>98.485468452808817</v>
      </c>
      <c r="AU23" s="84">
        <f t="shared" si="11"/>
        <v>100.96018419166191</v>
      </c>
      <c r="AV23" s="72"/>
      <c r="AW23" s="85">
        <v>2.0895509999999997</v>
      </c>
      <c r="AX23" s="86">
        <v>1.1845509999999999</v>
      </c>
      <c r="AY23" s="86">
        <f t="shared" si="12"/>
        <v>0.28799999999999998</v>
      </c>
      <c r="AZ23" s="86">
        <f t="shared" si="12"/>
        <v>0.41599999999999998</v>
      </c>
      <c r="BA23" s="86">
        <f t="shared" si="12"/>
        <v>9.8000000000000004E-2</v>
      </c>
      <c r="BB23" s="86">
        <f t="shared" si="12"/>
        <v>9.7000000000000003E-2</v>
      </c>
      <c r="BC23" s="86">
        <f t="shared" si="12"/>
        <v>0.285551</v>
      </c>
      <c r="BD23" s="86">
        <v>0.90500000000000003</v>
      </c>
      <c r="BE23" s="86"/>
    </row>
    <row r="24" spans="1:57" ht="12.75" x14ac:dyDescent="0.2">
      <c r="A24" s="71">
        <f t="shared" si="3"/>
        <v>1983</v>
      </c>
      <c r="B24" s="89">
        <v>277</v>
      </c>
      <c r="C24" s="89">
        <v>452</v>
      </c>
      <c r="D24" s="89">
        <v>79</v>
      </c>
      <c r="E24" s="89">
        <v>73</v>
      </c>
      <c r="F24" s="72">
        <v>262.80799999999999</v>
      </c>
      <c r="G24" s="73">
        <f t="shared" si="0"/>
        <v>1143.808</v>
      </c>
      <c r="H24" s="74">
        <f t="shared" si="4"/>
        <v>0.61139785589969686</v>
      </c>
      <c r="I24" s="75">
        <f t="shared" si="5"/>
        <v>1.564705824093111E-2</v>
      </c>
      <c r="J24" s="76">
        <v>60.2</v>
      </c>
      <c r="K24" s="72">
        <v>546</v>
      </c>
      <c r="L24" s="72">
        <v>48</v>
      </c>
      <c r="M24" s="72">
        <v>72.8</v>
      </c>
      <c r="N24" s="72">
        <f t="shared" si="14"/>
        <v>666.8</v>
      </c>
      <c r="O24" s="73">
        <f t="shared" si="15"/>
        <v>727</v>
      </c>
      <c r="P24" s="74">
        <f t="shared" si="6"/>
        <v>0.38860214410030319</v>
      </c>
      <c r="Q24" s="75">
        <f t="shared" si="7"/>
        <v>9.9452105083693391E-3</v>
      </c>
      <c r="R24" s="77">
        <f t="shared" si="8"/>
        <v>1870.808</v>
      </c>
      <c r="S24" s="78">
        <f t="shared" si="1"/>
        <v>2.5592268749300449E-2</v>
      </c>
      <c r="T24" s="90"/>
      <c r="U24" s="80">
        <f>'[8]Cons by Fuel'!M15</f>
        <v>73100.513999999996</v>
      </c>
      <c r="W24" s="80">
        <v>546000</v>
      </c>
      <c r="X24" s="80">
        <v>72800</v>
      </c>
      <c r="Y24" s="80">
        <v>48000</v>
      </c>
      <c r="Z24" s="91">
        <f t="shared" si="16"/>
        <v>60</v>
      </c>
      <c r="AA24" s="92">
        <f t="shared" si="16"/>
        <v>15.166666666666666</v>
      </c>
      <c r="AB24" s="92">
        <f t="shared" si="16"/>
        <v>11.707317073170731</v>
      </c>
      <c r="AD24" s="93">
        <v>2.2999999999999998</v>
      </c>
      <c r="AE24" s="94">
        <v>3</v>
      </c>
      <c r="AF24" s="94">
        <v>0.9</v>
      </c>
      <c r="AH24" s="81"/>
      <c r="AI24" s="79"/>
      <c r="AJ24" s="95">
        <v>9100</v>
      </c>
      <c r="AK24" s="80">
        <v>4800</v>
      </c>
      <c r="AL24" s="80">
        <v>4100</v>
      </c>
      <c r="AM24" s="96">
        <f t="shared" si="17"/>
        <v>18000</v>
      </c>
      <c r="AN24" s="96"/>
      <c r="AO24" s="82">
        <v>293886</v>
      </c>
      <c r="AP24" s="83">
        <f t="shared" si="2"/>
        <v>6.3657608732637829</v>
      </c>
      <c r="AQ24" s="83">
        <f t="shared" si="9"/>
        <v>3.8920125490836583</v>
      </c>
      <c r="AR24" s="83">
        <f t="shared" si="10"/>
        <v>2.4737483241801241</v>
      </c>
      <c r="AS24" s="84">
        <f t="shared" si="11"/>
        <v>106.03049850004751</v>
      </c>
      <c r="AT24" s="84">
        <f t="shared" si="11"/>
        <v>113.14065879348642</v>
      </c>
      <c r="AU24" s="84">
        <f t="shared" si="11"/>
        <v>96.490186992029621</v>
      </c>
      <c r="AV24" s="72"/>
      <c r="AW24" s="85">
        <v>1.870808</v>
      </c>
      <c r="AX24" s="86">
        <v>1.1438079999999999</v>
      </c>
      <c r="AY24" s="86">
        <f t="shared" si="12"/>
        <v>0.27700000000000002</v>
      </c>
      <c r="AZ24" s="86">
        <f t="shared" si="12"/>
        <v>0.45200000000000001</v>
      </c>
      <c r="BA24" s="86">
        <f t="shared" si="12"/>
        <v>7.9000000000000001E-2</v>
      </c>
      <c r="BB24" s="86">
        <f t="shared" si="12"/>
        <v>7.2999999999999995E-2</v>
      </c>
      <c r="BC24" s="86">
        <f t="shared" si="12"/>
        <v>0.26280799999999999</v>
      </c>
      <c r="BD24" s="86">
        <v>0.72699999999999998</v>
      </c>
      <c r="BE24" s="86"/>
    </row>
    <row r="25" spans="1:57" ht="12.75" x14ac:dyDescent="0.2">
      <c r="A25" s="71">
        <f t="shared" si="3"/>
        <v>1984</v>
      </c>
      <c r="B25" s="89">
        <v>256</v>
      </c>
      <c r="C25" s="89">
        <v>435</v>
      </c>
      <c r="D25" s="89">
        <v>86</v>
      </c>
      <c r="E25" s="89">
        <v>76</v>
      </c>
      <c r="F25" s="72">
        <v>283.62400000000002</v>
      </c>
      <c r="G25" s="73">
        <f t="shared" si="0"/>
        <v>1136.624</v>
      </c>
      <c r="H25" s="74">
        <f t="shared" si="4"/>
        <v>0.56587196010801422</v>
      </c>
      <c r="I25" s="75">
        <f t="shared" si="5"/>
        <v>1.481214379882286E-2</v>
      </c>
      <c r="J25" s="76">
        <v>84.3</v>
      </c>
      <c r="K25" s="72">
        <v>666</v>
      </c>
      <c r="L25" s="72">
        <v>58</v>
      </c>
      <c r="M25" s="72">
        <v>63.7</v>
      </c>
      <c r="N25" s="72">
        <f t="shared" si="14"/>
        <v>787.7</v>
      </c>
      <c r="O25" s="73">
        <f t="shared" si="15"/>
        <v>872</v>
      </c>
      <c r="P25" s="74">
        <f t="shared" si="6"/>
        <v>0.43412803989198573</v>
      </c>
      <c r="Q25" s="75">
        <f t="shared" si="7"/>
        <v>1.1363643027574231E-2</v>
      </c>
      <c r="R25" s="77">
        <f t="shared" si="8"/>
        <v>2008.624</v>
      </c>
      <c r="S25" s="78">
        <f t="shared" si="1"/>
        <v>2.6175786826397089E-2</v>
      </c>
      <c r="T25" s="90"/>
      <c r="U25" s="80">
        <f>'[8]Cons by Fuel'!M16</f>
        <v>76735.955000000002</v>
      </c>
      <c r="W25" s="80">
        <v>666000</v>
      </c>
      <c r="X25" s="80">
        <v>63700</v>
      </c>
      <c r="Y25" s="80">
        <v>58000</v>
      </c>
      <c r="Z25" s="91">
        <f t="shared" si="16"/>
        <v>60</v>
      </c>
      <c r="AA25" s="92">
        <f t="shared" si="16"/>
        <v>10.982758620689655</v>
      </c>
      <c r="AB25" s="92">
        <f t="shared" si="16"/>
        <v>11.836734693877551</v>
      </c>
      <c r="AD25" s="93">
        <v>2.1</v>
      </c>
      <c r="AE25" s="94">
        <v>3</v>
      </c>
      <c r="AF25" s="94">
        <v>0.9</v>
      </c>
      <c r="AH25" s="81"/>
      <c r="AI25" s="79"/>
      <c r="AJ25" s="95">
        <v>11100</v>
      </c>
      <c r="AK25" s="80">
        <v>5800</v>
      </c>
      <c r="AL25" s="80">
        <v>4900</v>
      </c>
      <c r="AM25" s="96">
        <f t="shared" si="17"/>
        <v>21800</v>
      </c>
      <c r="AN25" s="96"/>
      <c r="AO25" s="82">
        <v>335654</v>
      </c>
      <c r="AP25" s="83">
        <f t="shared" si="2"/>
        <v>5.9842099304641092</v>
      </c>
      <c r="AQ25" s="83">
        <f t="shared" si="9"/>
        <v>3.3862966030495687</v>
      </c>
      <c r="AR25" s="83">
        <f t="shared" si="10"/>
        <v>2.5979133274145401</v>
      </c>
      <c r="AS25" s="84">
        <f t="shared" si="11"/>
        <v>99.675243020984823</v>
      </c>
      <c r="AT25" s="84">
        <f t="shared" si="11"/>
        <v>98.439515214147406</v>
      </c>
      <c r="AU25" s="84">
        <f t="shared" si="11"/>
        <v>101.33332493894487</v>
      </c>
      <c r="AV25" s="72"/>
      <c r="AW25" s="85">
        <v>2.0086240000000002</v>
      </c>
      <c r="AX25" s="86">
        <v>1.1366240000000001</v>
      </c>
      <c r="AY25" s="86">
        <f t="shared" si="12"/>
        <v>0.25600000000000001</v>
      </c>
      <c r="AZ25" s="86">
        <f t="shared" si="12"/>
        <v>0.435</v>
      </c>
      <c r="BA25" s="86">
        <f t="shared" si="12"/>
        <v>8.5999999999999993E-2</v>
      </c>
      <c r="BB25" s="86">
        <f t="shared" si="12"/>
        <v>7.5999999999999998E-2</v>
      </c>
      <c r="BC25" s="86">
        <f t="shared" si="12"/>
        <v>0.28362400000000004</v>
      </c>
      <c r="BD25" s="86">
        <v>0.872</v>
      </c>
      <c r="BE25" s="86"/>
    </row>
    <row r="26" spans="1:57" ht="12.75" x14ac:dyDescent="0.2">
      <c r="A26" s="71">
        <f t="shared" si="3"/>
        <v>1985</v>
      </c>
      <c r="B26" s="89">
        <v>232</v>
      </c>
      <c r="C26" s="89">
        <v>426</v>
      </c>
      <c r="D26" s="89">
        <v>87</v>
      </c>
      <c r="E26" s="89">
        <v>54</v>
      </c>
      <c r="F26" s="72">
        <v>252.7</v>
      </c>
      <c r="G26" s="73">
        <f t="shared" si="0"/>
        <v>1051.7</v>
      </c>
      <c r="H26" s="74">
        <f t="shared" si="4"/>
        <v>0.54135996293817878</v>
      </c>
      <c r="I26" s="75">
        <f t="shared" si="5"/>
        <v>1.3753292299779193E-2</v>
      </c>
      <c r="J26" s="76">
        <v>83.9</v>
      </c>
      <c r="K26" s="72">
        <v>690</v>
      </c>
      <c r="L26" s="72">
        <v>56</v>
      </c>
      <c r="M26" s="72">
        <v>61.1</v>
      </c>
      <c r="N26" s="72">
        <f t="shared" si="14"/>
        <v>807.1</v>
      </c>
      <c r="O26" s="73">
        <f t="shared" si="15"/>
        <v>891</v>
      </c>
      <c r="P26" s="74">
        <f t="shared" si="6"/>
        <v>0.45864003706182116</v>
      </c>
      <c r="Q26" s="75">
        <f t="shared" si="7"/>
        <v>1.165178609784469E-2</v>
      </c>
      <c r="R26" s="77">
        <f t="shared" si="8"/>
        <v>1942.7</v>
      </c>
      <c r="S26" s="78">
        <f t="shared" si="1"/>
        <v>2.5405078397623883E-2</v>
      </c>
      <c r="T26" s="90"/>
      <c r="U26" s="80">
        <f>'[8]Cons by Fuel'!M17</f>
        <v>76468.963000000003</v>
      </c>
      <c r="W26" s="80">
        <v>690000</v>
      </c>
      <c r="X26" s="80">
        <v>61100</v>
      </c>
      <c r="Y26" s="80">
        <v>56000</v>
      </c>
      <c r="Z26" s="91">
        <f t="shared" si="16"/>
        <v>60</v>
      </c>
      <c r="AA26" s="92">
        <f t="shared" si="16"/>
        <v>10.910714285714286</v>
      </c>
      <c r="AB26" s="92">
        <f t="shared" si="16"/>
        <v>11.914893617021276</v>
      </c>
      <c r="AD26" s="93">
        <v>1.9</v>
      </c>
      <c r="AE26" s="94">
        <v>2.9</v>
      </c>
      <c r="AF26" s="94">
        <v>0.9</v>
      </c>
      <c r="AH26" s="81"/>
      <c r="AI26" s="79"/>
      <c r="AJ26" s="95">
        <v>11500</v>
      </c>
      <c r="AK26" s="80">
        <v>5600</v>
      </c>
      <c r="AL26" s="80">
        <v>4700</v>
      </c>
      <c r="AM26" s="96">
        <f t="shared" si="17"/>
        <v>21800</v>
      </c>
      <c r="AN26" s="96"/>
      <c r="AO26" s="82">
        <v>330942</v>
      </c>
      <c r="AP26" s="83">
        <f t="shared" si="2"/>
        <v>5.8702129073976712</v>
      </c>
      <c r="AQ26" s="83">
        <f t="shared" si="9"/>
        <v>3.177898241988022</v>
      </c>
      <c r="AR26" s="83">
        <f t="shared" si="10"/>
        <v>2.6923146654096488</v>
      </c>
      <c r="AS26" s="84">
        <f t="shared" si="11"/>
        <v>97.776465887520388</v>
      </c>
      <c r="AT26" s="84">
        <f t="shared" si="11"/>
        <v>92.381382676127316</v>
      </c>
      <c r="AU26" s="84">
        <f t="shared" si="11"/>
        <v>105.01551146795032</v>
      </c>
      <c r="AV26" s="72"/>
      <c r="AW26" s="85">
        <v>1.9427000000000001</v>
      </c>
      <c r="AX26" s="86">
        <v>1.0517000000000001</v>
      </c>
      <c r="AY26" s="86">
        <f t="shared" si="12"/>
        <v>0.23200000000000001</v>
      </c>
      <c r="AZ26" s="86">
        <f t="shared" si="12"/>
        <v>0.42599999999999999</v>
      </c>
      <c r="BA26" s="86">
        <f t="shared" si="12"/>
        <v>8.6999999999999994E-2</v>
      </c>
      <c r="BB26" s="86">
        <f t="shared" si="12"/>
        <v>5.3999999999999999E-2</v>
      </c>
      <c r="BC26" s="86">
        <f t="shared" si="12"/>
        <v>0.25269999999999998</v>
      </c>
      <c r="BD26" s="86">
        <v>0.89100000000000001</v>
      </c>
      <c r="BE26" s="86"/>
    </row>
    <row r="27" spans="1:57" ht="12.75" x14ac:dyDescent="0.2">
      <c r="A27" s="102">
        <f t="shared" si="3"/>
        <v>1986</v>
      </c>
      <c r="B27" s="89">
        <v>199</v>
      </c>
      <c r="C27" s="89">
        <v>379</v>
      </c>
      <c r="D27" s="89">
        <v>65</v>
      </c>
      <c r="E27" s="89">
        <v>62</v>
      </c>
      <c r="F27" s="72">
        <v>242.59200000000001</v>
      </c>
      <c r="G27" s="73">
        <f t="shared" si="0"/>
        <v>947.59199999999998</v>
      </c>
      <c r="H27" s="74">
        <f t="shared" si="4"/>
        <v>0.53822350663867602</v>
      </c>
      <c r="I27" s="75">
        <f t="shared" si="5"/>
        <v>1.2341362627915572E-2</v>
      </c>
      <c r="J27" s="76">
        <v>83.4</v>
      </c>
      <c r="K27" s="72">
        <v>624</v>
      </c>
      <c r="L27" s="72">
        <v>51</v>
      </c>
      <c r="M27" s="72">
        <v>54.6</v>
      </c>
      <c r="N27" s="72">
        <f t="shared" si="14"/>
        <v>729.6</v>
      </c>
      <c r="O27" s="73">
        <f t="shared" si="15"/>
        <v>813</v>
      </c>
      <c r="P27" s="74">
        <f t="shared" si="6"/>
        <v>0.46177649336132387</v>
      </c>
      <c r="Q27" s="75">
        <f t="shared" si="7"/>
        <v>1.0588447154994301E-2</v>
      </c>
      <c r="R27" s="77">
        <f t="shared" si="8"/>
        <v>1760.5920000000001</v>
      </c>
      <c r="S27" s="78">
        <f t="shared" si="1"/>
        <v>2.2929809782909875E-2</v>
      </c>
      <c r="T27" s="90"/>
      <c r="U27" s="80">
        <f>'[8]Cons by Fuel'!M18</f>
        <v>76781.797000000006</v>
      </c>
      <c r="W27" s="80">
        <v>624000</v>
      </c>
      <c r="X27" s="80">
        <v>54600</v>
      </c>
      <c r="Y27" s="80">
        <v>51000</v>
      </c>
      <c r="Z27" s="91">
        <f t="shared" si="16"/>
        <v>60</v>
      </c>
      <c r="AA27" s="92">
        <f t="shared" si="16"/>
        <v>10.705882352941176</v>
      </c>
      <c r="AB27" s="92">
        <f t="shared" si="16"/>
        <v>12.142857142857142</v>
      </c>
      <c r="AD27" s="93">
        <v>1.7</v>
      </c>
      <c r="AE27" s="94">
        <v>2.9</v>
      </c>
      <c r="AF27" s="94">
        <v>0.7</v>
      </c>
      <c r="AH27" s="81"/>
      <c r="AI27" s="79"/>
      <c r="AJ27" s="95">
        <v>10400</v>
      </c>
      <c r="AK27" s="80">
        <v>5100</v>
      </c>
      <c r="AL27" s="80">
        <v>4200</v>
      </c>
      <c r="AM27" s="96">
        <f t="shared" si="17"/>
        <v>19700</v>
      </c>
      <c r="AN27" s="96"/>
      <c r="AO27" s="82">
        <v>311240</v>
      </c>
      <c r="AP27" s="83">
        <f t="shared" si="2"/>
        <v>5.656702223364606</v>
      </c>
      <c r="AQ27" s="103">
        <f t="shared" si="9"/>
        <v>3.0445701066700939</v>
      </c>
      <c r="AR27" s="83">
        <f t="shared" si="10"/>
        <v>2.6121321166945122</v>
      </c>
      <c r="AS27" s="84">
        <f t="shared" si="11"/>
        <v>94.220151926970232</v>
      </c>
      <c r="AT27" s="84">
        <f t="shared" si="11"/>
        <v>88.505538784223859</v>
      </c>
      <c r="AU27" s="84">
        <f t="shared" si="11"/>
        <v>101.88793820457668</v>
      </c>
      <c r="AV27" s="72"/>
      <c r="AW27" s="85">
        <v>1.7605920000000002</v>
      </c>
      <c r="AX27" s="86">
        <v>0.94759199999999999</v>
      </c>
      <c r="AY27" s="86">
        <f t="shared" si="12"/>
        <v>0.19900000000000001</v>
      </c>
      <c r="AZ27" s="86">
        <f t="shared" si="12"/>
        <v>0.379</v>
      </c>
      <c r="BA27" s="86">
        <f t="shared" si="12"/>
        <v>6.5000000000000002E-2</v>
      </c>
      <c r="BB27" s="86">
        <f t="shared" si="12"/>
        <v>6.2E-2</v>
      </c>
      <c r="BC27" s="86">
        <f t="shared" si="12"/>
        <v>0.242592</v>
      </c>
      <c r="BD27" s="86">
        <v>0.81299999999999994</v>
      </c>
      <c r="BE27" s="86"/>
    </row>
    <row r="28" spans="1:57" ht="12.75" x14ac:dyDescent="0.2">
      <c r="A28" s="71">
        <f t="shared" si="3"/>
        <v>1987</v>
      </c>
      <c r="B28" s="89">
        <v>186</v>
      </c>
      <c r="C28" s="89">
        <v>425</v>
      </c>
      <c r="D28" s="89">
        <v>58</v>
      </c>
      <c r="E28" s="89">
        <v>36</v>
      </c>
      <c r="F28" s="72">
        <v>290.60500000000002</v>
      </c>
      <c r="G28" s="73">
        <f t="shared" si="0"/>
        <v>995.60500000000002</v>
      </c>
      <c r="H28" s="74">
        <f t="shared" si="4"/>
        <v>0.5729754460881501</v>
      </c>
      <c r="I28" s="75">
        <f t="shared" si="5"/>
        <v>1.2566732980379384E-2</v>
      </c>
      <c r="J28" s="76">
        <v>81.498000000000005</v>
      </c>
      <c r="K28" s="72">
        <v>563.14200000000005</v>
      </c>
      <c r="L28" s="72">
        <v>48</v>
      </c>
      <c r="M28" s="72">
        <v>49.36</v>
      </c>
      <c r="N28" s="72">
        <f t="shared" si="14"/>
        <v>660.50200000000007</v>
      </c>
      <c r="O28" s="73">
        <f t="shared" si="15"/>
        <v>742.00000000000011</v>
      </c>
      <c r="P28" s="74">
        <f t="shared" si="6"/>
        <v>0.42702455391185001</v>
      </c>
      <c r="Q28" s="75">
        <f t="shared" si="7"/>
        <v>9.365678026367388E-3</v>
      </c>
      <c r="R28" s="77">
        <f t="shared" si="8"/>
        <v>1737.605</v>
      </c>
      <c r="S28" s="78">
        <f t="shared" si="1"/>
        <v>2.1932411006746772E-2</v>
      </c>
      <c r="T28" s="90"/>
      <c r="U28" s="80">
        <f>'[8]Cons by Fuel'!M19</f>
        <v>79225.444000000003</v>
      </c>
      <c r="W28" s="80">
        <v>563142</v>
      </c>
      <c r="X28" s="80">
        <v>49360</v>
      </c>
      <c r="Y28" s="80">
        <v>48000</v>
      </c>
      <c r="Z28" s="91">
        <f t="shared" si="16"/>
        <v>55.21</v>
      </c>
      <c r="AA28" s="92">
        <f t="shared" si="16"/>
        <v>10.283333333333333</v>
      </c>
      <c r="AB28" s="92">
        <f t="shared" si="16"/>
        <v>12</v>
      </c>
      <c r="AD28" s="93">
        <v>1.5</v>
      </c>
      <c r="AE28" s="94">
        <v>3</v>
      </c>
      <c r="AF28" s="94">
        <v>0.6</v>
      </c>
      <c r="AH28" s="81"/>
      <c r="AI28" s="79"/>
      <c r="AJ28" s="95">
        <v>10200</v>
      </c>
      <c r="AK28" s="80">
        <v>4800</v>
      </c>
      <c r="AL28" s="80">
        <v>4000</v>
      </c>
      <c r="AM28" s="96">
        <f t="shared" si="17"/>
        <v>19000</v>
      </c>
      <c r="AN28" s="96"/>
      <c r="AO28" s="82">
        <v>289422</v>
      </c>
      <c r="AP28" s="83">
        <f t="shared" si="2"/>
        <v>6.0037073892102191</v>
      </c>
      <c r="AQ28" s="83">
        <f t="shared" si="9"/>
        <v>3.4399769195154479</v>
      </c>
      <c r="AR28" s="83">
        <f t="shared" si="10"/>
        <v>2.5637304696947711</v>
      </c>
      <c r="AS28" s="84">
        <f t="shared" si="11"/>
        <v>100</v>
      </c>
      <c r="AT28" s="84">
        <f t="shared" si="11"/>
        <v>100</v>
      </c>
      <c r="AU28" s="84">
        <f t="shared" si="11"/>
        <v>100</v>
      </c>
      <c r="AV28" s="72"/>
      <c r="AW28" s="85">
        <v>1.7376050000000001</v>
      </c>
      <c r="AX28" s="86">
        <v>0.99560500000000007</v>
      </c>
      <c r="AY28" s="86">
        <f t="shared" si="12"/>
        <v>0.186</v>
      </c>
      <c r="AZ28" s="86">
        <f t="shared" si="12"/>
        <v>0.42499999999999999</v>
      </c>
      <c r="BA28" s="86">
        <f t="shared" si="12"/>
        <v>5.8000000000000003E-2</v>
      </c>
      <c r="BB28" s="86">
        <f t="shared" si="12"/>
        <v>3.5999999999999997E-2</v>
      </c>
      <c r="BC28" s="86">
        <f t="shared" si="12"/>
        <v>0.290605</v>
      </c>
      <c r="BD28" s="86">
        <v>0.7420000000000001</v>
      </c>
      <c r="BE28" s="86"/>
    </row>
    <row r="29" spans="1:57" ht="12.75" x14ac:dyDescent="0.2">
      <c r="A29" s="71">
        <f t="shared" si="3"/>
        <v>1988</v>
      </c>
      <c r="B29" s="89">
        <v>190</v>
      </c>
      <c r="C29" s="89">
        <v>404</v>
      </c>
      <c r="D29" s="89">
        <v>59</v>
      </c>
      <c r="E29" s="89">
        <v>48</v>
      </c>
      <c r="F29" s="72">
        <v>308.29399999999998</v>
      </c>
      <c r="G29" s="73">
        <f t="shared" si="0"/>
        <v>1009.294</v>
      </c>
      <c r="H29" s="74">
        <f t="shared" si="4"/>
        <v>0.57046045187202343</v>
      </c>
      <c r="I29" s="75">
        <f t="shared" si="5"/>
        <v>1.2183020792471045E-2</v>
      </c>
      <c r="J29" s="76">
        <v>98.117999999999995</v>
      </c>
      <c r="K29" s="72">
        <v>564.827</v>
      </c>
      <c r="L29" s="72">
        <v>49.033000000000001</v>
      </c>
      <c r="M29" s="72">
        <v>47.99</v>
      </c>
      <c r="N29" s="72">
        <f t="shared" si="14"/>
        <v>661.85</v>
      </c>
      <c r="O29" s="73">
        <f t="shared" si="15"/>
        <v>759.96800000000007</v>
      </c>
      <c r="P29" s="74">
        <f t="shared" si="6"/>
        <v>0.42953954812797651</v>
      </c>
      <c r="Q29" s="75">
        <f t="shared" si="7"/>
        <v>9.1734479206382231E-3</v>
      </c>
      <c r="R29" s="77">
        <f t="shared" si="8"/>
        <v>1769.2620000000002</v>
      </c>
      <c r="S29" s="78">
        <f t="shared" si="1"/>
        <v>2.135646871310927E-2</v>
      </c>
      <c r="T29" s="90"/>
      <c r="U29" s="80">
        <f>'[8]Cons by Fuel'!M20</f>
        <v>82844.313999999998</v>
      </c>
      <c r="W29" s="80">
        <v>564827</v>
      </c>
      <c r="X29" s="80">
        <v>47990</v>
      </c>
      <c r="Y29" s="80">
        <v>49033</v>
      </c>
      <c r="Z29" s="91">
        <f t="shared" si="16"/>
        <v>53.79304761904762</v>
      </c>
      <c r="AA29" s="92">
        <f t="shared" si="16"/>
        <v>9.5980000000000008</v>
      </c>
      <c r="AB29" s="92">
        <f t="shared" si="16"/>
        <v>11.959268292682927</v>
      </c>
      <c r="AD29" s="93">
        <v>1.6</v>
      </c>
      <c r="AE29" s="94">
        <v>2.8</v>
      </c>
      <c r="AF29" s="94">
        <v>0.6</v>
      </c>
      <c r="AH29" s="81"/>
      <c r="AI29" s="79"/>
      <c r="AJ29" s="95">
        <v>10500</v>
      </c>
      <c r="AK29" s="80">
        <v>5000</v>
      </c>
      <c r="AL29" s="80">
        <v>4100</v>
      </c>
      <c r="AM29" s="96">
        <f t="shared" si="17"/>
        <v>19600</v>
      </c>
      <c r="AN29" s="96"/>
      <c r="AO29" s="82">
        <v>289846</v>
      </c>
      <c r="AP29" s="83">
        <f t="shared" si="2"/>
        <v>6.1041449597372406</v>
      </c>
      <c r="AQ29" s="83">
        <f t="shared" si="9"/>
        <v>3.4821732920240405</v>
      </c>
      <c r="AR29" s="83">
        <f t="shared" si="10"/>
        <v>2.6219716677131997</v>
      </c>
      <c r="AS29" s="84">
        <f t="shared" si="11"/>
        <v>101.67292581093352</v>
      </c>
      <c r="AT29" s="84">
        <f t="shared" si="11"/>
        <v>101.22664696583303</v>
      </c>
      <c r="AU29" s="84">
        <f t="shared" si="11"/>
        <v>102.2717363898773</v>
      </c>
      <c r="AV29" s="72"/>
      <c r="AW29" s="85">
        <v>1.7692620000000001</v>
      </c>
      <c r="AX29" s="86">
        <v>1.0092939999999999</v>
      </c>
      <c r="AY29" s="86">
        <f t="shared" si="12"/>
        <v>0.19</v>
      </c>
      <c r="AZ29" s="86">
        <f t="shared" si="12"/>
        <v>0.40400000000000003</v>
      </c>
      <c r="BA29" s="86">
        <f t="shared" si="12"/>
        <v>5.8999999999999997E-2</v>
      </c>
      <c r="BB29" s="86">
        <f t="shared" si="12"/>
        <v>4.8000000000000001E-2</v>
      </c>
      <c r="BC29" s="86">
        <f t="shared" si="12"/>
        <v>0.30829399999999996</v>
      </c>
      <c r="BD29" s="86">
        <v>0.75996800000000009</v>
      </c>
      <c r="BE29" s="86"/>
    </row>
    <row r="30" spans="1:57" ht="12.75" x14ac:dyDescent="0.2">
      <c r="A30" s="71">
        <f t="shared" si="3"/>
        <v>1989</v>
      </c>
      <c r="B30" s="89">
        <v>172</v>
      </c>
      <c r="C30" s="89">
        <v>386</v>
      </c>
      <c r="D30" s="89">
        <v>60</v>
      </c>
      <c r="E30" s="89">
        <v>28</v>
      </c>
      <c r="F30" s="72">
        <v>336.09100000000001</v>
      </c>
      <c r="G30" s="73">
        <f t="shared" si="0"/>
        <v>982.09100000000001</v>
      </c>
      <c r="H30" s="74">
        <f t="shared" si="4"/>
        <v>0.56845779881352665</v>
      </c>
      <c r="I30" s="75">
        <f t="shared" si="5"/>
        <v>1.1559888540042262E-2</v>
      </c>
      <c r="J30" s="76">
        <v>98.796999999999997</v>
      </c>
      <c r="K30" s="72">
        <v>555.22799999999995</v>
      </c>
      <c r="L30" s="72">
        <v>46.145000000000003</v>
      </c>
      <c r="M30" s="72">
        <v>45.38</v>
      </c>
      <c r="N30" s="72">
        <f t="shared" si="14"/>
        <v>646.75299999999993</v>
      </c>
      <c r="O30" s="73">
        <f t="shared" si="15"/>
        <v>745.55</v>
      </c>
      <c r="P30" s="74">
        <f t="shared" si="6"/>
        <v>0.4315422011864733</v>
      </c>
      <c r="Q30" s="75">
        <f t="shared" si="7"/>
        <v>8.7756377983593259E-3</v>
      </c>
      <c r="R30" s="77">
        <f t="shared" si="8"/>
        <v>1727.6410000000001</v>
      </c>
      <c r="S30" s="78">
        <f t="shared" si="1"/>
        <v>2.0335526338401588E-2</v>
      </c>
      <c r="T30" s="90"/>
      <c r="U30" s="80">
        <f>'[8]Cons by Fuel'!M21</f>
        <v>84956.788</v>
      </c>
      <c r="W30" s="80">
        <v>555228</v>
      </c>
      <c r="X30" s="80">
        <v>45380</v>
      </c>
      <c r="Y30" s="80">
        <v>46145</v>
      </c>
      <c r="Z30" s="91">
        <f t="shared" si="16"/>
        <v>52.38</v>
      </c>
      <c r="AA30" s="92">
        <f t="shared" si="16"/>
        <v>9.4541666666666675</v>
      </c>
      <c r="AB30" s="92">
        <f t="shared" si="16"/>
        <v>11.254878048780487</v>
      </c>
      <c r="AD30" s="93">
        <v>1.3</v>
      </c>
      <c r="AE30" s="94">
        <v>2.5</v>
      </c>
      <c r="AF30" s="94">
        <v>0.7</v>
      </c>
      <c r="AH30" s="81"/>
      <c r="AI30" s="79"/>
      <c r="AJ30" s="95">
        <v>10600</v>
      </c>
      <c r="AK30" s="80">
        <v>4800</v>
      </c>
      <c r="AL30" s="80">
        <v>4100</v>
      </c>
      <c r="AM30" s="96">
        <f t="shared" si="17"/>
        <v>19500</v>
      </c>
      <c r="AN30" s="96"/>
      <c r="AO30" s="82">
        <v>305761</v>
      </c>
      <c r="AP30" s="83">
        <f t="shared" si="2"/>
        <v>5.6502987627591486</v>
      </c>
      <c r="AQ30" s="83">
        <f t="shared" si="9"/>
        <v>3.2119563973168588</v>
      </c>
      <c r="AR30" s="83">
        <f t="shared" si="10"/>
        <v>2.4383423654422898</v>
      </c>
      <c r="AS30" s="84">
        <f t="shared" si="11"/>
        <v>94.113493487603819</v>
      </c>
      <c r="AT30" s="84">
        <f t="shared" si="11"/>
        <v>93.371451973849062</v>
      </c>
      <c r="AU30" s="84">
        <f t="shared" si="11"/>
        <v>95.10915419016689</v>
      </c>
      <c r="AV30" s="72"/>
      <c r="AW30" s="85">
        <v>1.727641</v>
      </c>
      <c r="AX30" s="86">
        <v>0.98209100000000005</v>
      </c>
      <c r="AY30" s="86">
        <f t="shared" si="12"/>
        <v>0.17199999999999999</v>
      </c>
      <c r="AZ30" s="86">
        <f t="shared" si="12"/>
        <v>0.38600000000000001</v>
      </c>
      <c r="BA30" s="86">
        <f t="shared" si="12"/>
        <v>0.06</v>
      </c>
      <c r="BB30" s="86">
        <f t="shared" si="12"/>
        <v>2.8000000000000001E-2</v>
      </c>
      <c r="BC30" s="86">
        <f t="shared" si="12"/>
        <v>0.33609100000000003</v>
      </c>
      <c r="BD30" s="86">
        <v>0.74554999999999993</v>
      </c>
      <c r="BE30" s="86"/>
    </row>
    <row r="31" spans="1:57" ht="12.75" x14ac:dyDescent="0.2">
      <c r="A31" s="71">
        <f t="shared" si="3"/>
        <v>1990</v>
      </c>
      <c r="B31" s="89">
        <v>178</v>
      </c>
      <c r="C31" s="89">
        <v>355</v>
      </c>
      <c r="D31" s="89">
        <v>58</v>
      </c>
      <c r="E31" s="89">
        <v>48</v>
      </c>
      <c r="F31" s="72">
        <v>318.40199999999999</v>
      </c>
      <c r="G31" s="73">
        <f t="shared" si="0"/>
        <v>957.40200000000004</v>
      </c>
      <c r="H31" s="74">
        <f t="shared" si="4"/>
        <v>0.55761916798781097</v>
      </c>
      <c r="I31" s="75">
        <f t="shared" si="5"/>
        <v>1.1307739062336456E-2</v>
      </c>
      <c r="J31" s="76">
        <v>100.042</v>
      </c>
      <c r="K31" s="72">
        <v>565.65599999999995</v>
      </c>
      <c r="L31" s="72">
        <v>48.985999999999997</v>
      </c>
      <c r="M31" s="72">
        <v>44.86</v>
      </c>
      <c r="N31" s="72">
        <f t="shared" si="14"/>
        <v>659.50199999999995</v>
      </c>
      <c r="O31" s="73">
        <f t="shared" si="15"/>
        <v>759.54399999999998</v>
      </c>
      <c r="P31" s="74">
        <f t="shared" si="6"/>
        <v>0.44238083201218908</v>
      </c>
      <c r="Q31" s="75">
        <f t="shared" si="7"/>
        <v>8.9708663219455163E-3</v>
      </c>
      <c r="R31" s="77">
        <f t="shared" si="8"/>
        <v>1716.9459999999999</v>
      </c>
      <c r="S31" s="78">
        <f t="shared" si="1"/>
        <v>2.0278605384281969E-2</v>
      </c>
      <c r="T31" s="90"/>
      <c r="U31" s="80">
        <f>'[8]Cons by Fuel'!M22</f>
        <v>84667.854000000007</v>
      </c>
      <c r="W31" s="80">
        <v>565656</v>
      </c>
      <c r="X31" s="80">
        <v>44860</v>
      </c>
      <c r="Y31" s="80">
        <v>48986</v>
      </c>
      <c r="Z31" s="91">
        <f t="shared" si="16"/>
        <v>50.96</v>
      </c>
      <c r="AA31" s="92">
        <f t="shared" si="16"/>
        <v>8.6269230769230774</v>
      </c>
      <c r="AB31" s="92">
        <f t="shared" si="16"/>
        <v>11.392093023255814</v>
      </c>
      <c r="AD31" s="93">
        <v>1.5</v>
      </c>
      <c r="AE31" s="94">
        <v>2.7</v>
      </c>
      <c r="AF31" s="94">
        <v>0.6</v>
      </c>
      <c r="AH31" s="81"/>
      <c r="AI31" s="79"/>
      <c r="AJ31" s="95">
        <v>11100</v>
      </c>
      <c r="AK31" s="80">
        <v>5200</v>
      </c>
      <c r="AL31" s="80">
        <v>4300</v>
      </c>
      <c r="AM31" s="96">
        <f t="shared" si="17"/>
        <v>20600</v>
      </c>
      <c r="AN31" s="96"/>
      <c r="AO31" s="82">
        <v>309109</v>
      </c>
      <c r="AP31" s="83">
        <f t="shared" si="2"/>
        <v>5.5545001924887334</v>
      </c>
      <c r="AQ31" s="83">
        <f t="shared" si="9"/>
        <v>3.0972957759237034</v>
      </c>
      <c r="AR31" s="83">
        <f t="shared" si="10"/>
        <v>2.4572044165650304</v>
      </c>
      <c r="AS31" s="84">
        <f t="shared" si="11"/>
        <v>92.517836603282916</v>
      </c>
      <c r="AT31" s="84">
        <f t="shared" si="11"/>
        <v>90.038272011429243</v>
      </c>
      <c r="AU31" s="84">
        <f t="shared" si="11"/>
        <v>95.844880950280881</v>
      </c>
      <c r="AV31" s="72"/>
      <c r="AW31" s="85">
        <v>1.7169459999999999</v>
      </c>
      <c r="AX31" s="86">
        <v>0.95740200000000009</v>
      </c>
      <c r="AY31" s="86">
        <f t="shared" si="12"/>
        <v>0.17799999999999999</v>
      </c>
      <c r="AZ31" s="86">
        <f t="shared" si="12"/>
        <v>0.35499999999999998</v>
      </c>
      <c r="BA31" s="86">
        <f t="shared" si="12"/>
        <v>5.8000000000000003E-2</v>
      </c>
      <c r="BB31" s="86">
        <f t="shared" si="12"/>
        <v>4.8000000000000001E-2</v>
      </c>
      <c r="BC31" s="86">
        <f t="shared" si="12"/>
        <v>0.31840199999999996</v>
      </c>
      <c r="BD31" s="86">
        <v>0.759544</v>
      </c>
      <c r="BE31" s="86"/>
    </row>
    <row r="32" spans="1:57" ht="12.75" x14ac:dyDescent="0.2">
      <c r="A32" s="71">
        <f t="shared" si="3"/>
        <v>1991</v>
      </c>
      <c r="B32" s="89">
        <v>159</v>
      </c>
      <c r="C32" s="89">
        <v>372</v>
      </c>
      <c r="D32" s="89">
        <v>54</v>
      </c>
      <c r="E32" s="89">
        <v>75</v>
      </c>
      <c r="F32" s="72">
        <v>315.875</v>
      </c>
      <c r="G32" s="73">
        <f t="shared" si="0"/>
        <v>975.875</v>
      </c>
      <c r="H32" s="74">
        <f t="shared" si="4"/>
        <v>0.56733752069651922</v>
      </c>
      <c r="I32" s="75">
        <f t="shared" si="5"/>
        <v>1.1535787817205647E-2</v>
      </c>
      <c r="J32" s="76">
        <v>95.968000000000004</v>
      </c>
      <c r="K32" s="72">
        <v>560.96799999999996</v>
      </c>
      <c r="L32" s="72">
        <v>46.134999999999998</v>
      </c>
      <c r="M32" s="72">
        <v>41.15</v>
      </c>
      <c r="N32" s="72">
        <f t="shared" si="14"/>
        <v>648.25299999999993</v>
      </c>
      <c r="O32" s="73">
        <f t="shared" si="15"/>
        <v>744.22099999999989</v>
      </c>
      <c r="P32" s="74">
        <f t="shared" si="6"/>
        <v>0.43266247930348067</v>
      </c>
      <c r="Q32" s="75">
        <f t="shared" si="7"/>
        <v>8.7974131370396839E-3</v>
      </c>
      <c r="R32" s="77">
        <f t="shared" si="8"/>
        <v>1720.096</v>
      </c>
      <c r="S32" s="78">
        <f t="shared" si="1"/>
        <v>2.0333200954245331E-2</v>
      </c>
      <c r="T32" s="90"/>
      <c r="U32" s="80">
        <f>'[8]Cons by Fuel'!M23</f>
        <v>84595.436000000002</v>
      </c>
      <c r="W32" s="80">
        <v>560968</v>
      </c>
      <c r="X32" s="80">
        <v>41150</v>
      </c>
      <c r="Y32" s="80">
        <v>46135</v>
      </c>
      <c r="Z32" s="91">
        <f t="shared" si="16"/>
        <v>49.643185840707964</v>
      </c>
      <c r="AA32" s="92">
        <f t="shared" si="16"/>
        <v>8.23</v>
      </c>
      <c r="AB32" s="92">
        <f t="shared" si="16"/>
        <v>10.984523809523809</v>
      </c>
      <c r="AD32" s="93">
        <v>1.4</v>
      </c>
      <c r="AE32" s="94">
        <v>2.8</v>
      </c>
      <c r="AF32" s="94">
        <v>0.6</v>
      </c>
      <c r="AH32" s="81"/>
      <c r="AI32" s="79"/>
      <c r="AJ32" s="95">
        <v>11300</v>
      </c>
      <c r="AK32" s="80">
        <v>5000</v>
      </c>
      <c r="AL32" s="80">
        <v>4200</v>
      </c>
      <c r="AM32" s="96">
        <f t="shared" si="17"/>
        <v>20500</v>
      </c>
      <c r="AN32" s="96"/>
      <c r="AO32" s="82">
        <v>303352</v>
      </c>
      <c r="AP32" s="83">
        <f t="shared" si="2"/>
        <v>5.6702972124792321</v>
      </c>
      <c r="AQ32" s="83">
        <f t="shared" si="9"/>
        <v>3.2169723621403516</v>
      </c>
      <c r="AR32" s="83">
        <f t="shared" si="10"/>
        <v>2.45332485033888</v>
      </c>
      <c r="AS32" s="84">
        <f t="shared" si="11"/>
        <v>94.446595160014184</v>
      </c>
      <c r="AT32" s="84">
        <f t="shared" si="11"/>
        <v>93.517265883094694</v>
      </c>
      <c r="AU32" s="84">
        <f t="shared" si="11"/>
        <v>95.693555907652197</v>
      </c>
      <c r="AV32" s="72"/>
      <c r="AW32" s="85">
        <v>1.7200960000000001</v>
      </c>
      <c r="AX32" s="86">
        <v>0.97587500000000005</v>
      </c>
      <c r="AY32" s="86">
        <f t="shared" si="12"/>
        <v>0.159</v>
      </c>
      <c r="AZ32" s="86">
        <f t="shared" si="12"/>
        <v>0.372</v>
      </c>
      <c r="BA32" s="86">
        <f t="shared" si="12"/>
        <v>5.3999999999999999E-2</v>
      </c>
      <c r="BB32" s="86">
        <f t="shared" si="12"/>
        <v>7.4999999999999997E-2</v>
      </c>
      <c r="BC32" s="86">
        <f t="shared" si="12"/>
        <v>0.31587500000000002</v>
      </c>
      <c r="BD32" s="86">
        <v>0.74422099999999991</v>
      </c>
      <c r="BE32" s="86"/>
    </row>
    <row r="33" spans="1:57" ht="12.75" x14ac:dyDescent="0.2">
      <c r="A33" s="71">
        <f t="shared" si="3"/>
        <v>1992</v>
      </c>
      <c r="B33" s="89">
        <v>183</v>
      </c>
      <c r="C33" s="89">
        <v>436.18</v>
      </c>
      <c r="D33" s="89">
        <v>78.244</v>
      </c>
      <c r="E33" s="89">
        <v>47.677999999999997</v>
      </c>
      <c r="F33" s="72">
        <v>330.20400000000001</v>
      </c>
      <c r="G33" s="73">
        <f t="shared" si="0"/>
        <v>1075.306</v>
      </c>
      <c r="H33" s="74">
        <f t="shared" si="4"/>
        <v>0.59488083363622124</v>
      </c>
      <c r="I33" s="75">
        <f t="shared" si="5"/>
        <v>1.2511028969554682E-2</v>
      </c>
      <c r="J33" s="76">
        <v>95.210999999999999</v>
      </c>
      <c r="K33" s="72">
        <v>553.43799999999999</v>
      </c>
      <c r="L33" s="72">
        <v>45.168999999999997</v>
      </c>
      <c r="M33" s="72">
        <v>38.475000000000001</v>
      </c>
      <c r="N33" s="72">
        <f t="shared" si="14"/>
        <v>637.08199999999999</v>
      </c>
      <c r="O33" s="73">
        <f t="shared" si="15"/>
        <v>732.29300000000001</v>
      </c>
      <c r="P33" s="74">
        <f t="shared" si="6"/>
        <v>0.40511916636377865</v>
      </c>
      <c r="Q33" s="75">
        <f t="shared" si="7"/>
        <v>8.5201225857589429E-3</v>
      </c>
      <c r="R33" s="77">
        <f t="shared" si="8"/>
        <v>1807.5990000000002</v>
      </c>
      <c r="S33" s="78">
        <f t="shared" si="1"/>
        <v>2.1031151555313626E-2</v>
      </c>
      <c r="T33" s="90"/>
      <c r="U33" s="80">
        <f>'[8]Cons by Fuel'!M24</f>
        <v>85948.645999999993</v>
      </c>
      <c r="W33" s="80">
        <v>553438</v>
      </c>
      <c r="X33" s="80">
        <v>38475</v>
      </c>
      <c r="Y33" s="80">
        <v>45169</v>
      </c>
      <c r="Z33" s="91">
        <f t="shared" si="16"/>
        <v>48.125043478260871</v>
      </c>
      <c r="AA33" s="92">
        <f t="shared" si="16"/>
        <v>7.6950000000000003</v>
      </c>
      <c r="AB33" s="92">
        <f t="shared" si="16"/>
        <v>10.754523809523809</v>
      </c>
      <c r="AD33" s="93">
        <v>1.6</v>
      </c>
      <c r="AE33" s="94">
        <v>3.1</v>
      </c>
      <c r="AF33" s="94">
        <v>0.9</v>
      </c>
      <c r="AG33" s="88">
        <v>46.289000000000001</v>
      </c>
      <c r="AH33" s="81"/>
      <c r="AI33" s="79"/>
      <c r="AJ33" s="95">
        <v>11500</v>
      </c>
      <c r="AK33" s="80">
        <v>5000</v>
      </c>
      <c r="AL33" s="80">
        <v>4200</v>
      </c>
      <c r="AM33" s="96">
        <f t="shared" si="17"/>
        <v>20700</v>
      </c>
      <c r="AN33" s="96"/>
      <c r="AO33" s="82">
        <v>306652</v>
      </c>
      <c r="AP33" s="83">
        <f t="shared" si="2"/>
        <v>5.8946264821361032</v>
      </c>
      <c r="AQ33" s="83">
        <f t="shared" si="9"/>
        <v>3.5066003156672712</v>
      </c>
      <c r="AR33" s="83">
        <f t="shared" si="10"/>
        <v>2.3880261664688311</v>
      </c>
      <c r="AS33" s="84">
        <f t="shared" si="11"/>
        <v>98.183107536683849</v>
      </c>
      <c r="AT33" s="84">
        <f t="shared" si="11"/>
        <v>101.93673962676493</v>
      </c>
      <c r="AU33" s="84">
        <f t="shared" si="11"/>
        <v>93.146537621528566</v>
      </c>
      <c r="AV33" s="72"/>
      <c r="AW33" s="85">
        <v>1.8075990000000002</v>
      </c>
      <c r="AX33" s="86">
        <v>1.0753060000000001</v>
      </c>
      <c r="AY33" s="86">
        <f t="shared" si="12"/>
        <v>0.183</v>
      </c>
      <c r="AZ33" s="86">
        <f t="shared" si="12"/>
        <v>0.43618000000000001</v>
      </c>
      <c r="BA33" s="86">
        <f t="shared" si="12"/>
        <v>7.8243999999999994E-2</v>
      </c>
      <c r="BB33" s="86">
        <f t="shared" si="12"/>
        <v>4.7677999999999998E-2</v>
      </c>
      <c r="BC33" s="86">
        <f t="shared" si="12"/>
        <v>0.330204</v>
      </c>
      <c r="BD33" s="86">
        <v>0.73229299999999997</v>
      </c>
      <c r="BE33" s="86"/>
    </row>
    <row r="34" spans="1:57" ht="12.75" x14ac:dyDescent="0.2">
      <c r="A34" s="71">
        <f t="shared" si="3"/>
        <v>1993</v>
      </c>
      <c r="B34" s="89">
        <v>187.25</v>
      </c>
      <c r="C34" s="89">
        <v>455.73500000000001</v>
      </c>
      <c r="D34" s="89">
        <v>69.388000000000005</v>
      </c>
      <c r="E34" s="89">
        <v>58.942</v>
      </c>
      <c r="F34" s="72">
        <v>333.65800000000002</v>
      </c>
      <c r="G34" s="73">
        <f t="shared" si="0"/>
        <v>1104.973</v>
      </c>
      <c r="H34" s="74">
        <f t="shared" si="4"/>
        <v>0.60944088361711179</v>
      </c>
      <c r="I34" s="75">
        <f t="shared" si="5"/>
        <v>1.2617062222374315E-2</v>
      </c>
      <c r="J34" s="76">
        <v>93.052000000000007</v>
      </c>
      <c r="K34" s="72">
        <v>532.471</v>
      </c>
      <c r="L34" s="72">
        <v>45.087000000000003</v>
      </c>
      <c r="M34" s="72">
        <v>37.51</v>
      </c>
      <c r="N34" s="72">
        <f t="shared" si="14"/>
        <v>615.06799999999998</v>
      </c>
      <c r="O34" s="73">
        <f t="shared" si="15"/>
        <v>708.12</v>
      </c>
      <c r="P34" s="74">
        <f t="shared" si="6"/>
        <v>0.39055911638288826</v>
      </c>
      <c r="Q34" s="75">
        <f t="shared" si="7"/>
        <v>8.0856220929449874E-3</v>
      </c>
      <c r="R34" s="77">
        <f t="shared" si="8"/>
        <v>1813.0929999999998</v>
      </c>
      <c r="S34" s="78">
        <f t="shared" si="1"/>
        <v>2.0702684315319301E-2</v>
      </c>
      <c r="T34" s="90"/>
      <c r="U34" s="80">
        <f>'[8]Cons by Fuel'!M25</f>
        <v>87577.676999999996</v>
      </c>
      <c r="W34" s="80">
        <v>532471</v>
      </c>
      <c r="X34" s="80">
        <v>37510</v>
      </c>
      <c r="Y34" s="80">
        <v>45087</v>
      </c>
      <c r="Z34" s="91">
        <f t="shared" si="16"/>
        <v>46.70798245614035</v>
      </c>
      <c r="AA34" s="92">
        <f t="shared" si="16"/>
        <v>7.3549019607843134</v>
      </c>
      <c r="AB34" s="92">
        <f t="shared" si="16"/>
        <v>10.247045454545454</v>
      </c>
      <c r="AD34" s="93">
        <v>1.4</v>
      </c>
      <c r="AE34" s="94">
        <v>3.3</v>
      </c>
      <c r="AF34" s="94">
        <v>0.7</v>
      </c>
      <c r="AG34" s="88">
        <v>57.225000000000001</v>
      </c>
      <c r="AH34" s="81"/>
      <c r="AI34" s="98">
        <v>258</v>
      </c>
      <c r="AJ34" s="95">
        <v>11400</v>
      </c>
      <c r="AK34" s="80">
        <v>5100</v>
      </c>
      <c r="AL34" s="80">
        <v>4400</v>
      </c>
      <c r="AM34" s="96">
        <f t="shared" si="17"/>
        <v>20900</v>
      </c>
      <c r="AN34" s="96"/>
      <c r="AO34" s="82">
        <v>295503</v>
      </c>
      <c r="AP34" s="83">
        <f t="shared" si="2"/>
        <v>6.135616220478302</v>
      </c>
      <c r="AQ34" s="83">
        <f t="shared" si="9"/>
        <v>3.7392953709437804</v>
      </c>
      <c r="AR34" s="83">
        <f t="shared" si="10"/>
        <v>2.3963208495345225</v>
      </c>
      <c r="AS34" s="84">
        <f t="shared" si="11"/>
        <v>102.19712292283178</v>
      </c>
      <c r="AT34" s="84">
        <f t="shared" si="11"/>
        <v>108.70117615412647</v>
      </c>
      <c r="AU34" s="84">
        <f t="shared" si="11"/>
        <v>93.470077212126753</v>
      </c>
      <c r="AV34" s="72"/>
      <c r="AW34" s="85">
        <v>1.8130929999999998</v>
      </c>
      <c r="AX34" s="86">
        <v>1.104973</v>
      </c>
      <c r="AY34" s="86">
        <f t="shared" si="12"/>
        <v>0.18725</v>
      </c>
      <c r="AZ34" s="86">
        <f t="shared" si="12"/>
        <v>0.455735</v>
      </c>
      <c r="BA34" s="86">
        <f t="shared" si="12"/>
        <v>6.9388000000000005E-2</v>
      </c>
      <c r="BB34" s="86">
        <f t="shared" si="12"/>
        <v>5.8942000000000001E-2</v>
      </c>
      <c r="BC34" s="86">
        <f t="shared" si="12"/>
        <v>0.33365800000000001</v>
      </c>
      <c r="BD34" s="86">
        <v>0.70811999999999997</v>
      </c>
      <c r="BE34" s="86"/>
    </row>
    <row r="35" spans="1:57" ht="12.75" x14ac:dyDescent="0.2">
      <c r="A35" s="71">
        <f t="shared" si="3"/>
        <v>1994</v>
      </c>
      <c r="B35" s="89">
        <v>196.125</v>
      </c>
      <c r="C35" s="89">
        <v>482.08600000000001</v>
      </c>
      <c r="D35" s="89">
        <v>77.331000000000003</v>
      </c>
      <c r="E35" s="89">
        <v>68.078000000000003</v>
      </c>
      <c r="F35" s="72">
        <v>333.65800000000002</v>
      </c>
      <c r="G35" s="73">
        <f t="shared" si="0"/>
        <v>1157.278</v>
      </c>
      <c r="H35" s="74">
        <f t="shared" si="4"/>
        <v>0.60577404245785726</v>
      </c>
      <c r="I35" s="75">
        <f t="shared" si="5"/>
        <v>1.2966959328722499E-2</v>
      </c>
      <c r="J35" s="76">
        <v>101.13500000000001</v>
      </c>
      <c r="K35" s="72">
        <v>570.66700000000003</v>
      </c>
      <c r="L35" s="72">
        <v>45.831000000000003</v>
      </c>
      <c r="M35" s="72">
        <v>35.500999999999998</v>
      </c>
      <c r="N35" s="72">
        <f t="shared" si="14"/>
        <v>651.99900000000002</v>
      </c>
      <c r="O35" s="73">
        <f t="shared" si="15"/>
        <v>753.13400000000001</v>
      </c>
      <c r="P35" s="74">
        <f t="shared" si="6"/>
        <v>0.39422595754214274</v>
      </c>
      <c r="Q35" s="75">
        <f t="shared" si="7"/>
        <v>8.4386447742703929E-3</v>
      </c>
      <c r="R35" s="77">
        <f t="shared" si="8"/>
        <v>1910.412</v>
      </c>
      <c r="S35" s="78">
        <f t="shared" si="1"/>
        <v>2.140560410299289E-2</v>
      </c>
      <c r="T35" s="90"/>
      <c r="U35" s="80">
        <f>'[8]Cons by Fuel'!M26</f>
        <v>89248.217000000004</v>
      </c>
      <c r="W35" s="80">
        <v>570667</v>
      </c>
      <c r="X35" s="80">
        <v>35501</v>
      </c>
      <c r="Y35" s="80">
        <v>45831</v>
      </c>
      <c r="Z35" s="91">
        <f t="shared" si="16"/>
        <v>45.291031746031749</v>
      </c>
      <c r="AA35" s="92">
        <f t="shared" si="16"/>
        <v>6.6983018867924526</v>
      </c>
      <c r="AB35" s="92">
        <f t="shared" si="16"/>
        <v>10.184666666666667</v>
      </c>
      <c r="AD35" s="93">
        <v>1.4</v>
      </c>
      <c r="AE35" s="94">
        <v>3.5</v>
      </c>
      <c r="AF35" s="94">
        <v>0.9</v>
      </c>
      <c r="AG35" s="88">
        <v>66.094999999999999</v>
      </c>
      <c r="AH35" s="81"/>
      <c r="AI35" s="79"/>
      <c r="AJ35" s="95">
        <v>12600</v>
      </c>
      <c r="AK35" s="80">
        <v>5300</v>
      </c>
      <c r="AL35" s="80">
        <v>4500</v>
      </c>
      <c r="AM35" s="96">
        <f t="shared" si="17"/>
        <v>22400</v>
      </c>
      <c r="AN35" s="96"/>
      <c r="AO35" s="82">
        <v>307905</v>
      </c>
      <c r="AP35" s="83">
        <f t="shared" si="2"/>
        <v>6.2045501047400986</v>
      </c>
      <c r="AQ35" s="83">
        <f t="shared" si="9"/>
        <v>3.758555398580731</v>
      </c>
      <c r="AR35" s="83">
        <f t="shared" si="10"/>
        <v>2.4459947061593672</v>
      </c>
      <c r="AS35" s="84">
        <f t="shared" si="11"/>
        <v>103.34531153018602</v>
      </c>
      <c r="AT35" s="84">
        <f t="shared" si="11"/>
        <v>109.26106443499503</v>
      </c>
      <c r="AU35" s="84">
        <f t="shared" si="11"/>
        <v>95.407638793269044</v>
      </c>
      <c r="AV35" s="72"/>
      <c r="AW35" s="85">
        <v>1.910412</v>
      </c>
      <c r="AX35" s="86">
        <v>1.157278</v>
      </c>
      <c r="AY35" s="86">
        <f t="shared" si="12"/>
        <v>0.19612499999999999</v>
      </c>
      <c r="AZ35" s="86">
        <f t="shared" si="12"/>
        <v>0.48208600000000001</v>
      </c>
      <c r="BA35" s="86">
        <f t="shared" si="12"/>
        <v>7.7330999999999997E-2</v>
      </c>
      <c r="BB35" s="86">
        <f t="shared" si="12"/>
        <v>6.8078E-2</v>
      </c>
      <c r="BC35" s="86">
        <f t="shared" si="12"/>
        <v>0.33365800000000001</v>
      </c>
      <c r="BD35" s="86">
        <v>0.75313399999999997</v>
      </c>
      <c r="BE35" s="86"/>
    </row>
    <row r="36" spans="1:57" ht="12.75" x14ac:dyDescent="0.2">
      <c r="A36" s="71">
        <f t="shared" si="3"/>
        <v>1995</v>
      </c>
      <c r="B36" s="89">
        <v>178.25</v>
      </c>
      <c r="C36" s="89">
        <v>504.83199999999999</v>
      </c>
      <c r="D36" s="89">
        <v>70.027000000000001</v>
      </c>
      <c r="E36" s="89">
        <v>84.501000000000005</v>
      </c>
      <c r="F36" s="72">
        <v>371.548</v>
      </c>
      <c r="G36" s="73">
        <f t="shared" si="0"/>
        <v>1209.1579999999999</v>
      </c>
      <c r="H36" s="74">
        <f t="shared" si="4"/>
        <v>0.63706853993381463</v>
      </c>
      <c r="I36" s="75">
        <f t="shared" si="5"/>
        <v>1.3255190620032968E-2</v>
      </c>
      <c r="J36" s="76">
        <v>100.489</v>
      </c>
      <c r="K36" s="72">
        <v>513.32600000000002</v>
      </c>
      <c r="L36" s="72">
        <v>43.116</v>
      </c>
      <c r="M36" s="72">
        <v>31.914000000000001</v>
      </c>
      <c r="N36" s="72">
        <f t="shared" si="14"/>
        <v>588.35599999999999</v>
      </c>
      <c r="O36" s="73">
        <f t="shared" si="15"/>
        <v>688.84500000000003</v>
      </c>
      <c r="P36" s="74">
        <f t="shared" si="6"/>
        <v>0.36293146006618537</v>
      </c>
      <c r="Q36" s="75">
        <f t="shared" si="7"/>
        <v>7.5513471214321125E-3</v>
      </c>
      <c r="R36" s="77">
        <f t="shared" si="8"/>
        <v>1898.0029999999999</v>
      </c>
      <c r="S36" s="78">
        <f t="shared" si="1"/>
        <v>2.080653774146508E-2</v>
      </c>
      <c r="T36" s="90"/>
      <c r="U36" s="80">
        <f>'[8]Cons by Fuel'!M27</f>
        <v>91221.471999999994</v>
      </c>
      <c r="W36" s="80">
        <v>513326</v>
      </c>
      <c r="X36" s="80">
        <v>31914</v>
      </c>
      <c r="Y36" s="80">
        <v>43116</v>
      </c>
      <c r="Z36" s="91">
        <f t="shared" si="16"/>
        <v>43.874017094017091</v>
      </c>
      <c r="AA36" s="92">
        <f t="shared" si="16"/>
        <v>6.2576470588235296</v>
      </c>
      <c r="AB36" s="92">
        <f t="shared" si="16"/>
        <v>9.7990909090909089</v>
      </c>
      <c r="AD36" s="93">
        <v>1.4</v>
      </c>
      <c r="AE36" s="94">
        <v>3.6</v>
      </c>
      <c r="AF36" s="94">
        <v>0.7</v>
      </c>
      <c r="AG36" s="88">
        <v>82.04</v>
      </c>
      <c r="AH36" s="81"/>
      <c r="AI36" s="79"/>
      <c r="AJ36" s="95">
        <v>11700</v>
      </c>
      <c r="AK36" s="80">
        <v>5100</v>
      </c>
      <c r="AL36" s="80">
        <v>4400</v>
      </c>
      <c r="AM36" s="96">
        <f t="shared" si="17"/>
        <v>21200</v>
      </c>
      <c r="AN36" s="96"/>
      <c r="AO36" s="82">
        <v>301349</v>
      </c>
      <c r="AP36" s="83">
        <f t="shared" si="2"/>
        <v>6.2983550633982528</v>
      </c>
      <c r="AQ36" s="83">
        <f t="shared" si="9"/>
        <v>4.0124838642238734</v>
      </c>
      <c r="AR36" s="83">
        <f t="shared" si="10"/>
        <v>2.2858711991743794</v>
      </c>
      <c r="AS36" s="84">
        <f t="shared" si="11"/>
        <v>104.90776207244161</v>
      </c>
      <c r="AT36" s="84">
        <f t="shared" si="11"/>
        <v>116.64275540514582</v>
      </c>
      <c r="AU36" s="84">
        <f t="shared" si="11"/>
        <v>89.161915661381016</v>
      </c>
      <c r="AV36" s="72"/>
      <c r="AW36" s="85">
        <v>1.8980029999999999</v>
      </c>
      <c r="AX36" s="86">
        <v>1.209158</v>
      </c>
      <c r="AY36" s="86">
        <f t="shared" si="12"/>
        <v>0.17824999999999999</v>
      </c>
      <c r="AZ36" s="86">
        <f t="shared" si="12"/>
        <v>0.50483199999999995</v>
      </c>
      <c r="BA36" s="86">
        <f t="shared" si="12"/>
        <v>7.0027000000000006E-2</v>
      </c>
      <c r="BB36" s="86">
        <f t="shared" si="12"/>
        <v>8.4501000000000007E-2</v>
      </c>
      <c r="BC36" s="86">
        <f t="shared" si="12"/>
        <v>0.37154799999999999</v>
      </c>
      <c r="BD36" s="86">
        <v>0.68884500000000004</v>
      </c>
      <c r="BE36" s="86"/>
    </row>
    <row r="37" spans="1:57" ht="12.75" x14ac:dyDescent="0.2">
      <c r="A37" s="71">
        <f t="shared" si="3"/>
        <v>1996</v>
      </c>
      <c r="B37" s="89">
        <v>177.75</v>
      </c>
      <c r="C37" s="89">
        <v>488.327</v>
      </c>
      <c r="D37" s="89">
        <v>71.671000000000006</v>
      </c>
      <c r="E37" s="89">
        <v>74.573999999999998</v>
      </c>
      <c r="F37" s="72">
        <v>401.44799999999998</v>
      </c>
      <c r="G37" s="73">
        <f t="shared" si="0"/>
        <v>1213.77</v>
      </c>
      <c r="H37" s="74">
        <f t="shared" si="4"/>
        <v>0.6352831078453488</v>
      </c>
      <c r="I37" s="75">
        <f t="shared" si="5"/>
        <v>1.2881733877113435E-2</v>
      </c>
      <c r="J37" s="76">
        <v>102.858</v>
      </c>
      <c r="K37" s="72">
        <v>522.36500000000001</v>
      </c>
      <c r="L37" s="72">
        <v>43.432000000000002</v>
      </c>
      <c r="M37" s="72">
        <v>28.172000000000001</v>
      </c>
      <c r="N37" s="72">
        <f t="shared" si="14"/>
        <v>593.96900000000005</v>
      </c>
      <c r="O37" s="73">
        <f t="shared" si="15"/>
        <v>696.827</v>
      </c>
      <c r="P37" s="74">
        <f t="shared" si="6"/>
        <v>0.36471689215465114</v>
      </c>
      <c r="Q37" s="75">
        <f t="shared" si="7"/>
        <v>7.3954208560001681E-3</v>
      </c>
      <c r="R37" s="77">
        <f t="shared" si="8"/>
        <v>1910.597</v>
      </c>
      <c r="S37" s="78">
        <f t="shared" si="1"/>
        <v>2.0277154733113603E-2</v>
      </c>
      <c r="T37" s="90"/>
      <c r="U37" s="80">
        <f>'[8]Cons by Fuel'!M28</f>
        <v>94224.116999999998</v>
      </c>
      <c r="W37" s="80">
        <v>522365</v>
      </c>
      <c r="X37" s="80">
        <v>28172</v>
      </c>
      <c r="Y37" s="80">
        <v>43432</v>
      </c>
      <c r="Z37" s="91">
        <f t="shared" si="16"/>
        <v>42.456963115886666</v>
      </c>
      <c r="AA37" s="92">
        <f t="shared" si="16"/>
        <v>5.3579307721567133</v>
      </c>
      <c r="AB37" s="92">
        <f t="shared" si="16"/>
        <v>10.201771075564324</v>
      </c>
      <c r="AD37" s="93">
        <v>1.3</v>
      </c>
      <c r="AE37" s="94">
        <v>3.2</v>
      </c>
      <c r="AF37" s="94">
        <v>0.8</v>
      </c>
      <c r="AG37" s="88">
        <v>72.402000000000001</v>
      </c>
      <c r="AH37" s="81"/>
      <c r="AI37" s="79"/>
      <c r="AJ37" s="95">
        <v>12303.4</v>
      </c>
      <c r="AK37" s="80">
        <v>5258</v>
      </c>
      <c r="AL37" s="80">
        <v>4257.3</v>
      </c>
      <c r="AM37" s="96">
        <f t="shared" si="17"/>
        <v>21818.7</v>
      </c>
      <c r="AN37" s="96"/>
      <c r="AO37" s="82">
        <v>313202</v>
      </c>
      <c r="AP37" s="83">
        <f t="shared" si="2"/>
        <v>6.1002068952305537</v>
      </c>
      <c r="AQ37" s="83">
        <f t="shared" si="9"/>
        <v>3.875358394901693</v>
      </c>
      <c r="AR37" s="83">
        <f t="shared" si="10"/>
        <v>2.2248485003288612</v>
      </c>
      <c r="AS37" s="84">
        <f t="shared" si="11"/>
        <v>101.60733193282807</v>
      </c>
      <c r="AT37" s="84">
        <f t="shared" si="11"/>
        <v>112.65652315619525</v>
      </c>
      <c r="AU37" s="84">
        <f t="shared" si="11"/>
        <v>86.781684994902903</v>
      </c>
      <c r="AV37" s="72"/>
      <c r="AW37" s="85">
        <v>1.9105969999999999</v>
      </c>
      <c r="AX37" s="86">
        <v>1.21377</v>
      </c>
      <c r="AY37" s="86">
        <f t="shared" si="12"/>
        <v>0.17774999999999999</v>
      </c>
      <c r="AZ37" s="86">
        <f t="shared" si="12"/>
        <v>0.48832700000000001</v>
      </c>
      <c r="BA37" s="86">
        <f t="shared" si="12"/>
        <v>7.1671000000000012E-2</v>
      </c>
      <c r="BB37" s="86">
        <f t="shared" si="12"/>
        <v>7.4574000000000001E-2</v>
      </c>
      <c r="BC37" s="86">
        <f t="shared" si="12"/>
        <v>0.40144799999999997</v>
      </c>
      <c r="BD37" s="86">
        <v>0.69682699999999997</v>
      </c>
      <c r="BE37" s="86"/>
    </row>
    <row r="38" spans="1:57" ht="12.75" x14ac:dyDescent="0.2">
      <c r="A38" s="71">
        <f t="shared" si="3"/>
        <v>1997</v>
      </c>
      <c r="B38" s="89">
        <v>187.5</v>
      </c>
      <c r="C38" s="89">
        <v>499.28399999999999</v>
      </c>
      <c r="D38" s="89">
        <v>91.3</v>
      </c>
      <c r="E38" s="89">
        <v>65.331999999999994</v>
      </c>
      <c r="F38" s="72">
        <v>303.74299999999999</v>
      </c>
      <c r="G38" s="73">
        <f t="shared" si="0"/>
        <v>1147.1589999999999</v>
      </c>
      <c r="H38" s="74">
        <f t="shared" si="4"/>
        <v>0.62305268709221373</v>
      </c>
      <c r="I38" s="75">
        <f t="shared" si="5"/>
        <v>1.2110134120728502E-2</v>
      </c>
      <c r="J38" s="76">
        <v>108.077</v>
      </c>
      <c r="K38" s="72">
        <v>505.97</v>
      </c>
      <c r="L38" s="72">
        <v>52.655000000000001</v>
      </c>
      <c r="M38" s="72">
        <v>27.33</v>
      </c>
      <c r="N38" s="72">
        <f t="shared" si="14"/>
        <v>585.95500000000004</v>
      </c>
      <c r="O38" s="73">
        <f t="shared" si="15"/>
        <v>694.03200000000004</v>
      </c>
      <c r="P38" s="74">
        <f t="shared" si="6"/>
        <v>0.37694731290778638</v>
      </c>
      <c r="Q38" s="75">
        <f t="shared" si="7"/>
        <v>7.326639641128601E-3</v>
      </c>
      <c r="R38" s="77">
        <f t="shared" si="8"/>
        <v>1841.1909999999998</v>
      </c>
      <c r="S38" s="78">
        <f t="shared" si="1"/>
        <v>1.9436773761857103E-2</v>
      </c>
      <c r="T38" s="90"/>
      <c r="U38" s="80">
        <f>'[8]Cons by Fuel'!M29</f>
        <v>94727.191999999995</v>
      </c>
      <c r="W38" s="80">
        <v>505970</v>
      </c>
      <c r="X38" s="80">
        <v>27330</v>
      </c>
      <c r="Y38" s="80">
        <v>52655</v>
      </c>
      <c r="Z38" s="91">
        <f t="shared" si="16"/>
        <v>41.04001232895601</v>
      </c>
      <c r="AA38" s="92">
        <f t="shared" si="16"/>
        <v>5.0903333954181411</v>
      </c>
      <c r="AB38" s="92">
        <f t="shared" si="16"/>
        <v>11.524403589406873</v>
      </c>
      <c r="AD38" s="93">
        <v>1.5</v>
      </c>
      <c r="AE38" s="94">
        <v>3.6</v>
      </c>
      <c r="AF38" s="94">
        <v>1</v>
      </c>
      <c r="AG38" s="88">
        <v>63.429000000000002</v>
      </c>
      <c r="AH38" s="81"/>
      <c r="AI38" s="79"/>
      <c r="AJ38" s="95">
        <v>12328.7</v>
      </c>
      <c r="AK38" s="80">
        <v>5369</v>
      </c>
      <c r="AL38" s="80">
        <v>4569</v>
      </c>
      <c r="AM38" s="96">
        <f t="shared" si="17"/>
        <v>22266.7</v>
      </c>
      <c r="AN38" s="96"/>
      <c r="AO38" s="82">
        <v>317662</v>
      </c>
      <c r="AP38" s="83">
        <f t="shared" si="2"/>
        <v>5.7960694071056649</v>
      </c>
      <c r="AQ38" s="83">
        <f t="shared" si="9"/>
        <v>3.6112566186701582</v>
      </c>
      <c r="AR38" s="83">
        <f t="shared" si="10"/>
        <v>2.1848127884355071</v>
      </c>
      <c r="AS38" s="84">
        <f t="shared" si="11"/>
        <v>96.541503963405702</v>
      </c>
      <c r="AT38" s="84">
        <f t="shared" si="11"/>
        <v>104.97909442889043</v>
      </c>
      <c r="AU38" s="84">
        <f t="shared" si="11"/>
        <v>85.220065613824971</v>
      </c>
      <c r="AV38" s="72"/>
      <c r="AW38" s="85">
        <v>1.8411909999999998</v>
      </c>
      <c r="AX38" s="86">
        <v>1.1471589999999998</v>
      </c>
      <c r="AY38" s="86">
        <f t="shared" si="12"/>
        <v>0.1875</v>
      </c>
      <c r="AZ38" s="86">
        <f t="shared" si="12"/>
        <v>0.49928400000000001</v>
      </c>
      <c r="BA38" s="86">
        <f t="shared" si="12"/>
        <v>9.1299999999999992E-2</v>
      </c>
      <c r="BB38" s="86">
        <f t="shared" si="12"/>
        <v>6.5331999999999987E-2</v>
      </c>
      <c r="BC38" s="86">
        <f t="shared" si="12"/>
        <v>0.30374299999999999</v>
      </c>
      <c r="BD38" s="86">
        <v>0.69403200000000009</v>
      </c>
      <c r="BE38" s="86"/>
    </row>
    <row r="39" spans="1:57" ht="12.75" x14ac:dyDescent="0.2">
      <c r="A39" s="71">
        <f t="shared" si="3"/>
        <v>1998</v>
      </c>
      <c r="B39" s="89">
        <v>162.84</v>
      </c>
      <c r="C39" s="89">
        <v>507.4</v>
      </c>
      <c r="D39" s="89">
        <v>79.06</v>
      </c>
      <c r="E39" s="89">
        <v>80</v>
      </c>
      <c r="F39" s="72">
        <v>331.10500000000002</v>
      </c>
      <c r="G39" s="73">
        <f t="shared" si="0"/>
        <v>1160.405</v>
      </c>
      <c r="H39" s="74">
        <f t="shared" si="4"/>
        <v>0.63737329074675719</v>
      </c>
      <c r="I39" s="75">
        <f t="shared" si="5"/>
        <v>1.2196026721038878E-2</v>
      </c>
      <c r="J39" s="76">
        <v>105.92700000000001</v>
      </c>
      <c r="K39" s="72">
        <v>487.86200000000002</v>
      </c>
      <c r="L39" s="72">
        <v>41.74</v>
      </c>
      <c r="M39" s="72">
        <v>24.670999999999999</v>
      </c>
      <c r="N39" s="72">
        <f t="shared" si="14"/>
        <v>554.27300000000002</v>
      </c>
      <c r="O39" s="73">
        <f t="shared" si="15"/>
        <v>660.2</v>
      </c>
      <c r="P39" s="74">
        <f t="shared" si="6"/>
        <v>0.36262670925324275</v>
      </c>
      <c r="Q39" s="75">
        <f t="shared" si="7"/>
        <v>6.938798816990506E-3</v>
      </c>
      <c r="R39" s="77">
        <f t="shared" si="8"/>
        <v>1820.605</v>
      </c>
      <c r="S39" s="78">
        <f t="shared" si="1"/>
        <v>1.9134825538029386E-2</v>
      </c>
      <c r="T39" s="90"/>
      <c r="U39" s="80">
        <f>'[8]Cons by Fuel'!M30</f>
        <v>95146.150999999998</v>
      </c>
      <c r="W39" s="80">
        <v>487862</v>
      </c>
      <c r="X39" s="80">
        <v>24671</v>
      </c>
      <c r="Y39" s="80">
        <v>41740</v>
      </c>
      <c r="Z39" s="91">
        <f t="shared" si="16"/>
        <v>39.62298783360135</v>
      </c>
      <c r="AA39" s="92">
        <f t="shared" si="16"/>
        <v>4.6540275419732122</v>
      </c>
      <c r="AB39" s="92">
        <f t="shared" si="16"/>
        <v>9.044028427803779</v>
      </c>
      <c r="AD39" s="93">
        <v>1.3</v>
      </c>
      <c r="AE39" s="94">
        <v>3.7</v>
      </c>
      <c r="AF39" s="94">
        <v>0.85</v>
      </c>
      <c r="AG39" s="88">
        <v>62.168799999999997</v>
      </c>
      <c r="AH39" s="81"/>
      <c r="AI39" s="79"/>
      <c r="AJ39" s="95">
        <v>12312.6</v>
      </c>
      <c r="AK39" s="80">
        <v>5301</v>
      </c>
      <c r="AL39" s="80">
        <v>4615.2</v>
      </c>
      <c r="AM39" s="96">
        <f t="shared" si="17"/>
        <v>22228.799999999999</v>
      </c>
      <c r="AN39" s="96"/>
      <c r="AO39" s="82">
        <v>311485</v>
      </c>
      <c r="AP39" s="83">
        <f t="shared" si="2"/>
        <v>5.8449203011380968</v>
      </c>
      <c r="AQ39" s="83">
        <f t="shared" si="9"/>
        <v>3.725396086488916</v>
      </c>
      <c r="AR39" s="83">
        <f t="shared" si="10"/>
        <v>2.1195242146491804</v>
      </c>
      <c r="AS39" s="84">
        <f t="shared" si="11"/>
        <v>97.355182759947752</v>
      </c>
      <c r="AT39" s="84">
        <f t="shared" si="11"/>
        <v>108.29712447645352</v>
      </c>
      <c r="AU39" s="84">
        <f t="shared" si="11"/>
        <v>82.673441678193399</v>
      </c>
      <c r="AV39" s="72"/>
      <c r="AW39" s="85">
        <v>1.820605</v>
      </c>
      <c r="AX39" s="86">
        <v>1.1604049999999999</v>
      </c>
      <c r="AY39" s="86">
        <f t="shared" si="12"/>
        <v>0.16284000000000001</v>
      </c>
      <c r="AZ39" s="86">
        <f t="shared" si="12"/>
        <v>0.50739999999999996</v>
      </c>
      <c r="BA39" s="86">
        <f t="shared" si="12"/>
        <v>7.9060000000000005E-2</v>
      </c>
      <c r="BB39" s="86">
        <f t="shared" si="12"/>
        <v>0.08</v>
      </c>
      <c r="BC39" s="86">
        <f t="shared" si="12"/>
        <v>0.33110500000000004</v>
      </c>
      <c r="BD39" s="86">
        <v>0.66020000000000001</v>
      </c>
      <c r="BE39" s="86"/>
    </row>
    <row r="40" spans="1:57" ht="12.75" x14ac:dyDescent="0.2">
      <c r="A40" s="71">
        <f t="shared" si="3"/>
        <v>1999</v>
      </c>
      <c r="B40" s="89">
        <v>163.75</v>
      </c>
      <c r="C40" s="89">
        <v>529.79600000000005</v>
      </c>
      <c r="D40" s="89">
        <v>90.387</v>
      </c>
      <c r="E40" s="89">
        <v>86.564999999999998</v>
      </c>
      <c r="F40" s="72">
        <v>279.88600000000002</v>
      </c>
      <c r="G40" s="73">
        <f t="shared" si="0"/>
        <v>1150.384</v>
      </c>
      <c r="H40" s="74">
        <f t="shared" si="4"/>
        <v>0.64179490841575315</v>
      </c>
      <c r="I40" s="75">
        <f t="shared" si="5"/>
        <v>1.1887341076677001E-2</v>
      </c>
      <c r="J40" s="76">
        <v>108.191</v>
      </c>
      <c r="K40" s="72">
        <v>475.78699999999998</v>
      </c>
      <c r="L40" s="72">
        <v>38.048999999999999</v>
      </c>
      <c r="M40" s="72">
        <v>20.036999999999999</v>
      </c>
      <c r="N40" s="72">
        <f t="shared" si="14"/>
        <v>533.87300000000005</v>
      </c>
      <c r="O40" s="73">
        <f t="shared" si="15"/>
        <v>642.06400000000008</v>
      </c>
      <c r="P40" s="74">
        <f t="shared" si="6"/>
        <v>0.35820509158424679</v>
      </c>
      <c r="Q40" s="75">
        <f t="shared" si="7"/>
        <v>6.634683515291887E-3</v>
      </c>
      <c r="R40" s="77">
        <f t="shared" si="8"/>
        <v>1792.4480000000001</v>
      </c>
      <c r="S40" s="78">
        <f t="shared" si="1"/>
        <v>1.8522024591968889E-2</v>
      </c>
      <c r="T40" s="90"/>
      <c r="U40" s="80">
        <f>'[8]Cons by Fuel'!M31</f>
        <v>96773.87</v>
      </c>
      <c r="W40" s="80">
        <v>475787</v>
      </c>
      <c r="X40" s="80">
        <v>20037</v>
      </c>
      <c r="Y40" s="80">
        <v>38049</v>
      </c>
      <c r="Z40" s="91">
        <f t="shared" si="16"/>
        <v>38.209992049406118</v>
      </c>
      <c r="AA40" s="92">
        <f t="shared" si="16"/>
        <v>4.0446104158255958</v>
      </c>
      <c r="AB40" s="92">
        <f t="shared" si="16"/>
        <v>8.943867237083353</v>
      </c>
      <c r="AD40" s="93">
        <v>1.31</v>
      </c>
      <c r="AE40" s="94">
        <v>3.82</v>
      </c>
      <c r="AF40" s="94">
        <v>0.99</v>
      </c>
      <c r="AG40" s="88">
        <v>84.043400000000005</v>
      </c>
      <c r="AH40" s="81"/>
      <c r="AI40" s="79"/>
      <c r="AJ40" s="95">
        <v>12451.9</v>
      </c>
      <c r="AK40" s="80">
        <v>4954</v>
      </c>
      <c r="AL40" s="80">
        <v>4254.2</v>
      </c>
      <c r="AM40" s="96">
        <f t="shared" si="17"/>
        <v>21660.100000000002</v>
      </c>
      <c r="AN40" s="96"/>
      <c r="AO40" s="82">
        <v>312222</v>
      </c>
      <c r="AP40" s="83">
        <f t="shared" si="2"/>
        <v>5.7409407408830893</v>
      </c>
      <c r="AQ40" s="83">
        <f t="shared" si="9"/>
        <v>3.6845065370153289</v>
      </c>
      <c r="AR40" s="83">
        <f t="shared" si="10"/>
        <v>2.0564342038677612</v>
      </c>
      <c r="AS40" s="84">
        <f t="shared" si="11"/>
        <v>95.623260240841006</v>
      </c>
      <c r="AT40" s="84">
        <f t="shared" si="11"/>
        <v>107.1084668072228</v>
      </c>
      <c r="AU40" s="84">
        <f t="shared" si="11"/>
        <v>80.212574144449476</v>
      </c>
      <c r="AV40" s="72"/>
      <c r="AW40" s="85">
        <v>1.792448</v>
      </c>
      <c r="AX40" s="86">
        <v>1.1503840000000001</v>
      </c>
      <c r="AY40" s="86">
        <f t="shared" si="12"/>
        <v>0.16375000000000001</v>
      </c>
      <c r="AZ40" s="86">
        <f t="shared" si="12"/>
        <v>0.52979600000000004</v>
      </c>
      <c r="BA40" s="86">
        <f t="shared" si="12"/>
        <v>9.0386999999999995E-2</v>
      </c>
      <c r="BB40" s="86">
        <f t="shared" si="12"/>
        <v>8.6565000000000003E-2</v>
      </c>
      <c r="BC40" s="86">
        <f t="shared" si="12"/>
        <v>0.27988600000000002</v>
      </c>
      <c r="BD40" s="86">
        <v>0.64206400000000008</v>
      </c>
      <c r="BE40" s="86"/>
    </row>
    <row r="41" spans="1:57" ht="12.75" x14ac:dyDescent="0.2">
      <c r="A41" s="71">
        <f t="shared" si="3"/>
        <v>2000</v>
      </c>
      <c r="B41" s="89">
        <v>156.25</v>
      </c>
      <c r="C41" s="89">
        <v>468.77199999999999</v>
      </c>
      <c r="D41" s="89">
        <v>78.153000000000006</v>
      </c>
      <c r="E41" s="89">
        <v>75.846000000000004</v>
      </c>
      <c r="F41" s="72">
        <v>312.52800000000002</v>
      </c>
      <c r="G41" s="73">
        <f t="shared" si="0"/>
        <v>1091.549</v>
      </c>
      <c r="H41" s="74">
        <f t="shared" si="4"/>
        <v>0.6393916708841777</v>
      </c>
      <c r="I41" s="75">
        <f t="shared" si="5"/>
        <v>1.1036346603660431E-2</v>
      </c>
      <c r="J41" s="76">
        <v>108.191</v>
      </c>
      <c r="K41" s="72">
        <v>452.78100000000001</v>
      </c>
      <c r="L41" s="72">
        <v>37.139000000000003</v>
      </c>
      <c r="M41" s="72">
        <v>17.507999999999999</v>
      </c>
      <c r="N41" s="72">
        <f t="shared" si="14"/>
        <v>507.428</v>
      </c>
      <c r="O41" s="73">
        <f t="shared" si="15"/>
        <v>615.61900000000003</v>
      </c>
      <c r="P41" s="74">
        <f t="shared" si="6"/>
        <v>0.36060832911582225</v>
      </c>
      <c r="Q41" s="75">
        <f t="shared" si="7"/>
        <v>6.224351503962563E-3</v>
      </c>
      <c r="R41" s="77">
        <f t="shared" si="8"/>
        <v>1707.1680000000001</v>
      </c>
      <c r="S41" s="78">
        <f t="shared" si="1"/>
        <v>1.7260698107622995E-2</v>
      </c>
      <c r="T41" s="90"/>
      <c r="U41" s="80">
        <f>'[8]Cons by Fuel'!M32</f>
        <v>98904.922000000006</v>
      </c>
      <c r="W41" s="80">
        <v>452781</v>
      </c>
      <c r="X41" s="80">
        <v>17508</v>
      </c>
      <c r="Y41" s="80">
        <v>37139</v>
      </c>
      <c r="Z41" s="91">
        <f t="shared" si="16"/>
        <v>36.789031078610606</v>
      </c>
      <c r="AA41" s="92">
        <f t="shared" si="16"/>
        <v>3.5298387096774193</v>
      </c>
      <c r="AB41" s="92">
        <f t="shared" si="16"/>
        <v>8.6420011634671319</v>
      </c>
      <c r="AD41" s="93">
        <v>1.25</v>
      </c>
      <c r="AE41" s="94">
        <v>3.38</v>
      </c>
      <c r="AF41" s="94">
        <v>0.85599999999999998</v>
      </c>
      <c r="AG41" s="88">
        <v>73.636200000000002</v>
      </c>
      <c r="AH41" s="81"/>
      <c r="AI41" s="79"/>
      <c r="AJ41" s="95">
        <v>12307.5</v>
      </c>
      <c r="AK41" s="80">
        <v>4960</v>
      </c>
      <c r="AL41" s="80">
        <v>4297.5</v>
      </c>
      <c r="AM41" s="96">
        <f t="shared" si="17"/>
        <v>21565</v>
      </c>
      <c r="AN41" s="96"/>
      <c r="AO41" s="82">
        <v>307519</v>
      </c>
      <c r="AP41" s="83">
        <f t="shared" si="2"/>
        <v>5.5514228389140188</v>
      </c>
      <c r="AQ41" s="83">
        <f t="shared" si="9"/>
        <v>3.5495335247578197</v>
      </c>
      <c r="AR41" s="83">
        <f t="shared" si="10"/>
        <v>2.0018893141561986</v>
      </c>
      <c r="AS41" s="84">
        <f t="shared" si="11"/>
        <v>92.466579048988294</v>
      </c>
      <c r="AT41" s="84">
        <f t="shared" si="11"/>
        <v>103.18480640439307</v>
      </c>
      <c r="AU41" s="84">
        <f t="shared" si="11"/>
        <v>78.085014701039796</v>
      </c>
      <c r="AV41" s="72"/>
      <c r="AW41" s="85">
        <v>1.707168</v>
      </c>
      <c r="AX41" s="86">
        <v>1.0915489999999999</v>
      </c>
      <c r="AY41" s="86">
        <f t="shared" si="12"/>
        <v>0.15625</v>
      </c>
      <c r="AZ41" s="86">
        <f t="shared" si="12"/>
        <v>0.46877199999999997</v>
      </c>
      <c r="BA41" s="86">
        <f t="shared" si="12"/>
        <v>7.8153E-2</v>
      </c>
      <c r="BB41" s="86">
        <f t="shared" si="12"/>
        <v>7.5845999999999997E-2</v>
      </c>
      <c r="BC41" s="86">
        <f t="shared" si="12"/>
        <v>0.31252800000000003</v>
      </c>
      <c r="BD41" s="86">
        <v>0.61561900000000003</v>
      </c>
      <c r="BE41" s="86"/>
    </row>
    <row r="42" spans="1:57" ht="12.75" x14ac:dyDescent="0.2">
      <c r="A42" s="71">
        <f t="shared" si="3"/>
        <v>2001</v>
      </c>
      <c r="B42" s="89">
        <v>143.75</v>
      </c>
      <c r="C42" s="89">
        <v>484.02800000000002</v>
      </c>
      <c r="D42" s="89">
        <v>65.736000000000004</v>
      </c>
      <c r="E42" s="89">
        <v>57.561999999999998</v>
      </c>
      <c r="F42" s="72">
        <v>369.88600000000002</v>
      </c>
      <c r="G42" s="73">
        <f t="shared" si="0"/>
        <v>1120.962</v>
      </c>
      <c r="H42" s="74">
        <f t="shared" si="4"/>
        <v>0.65710924269256277</v>
      </c>
      <c r="I42" s="75">
        <f t="shared" si="5"/>
        <v>1.1630870834375496E-2</v>
      </c>
      <c r="J42" s="76">
        <v>108.191</v>
      </c>
      <c r="K42" s="72">
        <v>422.63200000000001</v>
      </c>
      <c r="L42" s="72">
        <v>36.840000000000003</v>
      </c>
      <c r="M42" s="72">
        <v>17.274000000000001</v>
      </c>
      <c r="N42" s="72">
        <f t="shared" si="14"/>
        <v>476.74599999999998</v>
      </c>
      <c r="O42" s="73">
        <f t="shared" si="15"/>
        <v>584.93700000000001</v>
      </c>
      <c r="P42" s="74">
        <f t="shared" si="6"/>
        <v>0.34289075730743734</v>
      </c>
      <c r="Q42" s="75">
        <f t="shared" si="7"/>
        <v>6.0691858361363715E-3</v>
      </c>
      <c r="R42" s="77">
        <f t="shared" si="8"/>
        <v>1705.8989999999999</v>
      </c>
      <c r="S42" s="78">
        <f t="shared" si="1"/>
        <v>1.7700056670511867E-2</v>
      </c>
      <c r="T42" s="90"/>
      <c r="U42" s="80">
        <f>'[8]Cons by Fuel'!M33</f>
        <v>96378.165999999997</v>
      </c>
      <c r="W42" s="80">
        <v>422632</v>
      </c>
      <c r="X42" s="80">
        <v>17274</v>
      </c>
      <c r="Y42" s="80">
        <v>36840</v>
      </c>
      <c r="Z42" s="91">
        <f t="shared" si="16"/>
        <v>36.788997214484681</v>
      </c>
      <c r="AA42" s="92">
        <f t="shared" si="16"/>
        <v>3.5109756097560973</v>
      </c>
      <c r="AB42" s="92">
        <f t="shared" si="16"/>
        <v>8.6886792452830193</v>
      </c>
      <c r="AD42" s="93">
        <v>1.1499999999999999</v>
      </c>
      <c r="AE42" s="94">
        <v>3.49</v>
      </c>
      <c r="AF42" s="94">
        <v>0.72</v>
      </c>
      <c r="AG42" s="88">
        <v>55.8855</v>
      </c>
      <c r="AH42" s="81"/>
      <c r="AI42" s="79"/>
      <c r="AJ42" s="95">
        <v>11488</v>
      </c>
      <c r="AK42" s="80">
        <v>4920</v>
      </c>
      <c r="AL42" s="80">
        <v>4240</v>
      </c>
      <c r="AM42" s="96">
        <f t="shared" si="17"/>
        <v>20648</v>
      </c>
      <c r="AN42" s="96"/>
      <c r="AO42" s="82">
        <v>303777</v>
      </c>
      <c r="AP42" s="83">
        <f t="shared" si="2"/>
        <v>5.6156292280192375</v>
      </c>
      <c r="AQ42" s="83">
        <f t="shared" si="9"/>
        <v>3.6900818692659416</v>
      </c>
      <c r="AR42" s="83">
        <f t="shared" si="10"/>
        <v>1.9255473587532961</v>
      </c>
      <c r="AS42" s="84">
        <f t="shared" si="11"/>
        <v>93.536024725514935</v>
      </c>
      <c r="AT42" s="84">
        <f t="shared" si="11"/>
        <v>107.27054150659021</v>
      </c>
      <c r="AU42" s="84">
        <f t="shared" si="11"/>
        <v>75.107246316050734</v>
      </c>
      <c r="AV42" s="72"/>
      <c r="AW42" s="85">
        <v>1.7058989999999998</v>
      </c>
      <c r="AX42" s="86">
        <v>1.120962</v>
      </c>
      <c r="AY42" s="86">
        <f t="shared" si="12"/>
        <v>0.14374999999999999</v>
      </c>
      <c r="AZ42" s="86">
        <f t="shared" si="12"/>
        <v>0.48402800000000001</v>
      </c>
      <c r="BA42" s="86">
        <f t="shared" si="12"/>
        <v>6.5736000000000003E-2</v>
      </c>
      <c r="BB42" s="86">
        <f t="shared" si="12"/>
        <v>5.7561999999999995E-2</v>
      </c>
      <c r="BC42" s="86">
        <f t="shared" si="12"/>
        <v>0.36988600000000005</v>
      </c>
      <c r="BD42" s="86">
        <v>0.58493700000000004</v>
      </c>
      <c r="BE42" s="86"/>
    </row>
    <row r="43" spans="1:57" ht="12.75" x14ac:dyDescent="0.2">
      <c r="A43" s="71">
        <f t="shared" si="3"/>
        <v>2002</v>
      </c>
      <c r="B43" s="89">
        <v>146</v>
      </c>
      <c r="C43" s="89">
        <v>469</v>
      </c>
      <c r="D43" s="89">
        <v>78</v>
      </c>
      <c r="E43" s="89">
        <v>62</v>
      </c>
      <c r="F43" s="72">
        <v>356</v>
      </c>
      <c r="G43" s="73">
        <f t="shared" si="0"/>
        <v>1111</v>
      </c>
      <c r="H43" s="74">
        <f t="shared" si="4"/>
        <v>0.6469868523652873</v>
      </c>
      <c r="I43" s="75">
        <f t="shared" si="5"/>
        <v>1.1333712987215E-2</v>
      </c>
      <c r="J43" s="76">
        <v>108.191</v>
      </c>
      <c r="N43" s="72">
        <v>498</v>
      </c>
      <c r="O43" s="73">
        <f t="shared" si="15"/>
        <v>606.19100000000003</v>
      </c>
      <c r="P43" s="74">
        <f t="shared" si="6"/>
        <v>0.35301314763471275</v>
      </c>
      <c r="Q43" s="75">
        <f t="shared" si="7"/>
        <v>6.1839737258621505E-3</v>
      </c>
      <c r="R43" s="77">
        <f t="shared" si="8"/>
        <v>1717.191</v>
      </c>
      <c r="S43" s="78">
        <f t="shared" si="1"/>
        <v>1.751768671307715E-2</v>
      </c>
      <c r="T43" s="90"/>
      <c r="U43" s="80">
        <f>'[8]Cons by Fuel'!M34</f>
        <v>98026.127999999997</v>
      </c>
      <c r="W43" s="104"/>
      <c r="X43" s="104"/>
      <c r="Y43" s="104"/>
      <c r="Z43" s="81"/>
      <c r="AD43" s="81"/>
      <c r="AH43" s="81"/>
      <c r="AI43" s="79"/>
      <c r="AJ43" s="95">
        <v>12900</v>
      </c>
      <c r="AK43" s="80">
        <v>5000</v>
      </c>
      <c r="AL43" s="80">
        <v>4600</v>
      </c>
      <c r="AM43" s="96">
        <f t="shared" si="17"/>
        <v>22500</v>
      </c>
      <c r="AN43" s="96"/>
      <c r="AO43" s="82">
        <v>299855</v>
      </c>
      <c r="AP43" s="83">
        <f t="shared" si="2"/>
        <v>5.7267379233296092</v>
      </c>
      <c r="AQ43" s="83">
        <f t="shared" si="9"/>
        <v>3.7051241433359459</v>
      </c>
      <c r="AR43" s="83">
        <f t="shared" si="10"/>
        <v>2.0216137799936638</v>
      </c>
      <c r="AS43" s="84">
        <f t="shared" si="11"/>
        <v>95.386692789552413</v>
      </c>
      <c r="AT43" s="84">
        <f t="shared" si="11"/>
        <v>107.70781984949616</v>
      </c>
      <c r="AU43" s="84">
        <f t="shared" si="11"/>
        <v>78.854380516620765</v>
      </c>
      <c r="AV43" s="72"/>
      <c r="AW43" s="85">
        <v>1.7171910000000001</v>
      </c>
      <c r="AX43" s="86">
        <v>1.111</v>
      </c>
      <c r="AY43" s="86">
        <f t="shared" si="12"/>
        <v>0.14599999999999999</v>
      </c>
      <c r="AZ43" s="86">
        <f t="shared" si="12"/>
        <v>0.46899999999999997</v>
      </c>
      <c r="BA43" s="86">
        <f t="shared" si="12"/>
        <v>7.8E-2</v>
      </c>
      <c r="BB43" s="86">
        <f t="shared" si="12"/>
        <v>6.2E-2</v>
      </c>
      <c r="BC43" s="86">
        <f t="shared" si="12"/>
        <v>0.35599999999999998</v>
      </c>
      <c r="BD43" s="86">
        <v>0.60619100000000004</v>
      </c>
      <c r="BE43" s="86"/>
    </row>
    <row r="44" spans="1:57" ht="12.75" x14ac:dyDescent="0.2">
      <c r="A44" s="71">
        <f t="shared" si="3"/>
        <v>2003</v>
      </c>
      <c r="G44" s="105"/>
      <c r="H44" s="105"/>
      <c r="I44" s="75"/>
      <c r="J44" s="81"/>
      <c r="O44" s="105"/>
      <c r="P44" s="105"/>
      <c r="Q44" s="105"/>
      <c r="R44" s="106"/>
      <c r="T44" s="79"/>
      <c r="U44" s="80">
        <f>'[8]Cons by Fuel'!M35</f>
        <v>98189.020999999993</v>
      </c>
      <c r="W44" s="104"/>
      <c r="X44" s="104"/>
      <c r="Y44" s="104"/>
      <c r="Z44" s="81"/>
      <c r="AD44" s="81"/>
      <c r="AH44" s="81"/>
      <c r="AI44" s="79"/>
      <c r="AJ44" s="95"/>
      <c r="AR44" s="72"/>
      <c r="AU44" s="72"/>
      <c r="AX44" s="107"/>
      <c r="AY44" s="107"/>
      <c r="AZ44" s="107"/>
      <c r="BA44" s="107"/>
      <c r="BB44" s="107"/>
      <c r="BC44" s="107"/>
      <c r="BD44" s="107"/>
      <c r="BE44" s="107"/>
    </row>
    <row r="45" spans="1:57" ht="12.75" x14ac:dyDescent="0.2">
      <c r="A45" s="71">
        <f t="shared" si="3"/>
        <v>2004</v>
      </c>
      <c r="G45" s="105"/>
      <c r="H45" s="105"/>
      <c r="I45" s="105"/>
      <c r="J45" s="81"/>
      <c r="O45" s="105"/>
      <c r="P45" s="105"/>
      <c r="Q45" s="105"/>
      <c r="R45" s="106"/>
      <c r="T45" s="79"/>
      <c r="Z45" s="81"/>
      <c r="AD45" s="81"/>
      <c r="AH45" s="81"/>
      <c r="AI45" s="79"/>
      <c r="AJ45" s="81"/>
      <c r="AQ45" s="83">
        <f>AVERAGE(AQ34:AQ43)</f>
        <v>3.7351591808184184</v>
      </c>
      <c r="AR45" s="108">
        <f>AVERAGE(AR41:AR43)</f>
        <v>1.9830168176343861</v>
      </c>
      <c r="AU45" s="72"/>
      <c r="AX45" s="107"/>
      <c r="AY45" s="107"/>
      <c r="AZ45" s="107"/>
      <c r="BA45" s="107"/>
      <c r="BB45" s="107"/>
      <c r="BC45" s="107"/>
      <c r="BD45" s="107"/>
      <c r="BE45" s="107"/>
    </row>
    <row r="46" spans="1:57" x14ac:dyDescent="0.2">
      <c r="A46" s="109" t="s">
        <v>279</v>
      </c>
      <c r="B46" s="55"/>
      <c r="C46" s="55"/>
      <c r="D46" s="55"/>
      <c r="E46" s="55"/>
      <c r="F46" s="55"/>
      <c r="G46" s="110">
        <f>(AVERAGE(G41:G43)-AVERAGE(G18:G20))/AVERAGE(G18:G20)</f>
        <v>-0.25930517773719647</v>
      </c>
      <c r="H46" s="110">
        <f>(AVERAGE(H41:H43)-AVERAGE(H18:H20))/AVERAGE(H18:H20)</f>
        <v>2.6317179348719379E-2</v>
      </c>
      <c r="I46" s="110">
        <f>(AVERAGE(I41:I43)-AVERAGE(I18:I20))/AVERAGE(I18:I20)</f>
        <v>-0.39657601789607561</v>
      </c>
      <c r="J46" s="111"/>
      <c r="K46" s="55"/>
      <c r="L46" s="55"/>
      <c r="M46" s="55"/>
      <c r="N46" s="55"/>
      <c r="O46" s="110">
        <f>(AVERAGE(O41:O43)-AVERAGE(O18:O20))/AVERAGE(O18:O20)</f>
        <v>-0.3098750954927425</v>
      </c>
      <c r="P46" s="110">
        <f>(AVERAGE(P41:P43)-AVERAGE(P18:P20))/AVERAGE(P18:P20)</f>
        <v>-4.5045132530787076E-2</v>
      </c>
      <c r="Q46" s="110"/>
      <c r="R46" s="112">
        <f>(AVERAGE(R41:R43)-AVERAGE(R18:R20))/AVERAGE(R18:R20)</f>
        <v>-0.27793877510232906</v>
      </c>
      <c r="S46" s="110">
        <f>(AVERAGE(S41:S43)-AVERAGE(S18:S20))/AVERAGE(S18:S20)</f>
        <v>-0.4118877981765085</v>
      </c>
      <c r="T46" s="113"/>
      <c r="U46" s="110">
        <f>(AVERAGE(U41:U43)-AVERAGE(U18:U20))/AVERAGE(U18:U20)</f>
        <v>0.22780469386497496</v>
      </c>
      <c r="V46" s="55"/>
      <c r="W46" s="55"/>
      <c r="X46" s="55"/>
      <c r="Y46" s="55"/>
      <c r="Z46" s="111"/>
      <c r="AA46" s="55"/>
      <c r="AB46" s="55"/>
      <c r="AC46" s="55"/>
      <c r="AD46" s="111"/>
      <c r="AE46" s="55"/>
      <c r="AF46" s="55"/>
      <c r="AG46" s="55"/>
      <c r="AH46" s="111"/>
      <c r="AI46" s="113"/>
      <c r="AJ46" s="111"/>
      <c r="AK46" s="55"/>
      <c r="AL46" s="55"/>
      <c r="AM46" s="55"/>
      <c r="AN46" s="50"/>
      <c r="AO46" s="50"/>
      <c r="AP46" s="50"/>
      <c r="AQ46" s="50"/>
      <c r="AR46" s="72"/>
      <c r="AS46" s="50"/>
      <c r="AT46" s="50"/>
      <c r="AU46" s="72"/>
      <c r="AX46" s="114"/>
      <c r="AY46" s="114"/>
      <c r="AZ46" s="114"/>
      <c r="BA46" s="114"/>
      <c r="BB46" s="114"/>
      <c r="BC46" s="114"/>
      <c r="BD46" s="114"/>
      <c r="BE46" s="114"/>
    </row>
    <row r="47" spans="1:57" x14ac:dyDescent="0.2">
      <c r="A47" s="42" t="s">
        <v>280</v>
      </c>
      <c r="V47" s="115"/>
      <c r="W47" s="42" t="str">
        <f>A47</f>
        <v xml:space="preserve">Source: John Miranowski, "Energy Consumption in U.S. Agriculture," presentation from conference, Agriculture as a Producer and Consumer of Energy, June 24, 2004, </v>
      </c>
      <c r="AP47" s="84">
        <f>AVERAGE(AP23:AP43)</f>
        <v>5.8926254307034593</v>
      </c>
      <c r="AQ47" s="84"/>
      <c r="AR47" s="84"/>
      <c r="AU47" s="72"/>
      <c r="AX47" s="114"/>
      <c r="AY47" s="114"/>
      <c r="AZ47" s="114"/>
      <c r="BA47" s="114"/>
      <c r="BB47" s="114"/>
      <c r="BC47" s="114"/>
      <c r="BD47" s="114"/>
      <c r="BE47" s="114"/>
    </row>
    <row r="48" spans="1:57" x14ac:dyDescent="0.2">
      <c r="A48" s="116" t="s">
        <v>281</v>
      </c>
      <c r="L48" s="72"/>
      <c r="M48" s="72"/>
      <c r="V48" s="115"/>
      <c r="W48" s="42" t="str">
        <f>A48</f>
        <v xml:space="preserve">sponsored by Farm Foundation and USDA's Office of Energy Policy and New Uses. [http://www.farmfoundation.org/projects/03-35EnergyConferencepresentations.htm]. </v>
      </c>
      <c r="AR48" s="72"/>
      <c r="AU48" s="72"/>
      <c r="AX48" s="114"/>
      <c r="AY48" s="114"/>
      <c r="AZ48" s="114"/>
      <c r="BA48" s="114"/>
      <c r="BB48" s="114"/>
      <c r="BC48" s="114"/>
      <c r="BD48" s="114"/>
      <c r="BE48" s="114"/>
    </row>
    <row r="49" spans="1:96" x14ac:dyDescent="0.2">
      <c r="A49" s="50" t="s">
        <v>282</v>
      </c>
      <c r="J49" s="88"/>
      <c r="K49" s="88"/>
      <c r="L49" s="88"/>
      <c r="M49" s="88"/>
      <c r="V49" s="115"/>
      <c r="W49" s="42" t="str">
        <f>A49</f>
        <v>Assumes that all pesticides and fertilizers are used by agriculture.</v>
      </c>
      <c r="AR49" s="72"/>
      <c r="AU49" s="72"/>
      <c r="AX49" s="114"/>
      <c r="AY49" s="114"/>
      <c r="AZ49" s="114"/>
      <c r="BA49" s="114"/>
      <c r="BB49" s="114"/>
      <c r="BC49" s="114"/>
      <c r="BD49" s="114"/>
      <c r="BE49" s="114"/>
    </row>
    <row r="50" spans="1:96" ht="12.75" x14ac:dyDescent="0.2">
      <c r="A50" s="117" t="s">
        <v>283</v>
      </c>
      <c r="G50" s="114">
        <f>E43+(J50*J43)+(K50*K42)+(L50*L42)+(M50*M42)</f>
        <v>449.26694999999995</v>
      </c>
      <c r="H50" s="118">
        <f>G50/R43</f>
        <v>0.26162899176620419</v>
      </c>
      <c r="J50" s="88">
        <v>0.15</v>
      </c>
      <c r="K50" s="88">
        <v>0.85</v>
      </c>
      <c r="L50" s="88">
        <v>0.25</v>
      </c>
      <c r="M50" s="88">
        <v>0.15</v>
      </c>
      <c r="AR50" s="72"/>
      <c r="AU50" s="72"/>
      <c r="AX50" s="114"/>
      <c r="AY50" s="114"/>
      <c r="AZ50" s="114"/>
      <c r="BA50" s="114"/>
      <c r="BB50" s="114"/>
      <c r="BC50" s="114"/>
      <c r="BD50" s="114"/>
      <c r="BE50" s="114"/>
    </row>
    <row r="51" spans="1:96" x14ac:dyDescent="0.2">
      <c r="B51" s="64"/>
      <c r="C51" s="64"/>
      <c r="D51" s="64"/>
      <c r="E51" s="64"/>
      <c r="F51" s="119"/>
      <c r="G51" s="119"/>
      <c r="H51" s="119"/>
      <c r="I51" s="119"/>
      <c r="J51" s="120"/>
      <c r="K51" s="119"/>
      <c r="L51" s="119"/>
      <c r="M51" s="119"/>
      <c r="N51" s="119"/>
      <c r="O51" s="119"/>
      <c r="P51" s="119"/>
      <c r="Q51" s="119"/>
      <c r="R51" s="121"/>
      <c r="S51" s="64"/>
      <c r="T51" s="68"/>
      <c r="U51" s="64"/>
      <c r="V51" s="64"/>
      <c r="W51" s="64"/>
      <c r="X51" s="64"/>
      <c r="Y51" s="64"/>
      <c r="Z51" s="66"/>
      <c r="AA51" s="64"/>
      <c r="AB51" s="64"/>
      <c r="AD51" s="66"/>
      <c r="AE51" s="64"/>
      <c r="AF51" s="64"/>
      <c r="AG51" s="64"/>
      <c r="AH51" s="66"/>
      <c r="AI51" s="68"/>
      <c r="AJ51" s="66"/>
      <c r="AK51" s="64"/>
      <c r="AL51" s="64"/>
      <c r="AM51" s="64"/>
      <c r="AN51" s="64"/>
      <c r="AO51" s="64"/>
      <c r="AP51" s="64"/>
      <c r="AQ51" s="64"/>
      <c r="AR51" s="72"/>
      <c r="AS51" s="64"/>
      <c r="AT51" s="64"/>
      <c r="AU51" s="72"/>
      <c r="BF51" s="42">
        <v>1965</v>
      </c>
      <c r="BG51" s="42">
        <v>1966</v>
      </c>
      <c r="BH51" s="42">
        <v>1967</v>
      </c>
      <c r="BI51" s="42">
        <v>1968</v>
      </c>
      <c r="BJ51" s="42">
        <v>1969</v>
      </c>
      <c r="BK51" s="42">
        <v>1970</v>
      </c>
      <c r="BL51" s="42">
        <v>1971</v>
      </c>
      <c r="BM51" s="42">
        <v>1972</v>
      </c>
      <c r="BN51" s="42">
        <v>1973</v>
      </c>
      <c r="BO51" s="42">
        <v>1974</v>
      </c>
      <c r="BP51" s="42">
        <v>1975</v>
      </c>
      <c r="BQ51" s="42">
        <v>1976</v>
      </c>
      <c r="BR51" s="42">
        <v>1977</v>
      </c>
      <c r="BS51" s="42">
        <v>1978</v>
      </c>
      <c r="BT51" s="42">
        <v>1979</v>
      </c>
      <c r="BU51" s="42">
        <v>1980</v>
      </c>
      <c r="BV51" s="42">
        <v>1981</v>
      </c>
      <c r="BW51" s="42">
        <v>1982</v>
      </c>
      <c r="BX51" s="42">
        <v>1983</v>
      </c>
      <c r="BY51" s="42">
        <v>1984</v>
      </c>
      <c r="BZ51" s="42">
        <v>1985</v>
      </c>
      <c r="CA51" s="42">
        <v>1986</v>
      </c>
      <c r="CB51" s="42">
        <v>1987</v>
      </c>
      <c r="CC51" s="42">
        <v>1988</v>
      </c>
      <c r="CD51" s="42">
        <v>1989</v>
      </c>
      <c r="CE51" s="42">
        <v>1990</v>
      </c>
      <c r="CF51" s="42">
        <v>1991</v>
      </c>
      <c r="CG51" s="42">
        <v>1992</v>
      </c>
      <c r="CH51" s="42">
        <v>1993</v>
      </c>
      <c r="CI51" s="42">
        <v>1994</v>
      </c>
      <c r="CJ51" s="42">
        <v>1995</v>
      </c>
      <c r="CK51" s="42">
        <v>1996</v>
      </c>
      <c r="CL51" s="42">
        <v>1997</v>
      </c>
      <c r="CM51" s="42">
        <v>1998</v>
      </c>
      <c r="CN51" s="42">
        <v>1999</v>
      </c>
      <c r="CO51" s="42">
        <v>2000</v>
      </c>
      <c r="CP51" s="42">
        <v>2001</v>
      </c>
      <c r="CQ51" s="42">
        <v>2002</v>
      </c>
    </row>
    <row r="52" spans="1:96" ht="12.75" x14ac:dyDescent="0.2">
      <c r="A52" s="71">
        <v>1965</v>
      </c>
      <c r="B52" s="122">
        <f t="shared" ref="B52:F67" si="18">B6/$R6</f>
        <v>0.4083674107820236</v>
      </c>
      <c r="C52" s="122">
        <f t="shared" si="18"/>
        <v>0.12675624524273821</v>
      </c>
      <c r="D52" s="122">
        <f t="shared" si="18"/>
        <v>6.8685650131533021E-2</v>
      </c>
      <c r="E52" s="122">
        <f t="shared" si="18"/>
        <v>8.4296025161426882E-2</v>
      </c>
      <c r="F52" s="122">
        <f t="shared" si="18"/>
        <v>5.8382178196801866E-2</v>
      </c>
      <c r="G52" s="72">
        <f>G6</f>
        <v>1195.499</v>
      </c>
      <c r="H52" s="122">
        <f t="shared" ref="H52:H89" si="19">G6/$R6</f>
        <v>0.74648750951452358</v>
      </c>
      <c r="I52" s="75"/>
      <c r="J52" s="76"/>
      <c r="O52" s="72">
        <f>O6</f>
        <v>406</v>
      </c>
      <c r="P52" s="122">
        <f t="shared" ref="P52:P89" si="20">O6/$R6</f>
        <v>0.25351249048547642</v>
      </c>
      <c r="Q52" s="75"/>
      <c r="R52" s="80">
        <f>R6</f>
        <v>1601.499</v>
      </c>
      <c r="S52" s="122">
        <f t="shared" ref="S52:S89" si="21">R6/$R6</f>
        <v>1</v>
      </c>
      <c r="T52" s="79"/>
      <c r="U52" s="80">
        <f>U6</f>
        <v>54017.220999999998</v>
      </c>
      <c r="Z52" s="81"/>
      <c r="AD52" s="81"/>
      <c r="AH52" s="81"/>
      <c r="AI52" s="79"/>
      <c r="AJ52" s="81"/>
      <c r="AR52" s="72"/>
      <c r="AS52" s="123">
        <v>92.70000299555565</v>
      </c>
      <c r="AT52" s="123">
        <v>120.77200662014955</v>
      </c>
      <c r="AU52" s="123">
        <v>55.03338956069873</v>
      </c>
      <c r="AX52" s="86">
        <v>1.1954990000000001</v>
      </c>
      <c r="AY52" s="86">
        <f>B52/1000</f>
        <v>4.0836741078202361E-4</v>
      </c>
      <c r="AZ52" s="86">
        <f>C52/1000</f>
        <v>1.267562452427382E-4</v>
      </c>
      <c r="BA52" s="86">
        <f>D52/1000</f>
        <v>6.8685650131533024E-5</v>
      </c>
      <c r="BB52" s="86">
        <f>E52/1000</f>
        <v>8.4296025161426877E-5</v>
      </c>
      <c r="BC52" s="86"/>
      <c r="BD52" s="86">
        <v>0.40600000000000003</v>
      </c>
      <c r="BE52" s="86" t="s">
        <v>277</v>
      </c>
      <c r="BF52" s="87">
        <v>1.1954990000000001</v>
      </c>
      <c r="BG52" s="87">
        <v>1.1835529999999999</v>
      </c>
      <c r="BH52" s="87">
        <v>1.1755529999999998</v>
      </c>
      <c r="BI52" s="87">
        <v>1.202134</v>
      </c>
      <c r="BJ52" s="87">
        <v>1.220715</v>
      </c>
      <c r="BK52" s="87">
        <v>1.2298230000000001</v>
      </c>
      <c r="BL52" s="87">
        <v>1.252931</v>
      </c>
      <c r="BM52" s="87">
        <v>1.214512</v>
      </c>
      <c r="BN52" s="87">
        <v>1.443147</v>
      </c>
      <c r="BO52" s="87">
        <v>1.1573089999999999</v>
      </c>
      <c r="BP52" s="87">
        <v>1.338687</v>
      </c>
      <c r="BQ52" s="87">
        <v>1.429173</v>
      </c>
      <c r="BR52" s="87">
        <v>1.433173</v>
      </c>
      <c r="BS52" s="87">
        <v>1.592713</v>
      </c>
      <c r="BT52" s="87">
        <v>1.4611320000000001</v>
      </c>
      <c r="BU52" s="87">
        <v>1.3099700000000001</v>
      </c>
      <c r="BV52" s="87">
        <v>1.2420239999999998</v>
      </c>
      <c r="BW52" s="87">
        <v>1.1845509999999999</v>
      </c>
      <c r="BX52" s="87">
        <v>1.1438079999999999</v>
      </c>
      <c r="BY52" s="87">
        <v>1.1366240000000001</v>
      </c>
      <c r="BZ52" s="87">
        <v>1.0517000000000001</v>
      </c>
      <c r="CA52" s="87">
        <v>0.94759199999999999</v>
      </c>
      <c r="CB52" s="87">
        <v>0.99560500000000007</v>
      </c>
      <c r="CC52" s="87">
        <v>1.0092939999999999</v>
      </c>
      <c r="CD52" s="87">
        <v>0.98209100000000005</v>
      </c>
      <c r="CE52" s="87">
        <v>0.95740200000000009</v>
      </c>
      <c r="CF52" s="87">
        <v>0.97587500000000005</v>
      </c>
      <c r="CG52" s="87">
        <v>1.0753060000000001</v>
      </c>
      <c r="CH52" s="87">
        <v>1.104973</v>
      </c>
      <c r="CI52" s="87">
        <v>1.157278</v>
      </c>
      <c r="CJ52" s="87">
        <v>1.209158</v>
      </c>
      <c r="CK52" s="87">
        <v>1.21377</v>
      </c>
      <c r="CL52" s="87">
        <v>1.1471589999999998</v>
      </c>
      <c r="CM52" s="87">
        <v>1.1604049999999999</v>
      </c>
      <c r="CN52" s="87">
        <v>1.1503840000000001</v>
      </c>
      <c r="CO52" s="87">
        <v>1.0915489999999999</v>
      </c>
      <c r="CP52" s="87">
        <v>1.120962</v>
      </c>
      <c r="CQ52" s="87">
        <v>1.111</v>
      </c>
      <c r="CR52" s="88">
        <f>MAX(BF52:CQ52)</f>
        <v>1.592713</v>
      </c>
    </row>
    <row r="53" spans="1:96" ht="12.75" x14ac:dyDescent="0.2">
      <c r="A53" s="71">
        <f t="shared" ref="A53:A90" si="22">+A52+1</f>
        <v>1966</v>
      </c>
      <c r="B53" s="122">
        <f t="shared" si="18"/>
        <v>0.3672730523126953</v>
      </c>
      <c r="C53" s="122">
        <f t="shared" si="18"/>
        <v>0.13985563250317867</v>
      </c>
      <c r="D53" s="122">
        <f t="shared" si="18"/>
        <v>6.749554438196885E-2</v>
      </c>
      <c r="E53" s="122">
        <f t="shared" si="18"/>
        <v>8.5129515436717457E-2</v>
      </c>
      <c r="F53" s="122">
        <f t="shared" si="18"/>
        <v>5.9926922391677254E-2</v>
      </c>
      <c r="G53" s="72">
        <f t="shared" ref="G53:G89" si="23">G7</f>
        <v>1183.5529999999999</v>
      </c>
      <c r="H53" s="122">
        <f t="shared" si="19"/>
        <v>0.71968066702623745</v>
      </c>
      <c r="I53" s="75"/>
      <c r="J53" s="76"/>
      <c r="O53" s="72">
        <f t="shared" ref="O53:O89" si="24">O7</f>
        <v>461</v>
      </c>
      <c r="P53" s="122">
        <f t="shared" si="20"/>
        <v>0.28031933297376249</v>
      </c>
      <c r="Q53" s="75"/>
      <c r="R53" s="80">
        <f t="shared" ref="R53:R89" si="25">R7</f>
        <v>1644.5529999999999</v>
      </c>
      <c r="S53" s="122">
        <f t="shared" si="21"/>
        <v>1</v>
      </c>
      <c r="T53" s="79"/>
      <c r="U53" s="80">
        <f t="shared" ref="U53:U90" si="26">U7</f>
        <v>57016.542999999998</v>
      </c>
      <c r="Z53" s="81"/>
      <c r="AD53" s="81"/>
      <c r="AH53" s="81"/>
      <c r="AI53" s="79"/>
      <c r="AJ53" s="81"/>
      <c r="AR53" s="72"/>
      <c r="AS53" s="123">
        <v>96.618088960588153</v>
      </c>
      <c r="AT53" s="123">
        <v>121.35628356273207</v>
      </c>
      <c r="AU53" s="123">
        <v>63.424732846211484</v>
      </c>
      <c r="AX53" s="86">
        <v>1.1835529999999999</v>
      </c>
      <c r="AY53" s="86">
        <f t="shared" ref="AY53:BB89" si="27">B53/1000</f>
        <v>3.6727305231269529E-4</v>
      </c>
      <c r="AZ53" s="86">
        <f t="shared" si="27"/>
        <v>1.3985563250317867E-4</v>
      </c>
      <c r="BA53" s="86">
        <f t="shared" si="27"/>
        <v>6.7495544381968855E-5</v>
      </c>
      <c r="BB53" s="86">
        <f t="shared" si="27"/>
        <v>8.5129515436717455E-5</v>
      </c>
      <c r="BC53" s="86"/>
      <c r="BD53" s="86">
        <v>0.46100000000000002</v>
      </c>
      <c r="BE53" s="86" t="s">
        <v>278</v>
      </c>
      <c r="BF53" s="87">
        <v>0.40600000000000003</v>
      </c>
      <c r="BG53" s="87">
        <v>0.46100000000000002</v>
      </c>
      <c r="BH53" s="87">
        <v>0.51900000000000002</v>
      </c>
      <c r="BI53" s="87">
        <v>0.57299999999999995</v>
      </c>
      <c r="BJ53" s="87">
        <v>0.58899999999999997</v>
      </c>
      <c r="BK53" s="87">
        <v>0.623</v>
      </c>
      <c r="BL53" s="87">
        <v>0.67500000000000004</v>
      </c>
      <c r="BM53" s="87">
        <v>0.67200000000000004</v>
      </c>
      <c r="BN53" s="87">
        <v>0.70199999999999996</v>
      </c>
      <c r="BO53" s="87">
        <v>0.76500000000000001</v>
      </c>
      <c r="BP53" s="87">
        <v>0.71799999999999997</v>
      </c>
      <c r="BQ53" s="87">
        <v>0.85099999999999987</v>
      </c>
      <c r="BR53" s="87">
        <v>0.88600000000000012</v>
      </c>
      <c r="BS53" s="87">
        <v>0.83299999999999996</v>
      </c>
      <c r="BT53" s="87">
        <v>0.89900000000000002</v>
      </c>
      <c r="BU53" s="87">
        <v>0.94299999999999984</v>
      </c>
      <c r="BV53" s="87">
        <v>0.98</v>
      </c>
      <c r="BW53" s="87">
        <v>0.90500000000000003</v>
      </c>
      <c r="BX53" s="87">
        <v>0.72699999999999998</v>
      </c>
      <c r="BY53" s="87">
        <v>0.872</v>
      </c>
      <c r="BZ53" s="87">
        <v>0.89100000000000001</v>
      </c>
      <c r="CA53" s="87">
        <v>0.81299999999999994</v>
      </c>
      <c r="CB53" s="87">
        <v>0.7420000000000001</v>
      </c>
      <c r="CC53" s="87">
        <v>0.75996800000000009</v>
      </c>
      <c r="CD53" s="87">
        <v>0.74554999999999993</v>
      </c>
      <c r="CE53" s="87">
        <v>0.759544</v>
      </c>
      <c r="CF53" s="87">
        <v>0.74422099999999991</v>
      </c>
      <c r="CG53" s="87">
        <v>0.73229299999999997</v>
      </c>
      <c r="CH53" s="87">
        <v>0.70811999999999997</v>
      </c>
      <c r="CI53" s="87">
        <v>0.75313399999999997</v>
      </c>
      <c r="CJ53" s="87">
        <v>0.68884500000000004</v>
      </c>
      <c r="CK53" s="87">
        <v>0.69682699999999997</v>
      </c>
      <c r="CL53" s="87">
        <v>0.69403200000000009</v>
      </c>
      <c r="CM53" s="87">
        <v>0.66020000000000001</v>
      </c>
      <c r="CN53" s="87">
        <v>0.64206400000000008</v>
      </c>
      <c r="CO53" s="87">
        <v>0.61561900000000003</v>
      </c>
      <c r="CP53" s="87">
        <v>0.58493700000000004</v>
      </c>
      <c r="CQ53" s="87">
        <v>0.60619100000000004</v>
      </c>
      <c r="CR53" s="88">
        <f>MAX(BF53:CQ53)</f>
        <v>0.98</v>
      </c>
    </row>
    <row r="54" spans="1:96" ht="12.75" x14ac:dyDescent="0.2">
      <c r="A54" s="71">
        <f t="shared" si="22"/>
        <v>1967</v>
      </c>
      <c r="B54" s="122">
        <f t="shared" si="18"/>
        <v>0.33637189276464063</v>
      </c>
      <c r="C54" s="122">
        <f t="shared" si="18"/>
        <v>0.14871178416963057</v>
      </c>
      <c r="D54" s="122">
        <f t="shared" si="18"/>
        <v>6.609412629761359E-2</v>
      </c>
      <c r="E54" s="122">
        <f t="shared" si="18"/>
        <v>8.438803625498878E-2</v>
      </c>
      <c r="F54" s="122">
        <f t="shared" si="18"/>
        <v>5.8158700259006359E-2</v>
      </c>
      <c r="G54" s="72">
        <f t="shared" si="23"/>
        <v>1175.5529999999999</v>
      </c>
      <c r="H54" s="122">
        <f t="shared" si="19"/>
        <v>0.69372453974587989</v>
      </c>
      <c r="I54" s="75"/>
      <c r="J54" s="76"/>
      <c r="O54" s="72">
        <f t="shared" si="24"/>
        <v>519</v>
      </c>
      <c r="P54" s="122">
        <f t="shared" si="20"/>
        <v>0.30627546025412011</v>
      </c>
      <c r="Q54" s="75"/>
      <c r="R54" s="80">
        <f t="shared" si="25"/>
        <v>1694.5529999999999</v>
      </c>
      <c r="S54" s="122">
        <f t="shared" si="21"/>
        <v>1</v>
      </c>
      <c r="T54" s="79"/>
      <c r="U54" s="80">
        <f t="shared" si="26"/>
        <v>58908.108</v>
      </c>
      <c r="Z54" s="81"/>
      <c r="AD54" s="81"/>
      <c r="AH54" s="81"/>
      <c r="AI54" s="79"/>
      <c r="AJ54" s="81"/>
      <c r="AR54" s="72"/>
      <c r="AS54" s="123">
        <v>95.53358049138842</v>
      </c>
      <c r="AT54" s="123">
        <v>115.66636861864481</v>
      </c>
      <c r="AU54" s="123">
        <v>68.5196929934948</v>
      </c>
      <c r="AX54" s="86">
        <v>1.1755529999999998</v>
      </c>
      <c r="AY54" s="86">
        <f t="shared" si="27"/>
        <v>3.3637189276464061E-4</v>
      </c>
      <c r="AZ54" s="86">
        <f t="shared" si="27"/>
        <v>1.4871178416963056E-4</v>
      </c>
      <c r="BA54" s="86">
        <f t="shared" si="27"/>
        <v>6.6094126297613584E-5</v>
      </c>
      <c r="BB54" s="86">
        <f t="shared" si="27"/>
        <v>8.4388036254988777E-5</v>
      </c>
      <c r="BC54" s="86"/>
      <c r="BD54" s="86">
        <v>0.51900000000000002</v>
      </c>
      <c r="BE54" s="86" t="s">
        <v>92</v>
      </c>
      <c r="BF54" s="88">
        <v>0.65400000000000003</v>
      </c>
      <c r="BG54" s="88">
        <v>0.60399999999999998</v>
      </c>
      <c r="BH54" s="88">
        <v>0.56999999999999995</v>
      </c>
      <c r="BI54" s="88">
        <v>0.57199999999999995</v>
      </c>
      <c r="BJ54" s="88">
        <v>0.55000000000000004</v>
      </c>
      <c r="BK54" s="88">
        <v>0.54100000000000004</v>
      </c>
      <c r="BL54" s="88">
        <v>0.52300000000000002</v>
      </c>
      <c r="BM54" s="88">
        <v>0.47599999999999998</v>
      </c>
      <c r="BN54" s="88">
        <v>0.59</v>
      </c>
      <c r="BO54" s="88">
        <v>0.44700000000000001</v>
      </c>
      <c r="BP54" s="88">
        <v>0.55500000000000005</v>
      </c>
      <c r="BQ54" s="88">
        <v>0.48199999999999998</v>
      </c>
      <c r="BR54" s="88">
        <v>0.47899999999999998</v>
      </c>
      <c r="BS54" s="88">
        <v>0.432</v>
      </c>
      <c r="BT54" s="88">
        <v>0.43099999999999999</v>
      </c>
      <c r="BU54" s="88">
        <v>0.371</v>
      </c>
      <c r="BV54" s="88">
        <v>0.35399999999999998</v>
      </c>
      <c r="BW54" s="88">
        <v>0.28799999999999998</v>
      </c>
      <c r="BX54" s="88">
        <v>0.27700000000000002</v>
      </c>
      <c r="BY54" s="88">
        <v>0.25600000000000001</v>
      </c>
      <c r="BZ54" s="88">
        <v>0.23200000000000001</v>
      </c>
      <c r="CA54" s="88">
        <v>0.19900000000000001</v>
      </c>
      <c r="CB54" s="88">
        <v>0.186</v>
      </c>
      <c r="CC54" s="88">
        <v>0.19</v>
      </c>
      <c r="CD54" s="88">
        <v>0.17199999999999999</v>
      </c>
      <c r="CE54" s="88">
        <v>0.17799999999999999</v>
      </c>
      <c r="CF54" s="88">
        <v>0.159</v>
      </c>
      <c r="CG54" s="88">
        <v>0.183</v>
      </c>
      <c r="CH54" s="88">
        <v>0.18725</v>
      </c>
      <c r="CI54" s="88">
        <v>0.19612499999999999</v>
      </c>
      <c r="CJ54" s="88">
        <v>0.17824999999999999</v>
      </c>
      <c r="CK54" s="88">
        <v>0.17774999999999999</v>
      </c>
      <c r="CL54" s="88">
        <v>0.1875</v>
      </c>
      <c r="CM54" s="88">
        <v>0.16284000000000001</v>
      </c>
      <c r="CN54" s="88">
        <v>0.16375000000000001</v>
      </c>
      <c r="CO54" s="88">
        <v>0.15625</v>
      </c>
      <c r="CP54" s="88">
        <v>0.14374999999999999</v>
      </c>
      <c r="CQ54" s="88">
        <v>0.14599999999999999</v>
      </c>
    </row>
    <row r="55" spans="1:96" ht="12.75" x14ac:dyDescent="0.2">
      <c r="A55" s="71">
        <f t="shared" si="22"/>
        <v>1968</v>
      </c>
      <c r="B55" s="122">
        <f t="shared" si="18"/>
        <v>0.3222291950917508</v>
      </c>
      <c r="C55" s="122">
        <f t="shared" si="18"/>
        <v>0.14928450471908036</v>
      </c>
      <c r="D55" s="122">
        <f t="shared" si="18"/>
        <v>6.36571661632305E-2</v>
      </c>
      <c r="E55" s="122">
        <f t="shared" si="18"/>
        <v>8.2247312033908421E-2</v>
      </c>
      <c r="F55" s="122">
        <f t="shared" si="18"/>
        <v>5.9789289146622168E-2</v>
      </c>
      <c r="G55" s="72">
        <f t="shared" si="23"/>
        <v>1202.134</v>
      </c>
      <c r="H55" s="122">
        <f t="shared" si="19"/>
        <v>0.67720746715459224</v>
      </c>
      <c r="I55" s="75"/>
      <c r="J55" s="76"/>
      <c r="O55" s="72">
        <f t="shared" si="24"/>
        <v>573</v>
      </c>
      <c r="P55" s="122">
        <f t="shared" si="20"/>
        <v>0.32279253284540771</v>
      </c>
      <c r="Q55" s="75"/>
      <c r="R55" s="80">
        <f t="shared" si="25"/>
        <v>1775.134</v>
      </c>
      <c r="S55" s="122">
        <f t="shared" si="21"/>
        <v>1</v>
      </c>
      <c r="T55" s="79"/>
      <c r="U55" s="80">
        <f t="shared" si="26"/>
        <v>62419.391000000003</v>
      </c>
      <c r="Z55" s="81"/>
      <c r="AD55" s="81"/>
      <c r="AH55" s="81"/>
      <c r="AI55" s="79"/>
      <c r="AJ55" s="81"/>
      <c r="AR55" s="72"/>
      <c r="AS55" s="123">
        <v>102.07305289837817</v>
      </c>
      <c r="AT55" s="123">
        <v>120.64152851571379</v>
      </c>
      <c r="AU55" s="123">
        <v>77.158137578974589</v>
      </c>
      <c r="AX55" s="86">
        <v>1.202134</v>
      </c>
      <c r="AY55" s="86">
        <f t="shared" si="27"/>
        <v>3.222291950917508E-4</v>
      </c>
      <c r="AZ55" s="86">
        <f t="shared" si="27"/>
        <v>1.4928450471908038E-4</v>
      </c>
      <c r="BA55" s="86">
        <f t="shared" si="27"/>
        <v>6.3657166163230504E-5</v>
      </c>
      <c r="BB55" s="86">
        <f t="shared" si="27"/>
        <v>8.2247312033908424E-5</v>
      </c>
      <c r="BC55" s="86"/>
      <c r="BD55" s="86">
        <v>0.57299999999999995</v>
      </c>
      <c r="BE55" s="86" t="s">
        <v>93</v>
      </c>
      <c r="BF55" s="88">
        <v>0.20300000000000001</v>
      </c>
      <c r="BG55" s="88">
        <v>0.23</v>
      </c>
      <c r="BH55" s="88">
        <v>0.252</v>
      </c>
      <c r="BI55" s="88">
        <v>0.26500000000000001</v>
      </c>
      <c r="BJ55" s="88">
        <v>0.29299999999999998</v>
      </c>
      <c r="BK55" s="88">
        <v>0.29799999999999999</v>
      </c>
      <c r="BL55" s="88">
        <v>0.32800000000000001</v>
      </c>
      <c r="BM55" s="88">
        <v>0.32500000000000001</v>
      </c>
      <c r="BN55" s="88">
        <v>0.41399999999999998</v>
      </c>
      <c r="BO55" s="88">
        <v>0.34499999999999997</v>
      </c>
      <c r="BP55" s="88">
        <v>0.35399999999999998</v>
      </c>
      <c r="BQ55" s="88">
        <v>0.41799999999999998</v>
      </c>
      <c r="BR55" s="88">
        <v>0.434</v>
      </c>
      <c r="BS55" s="88">
        <v>0.57499999999999996</v>
      </c>
      <c r="BT55" s="88">
        <v>0.498</v>
      </c>
      <c r="BU55" s="88">
        <v>0.46800000000000003</v>
      </c>
      <c r="BV55" s="88">
        <v>0.42899999999999999</v>
      </c>
      <c r="BW55" s="88">
        <v>0.41599999999999998</v>
      </c>
      <c r="BX55" s="88">
        <v>0.45200000000000001</v>
      </c>
      <c r="BY55" s="88">
        <v>0.435</v>
      </c>
      <c r="BZ55" s="88">
        <v>0.42599999999999999</v>
      </c>
      <c r="CA55" s="88">
        <v>0.379</v>
      </c>
      <c r="CB55" s="88">
        <v>0.42499999999999999</v>
      </c>
      <c r="CC55" s="88">
        <v>0.40400000000000003</v>
      </c>
      <c r="CD55" s="88">
        <v>0.38600000000000001</v>
      </c>
      <c r="CE55" s="88">
        <v>0.35499999999999998</v>
      </c>
      <c r="CF55" s="88">
        <v>0.372</v>
      </c>
      <c r="CG55" s="88">
        <v>0.43618000000000001</v>
      </c>
      <c r="CH55" s="88">
        <v>0.455735</v>
      </c>
      <c r="CI55" s="88">
        <v>0.48208600000000001</v>
      </c>
      <c r="CJ55" s="88">
        <v>0.50483199999999995</v>
      </c>
      <c r="CK55" s="88">
        <v>0.48832700000000001</v>
      </c>
      <c r="CL55" s="88">
        <v>0.49928400000000001</v>
      </c>
      <c r="CM55" s="88">
        <v>0.50739999999999996</v>
      </c>
      <c r="CN55" s="88">
        <v>0.52979600000000004</v>
      </c>
      <c r="CO55" s="88">
        <v>0.46877199999999997</v>
      </c>
      <c r="CP55" s="88">
        <v>0.48402800000000001</v>
      </c>
      <c r="CQ55" s="88">
        <v>0.46899999999999997</v>
      </c>
    </row>
    <row r="56" spans="1:96" ht="12.75" x14ac:dyDescent="0.2">
      <c r="A56" s="71">
        <f t="shared" si="22"/>
        <v>1969</v>
      </c>
      <c r="B56" s="122">
        <f t="shared" si="18"/>
        <v>0.30391525737478003</v>
      </c>
      <c r="C56" s="122">
        <f t="shared" si="18"/>
        <v>0.16190394620147372</v>
      </c>
      <c r="D56" s="122">
        <f t="shared" si="18"/>
        <v>6.299334425586349E-2</v>
      </c>
      <c r="E56" s="122">
        <f t="shared" si="18"/>
        <v>8.2885979284030908E-2</v>
      </c>
      <c r="F56" s="122">
        <f t="shared" si="18"/>
        <v>6.2835860895223833E-2</v>
      </c>
      <c r="G56" s="72">
        <f t="shared" si="23"/>
        <v>1220.7149999999999</v>
      </c>
      <c r="H56" s="122">
        <f t="shared" si="19"/>
        <v>0.67453438801137189</v>
      </c>
      <c r="I56" s="75"/>
      <c r="J56" s="76"/>
      <c r="O56" s="72">
        <f t="shared" si="24"/>
        <v>589</v>
      </c>
      <c r="P56" s="122">
        <f t="shared" si="20"/>
        <v>0.32546561198862806</v>
      </c>
      <c r="Q56" s="75"/>
      <c r="R56" s="80">
        <f t="shared" si="25"/>
        <v>1809.7149999999999</v>
      </c>
      <c r="S56" s="122">
        <f t="shared" si="21"/>
        <v>1</v>
      </c>
      <c r="T56" s="79"/>
      <c r="U56" s="80">
        <f t="shared" si="26"/>
        <v>65620.879000000001</v>
      </c>
      <c r="Z56" s="81"/>
      <c r="AD56" s="81"/>
      <c r="AH56" s="81"/>
      <c r="AI56" s="79"/>
      <c r="AJ56" s="81"/>
      <c r="AS56" s="123">
        <v>107.42977618716669</v>
      </c>
      <c r="AT56" s="123">
        <v>126.47152479106526</v>
      </c>
      <c r="AU56" s="123">
        <v>81.879829935435652</v>
      </c>
      <c r="AX56" s="86">
        <v>1.220715</v>
      </c>
      <c r="AY56" s="86">
        <f t="shared" si="27"/>
        <v>3.0391525737478005E-4</v>
      </c>
      <c r="AZ56" s="86">
        <f t="shared" si="27"/>
        <v>1.6190394620147372E-4</v>
      </c>
      <c r="BA56" s="86">
        <f t="shared" si="27"/>
        <v>6.2993344255863492E-5</v>
      </c>
      <c r="BB56" s="86">
        <f t="shared" si="27"/>
        <v>8.2885979284030904E-5</v>
      </c>
      <c r="BC56" s="86"/>
      <c r="BD56" s="86">
        <v>0.58899999999999997</v>
      </c>
      <c r="BE56" s="86" t="s">
        <v>248</v>
      </c>
      <c r="BF56" s="88">
        <v>0.11</v>
      </c>
      <c r="BG56" s="88">
        <v>0.111</v>
      </c>
      <c r="BH56" s="88">
        <v>0.112</v>
      </c>
      <c r="BI56" s="88">
        <v>0.113</v>
      </c>
      <c r="BJ56" s="88">
        <v>0.114</v>
      </c>
      <c r="BK56" s="88">
        <v>0.114</v>
      </c>
      <c r="BL56" s="88">
        <v>0.111</v>
      </c>
      <c r="BM56" s="88">
        <v>0.123</v>
      </c>
      <c r="BN56" s="88">
        <v>0.126</v>
      </c>
      <c r="BO56" s="88">
        <v>8.6999999999999994E-2</v>
      </c>
      <c r="BP56" s="88">
        <v>9.0999999999999998E-2</v>
      </c>
      <c r="BQ56" s="88">
        <v>0.111</v>
      </c>
      <c r="BR56" s="88">
        <v>0.10199999999999999</v>
      </c>
      <c r="BS56" s="88">
        <v>0.112</v>
      </c>
      <c r="BT56" s="88">
        <v>0.114</v>
      </c>
      <c r="BU56" s="88">
        <v>0.1</v>
      </c>
      <c r="BV56" s="88">
        <v>9.4E-2</v>
      </c>
      <c r="BW56" s="88">
        <v>9.8000000000000004E-2</v>
      </c>
      <c r="BX56" s="88">
        <v>7.9000000000000001E-2</v>
      </c>
      <c r="BY56" s="88">
        <v>8.5999999999999993E-2</v>
      </c>
      <c r="BZ56" s="88">
        <v>8.6999999999999994E-2</v>
      </c>
      <c r="CA56" s="88">
        <v>6.5000000000000002E-2</v>
      </c>
      <c r="CB56" s="88">
        <v>5.8000000000000003E-2</v>
      </c>
      <c r="CC56" s="88">
        <v>5.8999999999999997E-2</v>
      </c>
      <c r="CD56" s="88">
        <v>0.06</v>
      </c>
      <c r="CE56" s="88">
        <v>5.8000000000000003E-2</v>
      </c>
      <c r="CF56" s="88">
        <v>5.3999999999999999E-2</v>
      </c>
      <c r="CG56" s="88">
        <v>7.8243999999999994E-2</v>
      </c>
      <c r="CH56" s="88">
        <v>6.9388000000000005E-2</v>
      </c>
      <c r="CI56" s="88">
        <v>7.7330999999999997E-2</v>
      </c>
      <c r="CJ56" s="88">
        <v>7.0027000000000006E-2</v>
      </c>
      <c r="CK56" s="88">
        <v>7.1671000000000012E-2</v>
      </c>
      <c r="CL56" s="88">
        <v>9.1299999999999992E-2</v>
      </c>
      <c r="CM56" s="88">
        <v>7.9060000000000005E-2</v>
      </c>
      <c r="CN56" s="88">
        <v>9.0386999999999995E-2</v>
      </c>
      <c r="CO56" s="88">
        <v>7.8153E-2</v>
      </c>
      <c r="CP56" s="88">
        <v>6.5736000000000003E-2</v>
      </c>
      <c r="CQ56" s="88">
        <v>7.8E-2</v>
      </c>
    </row>
    <row r="57" spans="1:96" ht="12.75" x14ac:dyDescent="0.2">
      <c r="A57" s="71">
        <f t="shared" si="22"/>
        <v>1970</v>
      </c>
      <c r="B57" s="122">
        <f t="shared" si="18"/>
        <v>0.29198687624236097</v>
      </c>
      <c r="C57" s="122">
        <f t="shared" si="18"/>
        <v>0.16083565456603247</v>
      </c>
      <c r="D57" s="122">
        <f t="shared" si="18"/>
        <v>6.1527733625931884E-2</v>
      </c>
      <c r="E57" s="122">
        <f t="shared" si="18"/>
        <v>8.2576695129540162E-2</v>
      </c>
      <c r="F57" s="122">
        <f t="shared" si="18"/>
        <v>6.6829373340033013E-2</v>
      </c>
      <c r="G57" s="72">
        <f t="shared" si="23"/>
        <v>1229.8230000000001</v>
      </c>
      <c r="H57" s="122">
        <f t="shared" si="19"/>
        <v>0.66375633290389857</v>
      </c>
      <c r="I57" s="75"/>
      <c r="J57" s="76"/>
      <c r="O57" s="72">
        <f t="shared" si="24"/>
        <v>623</v>
      </c>
      <c r="P57" s="122">
        <f t="shared" si="20"/>
        <v>0.33624366709610143</v>
      </c>
      <c r="Q57" s="75"/>
      <c r="R57" s="80">
        <f t="shared" si="25"/>
        <v>1852.8230000000001</v>
      </c>
      <c r="S57" s="122">
        <f t="shared" si="21"/>
        <v>1</v>
      </c>
      <c r="T57" s="79"/>
      <c r="U57" s="80">
        <f t="shared" si="26"/>
        <v>67844.160999999993</v>
      </c>
      <c r="Z57" s="81"/>
      <c r="AD57" s="81"/>
      <c r="AH57" s="81"/>
      <c r="AI57" s="79"/>
      <c r="AJ57" s="81"/>
      <c r="AS57" s="123">
        <v>109.0136002726905</v>
      </c>
      <c r="AT57" s="123">
        <v>126.28545960854385</v>
      </c>
      <c r="AU57" s="123">
        <v>85.838466156690103</v>
      </c>
      <c r="AX57" s="86">
        <v>1.2298230000000001</v>
      </c>
      <c r="AY57" s="86">
        <f t="shared" si="27"/>
        <v>2.91986876242361E-4</v>
      </c>
      <c r="AZ57" s="86">
        <f t="shared" si="27"/>
        <v>1.6083565456603247E-4</v>
      </c>
      <c r="BA57" s="86">
        <f t="shared" si="27"/>
        <v>6.152773362593189E-5</v>
      </c>
      <c r="BB57" s="86">
        <f t="shared" si="27"/>
        <v>8.2576695129540169E-5</v>
      </c>
      <c r="BC57" s="86"/>
      <c r="BD57" s="86">
        <v>0.623</v>
      </c>
      <c r="BE57" s="86" t="s">
        <v>6</v>
      </c>
      <c r="BF57" s="88">
        <v>0.13500000000000001</v>
      </c>
      <c r="BG57" s="88">
        <v>0.14000000000000001</v>
      </c>
      <c r="BH57" s="88">
        <v>0.14299999999999999</v>
      </c>
      <c r="BI57" s="88">
        <v>0.14599999999999999</v>
      </c>
      <c r="BJ57" s="88">
        <v>0.15</v>
      </c>
      <c r="BK57" s="88">
        <v>0.153</v>
      </c>
      <c r="BL57" s="88">
        <v>0.157</v>
      </c>
      <c r="BM57" s="88">
        <v>0.14899999999999999</v>
      </c>
      <c r="BN57" s="88">
        <v>0.159</v>
      </c>
      <c r="BO57" s="88">
        <v>0.109</v>
      </c>
      <c r="BP57" s="88">
        <v>0.13400000000000001</v>
      </c>
      <c r="BQ57" s="88">
        <v>0.16800000000000001</v>
      </c>
      <c r="BR57" s="88">
        <v>0.11799999999999999</v>
      </c>
      <c r="BS57" s="88">
        <v>0.17299999999999999</v>
      </c>
      <c r="BT57" s="88">
        <v>0.125</v>
      </c>
      <c r="BU57" s="88">
        <v>9.2999999999999999E-2</v>
      </c>
      <c r="BV57" s="88">
        <v>8.2000000000000003E-2</v>
      </c>
      <c r="BW57" s="88">
        <v>9.7000000000000003E-2</v>
      </c>
      <c r="BX57" s="88">
        <v>7.2999999999999995E-2</v>
      </c>
      <c r="BY57" s="88">
        <v>7.5999999999999998E-2</v>
      </c>
      <c r="BZ57" s="88">
        <v>5.3999999999999999E-2</v>
      </c>
      <c r="CA57" s="88">
        <v>6.2E-2</v>
      </c>
      <c r="CB57" s="88">
        <v>3.5999999999999997E-2</v>
      </c>
      <c r="CC57" s="88">
        <v>4.8000000000000001E-2</v>
      </c>
      <c r="CD57" s="88">
        <v>2.8000000000000001E-2</v>
      </c>
      <c r="CE57" s="88">
        <v>4.8000000000000001E-2</v>
      </c>
      <c r="CF57" s="88">
        <v>7.4999999999999997E-2</v>
      </c>
      <c r="CG57" s="88">
        <v>4.7677999999999998E-2</v>
      </c>
      <c r="CH57" s="88">
        <v>5.8942000000000001E-2</v>
      </c>
      <c r="CI57" s="88">
        <v>6.8078E-2</v>
      </c>
      <c r="CJ57" s="88">
        <v>8.4501000000000007E-2</v>
      </c>
      <c r="CK57" s="88">
        <v>7.4574000000000001E-2</v>
      </c>
      <c r="CL57" s="88">
        <v>6.5331999999999987E-2</v>
      </c>
      <c r="CM57" s="88">
        <v>0.08</v>
      </c>
      <c r="CN57" s="88">
        <v>8.6565000000000003E-2</v>
      </c>
      <c r="CO57" s="88">
        <v>7.5845999999999997E-2</v>
      </c>
      <c r="CP57" s="88">
        <v>5.7561999999999995E-2</v>
      </c>
      <c r="CQ57" s="88">
        <v>6.2E-2</v>
      </c>
    </row>
    <row r="58" spans="1:96" ht="12.75" x14ac:dyDescent="0.2">
      <c r="A58" s="71">
        <f t="shared" si="22"/>
        <v>1971</v>
      </c>
      <c r="B58" s="122">
        <f t="shared" si="18"/>
        <v>0.2712752686688476</v>
      </c>
      <c r="C58" s="122">
        <f t="shared" si="18"/>
        <v>0.17013057002558701</v>
      </c>
      <c r="D58" s="122">
        <f t="shared" si="18"/>
        <v>5.7574674612317557E-2</v>
      </c>
      <c r="E58" s="122">
        <f t="shared" si="18"/>
        <v>8.1434449676881585E-2</v>
      </c>
      <c r="F58" s="122">
        <f t="shared" si="18"/>
        <v>6.9468772482002727E-2</v>
      </c>
      <c r="G58" s="72">
        <f t="shared" si="23"/>
        <v>1252.931</v>
      </c>
      <c r="H58" s="122">
        <f t="shared" si="19"/>
        <v>0.64988373546563649</v>
      </c>
      <c r="I58" s="75"/>
      <c r="J58" s="76"/>
      <c r="O58" s="72">
        <f t="shared" si="24"/>
        <v>675</v>
      </c>
      <c r="P58" s="122">
        <f t="shared" si="20"/>
        <v>0.35011626453436351</v>
      </c>
      <c r="Q58" s="75"/>
      <c r="R58" s="80">
        <f t="shared" si="25"/>
        <v>1927.931</v>
      </c>
      <c r="S58" s="122">
        <f t="shared" si="21"/>
        <v>1</v>
      </c>
      <c r="T58" s="79"/>
      <c r="U58" s="80">
        <f t="shared" si="26"/>
        <v>69288.964000000007</v>
      </c>
      <c r="Z58" s="81"/>
      <c r="AD58" s="81"/>
      <c r="AH58" s="81"/>
      <c r="AI58" s="79"/>
      <c r="AJ58" s="81"/>
      <c r="AS58" s="123">
        <v>108.83473366231675</v>
      </c>
      <c r="AT58" s="123">
        <v>123.44320117688351</v>
      </c>
      <c r="AU58" s="123">
        <v>89.23330064366418</v>
      </c>
      <c r="AX58" s="86">
        <v>1.252931</v>
      </c>
      <c r="AY58" s="86">
        <f t="shared" si="27"/>
        <v>2.7127526866884761E-4</v>
      </c>
      <c r="AZ58" s="86">
        <f t="shared" si="27"/>
        <v>1.7013057002558701E-4</v>
      </c>
      <c r="BA58" s="86">
        <f t="shared" si="27"/>
        <v>5.7574674612317555E-5</v>
      </c>
      <c r="BB58" s="86">
        <f t="shared" si="27"/>
        <v>8.143444967688158E-5</v>
      </c>
      <c r="BC58" s="86"/>
      <c r="BD58" s="86">
        <v>0.67500000000000004</v>
      </c>
      <c r="BE58" s="86"/>
      <c r="BF58" s="88">
        <f t="shared" ref="BF58:CQ58" si="28">SUM(BF53:BF57)</f>
        <v>1.5080000000000002</v>
      </c>
      <c r="BG58" s="88">
        <f t="shared" si="28"/>
        <v>1.5459999999999998</v>
      </c>
      <c r="BH58" s="88">
        <f t="shared" si="28"/>
        <v>1.5960000000000001</v>
      </c>
      <c r="BI58" s="88">
        <f t="shared" si="28"/>
        <v>1.669</v>
      </c>
      <c r="BJ58" s="88">
        <f t="shared" si="28"/>
        <v>1.696</v>
      </c>
      <c r="BK58" s="88">
        <f t="shared" si="28"/>
        <v>1.7290000000000003</v>
      </c>
      <c r="BL58" s="88">
        <f t="shared" si="28"/>
        <v>1.794</v>
      </c>
      <c r="BM58" s="88">
        <f t="shared" si="28"/>
        <v>1.7450000000000001</v>
      </c>
      <c r="BN58" s="88">
        <f t="shared" si="28"/>
        <v>1.9909999999999999</v>
      </c>
      <c r="BO58" s="88">
        <f t="shared" si="28"/>
        <v>1.7529999999999999</v>
      </c>
      <c r="BP58" s="88">
        <f t="shared" si="28"/>
        <v>1.8520000000000003</v>
      </c>
      <c r="BQ58" s="88">
        <f t="shared" si="28"/>
        <v>2.0299999999999998</v>
      </c>
      <c r="BR58" s="88">
        <f t="shared" si="28"/>
        <v>2.0190000000000001</v>
      </c>
      <c r="BS58" s="88">
        <f t="shared" si="28"/>
        <v>2.125</v>
      </c>
      <c r="BT58" s="88">
        <f t="shared" si="28"/>
        <v>2.0670000000000002</v>
      </c>
      <c r="BU58" s="88">
        <f t="shared" si="28"/>
        <v>1.9749999999999999</v>
      </c>
      <c r="BV58" s="88">
        <f t="shared" si="28"/>
        <v>1.9390000000000003</v>
      </c>
      <c r="BW58" s="88">
        <f t="shared" si="28"/>
        <v>1.804</v>
      </c>
      <c r="BX58" s="88">
        <f t="shared" si="28"/>
        <v>1.6079999999999999</v>
      </c>
      <c r="BY58" s="88">
        <f t="shared" si="28"/>
        <v>1.7250000000000003</v>
      </c>
      <c r="BZ58" s="88">
        <f t="shared" si="28"/>
        <v>1.69</v>
      </c>
      <c r="CA58" s="88">
        <f t="shared" si="28"/>
        <v>1.518</v>
      </c>
      <c r="CB58" s="88">
        <f t="shared" si="28"/>
        <v>1.4470000000000003</v>
      </c>
      <c r="CC58" s="88">
        <f t="shared" si="28"/>
        <v>1.460968</v>
      </c>
      <c r="CD58" s="88">
        <f t="shared" si="28"/>
        <v>1.3915500000000001</v>
      </c>
      <c r="CE58" s="88">
        <f t="shared" si="28"/>
        <v>1.398544</v>
      </c>
      <c r="CF58" s="88">
        <f t="shared" si="28"/>
        <v>1.4042209999999999</v>
      </c>
      <c r="CG58" s="88">
        <f t="shared" si="28"/>
        <v>1.477395</v>
      </c>
      <c r="CH58" s="88">
        <f t="shared" si="28"/>
        <v>1.4794350000000001</v>
      </c>
      <c r="CI58" s="88">
        <f t="shared" si="28"/>
        <v>1.576754</v>
      </c>
      <c r="CJ58" s="88">
        <f t="shared" si="28"/>
        <v>1.5264549999999999</v>
      </c>
      <c r="CK58" s="88">
        <f t="shared" si="28"/>
        <v>1.5091489999999999</v>
      </c>
      <c r="CL58" s="88">
        <f t="shared" si="28"/>
        <v>1.5374479999999999</v>
      </c>
      <c r="CM58" s="88">
        <f t="shared" si="28"/>
        <v>1.4894999999999998</v>
      </c>
      <c r="CN58" s="88">
        <f t="shared" si="28"/>
        <v>1.512562</v>
      </c>
      <c r="CO58" s="88">
        <f t="shared" si="28"/>
        <v>1.3946400000000001</v>
      </c>
      <c r="CP58" s="88">
        <f t="shared" si="28"/>
        <v>1.3360130000000001</v>
      </c>
      <c r="CQ58" s="88">
        <f t="shared" si="28"/>
        <v>1.3611910000000003</v>
      </c>
      <c r="CR58" s="88">
        <f>MAX(BF58:CQ58)</f>
        <v>2.125</v>
      </c>
    </row>
    <row r="59" spans="1:96" ht="12.75" x14ac:dyDescent="0.2">
      <c r="A59" s="71">
        <f t="shared" si="22"/>
        <v>1972</v>
      </c>
      <c r="B59" s="122">
        <f t="shared" si="18"/>
        <v>0.25231750447386503</v>
      </c>
      <c r="C59" s="122">
        <f t="shared" si="18"/>
        <v>0.17227560704623135</v>
      </c>
      <c r="D59" s="122">
        <f t="shared" si="18"/>
        <v>6.5199691282112171E-2</v>
      </c>
      <c r="E59" s="122">
        <f t="shared" si="18"/>
        <v>7.8981739845810681E-2</v>
      </c>
      <c r="F59" s="122">
        <f t="shared" si="18"/>
        <v>7.5012509859465518E-2</v>
      </c>
      <c r="G59" s="72">
        <f t="shared" si="23"/>
        <v>1214.5119999999999</v>
      </c>
      <c r="H59" s="122">
        <f t="shared" si="19"/>
        <v>0.64378705250748469</v>
      </c>
      <c r="I59" s="75"/>
      <c r="J59" s="76"/>
      <c r="O59" s="72">
        <f t="shared" si="24"/>
        <v>672</v>
      </c>
      <c r="P59" s="122">
        <f t="shared" si="20"/>
        <v>0.35621294749251531</v>
      </c>
      <c r="Q59" s="75"/>
      <c r="R59" s="80">
        <f t="shared" si="25"/>
        <v>1886.5119999999999</v>
      </c>
      <c r="S59" s="122">
        <f t="shared" si="21"/>
        <v>1</v>
      </c>
      <c r="T59" s="79"/>
      <c r="U59" s="80">
        <f t="shared" si="26"/>
        <v>72704.267000000007</v>
      </c>
      <c r="Z59" s="81"/>
      <c r="AD59" s="81"/>
      <c r="AH59" s="81"/>
      <c r="AI59" s="79"/>
      <c r="AJ59" s="81"/>
      <c r="AS59" s="123">
        <v>111.04281207886855</v>
      </c>
      <c r="AT59" s="123">
        <v>124.76612249000137</v>
      </c>
      <c r="AU59" s="123">
        <v>92.629070216502114</v>
      </c>
      <c r="AX59" s="86">
        <v>1.214512</v>
      </c>
      <c r="AY59" s="86">
        <f t="shared" si="27"/>
        <v>2.5231750447386503E-4</v>
      </c>
      <c r="AZ59" s="86">
        <f t="shared" si="27"/>
        <v>1.7227560704623134E-4</v>
      </c>
      <c r="BA59" s="86">
        <f t="shared" si="27"/>
        <v>6.5199691282112171E-5</v>
      </c>
      <c r="BB59" s="86">
        <f t="shared" si="27"/>
        <v>7.8981739845810682E-5</v>
      </c>
      <c r="BC59" s="86"/>
      <c r="BD59" s="86">
        <v>0.67200000000000004</v>
      </c>
      <c r="BE59" s="86"/>
    </row>
    <row r="60" spans="1:96" ht="12.75" x14ac:dyDescent="0.2">
      <c r="A60" s="71">
        <f t="shared" si="22"/>
        <v>1973</v>
      </c>
      <c r="B60" s="122">
        <f t="shared" si="18"/>
        <v>0.27503942620249333</v>
      </c>
      <c r="C60" s="122">
        <f t="shared" si="18"/>
        <v>0.19299376686073264</v>
      </c>
      <c r="D60" s="122">
        <f t="shared" si="18"/>
        <v>5.8737233392396886E-2</v>
      </c>
      <c r="E60" s="122">
        <f t="shared" si="18"/>
        <v>7.4120794518977018E-2</v>
      </c>
      <c r="F60" s="122">
        <f t="shared" si="18"/>
        <v>7.185847869633176E-2</v>
      </c>
      <c r="G60" s="72">
        <f t="shared" si="23"/>
        <v>1443.1469999999999</v>
      </c>
      <c r="H60" s="122">
        <f t="shared" si="19"/>
        <v>0.67274969967093168</v>
      </c>
      <c r="I60" s="75"/>
      <c r="J60" s="76"/>
      <c r="O60" s="72">
        <f t="shared" si="24"/>
        <v>702</v>
      </c>
      <c r="P60" s="122">
        <f t="shared" si="20"/>
        <v>0.32725030032906838</v>
      </c>
      <c r="Q60" s="75"/>
      <c r="R60" s="80">
        <f t="shared" si="25"/>
        <v>2145.1469999999999</v>
      </c>
      <c r="S60" s="122">
        <f t="shared" si="21"/>
        <v>1</v>
      </c>
      <c r="T60" s="79"/>
      <c r="U60" s="80">
        <f t="shared" si="26"/>
        <v>75708.364000000001</v>
      </c>
      <c r="Z60" s="81"/>
      <c r="AD60" s="81"/>
      <c r="AH60" s="81"/>
      <c r="AI60" s="79"/>
      <c r="AJ60" s="81"/>
      <c r="AS60" s="123">
        <v>115.27562708006909</v>
      </c>
      <c r="AT60" s="123">
        <v>135.34898227656998</v>
      </c>
      <c r="AU60" s="123">
        <v>88.341485839621299</v>
      </c>
      <c r="AX60" s="86">
        <v>1.443147</v>
      </c>
      <c r="AY60" s="86">
        <f t="shared" si="27"/>
        <v>2.7503942620249331E-4</v>
      </c>
      <c r="AZ60" s="86">
        <f t="shared" si="27"/>
        <v>1.9299376686073263E-4</v>
      </c>
      <c r="BA60" s="86">
        <f t="shared" si="27"/>
        <v>5.8737233392396884E-5</v>
      </c>
      <c r="BB60" s="86">
        <f t="shared" si="27"/>
        <v>7.4120794518977019E-5</v>
      </c>
      <c r="BC60" s="86"/>
      <c r="BD60" s="86">
        <v>0.70199999999999996</v>
      </c>
      <c r="BE60" s="86"/>
    </row>
    <row r="61" spans="1:96" ht="12.75" x14ac:dyDescent="0.2">
      <c r="A61" s="71">
        <f t="shared" si="22"/>
        <v>1974</v>
      </c>
      <c r="B61" s="122">
        <f t="shared" si="18"/>
        <v>0.23253285501966645</v>
      </c>
      <c r="C61" s="122">
        <f t="shared" si="18"/>
        <v>0.17947166662591707</v>
      </c>
      <c r="D61" s="122">
        <f t="shared" si="18"/>
        <v>4.5258072453492129E-2</v>
      </c>
      <c r="E61" s="122">
        <f t="shared" si="18"/>
        <v>5.6702642499202781E-2</v>
      </c>
      <c r="F61" s="122">
        <f t="shared" si="18"/>
        <v>8.807585044860114E-2</v>
      </c>
      <c r="G61" s="72">
        <f t="shared" si="23"/>
        <v>1157.309</v>
      </c>
      <c r="H61" s="122">
        <f t="shared" si="19"/>
        <v>0.60204108704687953</v>
      </c>
      <c r="I61" s="75"/>
      <c r="J61" s="124">
        <f t="shared" ref="J61:N76" si="29">J15/$R15</f>
        <v>2.9599819800042552E-2</v>
      </c>
      <c r="K61" s="122">
        <f t="shared" si="29"/>
        <v>0.2967264888215162</v>
      </c>
      <c r="L61" s="122">
        <f t="shared" si="29"/>
        <v>2.6530594196874695E-2</v>
      </c>
      <c r="M61" s="122">
        <f t="shared" si="29"/>
        <v>4.5102010134686989E-2</v>
      </c>
      <c r="N61" s="122">
        <f t="shared" si="29"/>
        <v>0.36835909315307791</v>
      </c>
      <c r="O61" s="72">
        <f t="shared" si="24"/>
        <v>765</v>
      </c>
      <c r="P61" s="122">
        <f t="shared" si="20"/>
        <v>0.39795891295312047</v>
      </c>
      <c r="Q61" s="75"/>
      <c r="R61" s="80">
        <f t="shared" si="25"/>
        <v>1922.309</v>
      </c>
      <c r="S61" s="122">
        <f t="shared" si="21"/>
        <v>1</v>
      </c>
      <c r="T61" s="90"/>
      <c r="U61" s="80">
        <f t="shared" si="26"/>
        <v>73990.880000000005</v>
      </c>
      <c r="W61" s="80">
        <v>570400</v>
      </c>
      <c r="X61" s="80">
        <v>86700</v>
      </c>
      <c r="Y61" s="80">
        <v>51000</v>
      </c>
      <c r="Z61" s="91">
        <f t="shared" ref="Z61:AB88" si="30">W61/AJ61</f>
        <v>62</v>
      </c>
      <c r="AA61" s="92">
        <f t="shared" si="30"/>
        <v>17</v>
      </c>
      <c r="AB61" s="92">
        <f t="shared" si="30"/>
        <v>10</v>
      </c>
      <c r="AD61" s="93">
        <v>3.7</v>
      </c>
      <c r="AE61" s="94">
        <v>2.6</v>
      </c>
      <c r="AF61" s="94">
        <v>1.4</v>
      </c>
      <c r="AH61" s="81"/>
      <c r="AI61" s="79"/>
      <c r="AJ61" s="95">
        <v>9200</v>
      </c>
      <c r="AK61" s="80">
        <v>5100</v>
      </c>
      <c r="AL61" s="80">
        <v>5100</v>
      </c>
      <c r="AM61" s="96">
        <f>SUM(AJ61:AL61)</f>
        <v>19400</v>
      </c>
      <c r="AN61" s="96"/>
      <c r="AO61" s="96"/>
      <c r="AP61" s="96"/>
      <c r="AQ61" s="96"/>
      <c r="AR61" s="96"/>
      <c r="AS61" s="123">
        <v>101.34391875944443</v>
      </c>
      <c r="AT61" s="123">
        <v>106.48484753069145</v>
      </c>
      <c r="AU61" s="123">
        <v>94.445893976024792</v>
      </c>
      <c r="AX61" s="86">
        <v>1.1573089999999999</v>
      </c>
      <c r="AY61" s="86">
        <f t="shared" si="27"/>
        <v>2.3253285501966645E-4</v>
      </c>
      <c r="AZ61" s="86">
        <f t="shared" si="27"/>
        <v>1.7947166662591707E-4</v>
      </c>
      <c r="BA61" s="86">
        <f t="shared" si="27"/>
        <v>4.5258072453492132E-5</v>
      </c>
      <c r="BB61" s="86">
        <f t="shared" si="27"/>
        <v>5.670264249920278E-5</v>
      </c>
      <c r="BC61" s="86"/>
      <c r="BD61" s="86">
        <v>0.76500000000000001</v>
      </c>
      <c r="BE61" s="86"/>
    </row>
    <row r="62" spans="1:96" ht="12.75" x14ac:dyDescent="0.2">
      <c r="A62" s="71">
        <f t="shared" si="22"/>
        <v>1975</v>
      </c>
      <c r="B62" s="122">
        <f t="shared" si="18"/>
        <v>0.26985146500172363</v>
      </c>
      <c r="C62" s="122">
        <f t="shared" si="18"/>
        <v>0.17212147497407237</v>
      </c>
      <c r="D62" s="122">
        <f t="shared" si="18"/>
        <v>4.4245915883165503E-2</v>
      </c>
      <c r="E62" s="122">
        <f t="shared" si="18"/>
        <v>6.5153326685100849E-2</v>
      </c>
      <c r="F62" s="122">
        <f t="shared" si="18"/>
        <v>9.9522678949203275E-2</v>
      </c>
      <c r="G62" s="72">
        <f t="shared" si="23"/>
        <v>1338.6869999999999</v>
      </c>
      <c r="H62" s="122">
        <f t="shared" si="19"/>
        <v>0.65089486149326559</v>
      </c>
      <c r="I62" s="75"/>
      <c r="J62" s="124">
        <f t="shared" si="29"/>
        <v>3.1263872431731225E-2</v>
      </c>
      <c r="K62" s="122">
        <f t="shared" si="29"/>
        <v>0.25925189394399833</v>
      </c>
      <c r="L62" s="122">
        <f t="shared" si="29"/>
        <v>2.1393629657794309E-2</v>
      </c>
      <c r="M62" s="122">
        <f t="shared" si="29"/>
        <v>3.7195742473210558E-2</v>
      </c>
      <c r="N62" s="122">
        <f t="shared" si="29"/>
        <v>0.31784126607500318</v>
      </c>
      <c r="O62" s="72">
        <f t="shared" si="24"/>
        <v>718</v>
      </c>
      <c r="P62" s="122">
        <f t="shared" si="20"/>
        <v>0.34910513850673441</v>
      </c>
      <c r="Q62" s="75"/>
      <c r="R62" s="80">
        <f t="shared" si="25"/>
        <v>2056.6869999999999</v>
      </c>
      <c r="S62" s="122">
        <f t="shared" si="21"/>
        <v>1</v>
      </c>
      <c r="T62" s="90"/>
      <c r="U62" s="80">
        <f t="shared" si="26"/>
        <v>71999.191000000006</v>
      </c>
      <c r="W62" s="80">
        <v>533200</v>
      </c>
      <c r="X62" s="80">
        <v>76500</v>
      </c>
      <c r="Y62" s="80">
        <v>44000</v>
      </c>
      <c r="Z62" s="91">
        <f t="shared" si="30"/>
        <v>62</v>
      </c>
      <c r="AA62" s="92">
        <f t="shared" si="30"/>
        <v>17.386363636363637</v>
      </c>
      <c r="AB62" s="92">
        <f t="shared" si="30"/>
        <v>9.7777777777777786</v>
      </c>
      <c r="AD62" s="93">
        <v>4.5</v>
      </c>
      <c r="AE62" s="94">
        <v>2.4</v>
      </c>
      <c r="AF62" s="94">
        <v>1</v>
      </c>
      <c r="AH62" s="81"/>
      <c r="AI62" s="79"/>
      <c r="AJ62" s="95">
        <v>8600</v>
      </c>
      <c r="AK62" s="80">
        <v>4400</v>
      </c>
      <c r="AL62" s="80">
        <v>4500</v>
      </c>
      <c r="AM62" s="96">
        <f t="shared" ref="AM62:AM89" si="31">SUM(AJ62:AL62)</f>
        <v>17500</v>
      </c>
      <c r="AN62" s="96"/>
      <c r="AO62" s="96"/>
      <c r="AP62" s="96"/>
      <c r="AQ62" s="96"/>
      <c r="AR62" s="96"/>
      <c r="AS62" s="123">
        <v>105.71827354419744</v>
      </c>
      <c r="AT62" s="123">
        <v>120.09499095580998</v>
      </c>
      <c r="AU62" s="123">
        <v>86.427799502973073</v>
      </c>
      <c r="AX62" s="86">
        <v>1.338687</v>
      </c>
      <c r="AY62" s="86">
        <f t="shared" si="27"/>
        <v>2.6985146500172364E-4</v>
      </c>
      <c r="AZ62" s="86">
        <f t="shared" si="27"/>
        <v>1.7212147497407238E-4</v>
      </c>
      <c r="BA62" s="86">
        <f t="shared" si="27"/>
        <v>4.42459158831655E-5</v>
      </c>
      <c r="BB62" s="86">
        <f t="shared" si="27"/>
        <v>6.5153326685100851E-5</v>
      </c>
      <c r="BC62" s="86"/>
      <c r="BD62" s="86">
        <v>0.71799999999999997</v>
      </c>
      <c r="BE62" s="86"/>
    </row>
    <row r="63" spans="1:96" ht="12.75" x14ac:dyDescent="0.2">
      <c r="A63" s="71">
        <f t="shared" si="22"/>
        <v>1976</v>
      </c>
      <c r="B63" s="122">
        <f t="shared" si="18"/>
        <v>0.21138746928412891</v>
      </c>
      <c r="C63" s="122">
        <f t="shared" si="18"/>
        <v>0.18331942357005368</v>
      </c>
      <c r="D63" s="122">
        <f t="shared" si="18"/>
        <v>4.8680516785349189E-2</v>
      </c>
      <c r="E63" s="122">
        <f t="shared" si="18"/>
        <v>7.3678619999447414E-2</v>
      </c>
      <c r="F63" s="122">
        <f t="shared" si="18"/>
        <v>0.10971667500667713</v>
      </c>
      <c r="G63" s="72">
        <f t="shared" si="23"/>
        <v>1429.173</v>
      </c>
      <c r="H63" s="122">
        <f t="shared" si="19"/>
        <v>0.62678270464565633</v>
      </c>
      <c r="I63" s="75"/>
      <c r="J63" s="124">
        <f t="shared" si="29"/>
        <v>2.8857459499783571E-2</v>
      </c>
      <c r="K63" s="122">
        <f t="shared" si="29"/>
        <v>0.2827855605693077</v>
      </c>
      <c r="L63" s="122">
        <f t="shared" si="29"/>
        <v>2.2805287142686106E-2</v>
      </c>
      <c r="M63" s="122">
        <f t="shared" si="29"/>
        <v>3.876898814256638E-2</v>
      </c>
      <c r="N63" s="122">
        <f t="shared" si="29"/>
        <v>0.34435983585456015</v>
      </c>
      <c r="O63" s="72">
        <f t="shared" si="24"/>
        <v>850.99999999999989</v>
      </c>
      <c r="P63" s="122">
        <f t="shared" si="20"/>
        <v>0.37321729535434373</v>
      </c>
      <c r="Q63" s="75"/>
      <c r="R63" s="80">
        <f t="shared" si="25"/>
        <v>2280.1729999999998</v>
      </c>
      <c r="S63" s="122">
        <f t="shared" si="21"/>
        <v>1</v>
      </c>
      <c r="T63" s="90"/>
      <c r="U63" s="80">
        <f t="shared" si="26"/>
        <v>76012.373000000007</v>
      </c>
      <c r="W63" s="80">
        <v>644800</v>
      </c>
      <c r="X63" s="80">
        <v>88400</v>
      </c>
      <c r="Y63" s="80">
        <v>52000</v>
      </c>
      <c r="Z63" s="91">
        <f t="shared" si="30"/>
        <v>62</v>
      </c>
      <c r="AA63" s="92">
        <f t="shared" si="30"/>
        <v>17</v>
      </c>
      <c r="AB63" s="92">
        <f t="shared" si="30"/>
        <v>10</v>
      </c>
      <c r="AD63" s="93">
        <v>3.9</v>
      </c>
      <c r="AE63" s="94">
        <v>2.8</v>
      </c>
      <c r="AF63" s="94">
        <v>1.2</v>
      </c>
      <c r="AH63" s="81"/>
      <c r="AI63" s="79"/>
      <c r="AJ63" s="95">
        <v>10400</v>
      </c>
      <c r="AK63" s="80">
        <v>5200</v>
      </c>
      <c r="AL63" s="80">
        <v>5200</v>
      </c>
      <c r="AM63" s="96">
        <f t="shared" si="31"/>
        <v>20800</v>
      </c>
      <c r="AN63" s="96"/>
      <c r="AO63" s="96"/>
      <c r="AP63" s="96"/>
      <c r="AQ63" s="96"/>
      <c r="AR63" s="96"/>
      <c r="AS63" s="123">
        <v>116.74335714713425</v>
      </c>
      <c r="AT63" s="123">
        <v>127.706549454542</v>
      </c>
      <c r="AU63" s="123">
        <v>102.03310232608744</v>
      </c>
      <c r="AX63" s="86">
        <v>1.429173</v>
      </c>
      <c r="AY63" s="86">
        <f t="shared" si="27"/>
        <v>2.1138746928412892E-4</v>
      </c>
      <c r="AZ63" s="86">
        <f t="shared" si="27"/>
        <v>1.8331942357005369E-4</v>
      </c>
      <c r="BA63" s="86">
        <f t="shared" si="27"/>
        <v>4.8680516785349189E-5</v>
      </c>
      <c r="BB63" s="86">
        <f t="shared" si="27"/>
        <v>7.367861999944742E-5</v>
      </c>
      <c r="BC63" s="86"/>
      <c r="BD63" s="86">
        <v>0.85099999999999987</v>
      </c>
      <c r="BE63" s="86"/>
    </row>
    <row r="64" spans="1:96" ht="12.75" x14ac:dyDescent="0.2">
      <c r="A64" s="71">
        <f t="shared" si="22"/>
        <v>1977</v>
      </c>
      <c r="B64" s="122">
        <f t="shared" si="18"/>
        <v>0.20653914132322165</v>
      </c>
      <c r="C64" s="122">
        <f t="shared" si="18"/>
        <v>0.18713567293168726</v>
      </c>
      <c r="D64" s="122">
        <f t="shared" si="18"/>
        <v>4.3981195020811291E-2</v>
      </c>
      <c r="E64" s="122">
        <f t="shared" si="18"/>
        <v>5.0880206004467965E-2</v>
      </c>
      <c r="F64" s="122">
        <f t="shared" si="18"/>
        <v>0.12943105149982342</v>
      </c>
      <c r="G64" s="72">
        <f t="shared" si="23"/>
        <v>1433.173</v>
      </c>
      <c r="H64" s="122">
        <f t="shared" si="19"/>
        <v>0.61796726678001157</v>
      </c>
      <c r="I64" s="75"/>
      <c r="J64" s="124">
        <f t="shared" si="29"/>
        <v>3.2597826897777779E-2</v>
      </c>
      <c r="K64" s="122">
        <f t="shared" si="29"/>
        <v>0.28337687615369789</v>
      </c>
      <c r="L64" s="122">
        <f t="shared" si="29"/>
        <v>2.5008914815755443E-2</v>
      </c>
      <c r="M64" s="122">
        <f t="shared" si="29"/>
        <v>4.1049115352757209E-2</v>
      </c>
      <c r="N64" s="122">
        <f t="shared" si="29"/>
        <v>0.34943490632221053</v>
      </c>
      <c r="O64" s="72">
        <f t="shared" si="24"/>
        <v>886.00000000000011</v>
      </c>
      <c r="P64" s="122">
        <f t="shared" si="20"/>
        <v>0.38203273321998832</v>
      </c>
      <c r="Q64" s="75"/>
      <c r="R64" s="80">
        <f t="shared" si="25"/>
        <v>2319.1730000000002</v>
      </c>
      <c r="S64" s="122">
        <f t="shared" si="21"/>
        <v>1</v>
      </c>
      <c r="T64" s="90"/>
      <c r="U64" s="80">
        <f t="shared" si="26"/>
        <v>77999.554000000004</v>
      </c>
      <c r="W64" s="80">
        <v>657200</v>
      </c>
      <c r="X64" s="80">
        <v>95200</v>
      </c>
      <c r="Y64" s="80">
        <v>58000</v>
      </c>
      <c r="Z64" s="91">
        <f t="shared" si="30"/>
        <v>62</v>
      </c>
      <c r="AA64" s="92">
        <f t="shared" si="30"/>
        <v>16.413793103448278</v>
      </c>
      <c r="AB64" s="92">
        <f t="shared" si="30"/>
        <v>10.357142857142858</v>
      </c>
      <c r="AD64" s="93">
        <v>3.8</v>
      </c>
      <c r="AE64" s="94">
        <v>2.9</v>
      </c>
      <c r="AF64" s="94">
        <v>1.1000000000000001</v>
      </c>
      <c r="AH64" s="81"/>
      <c r="AI64" s="79"/>
      <c r="AJ64" s="95">
        <v>10600</v>
      </c>
      <c r="AK64" s="80">
        <v>5800</v>
      </c>
      <c r="AL64" s="80">
        <v>5600</v>
      </c>
      <c r="AM64" s="96">
        <f t="shared" si="31"/>
        <v>22000</v>
      </c>
      <c r="AN64" s="96"/>
      <c r="AO64" s="96"/>
      <c r="AP64" s="96"/>
      <c r="AQ64" s="96"/>
      <c r="AR64" s="96"/>
      <c r="AS64" s="123">
        <v>115.90489295767176</v>
      </c>
      <c r="AT64" s="123">
        <v>125.00610697454381</v>
      </c>
      <c r="AU64" s="123">
        <v>103.69301400717599</v>
      </c>
      <c r="AX64" s="86">
        <v>1.433173</v>
      </c>
      <c r="AY64" s="86">
        <f t="shared" si="27"/>
        <v>2.0653914132322165E-4</v>
      </c>
      <c r="AZ64" s="86">
        <f t="shared" si="27"/>
        <v>1.8713567293168726E-4</v>
      </c>
      <c r="BA64" s="86">
        <f t="shared" si="27"/>
        <v>4.3981195020811293E-5</v>
      </c>
      <c r="BB64" s="86">
        <f t="shared" si="27"/>
        <v>5.0880206004467968E-5</v>
      </c>
      <c r="BC64" s="86"/>
      <c r="BD64" s="86">
        <v>0.88600000000000012</v>
      </c>
      <c r="BE64" s="86"/>
    </row>
    <row r="65" spans="1:57" ht="12.75" x14ac:dyDescent="0.2">
      <c r="A65" s="71">
        <f t="shared" si="22"/>
        <v>1978</v>
      </c>
      <c r="B65" s="122">
        <f t="shared" si="18"/>
        <v>0.17809196718655507</v>
      </c>
      <c r="C65" s="122">
        <f t="shared" si="18"/>
        <v>0.23704370632469712</v>
      </c>
      <c r="D65" s="122">
        <f t="shared" si="18"/>
        <v>4.6171991492810573E-2</v>
      </c>
      <c r="E65" s="122">
        <f t="shared" si="18"/>
        <v>7.1319236859430618E-2</v>
      </c>
      <c r="F65" s="122">
        <f t="shared" si="18"/>
        <v>0.12396891140872809</v>
      </c>
      <c r="G65" s="72">
        <f t="shared" si="23"/>
        <v>1592.713</v>
      </c>
      <c r="H65" s="122">
        <f t="shared" si="19"/>
        <v>0.6565958132722215</v>
      </c>
      <c r="I65" s="75"/>
      <c r="J65" s="124">
        <f t="shared" si="29"/>
        <v>2.9393419584262444E-2</v>
      </c>
      <c r="K65" s="122">
        <f t="shared" si="29"/>
        <v>0.25559495290662998</v>
      </c>
      <c r="L65" s="122">
        <f t="shared" si="29"/>
        <v>2.2673745822362333E-2</v>
      </c>
      <c r="M65" s="122">
        <f t="shared" si="29"/>
        <v>3.5742068414523896E-2</v>
      </c>
      <c r="N65" s="122">
        <f t="shared" si="29"/>
        <v>0.31401076714351622</v>
      </c>
      <c r="O65" s="72">
        <f t="shared" si="24"/>
        <v>833</v>
      </c>
      <c r="P65" s="122">
        <f t="shared" si="20"/>
        <v>0.34340418672777862</v>
      </c>
      <c r="Q65" s="75"/>
      <c r="R65" s="80">
        <f t="shared" si="25"/>
        <v>2425.7129999999997</v>
      </c>
      <c r="S65" s="122">
        <f t="shared" si="21"/>
        <v>1</v>
      </c>
      <c r="T65" s="90"/>
      <c r="U65" s="80">
        <f t="shared" si="26"/>
        <v>79986.376999999993</v>
      </c>
      <c r="W65" s="80">
        <v>620000</v>
      </c>
      <c r="X65" s="80">
        <v>86700</v>
      </c>
      <c r="Y65" s="80">
        <v>55000</v>
      </c>
      <c r="Z65" s="91">
        <f t="shared" si="30"/>
        <v>62</v>
      </c>
      <c r="AA65" s="92">
        <f t="shared" si="30"/>
        <v>15.763636363636364</v>
      </c>
      <c r="AB65" s="92">
        <f t="shared" si="30"/>
        <v>10.784313725490197</v>
      </c>
      <c r="AD65" s="93">
        <v>3.6</v>
      </c>
      <c r="AE65" s="94">
        <v>3.2</v>
      </c>
      <c r="AF65" s="94">
        <v>1.3</v>
      </c>
      <c r="AH65" s="81"/>
      <c r="AI65" s="98">
        <v>5.6665000000000001</v>
      </c>
      <c r="AJ65" s="95">
        <v>10000</v>
      </c>
      <c r="AK65" s="80">
        <v>5500</v>
      </c>
      <c r="AL65" s="80">
        <v>5100</v>
      </c>
      <c r="AM65" s="96">
        <f t="shared" si="31"/>
        <v>20600</v>
      </c>
      <c r="AN65" s="96"/>
      <c r="AO65" s="96"/>
      <c r="AP65" s="96"/>
      <c r="AQ65" s="96"/>
      <c r="AR65" s="96"/>
      <c r="AS65" s="123">
        <v>123.77677031849146</v>
      </c>
      <c r="AT65" s="123">
        <v>141.84082359259702</v>
      </c>
      <c r="AU65" s="123">
        <v>99.538681693200601</v>
      </c>
      <c r="AX65" s="86">
        <v>1.592713</v>
      </c>
      <c r="AY65" s="86">
        <f t="shared" si="27"/>
        <v>1.7809196718655506E-4</v>
      </c>
      <c r="AZ65" s="86">
        <f t="shared" si="27"/>
        <v>2.3704370632469712E-4</v>
      </c>
      <c r="BA65" s="86">
        <f t="shared" si="27"/>
        <v>4.6171991492810572E-5</v>
      </c>
      <c r="BB65" s="86">
        <f t="shared" si="27"/>
        <v>7.1319236859430614E-5</v>
      </c>
      <c r="BC65" s="86"/>
      <c r="BD65" s="86">
        <v>0.83299999999999996</v>
      </c>
      <c r="BE65" s="86"/>
    </row>
    <row r="66" spans="1:57" ht="12.75" x14ac:dyDescent="0.2">
      <c r="A66" s="71">
        <f t="shared" si="22"/>
        <v>1979</v>
      </c>
      <c r="B66" s="122">
        <f t="shared" si="18"/>
        <v>0.1826169044782241</v>
      </c>
      <c r="C66" s="122">
        <f t="shared" si="18"/>
        <v>0.21100514716973456</v>
      </c>
      <c r="D66" s="122">
        <f t="shared" si="18"/>
        <v>4.8302383087047672E-2</v>
      </c>
      <c r="E66" s="122">
        <f t="shared" si="18"/>
        <v>5.2963139349832974E-2</v>
      </c>
      <c r="F66" s="122">
        <f t="shared" si="18"/>
        <v>0.12420152771116191</v>
      </c>
      <c r="G66" s="72">
        <f t="shared" si="23"/>
        <v>1461.1320000000001</v>
      </c>
      <c r="H66" s="122">
        <f t="shared" si="19"/>
        <v>0.6190891017960013</v>
      </c>
      <c r="I66" s="75"/>
      <c r="J66" s="124">
        <f t="shared" si="29"/>
        <v>3.3218481000215246E-2</v>
      </c>
      <c r="K66" s="122">
        <f t="shared" si="29"/>
        <v>0.28108597315743356</v>
      </c>
      <c r="L66" s="122">
        <f t="shared" si="29"/>
        <v>2.6269717117517154E-2</v>
      </c>
      <c r="M66" s="122">
        <f t="shared" si="29"/>
        <v>4.0336726928832792E-2</v>
      </c>
      <c r="N66" s="122">
        <f t="shared" si="29"/>
        <v>0.34769241720378352</v>
      </c>
      <c r="O66" s="72">
        <f t="shared" si="24"/>
        <v>899</v>
      </c>
      <c r="P66" s="122">
        <f t="shared" si="20"/>
        <v>0.38091089820399876</v>
      </c>
      <c r="Q66" s="75"/>
      <c r="R66" s="80">
        <f t="shared" si="25"/>
        <v>2360.1320000000001</v>
      </c>
      <c r="S66" s="122">
        <f t="shared" si="21"/>
        <v>1</v>
      </c>
      <c r="T66" s="90"/>
      <c r="U66" s="80">
        <f t="shared" si="26"/>
        <v>80903.216</v>
      </c>
      <c r="W66" s="80">
        <v>663400</v>
      </c>
      <c r="X66" s="80">
        <v>95200</v>
      </c>
      <c r="Y66" s="80">
        <v>62000</v>
      </c>
      <c r="Z66" s="91">
        <f t="shared" si="30"/>
        <v>62</v>
      </c>
      <c r="AA66" s="92">
        <f t="shared" si="30"/>
        <v>15.35483870967742</v>
      </c>
      <c r="AB66" s="92">
        <f t="shared" si="30"/>
        <v>11.071428571428571</v>
      </c>
      <c r="AD66" s="93">
        <v>3.4</v>
      </c>
      <c r="AE66" s="94">
        <v>3.2</v>
      </c>
      <c r="AF66" s="94">
        <v>1.1000000000000001</v>
      </c>
      <c r="AH66" s="81"/>
      <c r="AI66" s="79"/>
      <c r="AJ66" s="95">
        <v>10700</v>
      </c>
      <c r="AK66" s="80">
        <v>6200</v>
      </c>
      <c r="AL66" s="80">
        <v>5600</v>
      </c>
      <c r="AM66" s="96">
        <f t="shared" si="31"/>
        <v>22500</v>
      </c>
      <c r="AN66" s="96"/>
      <c r="AO66" s="96"/>
      <c r="AP66" s="96"/>
      <c r="AQ66" s="96"/>
      <c r="AR66" s="96"/>
      <c r="AS66" s="123">
        <v>116.74202635591371</v>
      </c>
      <c r="AT66" s="123">
        <v>126.13754521587073</v>
      </c>
      <c r="AU66" s="123">
        <v>104.1352533713214</v>
      </c>
      <c r="AX66" s="86">
        <v>1.4611320000000001</v>
      </c>
      <c r="AY66" s="86">
        <f t="shared" si="27"/>
        <v>1.8261690447822409E-4</v>
      </c>
      <c r="AZ66" s="86">
        <f t="shared" si="27"/>
        <v>2.1100514716973457E-4</v>
      </c>
      <c r="BA66" s="86">
        <f t="shared" si="27"/>
        <v>4.8302383087047672E-5</v>
      </c>
      <c r="BB66" s="86">
        <f t="shared" si="27"/>
        <v>5.2963139349832977E-5</v>
      </c>
      <c r="BC66" s="86"/>
      <c r="BD66" s="86">
        <v>0.89900000000000002</v>
      </c>
      <c r="BE66" s="86"/>
    </row>
    <row r="67" spans="1:57" ht="12.75" x14ac:dyDescent="0.2">
      <c r="A67" s="71">
        <f t="shared" si="22"/>
        <v>1980</v>
      </c>
      <c r="B67" s="122">
        <f t="shared" si="18"/>
        <v>0.16467152247921635</v>
      </c>
      <c r="C67" s="122">
        <f t="shared" si="18"/>
        <v>0.20772580194143733</v>
      </c>
      <c r="D67" s="122">
        <f t="shared" si="18"/>
        <v>4.4385855115691736E-2</v>
      </c>
      <c r="E67" s="122">
        <f t="shared" si="18"/>
        <v>4.1278845257593316E-2</v>
      </c>
      <c r="F67" s="122">
        <f t="shared" si="18"/>
        <v>0.12337936146508832</v>
      </c>
      <c r="G67" s="72">
        <f t="shared" si="23"/>
        <v>1309.97</v>
      </c>
      <c r="H67" s="122">
        <f t="shared" si="19"/>
        <v>0.58144138625902708</v>
      </c>
      <c r="I67" s="75"/>
      <c r="J67" s="124">
        <f t="shared" si="29"/>
        <v>3.6573944615329992E-2</v>
      </c>
      <c r="K67" s="122">
        <f t="shared" si="29"/>
        <v>0.31371922395770918</v>
      </c>
      <c r="L67" s="122">
        <f t="shared" si="29"/>
        <v>2.7519230171728876E-2</v>
      </c>
      <c r="M67" s="122">
        <f t="shared" si="29"/>
        <v>4.074621499620501E-2</v>
      </c>
      <c r="N67" s="122">
        <f t="shared" si="29"/>
        <v>0.38198466912564305</v>
      </c>
      <c r="O67" s="72">
        <f t="shared" si="24"/>
        <v>942.99999999999989</v>
      </c>
      <c r="P67" s="122">
        <f t="shared" si="20"/>
        <v>0.41855861374097303</v>
      </c>
      <c r="Q67" s="75"/>
      <c r="R67" s="80">
        <f t="shared" si="25"/>
        <v>2252.9699999999998</v>
      </c>
      <c r="S67" s="122">
        <f t="shared" si="21"/>
        <v>1</v>
      </c>
      <c r="T67" s="90"/>
      <c r="U67" s="80">
        <f t="shared" si="26"/>
        <v>78289.225000000006</v>
      </c>
      <c r="W67" s="80">
        <v>706800</v>
      </c>
      <c r="X67" s="80">
        <v>91800</v>
      </c>
      <c r="Y67" s="80">
        <v>62000</v>
      </c>
      <c r="Z67" s="91">
        <f t="shared" si="30"/>
        <v>62</v>
      </c>
      <c r="AA67" s="92">
        <f t="shared" si="30"/>
        <v>14.806451612903226</v>
      </c>
      <c r="AB67" s="92">
        <f t="shared" si="30"/>
        <v>11.481481481481481</v>
      </c>
      <c r="AD67" s="93">
        <v>3</v>
      </c>
      <c r="AE67" s="94">
        <v>3.2</v>
      </c>
      <c r="AF67" s="94">
        <v>1.1000000000000001</v>
      </c>
      <c r="AH67" s="81"/>
      <c r="AI67" s="79"/>
      <c r="AJ67" s="95">
        <v>11400</v>
      </c>
      <c r="AK67" s="80">
        <v>6200</v>
      </c>
      <c r="AL67" s="80">
        <v>5400</v>
      </c>
      <c r="AM67" s="96">
        <f t="shared" si="31"/>
        <v>23000</v>
      </c>
      <c r="AN67" s="96"/>
      <c r="AO67" s="96"/>
      <c r="AP67" s="96"/>
      <c r="AQ67" s="96"/>
      <c r="AR67" s="96"/>
      <c r="AS67" s="123">
        <v>110.33808157809037</v>
      </c>
      <c r="AT67" s="123">
        <v>111.96837063076602</v>
      </c>
      <c r="AU67" s="123">
        <v>108.1505830170538</v>
      </c>
      <c r="AX67" s="86">
        <v>1.3099700000000001</v>
      </c>
      <c r="AY67" s="86">
        <f t="shared" si="27"/>
        <v>1.6467152247921635E-4</v>
      </c>
      <c r="AZ67" s="86">
        <f t="shared" si="27"/>
        <v>2.0772580194143732E-4</v>
      </c>
      <c r="BA67" s="86">
        <f t="shared" si="27"/>
        <v>4.4385855115691732E-5</v>
      </c>
      <c r="BB67" s="86">
        <f t="shared" si="27"/>
        <v>4.1278845257593316E-5</v>
      </c>
      <c r="BC67" s="86"/>
      <c r="BD67" s="86">
        <v>0.94299999999999984</v>
      </c>
      <c r="BE67" s="86"/>
    </row>
    <row r="68" spans="1:57" ht="12.75" x14ac:dyDescent="0.2">
      <c r="A68" s="71">
        <f t="shared" si="22"/>
        <v>1981</v>
      </c>
      <c r="B68" s="122">
        <f t="shared" ref="B68:F83" si="32">B22/$R22</f>
        <v>0.15931421082760583</v>
      </c>
      <c r="C68" s="122">
        <f t="shared" si="32"/>
        <v>0.19306722159616638</v>
      </c>
      <c r="D68" s="122">
        <f t="shared" si="32"/>
        <v>4.2303773496595899E-2</v>
      </c>
      <c r="E68" s="122">
        <f t="shared" si="32"/>
        <v>3.6903291773626209E-2</v>
      </c>
      <c r="F68" s="122">
        <f t="shared" si="32"/>
        <v>0.12737216159681444</v>
      </c>
      <c r="G68" s="72">
        <f t="shared" si="23"/>
        <v>1242.0239999999999</v>
      </c>
      <c r="H68" s="122">
        <f t="shared" si="19"/>
        <v>0.55896065929080874</v>
      </c>
      <c r="I68" s="75"/>
      <c r="J68" s="124">
        <f t="shared" si="29"/>
        <v>3.9333508548962573E-2</v>
      </c>
      <c r="K68" s="122">
        <f t="shared" si="29"/>
        <v>0.33203961793391973</v>
      </c>
      <c r="L68" s="122">
        <f t="shared" si="29"/>
        <v>2.8352529045590869E-2</v>
      </c>
      <c r="M68" s="122">
        <f t="shared" si="29"/>
        <v>4.1313685180718124E-2</v>
      </c>
      <c r="N68" s="122">
        <f t="shared" si="29"/>
        <v>0.40170583216022865</v>
      </c>
      <c r="O68" s="72">
        <f t="shared" si="24"/>
        <v>979.99999999999989</v>
      </c>
      <c r="P68" s="122">
        <f t="shared" si="20"/>
        <v>0.44103934070919121</v>
      </c>
      <c r="Q68" s="75"/>
      <c r="R68" s="80">
        <f t="shared" si="25"/>
        <v>2222.0239999999999</v>
      </c>
      <c r="S68" s="122">
        <f t="shared" si="21"/>
        <v>1</v>
      </c>
      <c r="T68" s="90"/>
      <c r="U68" s="80">
        <f t="shared" si="26"/>
        <v>76341.960000000006</v>
      </c>
      <c r="W68" s="80">
        <v>737800</v>
      </c>
      <c r="X68" s="80">
        <v>91800</v>
      </c>
      <c r="Y68" s="80">
        <v>63000</v>
      </c>
      <c r="Z68" s="91">
        <f t="shared" si="30"/>
        <v>62</v>
      </c>
      <c r="AA68" s="92">
        <f t="shared" si="30"/>
        <v>14.571428571428571</v>
      </c>
      <c r="AB68" s="92">
        <f t="shared" si="30"/>
        <v>11.666666666666666</v>
      </c>
      <c r="AD68" s="93">
        <v>2.7</v>
      </c>
      <c r="AE68" s="94">
        <v>3.1</v>
      </c>
      <c r="AF68" s="94">
        <v>1</v>
      </c>
      <c r="AH68" s="81"/>
      <c r="AI68" s="79"/>
      <c r="AJ68" s="95">
        <v>11900</v>
      </c>
      <c r="AK68" s="80">
        <v>6300</v>
      </c>
      <c r="AL68" s="80">
        <v>5400</v>
      </c>
      <c r="AM68" s="96">
        <f t="shared" si="31"/>
        <v>23600</v>
      </c>
      <c r="AN68" s="96"/>
      <c r="AO68" s="96"/>
      <c r="AP68" s="96"/>
      <c r="AQ68" s="96"/>
      <c r="AR68" s="96"/>
      <c r="AS68" s="123">
        <v>104.46341152651112</v>
      </c>
      <c r="AT68" s="123">
        <v>101.90827159745778</v>
      </c>
      <c r="AU68" s="123">
        <v>107.8918617813159</v>
      </c>
      <c r="AX68" s="86">
        <v>1.2420239999999998</v>
      </c>
      <c r="AY68" s="86">
        <f t="shared" si="27"/>
        <v>1.5931421082760583E-4</v>
      </c>
      <c r="AZ68" s="86">
        <f t="shared" si="27"/>
        <v>1.9306722159616638E-4</v>
      </c>
      <c r="BA68" s="86">
        <f t="shared" si="27"/>
        <v>4.2303773496595901E-5</v>
      </c>
      <c r="BB68" s="86">
        <f t="shared" si="27"/>
        <v>3.6903291773626211E-5</v>
      </c>
      <c r="BC68" s="86"/>
      <c r="BD68" s="86">
        <v>0.98</v>
      </c>
      <c r="BE68" s="86"/>
    </row>
    <row r="69" spans="1:57" ht="12.75" x14ac:dyDescent="0.2">
      <c r="A69" s="71">
        <f t="shared" si="22"/>
        <v>1982</v>
      </c>
      <c r="B69" s="122">
        <f t="shared" si="32"/>
        <v>0.13782865314127293</v>
      </c>
      <c r="C69" s="122">
        <f t="shared" si="32"/>
        <v>0.19908583231517202</v>
      </c>
      <c r="D69" s="122">
        <f t="shared" si="32"/>
        <v>4.6900027805016488E-2</v>
      </c>
      <c r="E69" s="122">
        <f t="shared" si="32"/>
        <v>4.6421456092720401E-2</v>
      </c>
      <c r="F69" s="122">
        <f t="shared" si="32"/>
        <v>0.13665663101785983</v>
      </c>
      <c r="G69" s="72">
        <f t="shared" si="23"/>
        <v>1184.5509999999999</v>
      </c>
      <c r="H69" s="122">
        <f t="shared" si="19"/>
        <v>0.56689260037204159</v>
      </c>
      <c r="I69" s="75"/>
      <c r="J69" s="124">
        <f t="shared" si="29"/>
        <v>4.0870024230085795E-2</v>
      </c>
      <c r="K69" s="122">
        <f t="shared" si="29"/>
        <v>0.32638590778593107</v>
      </c>
      <c r="L69" s="122">
        <f t="shared" si="29"/>
        <v>2.6800015888580848E-2</v>
      </c>
      <c r="M69" s="122">
        <f t="shared" si="29"/>
        <v>3.9051451723360664E-2</v>
      </c>
      <c r="N69" s="122">
        <f t="shared" si="29"/>
        <v>0.39223737539787257</v>
      </c>
      <c r="O69" s="72">
        <f t="shared" si="24"/>
        <v>905</v>
      </c>
      <c r="P69" s="122">
        <f t="shared" si="20"/>
        <v>0.43310739962795836</v>
      </c>
      <c r="Q69" s="75"/>
      <c r="R69" s="80">
        <f t="shared" si="25"/>
        <v>2089.5509999999999</v>
      </c>
      <c r="S69" s="122">
        <f t="shared" si="21"/>
        <v>1</v>
      </c>
      <c r="T69" s="90"/>
      <c r="U69" s="80">
        <f t="shared" si="26"/>
        <v>73252.850999999995</v>
      </c>
      <c r="W69" s="80">
        <v>682000</v>
      </c>
      <c r="X69" s="80">
        <v>81600</v>
      </c>
      <c r="Y69" s="80">
        <v>56000</v>
      </c>
      <c r="Z69" s="91">
        <f t="shared" si="30"/>
        <v>62</v>
      </c>
      <c r="AA69" s="92">
        <f t="shared" si="30"/>
        <v>14.571428571428571</v>
      </c>
      <c r="AB69" s="92">
        <f t="shared" si="30"/>
        <v>11.666666666666666</v>
      </c>
      <c r="AD69" s="93">
        <v>2.4</v>
      </c>
      <c r="AE69" s="94">
        <v>2.9</v>
      </c>
      <c r="AF69" s="94">
        <v>1.1000000000000001</v>
      </c>
      <c r="AH69" s="81"/>
      <c r="AI69" s="98">
        <v>286.22399999999999</v>
      </c>
      <c r="AJ69" s="95">
        <v>11000</v>
      </c>
      <c r="AK69" s="80">
        <v>5600</v>
      </c>
      <c r="AL69" s="80">
        <v>4800</v>
      </c>
      <c r="AM69" s="96">
        <f t="shared" si="31"/>
        <v>21400</v>
      </c>
      <c r="AN69" s="96"/>
      <c r="AO69" s="96"/>
      <c r="AP69" s="96"/>
      <c r="AQ69" s="96"/>
      <c r="AR69" s="96"/>
      <c r="AS69" s="123">
        <v>99.542232837251191</v>
      </c>
      <c r="AT69" s="123">
        <v>98.485468452808817</v>
      </c>
      <c r="AU69" s="123">
        <v>100.96018419166191</v>
      </c>
      <c r="AX69" s="86">
        <v>1.1845509999999999</v>
      </c>
      <c r="AY69" s="86">
        <f t="shared" si="27"/>
        <v>1.3782865314127294E-4</v>
      </c>
      <c r="AZ69" s="86">
        <f t="shared" si="27"/>
        <v>1.9908583231517202E-4</v>
      </c>
      <c r="BA69" s="86">
        <f t="shared" si="27"/>
        <v>4.690002780501649E-5</v>
      </c>
      <c r="BB69" s="86">
        <f t="shared" si="27"/>
        <v>4.6421456092720403E-5</v>
      </c>
      <c r="BC69" s="86"/>
      <c r="BD69" s="86">
        <v>0.90500000000000003</v>
      </c>
      <c r="BE69" s="86"/>
    </row>
    <row r="70" spans="1:57" ht="12.75" x14ac:dyDescent="0.2">
      <c r="A70" s="71">
        <f t="shared" si="22"/>
        <v>1983</v>
      </c>
      <c r="B70" s="122">
        <f t="shared" si="32"/>
        <v>0.14806436577136725</v>
      </c>
      <c r="C70" s="122">
        <f t="shared" si="32"/>
        <v>0.24160683512150899</v>
      </c>
      <c r="D70" s="122">
        <f t="shared" si="32"/>
        <v>4.2227743306635424E-2</v>
      </c>
      <c r="E70" s="122">
        <f t="shared" si="32"/>
        <v>3.9020572928916274E-2</v>
      </c>
      <c r="F70" s="122">
        <f t="shared" si="32"/>
        <v>0.14047833877126889</v>
      </c>
      <c r="G70" s="72">
        <f t="shared" si="23"/>
        <v>1143.808</v>
      </c>
      <c r="H70" s="122">
        <f t="shared" si="19"/>
        <v>0.61139785589969686</v>
      </c>
      <c r="I70" s="75"/>
      <c r="J70" s="124">
        <f t="shared" si="29"/>
        <v>3.2178609456448765E-2</v>
      </c>
      <c r="K70" s="122">
        <f t="shared" si="29"/>
        <v>0.29185250437244226</v>
      </c>
      <c r="L70" s="122">
        <f t="shared" si="29"/>
        <v>2.5657363021753168E-2</v>
      </c>
      <c r="M70" s="122">
        <f t="shared" si="29"/>
        <v>3.8913667249658966E-2</v>
      </c>
      <c r="N70" s="122">
        <f t="shared" si="29"/>
        <v>0.3564235346438544</v>
      </c>
      <c r="O70" s="72">
        <f t="shared" si="24"/>
        <v>727</v>
      </c>
      <c r="P70" s="122">
        <f t="shared" si="20"/>
        <v>0.38860214410030319</v>
      </c>
      <c r="Q70" s="75"/>
      <c r="R70" s="80">
        <f t="shared" si="25"/>
        <v>1870.808</v>
      </c>
      <c r="S70" s="122">
        <f t="shared" si="21"/>
        <v>1</v>
      </c>
      <c r="T70" s="90"/>
      <c r="U70" s="80">
        <f t="shared" si="26"/>
        <v>73100.513999999996</v>
      </c>
      <c r="W70" s="80">
        <v>546000</v>
      </c>
      <c r="X70" s="80">
        <v>72800</v>
      </c>
      <c r="Y70" s="80">
        <v>48000</v>
      </c>
      <c r="Z70" s="91">
        <f t="shared" si="30"/>
        <v>60</v>
      </c>
      <c r="AA70" s="92">
        <f t="shared" si="30"/>
        <v>15.166666666666666</v>
      </c>
      <c r="AB70" s="92">
        <f t="shared" si="30"/>
        <v>11.707317073170731</v>
      </c>
      <c r="AD70" s="93">
        <v>2.2999999999999998</v>
      </c>
      <c r="AE70" s="94">
        <v>3</v>
      </c>
      <c r="AF70" s="94">
        <v>0.9</v>
      </c>
      <c r="AH70" s="81"/>
      <c r="AI70" s="79"/>
      <c r="AJ70" s="95">
        <v>9100</v>
      </c>
      <c r="AK70" s="80">
        <v>4800</v>
      </c>
      <c r="AL70" s="80">
        <v>4100</v>
      </c>
      <c r="AM70" s="96">
        <f t="shared" si="31"/>
        <v>18000</v>
      </c>
      <c r="AN70" s="96"/>
      <c r="AO70" s="96"/>
      <c r="AP70" s="96"/>
      <c r="AQ70" s="96"/>
      <c r="AR70" s="96"/>
      <c r="AS70" s="123">
        <v>106.03049850004751</v>
      </c>
      <c r="AT70" s="123">
        <v>113.14065879348642</v>
      </c>
      <c r="AU70" s="123">
        <v>96.490186992029621</v>
      </c>
      <c r="AX70" s="86">
        <v>1.1438079999999999</v>
      </c>
      <c r="AY70" s="86">
        <f t="shared" si="27"/>
        <v>1.4806436577136724E-4</v>
      </c>
      <c r="AZ70" s="86">
        <f t="shared" si="27"/>
        <v>2.4160683512150898E-4</v>
      </c>
      <c r="BA70" s="86">
        <f t="shared" si="27"/>
        <v>4.222774330663542E-5</v>
      </c>
      <c r="BB70" s="86">
        <f t="shared" si="27"/>
        <v>3.9020572928916273E-5</v>
      </c>
      <c r="BC70" s="86"/>
      <c r="BD70" s="86">
        <v>0.72699999999999998</v>
      </c>
      <c r="BE70" s="86"/>
    </row>
    <row r="71" spans="1:57" ht="12.75" x14ac:dyDescent="0.2">
      <c r="A71" s="71">
        <f t="shared" si="22"/>
        <v>1984</v>
      </c>
      <c r="B71" s="122">
        <f t="shared" si="32"/>
        <v>0.12745043372975728</v>
      </c>
      <c r="C71" s="122">
        <f t="shared" si="32"/>
        <v>0.21656616668923601</v>
      </c>
      <c r="D71" s="122">
        <f t="shared" si="32"/>
        <v>4.2815380081090336E-2</v>
      </c>
      <c r="E71" s="122">
        <f t="shared" si="32"/>
        <v>3.7836847513521697E-2</v>
      </c>
      <c r="F71" s="122">
        <f t="shared" si="32"/>
        <v>0.14120313209440891</v>
      </c>
      <c r="G71" s="72">
        <f t="shared" si="23"/>
        <v>1136.624</v>
      </c>
      <c r="H71" s="122">
        <f t="shared" si="19"/>
        <v>0.56587196010801422</v>
      </c>
      <c r="I71" s="75"/>
      <c r="J71" s="124">
        <f t="shared" si="29"/>
        <v>4.1969029544603666E-2</v>
      </c>
      <c r="K71" s="122">
        <f t="shared" si="29"/>
        <v>0.33157026900007169</v>
      </c>
      <c r="L71" s="122">
        <f t="shared" si="29"/>
        <v>2.8875488891898136E-2</v>
      </c>
      <c r="M71" s="122">
        <f t="shared" si="29"/>
        <v>3.1713252455412261E-2</v>
      </c>
      <c r="N71" s="122">
        <f t="shared" si="29"/>
        <v>0.3921590103473821</v>
      </c>
      <c r="O71" s="72">
        <f t="shared" si="24"/>
        <v>872</v>
      </c>
      <c r="P71" s="122">
        <f t="shared" si="20"/>
        <v>0.43412803989198573</v>
      </c>
      <c r="Q71" s="75"/>
      <c r="R71" s="80">
        <f t="shared" si="25"/>
        <v>2008.624</v>
      </c>
      <c r="S71" s="122">
        <f t="shared" si="21"/>
        <v>1</v>
      </c>
      <c r="T71" s="90"/>
      <c r="U71" s="80">
        <f t="shared" si="26"/>
        <v>76735.955000000002</v>
      </c>
      <c r="W71" s="80">
        <v>666000</v>
      </c>
      <c r="X71" s="80">
        <v>63700</v>
      </c>
      <c r="Y71" s="80">
        <v>58000</v>
      </c>
      <c r="Z71" s="91">
        <f t="shared" si="30"/>
        <v>60</v>
      </c>
      <c r="AA71" s="92">
        <f t="shared" si="30"/>
        <v>10.982758620689655</v>
      </c>
      <c r="AB71" s="92">
        <f t="shared" si="30"/>
        <v>11.836734693877551</v>
      </c>
      <c r="AD71" s="93">
        <v>2.1</v>
      </c>
      <c r="AE71" s="94">
        <v>3</v>
      </c>
      <c r="AF71" s="94">
        <v>0.9</v>
      </c>
      <c r="AH71" s="81"/>
      <c r="AI71" s="79"/>
      <c r="AJ71" s="95">
        <v>11100</v>
      </c>
      <c r="AK71" s="80">
        <v>5800</v>
      </c>
      <c r="AL71" s="80">
        <v>4900</v>
      </c>
      <c r="AM71" s="96">
        <f t="shared" si="31"/>
        <v>21800</v>
      </c>
      <c r="AN71" s="96"/>
      <c r="AO71" s="96"/>
      <c r="AP71" s="96"/>
      <c r="AQ71" s="96"/>
      <c r="AR71" s="96"/>
      <c r="AS71" s="123">
        <v>99.675243020984823</v>
      </c>
      <c r="AT71" s="123">
        <v>98.439515214147406</v>
      </c>
      <c r="AU71" s="123">
        <v>101.33332493894487</v>
      </c>
      <c r="AX71" s="86">
        <v>1.1366240000000001</v>
      </c>
      <c r="AY71" s="86">
        <f t="shared" si="27"/>
        <v>1.2745043372975728E-4</v>
      </c>
      <c r="AZ71" s="86">
        <f t="shared" si="27"/>
        <v>2.16566166689236E-4</v>
      </c>
      <c r="BA71" s="86">
        <f t="shared" si="27"/>
        <v>4.2815380081090335E-5</v>
      </c>
      <c r="BB71" s="86">
        <f t="shared" si="27"/>
        <v>3.7836847513521698E-5</v>
      </c>
      <c r="BC71" s="86"/>
      <c r="BD71" s="86">
        <v>0.872</v>
      </c>
      <c r="BE71" s="86"/>
    </row>
    <row r="72" spans="1:57" ht="12.75" x14ac:dyDescent="0.2">
      <c r="A72" s="71">
        <f t="shared" si="22"/>
        <v>1985</v>
      </c>
      <c r="B72" s="122">
        <f t="shared" si="32"/>
        <v>0.1194214237916302</v>
      </c>
      <c r="C72" s="122">
        <f t="shared" si="32"/>
        <v>0.21928244196221752</v>
      </c>
      <c r="D72" s="122">
        <f t="shared" si="32"/>
        <v>4.4783033921861323E-2</v>
      </c>
      <c r="E72" s="122">
        <f t="shared" si="32"/>
        <v>2.7796365882534615E-2</v>
      </c>
      <c r="F72" s="122">
        <f t="shared" si="32"/>
        <v>0.13007669737993513</v>
      </c>
      <c r="G72" s="72">
        <f t="shared" si="23"/>
        <v>1051.7</v>
      </c>
      <c r="H72" s="122">
        <f t="shared" si="19"/>
        <v>0.54135996293817878</v>
      </c>
      <c r="I72" s="75"/>
      <c r="J72" s="124">
        <f t="shared" si="29"/>
        <v>4.3187316621197305E-2</v>
      </c>
      <c r="K72" s="122">
        <f t="shared" si="29"/>
        <v>0.35517578627683122</v>
      </c>
      <c r="L72" s="122">
        <f t="shared" si="29"/>
        <v>2.8825860915221085E-2</v>
      </c>
      <c r="M72" s="122">
        <f t="shared" si="29"/>
        <v>3.1451073248571576E-2</v>
      </c>
      <c r="N72" s="122">
        <f t="shared" si="29"/>
        <v>0.41545272044062387</v>
      </c>
      <c r="O72" s="72">
        <f t="shared" si="24"/>
        <v>891</v>
      </c>
      <c r="P72" s="122">
        <f t="shared" si="20"/>
        <v>0.45864003706182116</v>
      </c>
      <c r="Q72" s="75"/>
      <c r="R72" s="80">
        <f t="shared" si="25"/>
        <v>1942.7</v>
      </c>
      <c r="S72" s="122">
        <f t="shared" si="21"/>
        <v>1</v>
      </c>
      <c r="T72" s="90"/>
      <c r="U72" s="80">
        <f t="shared" si="26"/>
        <v>76468.963000000003</v>
      </c>
      <c r="W72" s="80">
        <v>690000</v>
      </c>
      <c r="X72" s="80">
        <v>61100</v>
      </c>
      <c r="Y72" s="80">
        <v>56000</v>
      </c>
      <c r="Z72" s="91">
        <f t="shared" si="30"/>
        <v>60</v>
      </c>
      <c r="AA72" s="92">
        <f t="shared" si="30"/>
        <v>10.910714285714286</v>
      </c>
      <c r="AB72" s="92">
        <f t="shared" si="30"/>
        <v>11.914893617021276</v>
      </c>
      <c r="AD72" s="93">
        <v>1.9</v>
      </c>
      <c r="AE72" s="94">
        <v>2.9</v>
      </c>
      <c r="AF72" s="94">
        <v>0.9</v>
      </c>
      <c r="AH72" s="81"/>
      <c r="AI72" s="79"/>
      <c r="AJ72" s="95">
        <v>11500</v>
      </c>
      <c r="AK72" s="80">
        <v>5600</v>
      </c>
      <c r="AL72" s="80">
        <v>4700</v>
      </c>
      <c r="AM72" s="96">
        <f t="shared" si="31"/>
        <v>21800</v>
      </c>
      <c r="AN72" s="96"/>
      <c r="AO72" s="96"/>
      <c r="AP72" s="96"/>
      <c r="AQ72" s="96"/>
      <c r="AR72" s="96"/>
      <c r="AS72" s="123">
        <v>97.776465887520388</v>
      </c>
      <c r="AT72" s="123">
        <v>92.381382676127316</v>
      </c>
      <c r="AU72" s="123">
        <v>105.01551146795032</v>
      </c>
      <c r="AX72" s="86">
        <v>1.0517000000000001</v>
      </c>
      <c r="AY72" s="86">
        <f t="shared" si="27"/>
        <v>1.194214237916302E-4</v>
      </c>
      <c r="AZ72" s="86">
        <f t="shared" si="27"/>
        <v>2.1928244196221753E-4</v>
      </c>
      <c r="BA72" s="86">
        <f t="shared" si="27"/>
        <v>4.478303392186132E-5</v>
      </c>
      <c r="BB72" s="86">
        <f t="shared" si="27"/>
        <v>2.7796365882534613E-5</v>
      </c>
      <c r="BC72" s="86"/>
      <c r="BD72" s="86">
        <v>0.89100000000000001</v>
      </c>
      <c r="BE72" s="86"/>
    </row>
    <row r="73" spans="1:57" ht="12.75" x14ac:dyDescent="0.2">
      <c r="A73" s="71">
        <f t="shared" si="22"/>
        <v>1986</v>
      </c>
      <c r="B73" s="122">
        <f t="shared" si="32"/>
        <v>0.11303016258167707</v>
      </c>
      <c r="C73" s="122">
        <f t="shared" si="32"/>
        <v>0.21526850059525432</v>
      </c>
      <c r="D73" s="122">
        <f t="shared" si="32"/>
        <v>3.6919399838236229E-2</v>
      </c>
      <c r="E73" s="122">
        <f t="shared" si="32"/>
        <v>3.5215427538009943E-2</v>
      </c>
      <c r="F73" s="122">
        <f t="shared" si="32"/>
        <v>0.13779001608549851</v>
      </c>
      <c r="G73" s="72">
        <f t="shared" si="23"/>
        <v>947.59199999999998</v>
      </c>
      <c r="H73" s="122">
        <f t="shared" si="19"/>
        <v>0.53822350663867602</v>
      </c>
      <c r="I73" s="75"/>
      <c r="J73" s="124">
        <f t="shared" si="29"/>
        <v>4.7370429946290794E-2</v>
      </c>
      <c r="K73" s="122">
        <f t="shared" si="29"/>
        <v>0.35442623844706778</v>
      </c>
      <c r="L73" s="122">
        <f t="shared" si="29"/>
        <v>2.8967529103846885E-2</v>
      </c>
      <c r="M73" s="122">
        <f t="shared" si="29"/>
        <v>3.1012295864118432E-2</v>
      </c>
      <c r="N73" s="122">
        <f t="shared" si="29"/>
        <v>0.41440606341503311</v>
      </c>
      <c r="O73" s="72">
        <f t="shared" si="24"/>
        <v>813</v>
      </c>
      <c r="P73" s="122">
        <f t="shared" si="20"/>
        <v>0.46177649336132387</v>
      </c>
      <c r="Q73" s="75"/>
      <c r="R73" s="80">
        <f t="shared" si="25"/>
        <v>1760.5920000000001</v>
      </c>
      <c r="S73" s="122">
        <f t="shared" si="21"/>
        <v>1</v>
      </c>
      <c r="T73" s="90"/>
      <c r="U73" s="80">
        <f t="shared" si="26"/>
        <v>76781.797000000006</v>
      </c>
      <c r="W73" s="80">
        <v>624000</v>
      </c>
      <c r="X73" s="80">
        <v>54600</v>
      </c>
      <c r="Y73" s="80">
        <v>51000</v>
      </c>
      <c r="Z73" s="91">
        <f t="shared" si="30"/>
        <v>60</v>
      </c>
      <c r="AA73" s="92">
        <f t="shared" si="30"/>
        <v>10.705882352941176</v>
      </c>
      <c r="AB73" s="92">
        <f t="shared" si="30"/>
        <v>12.142857142857142</v>
      </c>
      <c r="AD73" s="93">
        <v>1.7</v>
      </c>
      <c r="AE73" s="94">
        <v>2.9</v>
      </c>
      <c r="AF73" s="94">
        <v>0.7</v>
      </c>
      <c r="AH73" s="81"/>
      <c r="AI73" s="79"/>
      <c r="AJ73" s="95">
        <v>10400</v>
      </c>
      <c r="AK73" s="80">
        <v>5100</v>
      </c>
      <c r="AL73" s="80">
        <v>4200</v>
      </c>
      <c r="AM73" s="96">
        <f t="shared" si="31"/>
        <v>19700</v>
      </c>
      <c r="AN73" s="96"/>
      <c r="AO73" s="96"/>
      <c r="AP73" s="96"/>
      <c r="AQ73" s="96"/>
      <c r="AR73" s="96"/>
      <c r="AS73" s="123">
        <v>94.220151926970232</v>
      </c>
      <c r="AT73" s="123">
        <v>88.505538784223859</v>
      </c>
      <c r="AU73" s="123">
        <v>101.88793820457668</v>
      </c>
      <c r="AX73" s="86">
        <v>0.94759199999999999</v>
      </c>
      <c r="AY73" s="86">
        <f t="shared" si="27"/>
        <v>1.1303016258167706E-4</v>
      </c>
      <c r="AZ73" s="86">
        <f t="shared" si="27"/>
        <v>2.1526850059525431E-4</v>
      </c>
      <c r="BA73" s="86">
        <f t="shared" si="27"/>
        <v>3.6919399838236227E-5</v>
      </c>
      <c r="BB73" s="86">
        <f t="shared" si="27"/>
        <v>3.521542753800994E-5</v>
      </c>
      <c r="BC73" s="86"/>
      <c r="BD73" s="86">
        <v>0.81299999999999994</v>
      </c>
      <c r="BE73" s="86"/>
    </row>
    <row r="74" spans="1:57" ht="12.75" x14ac:dyDescent="0.2">
      <c r="A74" s="71">
        <f t="shared" si="22"/>
        <v>1987</v>
      </c>
      <c r="B74" s="122">
        <f t="shared" si="32"/>
        <v>0.10704389087278179</v>
      </c>
      <c r="C74" s="122">
        <f t="shared" si="32"/>
        <v>0.24458953559641</v>
      </c>
      <c r="D74" s="122">
        <f t="shared" si="32"/>
        <v>3.3379277799039479E-2</v>
      </c>
      <c r="E74" s="122">
        <f t="shared" si="32"/>
        <v>2.0718172426990023E-2</v>
      </c>
      <c r="F74" s="122">
        <f t="shared" si="32"/>
        <v>0.16724456939292878</v>
      </c>
      <c r="G74" s="72">
        <f t="shared" si="23"/>
        <v>995.60500000000002</v>
      </c>
      <c r="H74" s="122">
        <f t="shared" si="19"/>
        <v>0.5729754460881501</v>
      </c>
      <c r="I74" s="75"/>
      <c r="J74" s="124">
        <f t="shared" si="29"/>
        <v>4.6902489345967587E-2</v>
      </c>
      <c r="K74" s="122">
        <f t="shared" si="29"/>
        <v>0.32409091824666714</v>
      </c>
      <c r="L74" s="122">
        <f t="shared" si="29"/>
        <v>2.7624229902653365E-2</v>
      </c>
      <c r="M74" s="122">
        <f t="shared" si="29"/>
        <v>2.8406916416561876E-2</v>
      </c>
      <c r="N74" s="122">
        <f t="shared" si="29"/>
        <v>0.38012206456588238</v>
      </c>
      <c r="O74" s="72">
        <f t="shared" si="24"/>
        <v>742.00000000000011</v>
      </c>
      <c r="P74" s="122">
        <f t="shared" si="20"/>
        <v>0.42702455391185001</v>
      </c>
      <c r="Q74" s="75"/>
      <c r="R74" s="80">
        <f t="shared" si="25"/>
        <v>1737.605</v>
      </c>
      <c r="S74" s="122">
        <f t="shared" si="21"/>
        <v>1</v>
      </c>
      <c r="T74" s="90"/>
      <c r="U74" s="80">
        <f t="shared" si="26"/>
        <v>79225.444000000003</v>
      </c>
      <c r="W74" s="80">
        <v>563142</v>
      </c>
      <c r="X74" s="80">
        <v>49360</v>
      </c>
      <c r="Y74" s="80">
        <v>48000</v>
      </c>
      <c r="Z74" s="91">
        <f t="shared" si="30"/>
        <v>55.21</v>
      </c>
      <c r="AA74" s="92">
        <f t="shared" si="30"/>
        <v>10.283333333333333</v>
      </c>
      <c r="AB74" s="92">
        <f t="shared" si="30"/>
        <v>12</v>
      </c>
      <c r="AD74" s="93">
        <v>1.5</v>
      </c>
      <c r="AE74" s="94">
        <v>3</v>
      </c>
      <c r="AF74" s="94">
        <v>0.6</v>
      </c>
      <c r="AH74" s="81"/>
      <c r="AI74" s="79"/>
      <c r="AJ74" s="95">
        <v>10200</v>
      </c>
      <c r="AK74" s="80">
        <v>4800</v>
      </c>
      <c r="AL74" s="80">
        <v>4000</v>
      </c>
      <c r="AM74" s="96">
        <f t="shared" si="31"/>
        <v>19000</v>
      </c>
      <c r="AN74" s="96"/>
      <c r="AO74" s="96"/>
      <c r="AP74" s="96"/>
      <c r="AQ74" s="96"/>
      <c r="AR74" s="96"/>
      <c r="AS74" s="123">
        <v>100</v>
      </c>
      <c r="AT74" s="123">
        <v>100</v>
      </c>
      <c r="AU74" s="123">
        <v>100</v>
      </c>
      <c r="AX74" s="86">
        <v>0.99560500000000007</v>
      </c>
      <c r="AY74" s="86">
        <f t="shared" si="27"/>
        <v>1.0704389087278179E-4</v>
      </c>
      <c r="AZ74" s="86">
        <f t="shared" si="27"/>
        <v>2.4458953559641002E-4</v>
      </c>
      <c r="BA74" s="86">
        <f t="shared" si="27"/>
        <v>3.3379277799039482E-5</v>
      </c>
      <c r="BB74" s="86">
        <f t="shared" si="27"/>
        <v>2.0718172426990025E-5</v>
      </c>
      <c r="BC74" s="86"/>
      <c r="BD74" s="86">
        <v>0.7420000000000001</v>
      </c>
      <c r="BE74" s="86"/>
    </row>
    <row r="75" spans="1:57" ht="12.75" x14ac:dyDescent="0.2">
      <c r="A75" s="71">
        <f t="shared" si="22"/>
        <v>1988</v>
      </c>
      <c r="B75" s="122">
        <f t="shared" si="32"/>
        <v>0.10738940869130743</v>
      </c>
      <c r="C75" s="122">
        <f t="shared" si="32"/>
        <v>0.22834379532256951</v>
      </c>
      <c r="D75" s="122">
        <f t="shared" si="32"/>
        <v>3.3347237435721787E-2</v>
      </c>
      <c r="E75" s="122">
        <f t="shared" si="32"/>
        <v>2.7129955879909247E-2</v>
      </c>
      <c r="F75" s="122">
        <f t="shared" si="32"/>
        <v>0.17425005454251544</v>
      </c>
      <c r="G75" s="72">
        <f t="shared" si="23"/>
        <v>1009.294</v>
      </c>
      <c r="H75" s="122">
        <f t="shared" si="19"/>
        <v>0.57046045187202343</v>
      </c>
      <c r="I75" s="75"/>
      <c r="J75" s="124">
        <f t="shared" si="29"/>
        <v>5.5457021063019488E-2</v>
      </c>
      <c r="K75" s="122">
        <f t="shared" si="29"/>
        <v>0.31924440812044791</v>
      </c>
      <c r="L75" s="122">
        <f t="shared" si="29"/>
        <v>2.7713815138741462E-2</v>
      </c>
      <c r="M75" s="122">
        <f t="shared" si="29"/>
        <v>2.7124303805767601E-2</v>
      </c>
      <c r="N75" s="122">
        <f t="shared" si="29"/>
        <v>0.37408252706495698</v>
      </c>
      <c r="O75" s="72">
        <f t="shared" si="24"/>
        <v>759.96800000000007</v>
      </c>
      <c r="P75" s="122">
        <f t="shared" si="20"/>
        <v>0.42953954812797651</v>
      </c>
      <c r="Q75" s="75"/>
      <c r="R75" s="80">
        <f t="shared" si="25"/>
        <v>1769.2620000000002</v>
      </c>
      <c r="S75" s="122">
        <f t="shared" si="21"/>
        <v>1</v>
      </c>
      <c r="T75" s="90"/>
      <c r="U75" s="80">
        <f t="shared" si="26"/>
        <v>82844.313999999998</v>
      </c>
      <c r="W75" s="80">
        <v>564827</v>
      </c>
      <c r="X75" s="80">
        <v>47990</v>
      </c>
      <c r="Y75" s="80">
        <v>49033</v>
      </c>
      <c r="Z75" s="91">
        <f t="shared" si="30"/>
        <v>53.79304761904762</v>
      </c>
      <c r="AA75" s="92">
        <f t="shared" si="30"/>
        <v>9.5980000000000008</v>
      </c>
      <c r="AB75" s="92">
        <f t="shared" si="30"/>
        <v>11.959268292682927</v>
      </c>
      <c r="AD75" s="93">
        <v>1.6</v>
      </c>
      <c r="AE75" s="94">
        <v>2.8</v>
      </c>
      <c r="AF75" s="94">
        <v>0.6</v>
      </c>
      <c r="AH75" s="81"/>
      <c r="AI75" s="79"/>
      <c r="AJ75" s="95">
        <v>10500</v>
      </c>
      <c r="AK75" s="80">
        <v>5000</v>
      </c>
      <c r="AL75" s="80">
        <v>4100</v>
      </c>
      <c r="AM75" s="96">
        <f t="shared" si="31"/>
        <v>19600</v>
      </c>
      <c r="AN75" s="96"/>
      <c r="AO75" s="96"/>
      <c r="AP75" s="96"/>
      <c r="AQ75" s="96"/>
      <c r="AR75" s="96"/>
      <c r="AS75" s="123">
        <v>101.67292581093352</v>
      </c>
      <c r="AT75" s="123">
        <v>101.22664696583303</v>
      </c>
      <c r="AU75" s="123">
        <v>102.2717363898773</v>
      </c>
      <c r="AX75" s="86">
        <v>1.0092939999999999</v>
      </c>
      <c r="AY75" s="86">
        <f t="shared" si="27"/>
        <v>1.0738940869130744E-4</v>
      </c>
      <c r="AZ75" s="86">
        <f t="shared" si="27"/>
        <v>2.2834379532256951E-4</v>
      </c>
      <c r="BA75" s="86">
        <f t="shared" si="27"/>
        <v>3.3347237435721784E-5</v>
      </c>
      <c r="BB75" s="86">
        <f t="shared" si="27"/>
        <v>2.7129955879909247E-5</v>
      </c>
      <c r="BC75" s="86"/>
      <c r="BD75" s="86">
        <v>0.75996800000000009</v>
      </c>
      <c r="BE75" s="86"/>
    </row>
    <row r="76" spans="1:57" ht="12.75" x14ac:dyDescent="0.2">
      <c r="A76" s="71">
        <f t="shared" si="22"/>
        <v>1989</v>
      </c>
      <c r="B76" s="122">
        <f t="shared" si="32"/>
        <v>9.9557720614410053E-2</v>
      </c>
      <c r="C76" s="122">
        <f t="shared" si="32"/>
        <v>0.2234260474253621</v>
      </c>
      <c r="D76" s="122">
        <f t="shared" si="32"/>
        <v>3.472943742363141E-2</v>
      </c>
      <c r="E76" s="122">
        <f t="shared" si="32"/>
        <v>1.6207070797694661E-2</v>
      </c>
      <c r="F76" s="122">
        <f t="shared" si="32"/>
        <v>0.19453752255242843</v>
      </c>
      <c r="G76" s="72">
        <f t="shared" si="23"/>
        <v>982.09100000000001</v>
      </c>
      <c r="H76" s="122">
        <f t="shared" si="19"/>
        <v>0.56845779881352665</v>
      </c>
      <c r="I76" s="75"/>
      <c r="J76" s="124">
        <f t="shared" si="29"/>
        <v>5.7186070485708541E-2</v>
      </c>
      <c r="K76" s="122">
        <f t="shared" si="29"/>
        <v>0.32137926803080036</v>
      </c>
      <c r="L76" s="122">
        <f t="shared" si="29"/>
        <v>2.6709831498557862E-2</v>
      </c>
      <c r="M76" s="122">
        <f t="shared" si="29"/>
        <v>2.6267031171406559E-2</v>
      </c>
      <c r="N76" s="122">
        <f t="shared" si="29"/>
        <v>0.37435613070076473</v>
      </c>
      <c r="O76" s="72">
        <f t="shared" si="24"/>
        <v>745.55</v>
      </c>
      <c r="P76" s="122">
        <f t="shared" si="20"/>
        <v>0.4315422011864733</v>
      </c>
      <c r="Q76" s="75"/>
      <c r="R76" s="80">
        <f t="shared" si="25"/>
        <v>1727.6410000000001</v>
      </c>
      <c r="S76" s="122">
        <f t="shared" si="21"/>
        <v>1</v>
      </c>
      <c r="T76" s="90"/>
      <c r="U76" s="80">
        <f t="shared" si="26"/>
        <v>84956.788</v>
      </c>
      <c r="W76" s="80">
        <v>555228</v>
      </c>
      <c r="X76" s="80">
        <v>45380</v>
      </c>
      <c r="Y76" s="80">
        <v>46145</v>
      </c>
      <c r="Z76" s="91">
        <f t="shared" si="30"/>
        <v>52.38</v>
      </c>
      <c r="AA76" s="92">
        <f t="shared" si="30"/>
        <v>9.4541666666666675</v>
      </c>
      <c r="AB76" s="92">
        <f t="shared" si="30"/>
        <v>11.254878048780487</v>
      </c>
      <c r="AD76" s="93">
        <v>1.3</v>
      </c>
      <c r="AE76" s="94">
        <v>2.5</v>
      </c>
      <c r="AF76" s="94">
        <v>0.7</v>
      </c>
      <c r="AH76" s="81"/>
      <c r="AI76" s="79"/>
      <c r="AJ76" s="95">
        <v>10600</v>
      </c>
      <c r="AK76" s="80">
        <v>4800</v>
      </c>
      <c r="AL76" s="80">
        <v>4100</v>
      </c>
      <c r="AM76" s="96">
        <f t="shared" si="31"/>
        <v>19500</v>
      </c>
      <c r="AN76" s="96"/>
      <c r="AO76" s="96"/>
      <c r="AP76" s="96"/>
      <c r="AQ76" s="96"/>
      <c r="AR76" s="96"/>
      <c r="AS76" s="123">
        <v>94.113493487603819</v>
      </c>
      <c r="AT76" s="123">
        <v>93.371451973849062</v>
      </c>
      <c r="AU76" s="123">
        <v>95.10915419016689</v>
      </c>
      <c r="AX76" s="86">
        <v>0.98209100000000005</v>
      </c>
      <c r="AY76" s="86">
        <f t="shared" si="27"/>
        <v>9.9557720614410058E-5</v>
      </c>
      <c r="AZ76" s="86">
        <f t="shared" si="27"/>
        <v>2.234260474253621E-4</v>
      </c>
      <c r="BA76" s="86">
        <f t="shared" si="27"/>
        <v>3.4729437423631407E-5</v>
      </c>
      <c r="BB76" s="86">
        <f t="shared" si="27"/>
        <v>1.6207070797694661E-5</v>
      </c>
      <c r="BC76" s="86"/>
      <c r="BD76" s="86">
        <v>0.74554999999999993</v>
      </c>
      <c r="BE76" s="86"/>
    </row>
    <row r="77" spans="1:57" ht="12.75" x14ac:dyDescent="0.2">
      <c r="A77" s="71">
        <f t="shared" si="22"/>
        <v>1990</v>
      </c>
      <c r="B77" s="122">
        <f t="shared" si="32"/>
        <v>0.10367245096817257</v>
      </c>
      <c r="C77" s="122">
        <f t="shared" si="32"/>
        <v>0.20676247243652393</v>
      </c>
      <c r="D77" s="122">
        <f t="shared" si="32"/>
        <v>3.3780910989629265E-2</v>
      </c>
      <c r="E77" s="122">
        <f t="shared" si="32"/>
        <v>2.795661599141732E-2</v>
      </c>
      <c r="F77" s="122">
        <f t="shared" si="32"/>
        <v>0.18544671760206785</v>
      </c>
      <c r="G77" s="72">
        <f t="shared" si="23"/>
        <v>957.40200000000004</v>
      </c>
      <c r="H77" s="122">
        <f t="shared" si="19"/>
        <v>0.55761916798781097</v>
      </c>
      <c r="I77" s="75"/>
      <c r="J77" s="124">
        <f t="shared" ref="J77:N89" si="33">J31/$R31</f>
        <v>5.8267412021111908E-2</v>
      </c>
      <c r="K77" s="122">
        <f t="shared" si="33"/>
        <v>0.32945474115085738</v>
      </c>
      <c r="L77" s="122">
        <f t="shared" si="33"/>
        <v>2.8530891478241015E-2</v>
      </c>
      <c r="M77" s="122">
        <f t="shared" si="33"/>
        <v>2.6127787361978769E-2</v>
      </c>
      <c r="N77" s="122">
        <f t="shared" si="33"/>
        <v>0.38411341999107718</v>
      </c>
      <c r="O77" s="72">
        <f t="shared" si="24"/>
        <v>759.54399999999998</v>
      </c>
      <c r="P77" s="122">
        <f t="shared" si="20"/>
        <v>0.44238083201218908</v>
      </c>
      <c r="Q77" s="75"/>
      <c r="R77" s="80">
        <f t="shared" si="25"/>
        <v>1716.9459999999999</v>
      </c>
      <c r="S77" s="122">
        <f t="shared" si="21"/>
        <v>1</v>
      </c>
      <c r="T77" s="90"/>
      <c r="U77" s="80">
        <f t="shared" si="26"/>
        <v>84667.854000000007</v>
      </c>
      <c r="W77" s="80">
        <v>565656</v>
      </c>
      <c r="X77" s="80">
        <v>44860</v>
      </c>
      <c r="Y77" s="80">
        <v>48986</v>
      </c>
      <c r="Z77" s="91">
        <f t="shared" si="30"/>
        <v>50.96</v>
      </c>
      <c r="AA77" s="92">
        <f t="shared" si="30"/>
        <v>8.6269230769230774</v>
      </c>
      <c r="AB77" s="92">
        <f t="shared" si="30"/>
        <v>11.392093023255814</v>
      </c>
      <c r="AD77" s="93">
        <v>1.5</v>
      </c>
      <c r="AE77" s="94">
        <v>2.7</v>
      </c>
      <c r="AF77" s="94">
        <v>0.6</v>
      </c>
      <c r="AH77" s="81"/>
      <c r="AI77" s="79"/>
      <c r="AJ77" s="95">
        <v>11100</v>
      </c>
      <c r="AK77" s="80">
        <v>5200</v>
      </c>
      <c r="AL77" s="80">
        <v>4300</v>
      </c>
      <c r="AM77" s="96">
        <f t="shared" si="31"/>
        <v>20600</v>
      </c>
      <c r="AN77" s="96"/>
      <c r="AO77" s="96"/>
      <c r="AP77" s="96"/>
      <c r="AQ77" s="96"/>
      <c r="AR77" s="96"/>
      <c r="AS77" s="123">
        <v>92.517836603282916</v>
      </c>
      <c r="AT77" s="123">
        <v>90.038272011429243</v>
      </c>
      <c r="AU77" s="123">
        <v>95.844880950280881</v>
      </c>
      <c r="AX77" s="86">
        <v>0.95740200000000009</v>
      </c>
      <c r="AY77" s="86">
        <f t="shared" si="27"/>
        <v>1.0367245096817257E-4</v>
      </c>
      <c r="AZ77" s="86">
        <f t="shared" si="27"/>
        <v>2.0676247243652394E-4</v>
      </c>
      <c r="BA77" s="86">
        <f t="shared" si="27"/>
        <v>3.3780910989629265E-5</v>
      </c>
      <c r="BB77" s="86">
        <f t="shared" si="27"/>
        <v>2.795661599141732E-5</v>
      </c>
      <c r="BC77" s="86"/>
      <c r="BD77" s="86">
        <v>0.759544</v>
      </c>
      <c r="BE77" s="86"/>
    </row>
    <row r="78" spans="1:57" ht="12.75" x14ac:dyDescent="0.2">
      <c r="A78" s="71">
        <f t="shared" si="22"/>
        <v>1991</v>
      </c>
      <c r="B78" s="122">
        <f t="shared" si="32"/>
        <v>9.2436701207374475E-2</v>
      </c>
      <c r="C78" s="122">
        <f t="shared" si="32"/>
        <v>0.21626699905121574</v>
      </c>
      <c r="D78" s="122">
        <f t="shared" si="32"/>
        <v>3.1393596636466799E-2</v>
      </c>
      <c r="E78" s="122">
        <f t="shared" si="32"/>
        <v>4.3602217550648338E-2</v>
      </c>
      <c r="F78" s="122">
        <f t="shared" si="32"/>
        <v>0.18363800625081392</v>
      </c>
      <c r="G78" s="72">
        <f t="shared" si="23"/>
        <v>975.875</v>
      </c>
      <c r="H78" s="122">
        <f t="shared" si="19"/>
        <v>0.56733752069651922</v>
      </c>
      <c r="I78" s="75"/>
      <c r="J78" s="124">
        <f t="shared" si="33"/>
        <v>5.5792234852008259E-2</v>
      </c>
      <c r="K78" s="122">
        <f t="shared" si="33"/>
        <v>0.32612598366602791</v>
      </c>
      <c r="L78" s="122">
        <f t="shared" si="33"/>
        <v>2.6821177422655478E-2</v>
      </c>
      <c r="M78" s="122">
        <f t="shared" si="33"/>
        <v>2.3923083362789054E-2</v>
      </c>
      <c r="N78" s="122">
        <f t="shared" si="33"/>
        <v>0.37687024445147244</v>
      </c>
      <c r="O78" s="72">
        <f t="shared" si="24"/>
        <v>744.22099999999989</v>
      </c>
      <c r="P78" s="122">
        <f t="shared" si="20"/>
        <v>0.43266247930348067</v>
      </c>
      <c r="Q78" s="75"/>
      <c r="R78" s="80">
        <f t="shared" si="25"/>
        <v>1720.096</v>
      </c>
      <c r="S78" s="122">
        <f t="shared" si="21"/>
        <v>1</v>
      </c>
      <c r="T78" s="90"/>
      <c r="U78" s="80">
        <f t="shared" si="26"/>
        <v>84595.436000000002</v>
      </c>
      <c r="W78" s="80">
        <v>560968</v>
      </c>
      <c r="X78" s="80">
        <v>41150</v>
      </c>
      <c r="Y78" s="80">
        <v>46135</v>
      </c>
      <c r="Z78" s="91">
        <f t="shared" si="30"/>
        <v>49.643185840707964</v>
      </c>
      <c r="AA78" s="92">
        <f t="shared" si="30"/>
        <v>8.23</v>
      </c>
      <c r="AB78" s="92">
        <f t="shared" si="30"/>
        <v>10.984523809523809</v>
      </c>
      <c r="AD78" s="93">
        <v>1.4</v>
      </c>
      <c r="AE78" s="94">
        <v>2.8</v>
      </c>
      <c r="AF78" s="94">
        <v>0.6</v>
      </c>
      <c r="AH78" s="81"/>
      <c r="AI78" s="79"/>
      <c r="AJ78" s="95">
        <v>11300</v>
      </c>
      <c r="AK78" s="80">
        <v>5000</v>
      </c>
      <c r="AL78" s="80">
        <v>4200</v>
      </c>
      <c r="AM78" s="96">
        <f t="shared" si="31"/>
        <v>20500</v>
      </c>
      <c r="AN78" s="96"/>
      <c r="AO78" s="96"/>
      <c r="AP78" s="96"/>
      <c r="AQ78" s="96"/>
      <c r="AR78" s="96"/>
      <c r="AS78" s="123">
        <v>94.446595160014184</v>
      </c>
      <c r="AT78" s="123">
        <v>93.517265883094694</v>
      </c>
      <c r="AU78" s="123">
        <v>95.693555907652197</v>
      </c>
      <c r="AX78" s="86">
        <v>0.97587500000000005</v>
      </c>
      <c r="AY78" s="86">
        <f t="shared" si="27"/>
        <v>9.243670120737448E-5</v>
      </c>
      <c r="AZ78" s="86">
        <f t="shared" si="27"/>
        <v>2.1626699905121573E-4</v>
      </c>
      <c r="BA78" s="86">
        <f t="shared" si="27"/>
        <v>3.1393596636466797E-5</v>
      </c>
      <c r="BB78" s="86">
        <f t="shared" si="27"/>
        <v>4.360221755064834E-5</v>
      </c>
      <c r="BC78" s="86"/>
      <c r="BD78" s="86">
        <v>0.74422099999999991</v>
      </c>
      <c r="BE78" s="86"/>
    </row>
    <row r="79" spans="1:57" ht="12.75" x14ac:dyDescent="0.2">
      <c r="A79" s="71">
        <f t="shared" si="22"/>
        <v>1992</v>
      </c>
      <c r="B79" s="122">
        <f t="shared" si="32"/>
        <v>0.10123926822265336</v>
      </c>
      <c r="C79" s="122">
        <f t="shared" si="32"/>
        <v>0.24130351919867182</v>
      </c>
      <c r="D79" s="122">
        <f t="shared" si="32"/>
        <v>4.3286149195701035E-2</v>
      </c>
      <c r="E79" s="122">
        <f t="shared" si="32"/>
        <v>2.6376425302293258E-2</v>
      </c>
      <c r="F79" s="122">
        <f t="shared" si="32"/>
        <v>0.18267547171690179</v>
      </c>
      <c r="G79" s="72">
        <f t="shared" si="23"/>
        <v>1075.306</v>
      </c>
      <c r="H79" s="122">
        <f t="shared" si="19"/>
        <v>0.59488083363622124</v>
      </c>
      <c r="I79" s="75"/>
      <c r="J79" s="124">
        <f t="shared" si="33"/>
        <v>5.2672633698071306E-2</v>
      </c>
      <c r="K79" s="122">
        <f t="shared" si="33"/>
        <v>0.30617299522737063</v>
      </c>
      <c r="L79" s="122">
        <f t="shared" si="33"/>
        <v>2.4988396209557538E-2</v>
      </c>
      <c r="M79" s="122">
        <f t="shared" si="33"/>
        <v>2.128514122877917E-2</v>
      </c>
      <c r="N79" s="122">
        <f t="shared" si="33"/>
        <v>0.35244653266570736</v>
      </c>
      <c r="O79" s="72">
        <f t="shared" si="24"/>
        <v>732.29300000000001</v>
      </c>
      <c r="P79" s="122">
        <f t="shared" si="20"/>
        <v>0.40511916636377865</v>
      </c>
      <c r="Q79" s="75"/>
      <c r="R79" s="80">
        <f t="shared" si="25"/>
        <v>1807.5990000000002</v>
      </c>
      <c r="S79" s="122">
        <f t="shared" si="21"/>
        <v>1</v>
      </c>
      <c r="T79" s="90"/>
      <c r="U79" s="80">
        <f t="shared" si="26"/>
        <v>85948.645999999993</v>
      </c>
      <c r="W79" s="80">
        <v>553438</v>
      </c>
      <c r="X79" s="80">
        <v>38475</v>
      </c>
      <c r="Y79" s="80">
        <v>45169</v>
      </c>
      <c r="Z79" s="91">
        <f t="shared" si="30"/>
        <v>48.125043478260871</v>
      </c>
      <c r="AA79" s="92">
        <f t="shared" si="30"/>
        <v>7.6950000000000003</v>
      </c>
      <c r="AB79" s="92">
        <f t="shared" si="30"/>
        <v>10.754523809523809</v>
      </c>
      <c r="AD79" s="93">
        <v>1.6</v>
      </c>
      <c r="AE79" s="94">
        <v>3.1</v>
      </c>
      <c r="AF79" s="94">
        <v>0.9</v>
      </c>
      <c r="AG79" s="88">
        <v>46.289000000000001</v>
      </c>
      <c r="AH79" s="81"/>
      <c r="AI79" s="79"/>
      <c r="AJ79" s="95">
        <v>11500</v>
      </c>
      <c r="AK79" s="80">
        <v>5000</v>
      </c>
      <c r="AL79" s="80">
        <v>4200</v>
      </c>
      <c r="AM79" s="96">
        <f t="shared" si="31"/>
        <v>20700</v>
      </c>
      <c r="AN79" s="96"/>
      <c r="AO79" s="96"/>
      <c r="AP79" s="96"/>
      <c r="AQ79" s="96"/>
      <c r="AR79" s="96"/>
      <c r="AS79" s="123">
        <v>98.183107536683849</v>
      </c>
      <c r="AT79" s="123">
        <v>101.93673962676493</v>
      </c>
      <c r="AU79" s="123">
        <v>93.146537621528566</v>
      </c>
      <c r="AX79" s="86">
        <v>1.0753060000000001</v>
      </c>
      <c r="AY79" s="86">
        <f t="shared" si="27"/>
        <v>1.0123926822265335E-4</v>
      </c>
      <c r="AZ79" s="86">
        <f t="shared" si="27"/>
        <v>2.4130351919867183E-4</v>
      </c>
      <c r="BA79" s="86">
        <f t="shared" si="27"/>
        <v>4.3286149195701033E-5</v>
      </c>
      <c r="BB79" s="86">
        <f t="shared" si="27"/>
        <v>2.6376425302293257E-5</v>
      </c>
      <c r="BC79" s="86"/>
      <c r="BD79" s="86">
        <v>0.73229299999999997</v>
      </c>
      <c r="BE79" s="86"/>
    </row>
    <row r="80" spans="1:57" ht="12.75" x14ac:dyDescent="0.2">
      <c r="A80" s="71">
        <f t="shared" si="22"/>
        <v>1993</v>
      </c>
      <c r="B80" s="122">
        <f t="shared" si="32"/>
        <v>0.10327655558760639</v>
      </c>
      <c r="C80" s="122">
        <f t="shared" si="32"/>
        <v>0.25135776267406035</v>
      </c>
      <c r="D80" s="122">
        <f t="shared" si="32"/>
        <v>3.8270513426503776E-2</v>
      </c>
      <c r="E80" s="122">
        <f t="shared" si="32"/>
        <v>3.2509088061119872E-2</v>
      </c>
      <c r="F80" s="122">
        <f t="shared" si="32"/>
        <v>0.18402696386782147</v>
      </c>
      <c r="G80" s="72">
        <f t="shared" si="23"/>
        <v>1104.973</v>
      </c>
      <c r="H80" s="122">
        <f t="shared" si="19"/>
        <v>0.60944088361711179</v>
      </c>
      <c r="I80" s="75"/>
      <c r="J80" s="124">
        <f t="shared" si="33"/>
        <v>5.1322243260549801E-2</v>
      </c>
      <c r="K80" s="122">
        <f t="shared" si="33"/>
        <v>0.29368101912036504</v>
      </c>
      <c r="L80" s="122">
        <f t="shared" si="33"/>
        <v>2.4867450263169076E-2</v>
      </c>
      <c r="M80" s="122">
        <f t="shared" si="33"/>
        <v>2.0688403738804352E-2</v>
      </c>
      <c r="N80" s="122">
        <f t="shared" si="33"/>
        <v>0.33923687312233847</v>
      </c>
      <c r="O80" s="72">
        <f t="shared" si="24"/>
        <v>708.12</v>
      </c>
      <c r="P80" s="122">
        <f t="shared" si="20"/>
        <v>0.39055911638288826</v>
      </c>
      <c r="Q80" s="75"/>
      <c r="R80" s="80">
        <f t="shared" si="25"/>
        <v>1813.0929999999998</v>
      </c>
      <c r="S80" s="122">
        <f t="shared" si="21"/>
        <v>1</v>
      </c>
      <c r="T80" s="90"/>
      <c r="U80" s="80">
        <f t="shared" si="26"/>
        <v>87577.676999999996</v>
      </c>
      <c r="W80" s="80">
        <v>532471</v>
      </c>
      <c r="X80" s="80">
        <v>37510</v>
      </c>
      <c r="Y80" s="80">
        <v>45087</v>
      </c>
      <c r="Z80" s="91">
        <f t="shared" si="30"/>
        <v>46.70798245614035</v>
      </c>
      <c r="AA80" s="92">
        <f t="shared" si="30"/>
        <v>7.3549019607843134</v>
      </c>
      <c r="AB80" s="92">
        <f t="shared" si="30"/>
        <v>10.247045454545454</v>
      </c>
      <c r="AD80" s="93">
        <v>1.4</v>
      </c>
      <c r="AE80" s="94">
        <v>3.3</v>
      </c>
      <c r="AF80" s="94">
        <v>0.7</v>
      </c>
      <c r="AG80" s="88">
        <v>57.225000000000001</v>
      </c>
      <c r="AH80" s="81"/>
      <c r="AI80" s="98">
        <v>258</v>
      </c>
      <c r="AJ80" s="95">
        <v>11400</v>
      </c>
      <c r="AK80" s="80">
        <v>5100</v>
      </c>
      <c r="AL80" s="80">
        <v>4400</v>
      </c>
      <c r="AM80" s="96">
        <f t="shared" si="31"/>
        <v>20900</v>
      </c>
      <c r="AN80" s="96"/>
      <c r="AO80" s="96"/>
      <c r="AP80" s="96"/>
      <c r="AQ80" s="96"/>
      <c r="AR80" s="96"/>
      <c r="AS80" s="123">
        <v>102.19712292283178</v>
      </c>
      <c r="AT80" s="123">
        <v>108.70117615412647</v>
      </c>
      <c r="AU80" s="123">
        <v>93.470077212126753</v>
      </c>
      <c r="AX80" s="86">
        <v>1.104973</v>
      </c>
      <c r="AY80" s="86">
        <f t="shared" si="27"/>
        <v>1.0327655558760639E-4</v>
      </c>
      <c r="AZ80" s="86">
        <f t="shared" si="27"/>
        <v>2.5135776267406037E-4</v>
      </c>
      <c r="BA80" s="86">
        <f t="shared" si="27"/>
        <v>3.8270513426503777E-5</v>
      </c>
      <c r="BB80" s="86">
        <f t="shared" si="27"/>
        <v>3.2509088061119869E-5</v>
      </c>
      <c r="BC80" s="86"/>
      <c r="BD80" s="86">
        <v>0.70811999999999997</v>
      </c>
      <c r="BE80" s="86"/>
    </row>
    <row r="81" spans="1:57" ht="12.75" x14ac:dyDescent="0.2">
      <c r="A81" s="71">
        <f t="shared" si="22"/>
        <v>1994</v>
      </c>
      <c r="B81" s="122">
        <f t="shared" si="32"/>
        <v>0.10266110137499136</v>
      </c>
      <c r="C81" s="122">
        <f t="shared" si="32"/>
        <v>0.25234661423818527</v>
      </c>
      <c r="D81" s="122">
        <f t="shared" si="32"/>
        <v>4.0478703023222214E-2</v>
      </c>
      <c r="E81" s="122">
        <f t="shared" si="32"/>
        <v>3.5635245172245568E-2</v>
      </c>
      <c r="F81" s="122">
        <f t="shared" si="32"/>
        <v>0.17465237864921285</v>
      </c>
      <c r="G81" s="72">
        <f t="shared" si="23"/>
        <v>1157.278</v>
      </c>
      <c r="H81" s="122">
        <f t="shared" si="19"/>
        <v>0.60577404245785726</v>
      </c>
      <c r="I81" s="75"/>
      <c r="J81" s="124">
        <f t="shared" si="33"/>
        <v>5.2938842511458264E-2</v>
      </c>
      <c r="K81" s="122">
        <f t="shared" si="33"/>
        <v>0.29871409936704751</v>
      </c>
      <c r="L81" s="122">
        <f t="shared" si="33"/>
        <v>2.3990113127430105E-2</v>
      </c>
      <c r="M81" s="122">
        <f t="shared" si="33"/>
        <v>1.8582902536206848E-2</v>
      </c>
      <c r="N81" s="122">
        <f t="shared" si="33"/>
        <v>0.34128711503068448</v>
      </c>
      <c r="O81" s="72">
        <f t="shared" si="24"/>
        <v>753.13400000000001</v>
      </c>
      <c r="P81" s="122">
        <f t="shared" si="20"/>
        <v>0.39422595754214274</v>
      </c>
      <c r="Q81" s="75"/>
      <c r="R81" s="80">
        <f t="shared" si="25"/>
        <v>1910.412</v>
      </c>
      <c r="S81" s="122">
        <f t="shared" si="21"/>
        <v>1</v>
      </c>
      <c r="T81" s="90"/>
      <c r="U81" s="80">
        <f t="shared" si="26"/>
        <v>89248.217000000004</v>
      </c>
      <c r="W81" s="80">
        <v>570667</v>
      </c>
      <c r="X81" s="80">
        <v>35501</v>
      </c>
      <c r="Y81" s="80">
        <v>45831</v>
      </c>
      <c r="Z81" s="91">
        <f t="shared" si="30"/>
        <v>45.291031746031749</v>
      </c>
      <c r="AA81" s="92">
        <f t="shared" si="30"/>
        <v>6.6983018867924526</v>
      </c>
      <c r="AB81" s="92">
        <f t="shared" si="30"/>
        <v>10.184666666666667</v>
      </c>
      <c r="AD81" s="93">
        <v>1.4</v>
      </c>
      <c r="AE81" s="94">
        <v>3.5</v>
      </c>
      <c r="AF81" s="94">
        <v>0.9</v>
      </c>
      <c r="AG81" s="88">
        <v>66.094999999999999</v>
      </c>
      <c r="AH81" s="81"/>
      <c r="AI81" s="79"/>
      <c r="AJ81" s="95">
        <v>12600</v>
      </c>
      <c r="AK81" s="80">
        <v>5300</v>
      </c>
      <c r="AL81" s="80">
        <v>4500</v>
      </c>
      <c r="AM81" s="96">
        <f t="shared" si="31"/>
        <v>22400</v>
      </c>
      <c r="AN81" s="96"/>
      <c r="AO81" s="96"/>
      <c r="AP81" s="96"/>
      <c r="AQ81" s="96"/>
      <c r="AR81" s="96"/>
      <c r="AS81" s="123">
        <v>103.34531153018602</v>
      </c>
      <c r="AT81" s="123">
        <v>109.26106443499503</v>
      </c>
      <c r="AU81" s="123">
        <v>95.407638793269044</v>
      </c>
      <c r="AX81" s="86">
        <v>1.157278</v>
      </c>
      <c r="AY81" s="86">
        <f t="shared" si="27"/>
        <v>1.0266110137499137E-4</v>
      </c>
      <c r="AZ81" s="86">
        <f t="shared" si="27"/>
        <v>2.523466142381853E-4</v>
      </c>
      <c r="BA81" s="86">
        <f t="shared" si="27"/>
        <v>4.0478703023222212E-5</v>
      </c>
      <c r="BB81" s="86">
        <f t="shared" si="27"/>
        <v>3.563524517224557E-5</v>
      </c>
      <c r="BC81" s="86"/>
      <c r="BD81" s="86">
        <v>0.75313399999999997</v>
      </c>
      <c r="BE81" s="86"/>
    </row>
    <row r="82" spans="1:57" ht="12.75" x14ac:dyDescent="0.2">
      <c r="A82" s="71">
        <f t="shared" si="22"/>
        <v>1995</v>
      </c>
      <c r="B82" s="122">
        <f t="shared" si="32"/>
        <v>9.3914498554533377E-2</v>
      </c>
      <c r="C82" s="122">
        <f t="shared" si="32"/>
        <v>0.26598061225403752</v>
      </c>
      <c r="D82" s="122">
        <f t="shared" si="32"/>
        <v>3.6895094475614634E-2</v>
      </c>
      <c r="E82" s="122">
        <f t="shared" si="32"/>
        <v>4.4521004445198457E-2</v>
      </c>
      <c r="F82" s="122">
        <f t="shared" si="32"/>
        <v>0.19575733020443067</v>
      </c>
      <c r="G82" s="72">
        <f t="shared" si="23"/>
        <v>1209.1579999999999</v>
      </c>
      <c r="H82" s="122">
        <f t="shared" si="19"/>
        <v>0.63706853993381463</v>
      </c>
      <c r="I82" s="75"/>
      <c r="J82" s="124">
        <f t="shared" si="33"/>
        <v>5.2944594924244068E-2</v>
      </c>
      <c r="K82" s="122">
        <f t="shared" si="33"/>
        <v>0.27045584227211444</v>
      </c>
      <c r="L82" s="122">
        <f t="shared" si="33"/>
        <v>2.2716507824276359E-2</v>
      </c>
      <c r="M82" s="122">
        <f t="shared" si="33"/>
        <v>1.681451504555051E-2</v>
      </c>
      <c r="N82" s="122">
        <f t="shared" si="33"/>
        <v>0.30998686514194129</v>
      </c>
      <c r="O82" s="72">
        <f t="shared" si="24"/>
        <v>688.84500000000003</v>
      </c>
      <c r="P82" s="122">
        <f t="shared" si="20"/>
        <v>0.36293146006618537</v>
      </c>
      <c r="Q82" s="75"/>
      <c r="R82" s="80">
        <f t="shared" si="25"/>
        <v>1898.0029999999999</v>
      </c>
      <c r="S82" s="122">
        <f t="shared" si="21"/>
        <v>1</v>
      </c>
      <c r="T82" s="90"/>
      <c r="U82" s="80">
        <f t="shared" si="26"/>
        <v>91221.471999999994</v>
      </c>
      <c r="W82" s="80">
        <v>513326</v>
      </c>
      <c r="X82" s="80">
        <v>31914</v>
      </c>
      <c r="Y82" s="80">
        <v>43116</v>
      </c>
      <c r="Z82" s="91">
        <f t="shared" si="30"/>
        <v>43.874017094017091</v>
      </c>
      <c r="AA82" s="92">
        <f t="shared" si="30"/>
        <v>6.2576470588235296</v>
      </c>
      <c r="AB82" s="92">
        <f t="shared" si="30"/>
        <v>9.7990909090909089</v>
      </c>
      <c r="AD82" s="93">
        <v>1.4</v>
      </c>
      <c r="AE82" s="94">
        <v>3.6</v>
      </c>
      <c r="AF82" s="94">
        <v>0.7</v>
      </c>
      <c r="AG82" s="88">
        <v>82.04</v>
      </c>
      <c r="AH82" s="81"/>
      <c r="AI82" s="79"/>
      <c r="AJ82" s="95">
        <v>11700</v>
      </c>
      <c r="AK82" s="80">
        <v>5100</v>
      </c>
      <c r="AL82" s="80">
        <v>4400</v>
      </c>
      <c r="AM82" s="96">
        <f t="shared" si="31"/>
        <v>21200</v>
      </c>
      <c r="AN82" s="96"/>
      <c r="AO82" s="96"/>
      <c r="AP82" s="96"/>
      <c r="AQ82" s="96"/>
      <c r="AR82" s="96"/>
      <c r="AS82" s="123">
        <v>104.90776207244161</v>
      </c>
      <c r="AT82" s="123">
        <v>116.64275540514582</v>
      </c>
      <c r="AU82" s="123">
        <v>89.161915661381016</v>
      </c>
      <c r="AX82" s="86">
        <v>1.209158</v>
      </c>
      <c r="AY82" s="86">
        <f t="shared" si="27"/>
        <v>9.3914498554533373E-5</v>
      </c>
      <c r="AZ82" s="86">
        <f t="shared" si="27"/>
        <v>2.6598061225403753E-4</v>
      </c>
      <c r="BA82" s="86">
        <f t="shared" si="27"/>
        <v>3.6895094475614633E-5</v>
      </c>
      <c r="BB82" s="86">
        <f t="shared" si="27"/>
        <v>4.4521004445198458E-5</v>
      </c>
      <c r="BC82" s="86"/>
      <c r="BD82" s="86">
        <v>0.68884500000000004</v>
      </c>
      <c r="BE82" s="86"/>
    </row>
    <row r="83" spans="1:57" ht="12.75" x14ac:dyDescent="0.2">
      <c r="A83" s="71">
        <f t="shared" si="22"/>
        <v>1996</v>
      </c>
      <c r="B83" s="122">
        <f t="shared" si="32"/>
        <v>9.3033748090256607E-2</v>
      </c>
      <c r="C83" s="122">
        <f t="shared" si="32"/>
        <v>0.25558869819224045</v>
      </c>
      <c r="D83" s="122">
        <f t="shared" si="32"/>
        <v>3.7512358702541673E-2</v>
      </c>
      <c r="E83" s="122">
        <f t="shared" si="32"/>
        <v>3.9031779072195759E-2</v>
      </c>
      <c r="F83" s="122">
        <f t="shared" si="32"/>
        <v>0.21011652378811438</v>
      </c>
      <c r="G83" s="72">
        <f t="shared" si="23"/>
        <v>1213.77</v>
      </c>
      <c r="H83" s="122">
        <f t="shared" si="19"/>
        <v>0.6352831078453488</v>
      </c>
      <c r="I83" s="75"/>
      <c r="J83" s="124">
        <f t="shared" si="33"/>
        <v>5.3835528894895159E-2</v>
      </c>
      <c r="K83" s="122">
        <f t="shared" si="33"/>
        <v>0.27340407213033413</v>
      </c>
      <c r="L83" s="122">
        <f t="shared" si="33"/>
        <v>2.2732161727460058E-2</v>
      </c>
      <c r="M83" s="122">
        <f t="shared" si="33"/>
        <v>1.4745129401961796E-2</v>
      </c>
      <c r="N83" s="122">
        <f t="shared" si="33"/>
        <v>0.31088136325975602</v>
      </c>
      <c r="O83" s="72">
        <f t="shared" si="24"/>
        <v>696.827</v>
      </c>
      <c r="P83" s="122">
        <f t="shared" si="20"/>
        <v>0.36471689215465114</v>
      </c>
      <c r="Q83" s="75"/>
      <c r="R83" s="80">
        <f t="shared" si="25"/>
        <v>1910.597</v>
      </c>
      <c r="S83" s="122">
        <f t="shared" si="21"/>
        <v>1</v>
      </c>
      <c r="T83" s="90"/>
      <c r="U83" s="80">
        <f t="shared" si="26"/>
        <v>94224.116999999998</v>
      </c>
      <c r="W83" s="80">
        <v>522365</v>
      </c>
      <c r="X83" s="80">
        <v>28172</v>
      </c>
      <c r="Y83" s="80">
        <v>43432</v>
      </c>
      <c r="Z83" s="91">
        <f t="shared" si="30"/>
        <v>42.456963115886666</v>
      </c>
      <c r="AA83" s="92">
        <f t="shared" si="30"/>
        <v>5.3579307721567133</v>
      </c>
      <c r="AB83" s="92">
        <f t="shared" si="30"/>
        <v>10.201771075564324</v>
      </c>
      <c r="AD83" s="93">
        <v>1.3</v>
      </c>
      <c r="AE83" s="94">
        <v>3.2</v>
      </c>
      <c r="AF83" s="94">
        <v>0.8</v>
      </c>
      <c r="AG83" s="88">
        <v>72.402000000000001</v>
      </c>
      <c r="AH83" s="81"/>
      <c r="AI83" s="79"/>
      <c r="AJ83" s="95">
        <v>12303.4</v>
      </c>
      <c r="AK83" s="80">
        <v>5258</v>
      </c>
      <c r="AL83" s="80">
        <v>4257.3</v>
      </c>
      <c r="AM83" s="96">
        <f t="shared" si="31"/>
        <v>21818.7</v>
      </c>
      <c r="AN83" s="96"/>
      <c r="AO83" s="96"/>
      <c r="AP83" s="96"/>
      <c r="AQ83" s="96"/>
      <c r="AR83" s="96"/>
      <c r="AS83" s="123">
        <v>101.60733193282807</v>
      </c>
      <c r="AT83" s="123">
        <v>112.65652315619525</v>
      </c>
      <c r="AU83" s="123">
        <v>86.781684994902903</v>
      </c>
      <c r="AX83" s="86">
        <v>1.21377</v>
      </c>
      <c r="AY83" s="86">
        <f t="shared" si="27"/>
        <v>9.3033748090256613E-5</v>
      </c>
      <c r="AZ83" s="86">
        <f t="shared" si="27"/>
        <v>2.5558869819224047E-4</v>
      </c>
      <c r="BA83" s="86">
        <f t="shared" si="27"/>
        <v>3.7512358702541671E-5</v>
      </c>
      <c r="BB83" s="86">
        <f t="shared" si="27"/>
        <v>3.9031779072195759E-5</v>
      </c>
      <c r="BC83" s="86"/>
      <c r="BD83" s="86">
        <v>0.69682699999999997</v>
      </c>
      <c r="BE83" s="86"/>
    </row>
    <row r="84" spans="1:57" ht="12.75" x14ac:dyDescent="0.2">
      <c r="A84" s="71">
        <f t="shared" si="22"/>
        <v>1997</v>
      </c>
      <c r="B84" s="122">
        <f t="shared" ref="B84:F88" si="34">B38/$R38</f>
        <v>0.10183625707490425</v>
      </c>
      <c r="C84" s="122">
        <f t="shared" si="34"/>
        <v>0.27117447347939461</v>
      </c>
      <c r="D84" s="122">
        <f t="shared" si="34"/>
        <v>4.9587468111673375E-2</v>
      </c>
      <c r="E84" s="122">
        <f t="shared" si="34"/>
        <v>3.5483553851827429E-2</v>
      </c>
      <c r="F84" s="122">
        <f t="shared" si="34"/>
        <v>0.16497093457441409</v>
      </c>
      <c r="G84" s="72">
        <f t="shared" si="23"/>
        <v>1147.1589999999999</v>
      </c>
      <c r="H84" s="122">
        <f t="shared" si="19"/>
        <v>0.62305268709221373</v>
      </c>
      <c r="I84" s="75"/>
      <c r="J84" s="124">
        <f t="shared" si="33"/>
        <v>5.8699504831383607E-2</v>
      </c>
      <c r="K84" s="122">
        <f t="shared" si="33"/>
        <v>0.27480581862500963</v>
      </c>
      <c r="L84" s="122">
        <f t="shared" si="33"/>
        <v>2.859833662015511E-2</v>
      </c>
      <c r="M84" s="122">
        <f t="shared" si="33"/>
        <v>1.4843652831238043E-2</v>
      </c>
      <c r="N84" s="122">
        <f t="shared" si="33"/>
        <v>0.31824780807640279</v>
      </c>
      <c r="O84" s="72">
        <f t="shared" si="24"/>
        <v>694.03200000000004</v>
      </c>
      <c r="P84" s="122">
        <f t="shared" si="20"/>
        <v>0.37694731290778638</v>
      </c>
      <c r="Q84" s="75"/>
      <c r="R84" s="80">
        <f t="shared" si="25"/>
        <v>1841.1909999999998</v>
      </c>
      <c r="S84" s="122">
        <f t="shared" si="21"/>
        <v>1</v>
      </c>
      <c r="T84" s="90"/>
      <c r="U84" s="80">
        <f t="shared" si="26"/>
        <v>94727.191999999995</v>
      </c>
      <c r="W84" s="80">
        <v>505970</v>
      </c>
      <c r="X84" s="80">
        <v>27330</v>
      </c>
      <c r="Y84" s="80">
        <v>52655</v>
      </c>
      <c r="Z84" s="91">
        <f t="shared" si="30"/>
        <v>41.04001232895601</v>
      </c>
      <c r="AA84" s="92">
        <f t="shared" si="30"/>
        <v>5.0903333954181411</v>
      </c>
      <c r="AB84" s="92">
        <f t="shared" si="30"/>
        <v>11.524403589406873</v>
      </c>
      <c r="AD84" s="93">
        <v>1.5</v>
      </c>
      <c r="AE84" s="94">
        <v>3.6</v>
      </c>
      <c r="AF84" s="94">
        <v>1</v>
      </c>
      <c r="AG84" s="88">
        <v>63.429000000000002</v>
      </c>
      <c r="AH84" s="81"/>
      <c r="AI84" s="79"/>
      <c r="AJ84" s="95">
        <v>12328.7</v>
      </c>
      <c r="AK84" s="80">
        <v>5369</v>
      </c>
      <c r="AL84" s="80">
        <v>4569</v>
      </c>
      <c r="AM84" s="96">
        <f t="shared" si="31"/>
        <v>22266.7</v>
      </c>
      <c r="AN84" s="96"/>
      <c r="AO84" s="96"/>
      <c r="AP84" s="96"/>
      <c r="AQ84" s="96"/>
      <c r="AR84" s="96"/>
      <c r="AS84" s="123">
        <v>96.541503963405702</v>
      </c>
      <c r="AT84" s="123">
        <v>104.97909442889043</v>
      </c>
      <c r="AU84" s="123">
        <v>85.220065613824971</v>
      </c>
      <c r="AX84" s="86">
        <v>1.1471589999999998</v>
      </c>
      <c r="AY84" s="86">
        <f t="shared" si="27"/>
        <v>1.0183625707490424E-4</v>
      </c>
      <c r="AZ84" s="86">
        <f t="shared" si="27"/>
        <v>2.7117447347939458E-4</v>
      </c>
      <c r="BA84" s="86">
        <f t="shared" si="27"/>
        <v>4.9587468111673378E-5</v>
      </c>
      <c r="BB84" s="86">
        <f t="shared" si="27"/>
        <v>3.548355385182743E-5</v>
      </c>
      <c r="BC84" s="86"/>
      <c r="BD84" s="86">
        <v>0.69403200000000009</v>
      </c>
      <c r="BE84" s="86"/>
    </row>
    <row r="85" spans="1:57" ht="12.75" x14ac:dyDescent="0.2">
      <c r="A85" s="71">
        <f t="shared" si="22"/>
        <v>1998</v>
      </c>
      <c r="B85" s="122">
        <f t="shared" si="34"/>
        <v>8.9442795114810736E-2</v>
      </c>
      <c r="C85" s="122">
        <f t="shared" si="34"/>
        <v>0.27869856448817837</v>
      </c>
      <c r="D85" s="122">
        <f t="shared" si="34"/>
        <v>4.3425125164437098E-2</v>
      </c>
      <c r="E85" s="122">
        <f t="shared" si="34"/>
        <v>4.3941437049771916E-2</v>
      </c>
      <c r="F85" s="122">
        <f t="shared" si="34"/>
        <v>0.18186536892955915</v>
      </c>
      <c r="G85" s="72">
        <f t="shared" si="23"/>
        <v>1160.405</v>
      </c>
      <c r="H85" s="122">
        <f t="shared" si="19"/>
        <v>0.63737329074675719</v>
      </c>
      <c r="I85" s="75"/>
      <c r="J85" s="124">
        <f t="shared" si="33"/>
        <v>5.8182307529639876E-2</v>
      </c>
      <c r="K85" s="122">
        <f t="shared" si="33"/>
        <v>0.26796696702469786</v>
      </c>
      <c r="L85" s="122">
        <f t="shared" si="33"/>
        <v>2.2926444780718497E-2</v>
      </c>
      <c r="M85" s="122">
        <f t="shared" si="33"/>
        <v>1.3550989918186537E-2</v>
      </c>
      <c r="N85" s="122">
        <f t="shared" si="33"/>
        <v>0.30444440172360288</v>
      </c>
      <c r="O85" s="72">
        <f t="shared" si="24"/>
        <v>660.2</v>
      </c>
      <c r="P85" s="122">
        <f t="shared" si="20"/>
        <v>0.36262670925324275</v>
      </c>
      <c r="Q85" s="75"/>
      <c r="R85" s="80">
        <f t="shared" si="25"/>
        <v>1820.605</v>
      </c>
      <c r="S85" s="122">
        <f t="shared" si="21"/>
        <v>1</v>
      </c>
      <c r="T85" s="90"/>
      <c r="U85" s="80">
        <f t="shared" si="26"/>
        <v>95146.150999999998</v>
      </c>
      <c r="W85" s="80">
        <v>487862</v>
      </c>
      <c r="X85" s="80">
        <v>24671</v>
      </c>
      <c r="Y85" s="80">
        <v>41740</v>
      </c>
      <c r="Z85" s="91">
        <f t="shared" si="30"/>
        <v>39.62298783360135</v>
      </c>
      <c r="AA85" s="92">
        <f t="shared" si="30"/>
        <v>4.6540275419732122</v>
      </c>
      <c r="AB85" s="92">
        <f t="shared" si="30"/>
        <v>9.044028427803779</v>
      </c>
      <c r="AD85" s="93">
        <v>1.3</v>
      </c>
      <c r="AE85" s="94">
        <v>3.7</v>
      </c>
      <c r="AF85" s="94">
        <v>0.85</v>
      </c>
      <c r="AG85" s="88">
        <v>62.168799999999997</v>
      </c>
      <c r="AH85" s="81"/>
      <c r="AI85" s="79"/>
      <c r="AJ85" s="95">
        <v>12312.6</v>
      </c>
      <c r="AK85" s="80">
        <v>5301</v>
      </c>
      <c r="AL85" s="80">
        <v>4615.2</v>
      </c>
      <c r="AM85" s="96">
        <f t="shared" si="31"/>
        <v>22228.799999999999</v>
      </c>
      <c r="AN85" s="96"/>
      <c r="AO85" s="96"/>
      <c r="AP85" s="96"/>
      <c r="AQ85" s="96"/>
      <c r="AR85" s="96"/>
      <c r="AS85" s="123">
        <v>97.355182759947752</v>
      </c>
      <c r="AT85" s="123">
        <v>108.29712447645352</v>
      </c>
      <c r="AU85" s="123">
        <v>82.673441678193399</v>
      </c>
      <c r="AX85" s="86">
        <v>1.1604049999999999</v>
      </c>
      <c r="AY85" s="86">
        <f t="shared" si="27"/>
        <v>8.9442795114810732E-5</v>
      </c>
      <c r="AZ85" s="86">
        <f t="shared" si="27"/>
        <v>2.7869856448817839E-4</v>
      </c>
      <c r="BA85" s="86">
        <f t="shared" si="27"/>
        <v>4.3425125164437095E-5</v>
      </c>
      <c r="BB85" s="86">
        <f t="shared" si="27"/>
        <v>4.3941437049771914E-5</v>
      </c>
      <c r="BC85" s="86"/>
      <c r="BD85" s="86">
        <v>0.66020000000000001</v>
      </c>
      <c r="BE85" s="86"/>
    </row>
    <row r="86" spans="1:57" ht="12.75" x14ac:dyDescent="0.2">
      <c r="A86" s="71">
        <f t="shared" si="22"/>
        <v>1999</v>
      </c>
      <c r="B86" s="122">
        <f t="shared" si="34"/>
        <v>9.1355509336951468E-2</v>
      </c>
      <c r="C86" s="122">
        <f t="shared" si="34"/>
        <v>0.29557119648659264</v>
      </c>
      <c r="D86" s="122">
        <f t="shared" si="34"/>
        <v>5.0426567465276538E-2</v>
      </c>
      <c r="E86" s="122">
        <f t="shared" si="34"/>
        <v>4.8294288035134067E-2</v>
      </c>
      <c r="F86" s="122">
        <f t="shared" si="34"/>
        <v>0.15614734709179848</v>
      </c>
      <c r="G86" s="72">
        <f t="shared" si="23"/>
        <v>1150.384</v>
      </c>
      <c r="H86" s="122">
        <f t="shared" si="19"/>
        <v>0.64179490841575315</v>
      </c>
      <c r="I86" s="75"/>
      <c r="J86" s="124">
        <f t="shared" si="33"/>
        <v>6.0359352126254151E-2</v>
      </c>
      <c r="K86" s="122">
        <f t="shared" si="33"/>
        <v>0.26543977844824507</v>
      </c>
      <c r="L86" s="122">
        <f t="shared" si="33"/>
        <v>2.1227394044346055E-2</v>
      </c>
      <c r="M86" s="122">
        <f t="shared" si="33"/>
        <v>1.1178566965401506E-2</v>
      </c>
      <c r="N86" s="122">
        <f t="shared" si="33"/>
        <v>0.29784573945799264</v>
      </c>
      <c r="O86" s="72">
        <f t="shared" si="24"/>
        <v>642.06400000000008</v>
      </c>
      <c r="P86" s="122">
        <f t="shared" si="20"/>
        <v>0.35820509158424679</v>
      </c>
      <c r="Q86" s="75"/>
      <c r="R86" s="80">
        <f t="shared" si="25"/>
        <v>1792.4480000000001</v>
      </c>
      <c r="S86" s="122">
        <f t="shared" si="21"/>
        <v>1</v>
      </c>
      <c r="T86" s="90"/>
      <c r="U86" s="80">
        <f t="shared" si="26"/>
        <v>96773.87</v>
      </c>
      <c r="W86" s="80">
        <v>475787</v>
      </c>
      <c r="X86" s="80">
        <v>20037</v>
      </c>
      <c r="Y86" s="80">
        <v>38049</v>
      </c>
      <c r="Z86" s="91">
        <f t="shared" si="30"/>
        <v>38.209992049406118</v>
      </c>
      <c r="AA86" s="92">
        <f t="shared" si="30"/>
        <v>4.0446104158255958</v>
      </c>
      <c r="AB86" s="92">
        <f t="shared" si="30"/>
        <v>8.943867237083353</v>
      </c>
      <c r="AD86" s="93">
        <v>1.31</v>
      </c>
      <c r="AE86" s="94">
        <v>3.82</v>
      </c>
      <c r="AF86" s="94">
        <v>0.99</v>
      </c>
      <c r="AG86" s="88">
        <v>84.043400000000005</v>
      </c>
      <c r="AH86" s="81"/>
      <c r="AI86" s="79"/>
      <c r="AJ86" s="95">
        <v>12451.9</v>
      </c>
      <c r="AK86" s="80">
        <v>4954</v>
      </c>
      <c r="AL86" s="80">
        <v>4254.2</v>
      </c>
      <c r="AM86" s="96">
        <f t="shared" si="31"/>
        <v>21660.100000000002</v>
      </c>
      <c r="AN86" s="96"/>
      <c r="AO86" s="96"/>
      <c r="AP86" s="96"/>
      <c r="AQ86" s="96"/>
      <c r="AR86" s="96"/>
      <c r="AS86" s="123">
        <v>95.623260240841006</v>
      </c>
      <c r="AT86" s="123">
        <v>107.1084668072228</v>
      </c>
      <c r="AU86" s="123">
        <v>80.212574144449476</v>
      </c>
      <c r="AX86" s="86">
        <v>1.1503840000000001</v>
      </c>
      <c r="AY86" s="86">
        <f t="shared" si="27"/>
        <v>9.1355509336951462E-5</v>
      </c>
      <c r="AZ86" s="86">
        <f t="shared" si="27"/>
        <v>2.9557119648659263E-4</v>
      </c>
      <c r="BA86" s="86">
        <f t="shared" si="27"/>
        <v>5.0426567465276539E-5</v>
      </c>
      <c r="BB86" s="86">
        <f t="shared" si="27"/>
        <v>4.8294288035134069E-5</v>
      </c>
      <c r="BC86" s="86"/>
      <c r="BD86" s="86">
        <v>0.64206400000000008</v>
      </c>
      <c r="BE86" s="86"/>
    </row>
    <row r="87" spans="1:57" ht="12.75" x14ac:dyDescent="0.2">
      <c r="A87" s="71">
        <f t="shared" si="22"/>
        <v>2000</v>
      </c>
      <c r="B87" s="122">
        <f t="shared" si="34"/>
        <v>9.152584865695701E-2</v>
      </c>
      <c r="C87" s="122">
        <f t="shared" si="34"/>
        <v>0.27459043281036194</v>
      </c>
      <c r="D87" s="122">
        <f t="shared" si="34"/>
        <v>4.5779325760557835E-2</v>
      </c>
      <c r="E87" s="122">
        <f t="shared" si="34"/>
        <v>4.4427964910307594E-2</v>
      </c>
      <c r="F87" s="122">
        <f t="shared" si="34"/>
        <v>0.18306809874599336</v>
      </c>
      <c r="G87" s="72">
        <f t="shared" si="23"/>
        <v>1091.549</v>
      </c>
      <c r="H87" s="122">
        <f t="shared" si="19"/>
        <v>0.6393916708841777</v>
      </c>
      <c r="I87" s="75"/>
      <c r="J87" s="124">
        <f t="shared" si="33"/>
        <v>6.3374547789086952E-2</v>
      </c>
      <c r="K87" s="122">
        <f t="shared" si="33"/>
        <v>0.2652234577967722</v>
      </c>
      <c r="L87" s="122">
        <f t="shared" si="33"/>
        <v>2.1754742356932651E-2</v>
      </c>
      <c r="M87" s="122">
        <f t="shared" si="33"/>
        <v>1.0255581173030421E-2</v>
      </c>
      <c r="N87" s="122">
        <f t="shared" si="33"/>
        <v>0.29723378132673522</v>
      </c>
      <c r="O87" s="72">
        <f t="shared" si="24"/>
        <v>615.61900000000003</v>
      </c>
      <c r="P87" s="122">
        <f t="shared" si="20"/>
        <v>0.36060832911582225</v>
      </c>
      <c r="Q87" s="75"/>
      <c r="R87" s="80">
        <f t="shared" si="25"/>
        <v>1707.1680000000001</v>
      </c>
      <c r="S87" s="122">
        <f t="shared" si="21"/>
        <v>1</v>
      </c>
      <c r="T87" s="90"/>
      <c r="U87" s="80">
        <f t="shared" si="26"/>
        <v>98904.922000000006</v>
      </c>
      <c r="W87" s="80">
        <v>452781</v>
      </c>
      <c r="X87" s="80">
        <v>17508</v>
      </c>
      <c r="Y87" s="80">
        <v>37139</v>
      </c>
      <c r="Z87" s="91">
        <f t="shared" si="30"/>
        <v>36.789031078610606</v>
      </c>
      <c r="AA87" s="92">
        <f t="shared" si="30"/>
        <v>3.5298387096774193</v>
      </c>
      <c r="AB87" s="92">
        <f t="shared" si="30"/>
        <v>8.6420011634671319</v>
      </c>
      <c r="AD87" s="93">
        <v>1.25</v>
      </c>
      <c r="AE87" s="94">
        <v>3.38</v>
      </c>
      <c r="AF87" s="94">
        <v>0.85599999999999998</v>
      </c>
      <c r="AG87" s="88">
        <v>73.636200000000002</v>
      </c>
      <c r="AH87" s="81"/>
      <c r="AI87" s="79"/>
      <c r="AJ87" s="95">
        <v>12307.5</v>
      </c>
      <c r="AK87" s="80">
        <v>4960</v>
      </c>
      <c r="AL87" s="80">
        <v>4297.5</v>
      </c>
      <c r="AM87" s="96">
        <f t="shared" si="31"/>
        <v>21565</v>
      </c>
      <c r="AN87" s="96"/>
      <c r="AO87" s="96"/>
      <c r="AP87" s="96"/>
      <c r="AQ87" s="96"/>
      <c r="AR87" s="96"/>
      <c r="AS87" s="123">
        <v>92.466579048988294</v>
      </c>
      <c r="AT87" s="123">
        <v>103.18480640439307</v>
      </c>
      <c r="AU87" s="123">
        <v>78.085014701039796</v>
      </c>
      <c r="AX87" s="86">
        <v>1.0915489999999999</v>
      </c>
      <c r="AY87" s="86">
        <f t="shared" si="27"/>
        <v>9.1525848656957007E-5</v>
      </c>
      <c r="AZ87" s="86">
        <f t="shared" si="27"/>
        <v>2.7459043281036194E-4</v>
      </c>
      <c r="BA87" s="86">
        <f t="shared" si="27"/>
        <v>4.5779325760557835E-5</v>
      </c>
      <c r="BB87" s="86">
        <f t="shared" si="27"/>
        <v>4.4427964910307593E-5</v>
      </c>
      <c r="BC87" s="86"/>
      <c r="BD87" s="86">
        <v>0.61561900000000003</v>
      </c>
      <c r="BE87" s="86"/>
    </row>
    <row r="88" spans="1:57" ht="12.75" x14ac:dyDescent="0.2">
      <c r="A88" s="71">
        <f t="shared" si="22"/>
        <v>2001</v>
      </c>
      <c r="B88" s="122">
        <f t="shared" si="34"/>
        <v>8.4266419055289921E-2</v>
      </c>
      <c r="C88" s="122">
        <f t="shared" si="34"/>
        <v>0.28373778283473994</v>
      </c>
      <c r="D88" s="122">
        <f t="shared" si="34"/>
        <v>3.8534520507955049E-2</v>
      </c>
      <c r="E88" s="122">
        <f t="shared" si="34"/>
        <v>3.3742912095030247E-2</v>
      </c>
      <c r="F88" s="122">
        <f t="shared" si="34"/>
        <v>0.21682760819954761</v>
      </c>
      <c r="G88" s="72">
        <f t="shared" si="23"/>
        <v>1120.962</v>
      </c>
      <c r="H88" s="122">
        <f t="shared" si="19"/>
        <v>0.65710924269256277</v>
      </c>
      <c r="I88" s="75"/>
      <c r="J88" s="124">
        <f t="shared" si="33"/>
        <v>6.3421691436597372E-2</v>
      </c>
      <c r="K88" s="122">
        <f t="shared" si="33"/>
        <v>0.24774737543078462</v>
      </c>
      <c r="L88" s="122">
        <f t="shared" si="33"/>
        <v>2.1595651325195694E-2</v>
      </c>
      <c r="M88" s="122">
        <f t="shared" si="33"/>
        <v>1.0126039114859674E-2</v>
      </c>
      <c r="N88" s="122">
        <f t="shared" si="33"/>
        <v>0.27946906587083997</v>
      </c>
      <c r="O88" s="72">
        <f t="shared" si="24"/>
        <v>584.93700000000001</v>
      </c>
      <c r="P88" s="122">
        <f t="shared" si="20"/>
        <v>0.34289075730743734</v>
      </c>
      <c r="Q88" s="75"/>
      <c r="R88" s="80">
        <f t="shared" si="25"/>
        <v>1705.8989999999999</v>
      </c>
      <c r="S88" s="122">
        <f t="shared" si="21"/>
        <v>1</v>
      </c>
      <c r="T88" s="90"/>
      <c r="U88" s="80">
        <f t="shared" si="26"/>
        <v>96378.165999999997</v>
      </c>
      <c r="W88" s="80">
        <v>422632</v>
      </c>
      <c r="X88" s="80">
        <v>17274</v>
      </c>
      <c r="Y88" s="80">
        <v>36840</v>
      </c>
      <c r="Z88" s="91">
        <f t="shared" si="30"/>
        <v>36.788997214484681</v>
      </c>
      <c r="AA88" s="92">
        <f t="shared" si="30"/>
        <v>3.5109756097560973</v>
      </c>
      <c r="AB88" s="92">
        <f t="shared" si="30"/>
        <v>8.6886792452830193</v>
      </c>
      <c r="AD88" s="93">
        <v>1.1499999999999999</v>
      </c>
      <c r="AE88" s="94">
        <v>3.49</v>
      </c>
      <c r="AF88" s="94">
        <v>0.72</v>
      </c>
      <c r="AG88" s="88">
        <v>55.8855</v>
      </c>
      <c r="AH88" s="81"/>
      <c r="AI88" s="79"/>
      <c r="AJ88" s="95">
        <v>11488</v>
      </c>
      <c r="AK88" s="80">
        <v>4920</v>
      </c>
      <c r="AL88" s="80">
        <v>4240</v>
      </c>
      <c r="AM88" s="96">
        <f t="shared" si="31"/>
        <v>20648</v>
      </c>
      <c r="AN88" s="96"/>
      <c r="AO88" s="96"/>
      <c r="AP88" s="96"/>
      <c r="AQ88" s="96"/>
      <c r="AR88" s="96"/>
      <c r="AS88" s="123">
        <v>93.536024725514935</v>
      </c>
      <c r="AT88" s="123">
        <v>107.27054150659021</v>
      </c>
      <c r="AU88" s="123">
        <v>75.107246316050734</v>
      </c>
      <c r="AX88" s="86">
        <v>1.120962</v>
      </c>
      <c r="AY88" s="86">
        <f t="shared" si="27"/>
        <v>8.4266419055289922E-5</v>
      </c>
      <c r="AZ88" s="86">
        <f t="shared" si="27"/>
        <v>2.8373778283473995E-4</v>
      </c>
      <c r="BA88" s="86">
        <f t="shared" si="27"/>
        <v>3.853452050795505E-5</v>
      </c>
      <c r="BB88" s="86">
        <f t="shared" si="27"/>
        <v>3.3742912095030251E-5</v>
      </c>
      <c r="BC88" s="86"/>
      <c r="BD88" s="86">
        <v>0.58493700000000004</v>
      </c>
      <c r="BE88" s="86"/>
    </row>
    <row r="89" spans="1:57" ht="12.75" x14ac:dyDescent="0.2">
      <c r="A89" s="71">
        <f t="shared" si="22"/>
        <v>2002</v>
      </c>
      <c r="B89" s="122">
        <f>B43/$R43</f>
        <v>8.5022574658264571E-2</v>
      </c>
      <c r="C89" s="122">
        <f>C43/$R43</f>
        <v>0.27312046242963073</v>
      </c>
      <c r="D89" s="122">
        <f>D43/$R43</f>
        <v>4.5423019337976961E-2</v>
      </c>
      <c r="E89" s="122">
        <f>E43/$R43</f>
        <v>3.6105476909673993E-2</v>
      </c>
      <c r="F89" s="122">
        <f>F43/$R43</f>
        <v>0.20731531902974101</v>
      </c>
      <c r="G89" s="72">
        <f t="shared" si="23"/>
        <v>1111</v>
      </c>
      <c r="H89" s="122">
        <f t="shared" si="19"/>
        <v>0.6469868523652873</v>
      </c>
      <c r="I89" s="75"/>
      <c r="J89" s="124">
        <f t="shared" si="33"/>
        <v>6.3004639553782896E-2</v>
      </c>
      <c r="K89" s="122">
        <f t="shared" si="33"/>
        <v>0</v>
      </c>
      <c r="L89" s="122">
        <f t="shared" si="33"/>
        <v>0</v>
      </c>
      <c r="M89" s="122">
        <f t="shared" si="33"/>
        <v>0</v>
      </c>
      <c r="N89" s="122">
        <f t="shared" si="33"/>
        <v>0.29000850808092982</v>
      </c>
      <c r="O89" s="72">
        <f t="shared" si="24"/>
        <v>606.19100000000003</v>
      </c>
      <c r="P89" s="122">
        <f t="shared" si="20"/>
        <v>0.35301314763471275</v>
      </c>
      <c r="Q89" s="75"/>
      <c r="R89" s="80">
        <f t="shared" si="25"/>
        <v>1717.191</v>
      </c>
      <c r="S89" s="122">
        <f t="shared" si="21"/>
        <v>1</v>
      </c>
      <c r="T89" s="90"/>
      <c r="U89" s="80">
        <f t="shared" si="26"/>
        <v>98026.127999999997</v>
      </c>
      <c r="W89" s="104"/>
      <c r="X89" s="104"/>
      <c r="Y89" s="104"/>
      <c r="Z89" s="81"/>
      <c r="AD89" s="81"/>
      <c r="AH89" s="81"/>
      <c r="AI89" s="79"/>
      <c r="AJ89" s="95">
        <v>12900</v>
      </c>
      <c r="AK89" s="80">
        <v>5000</v>
      </c>
      <c r="AL89" s="80">
        <v>4600</v>
      </c>
      <c r="AM89" s="96">
        <f t="shared" si="31"/>
        <v>22500</v>
      </c>
      <c r="AN89" s="96"/>
      <c r="AO89" s="96"/>
      <c r="AP89" s="96"/>
      <c r="AQ89" s="96"/>
      <c r="AR89" s="96"/>
      <c r="AS89" s="123">
        <v>95.386692789552413</v>
      </c>
      <c r="AT89" s="123">
        <v>107.70781984949616</v>
      </c>
      <c r="AU89" s="123">
        <v>78.854380516620765</v>
      </c>
      <c r="AX89" s="86">
        <v>1.111</v>
      </c>
      <c r="AY89" s="86">
        <f t="shared" si="27"/>
        <v>8.5022574658264577E-5</v>
      </c>
      <c r="AZ89" s="86">
        <f t="shared" si="27"/>
        <v>2.7312046242963073E-4</v>
      </c>
      <c r="BA89" s="86">
        <f t="shared" si="27"/>
        <v>4.5423019337976961E-5</v>
      </c>
      <c r="BB89" s="86">
        <f t="shared" si="27"/>
        <v>3.6105476909673991E-5</v>
      </c>
      <c r="BC89" s="86"/>
      <c r="BD89" s="86">
        <v>0.60619100000000004</v>
      </c>
      <c r="BE89" s="86"/>
    </row>
    <row r="90" spans="1:57" ht="12.75" x14ac:dyDescent="0.2">
      <c r="A90" s="125">
        <f t="shared" si="22"/>
        <v>2003</v>
      </c>
      <c r="B90" s="55"/>
      <c r="C90" s="55"/>
      <c r="D90" s="55"/>
      <c r="E90" s="55"/>
      <c r="F90" s="55"/>
      <c r="G90" s="126"/>
      <c r="H90" s="126"/>
      <c r="I90" s="127"/>
      <c r="J90" s="111"/>
      <c r="K90" s="55"/>
      <c r="L90" s="55"/>
      <c r="M90" s="55"/>
      <c r="N90" s="55"/>
      <c r="O90" s="126"/>
      <c r="P90" s="126"/>
      <c r="Q90" s="126"/>
      <c r="R90" s="128"/>
      <c r="S90" s="55"/>
      <c r="T90" s="113"/>
      <c r="U90" s="80">
        <f t="shared" si="26"/>
        <v>98189.020999999993</v>
      </c>
      <c r="W90" s="104"/>
      <c r="X90" s="104"/>
      <c r="Y90" s="104"/>
      <c r="Z90" s="81"/>
      <c r="AD90" s="81"/>
      <c r="AH90" s="81"/>
      <c r="AI90" s="79"/>
      <c r="AJ90" s="95"/>
      <c r="AX90" s="107"/>
      <c r="AY90" s="107"/>
      <c r="AZ90" s="107"/>
      <c r="BA90" s="107"/>
      <c r="BB90" s="107"/>
      <c r="BC90" s="107"/>
      <c r="BD90" s="107"/>
      <c r="BE90" s="107"/>
    </row>
    <row r="91" spans="1:57" x14ac:dyDescent="0.2">
      <c r="A91" s="42" t="s">
        <v>284</v>
      </c>
      <c r="L91" s="72"/>
      <c r="M91" s="72"/>
      <c r="AX91" s="114"/>
      <c r="AY91" s="114"/>
      <c r="AZ91" s="114"/>
      <c r="BA91" s="114"/>
      <c r="BB91" s="114"/>
      <c r="BC91" s="114"/>
      <c r="BD91" s="114"/>
      <c r="BE91" s="114"/>
    </row>
    <row r="92" spans="1:57" x14ac:dyDescent="0.2">
      <c r="A92" s="42" t="s">
        <v>285</v>
      </c>
      <c r="L92" s="72"/>
      <c r="M92" s="72"/>
      <c r="AX92" s="114"/>
      <c r="AY92" s="114"/>
      <c r="AZ92" s="114"/>
      <c r="BA92" s="114"/>
      <c r="BB92" s="114"/>
      <c r="BC92" s="114"/>
      <c r="BD92" s="114"/>
      <c r="BE92" s="114"/>
    </row>
    <row r="93" spans="1:57" x14ac:dyDescent="0.2">
      <c r="A93" s="42" t="s">
        <v>286</v>
      </c>
      <c r="L93" s="72"/>
      <c r="M93" s="72"/>
      <c r="AX93" s="114"/>
      <c r="AY93" s="114"/>
      <c r="AZ93" s="114"/>
      <c r="BA93" s="114"/>
      <c r="BB93" s="114"/>
      <c r="BC93" s="114"/>
      <c r="BD93" s="114"/>
      <c r="BE93" s="114"/>
    </row>
    <row r="94" spans="1:57" x14ac:dyDescent="0.2">
      <c r="L94" s="72"/>
      <c r="M94" s="72"/>
      <c r="AX94" s="114"/>
      <c r="AY94" s="114"/>
      <c r="AZ94" s="114"/>
      <c r="BA94" s="114"/>
      <c r="BB94" s="114"/>
      <c r="BC94" s="114"/>
      <c r="BD94" s="114"/>
      <c r="BE94" s="114"/>
    </row>
    <row r="95" spans="1:57" x14ac:dyDescent="0.2">
      <c r="L95" s="72"/>
      <c r="M95" s="72"/>
      <c r="AX95" s="114"/>
      <c r="AY95" s="114"/>
      <c r="AZ95" s="114"/>
      <c r="BA95" s="114"/>
      <c r="BB95" s="114"/>
      <c r="BC95" s="114"/>
      <c r="BD95" s="114"/>
      <c r="BE95" s="114"/>
    </row>
    <row r="96" spans="1:57" x14ac:dyDescent="0.2">
      <c r="L96" s="72"/>
      <c r="M96" s="72"/>
      <c r="AX96" s="114"/>
      <c r="AY96" s="114"/>
      <c r="AZ96" s="114"/>
      <c r="BA96" s="114"/>
      <c r="BB96" s="114"/>
      <c r="BC96" s="114"/>
      <c r="BD96" s="114"/>
      <c r="BE96" s="114"/>
    </row>
    <row r="97" spans="12:57" x14ac:dyDescent="0.2">
      <c r="L97" s="72"/>
      <c r="M97" s="72"/>
      <c r="AX97" s="114"/>
      <c r="AY97" s="114"/>
      <c r="AZ97" s="114"/>
      <c r="BA97" s="114"/>
      <c r="BB97" s="114"/>
      <c r="BC97" s="114"/>
      <c r="BD97" s="114"/>
      <c r="BE97" s="114"/>
    </row>
    <row r="98" spans="12:57" x14ac:dyDescent="0.2">
      <c r="L98" s="72"/>
      <c r="M98" s="72"/>
      <c r="AX98" s="114"/>
      <c r="AY98" s="114"/>
      <c r="AZ98" s="114"/>
      <c r="BA98" s="114"/>
      <c r="BB98" s="114"/>
      <c r="BC98" s="114"/>
      <c r="BD98" s="114"/>
      <c r="BE98" s="114"/>
    </row>
    <row r="99" spans="12:57" x14ac:dyDescent="0.2">
      <c r="L99" s="72"/>
      <c r="M99" s="72"/>
    </row>
    <row r="100" spans="12:57" x14ac:dyDescent="0.2">
      <c r="L100" s="72"/>
      <c r="M100" s="72"/>
    </row>
    <row r="101" spans="12:57" x14ac:dyDescent="0.2">
      <c r="L101" s="72"/>
      <c r="M101" s="72"/>
    </row>
    <row r="102" spans="12:57" x14ac:dyDescent="0.2">
      <c r="L102" s="72"/>
      <c r="M102" s="72"/>
    </row>
    <row r="103" spans="12:57" x14ac:dyDescent="0.2">
      <c r="L103" s="72"/>
      <c r="M103" s="72"/>
    </row>
    <row r="104" spans="12:57" x14ac:dyDescent="0.2">
      <c r="L104" s="72"/>
      <c r="M104" s="72"/>
    </row>
    <row r="105" spans="12:57" x14ac:dyDescent="0.2">
      <c r="L105" s="72"/>
      <c r="M105" s="72"/>
    </row>
    <row r="106" spans="12:57" x14ac:dyDescent="0.2">
      <c r="L106" s="72"/>
      <c r="M106" s="72"/>
    </row>
    <row r="107" spans="12:57" x14ac:dyDescent="0.2">
      <c r="L107" s="72"/>
      <c r="M107" s="72"/>
    </row>
    <row r="108" spans="12:57" x14ac:dyDescent="0.2">
      <c r="L108" s="72"/>
      <c r="M108" s="72"/>
    </row>
    <row r="109" spans="12:57" x14ac:dyDescent="0.2">
      <c r="L109" s="72"/>
      <c r="M109" s="72"/>
    </row>
    <row r="110" spans="12:57" x14ac:dyDescent="0.2">
      <c r="L110" s="72"/>
      <c r="M110" s="72"/>
    </row>
    <row r="111" spans="12:57" x14ac:dyDescent="0.2">
      <c r="L111" s="72"/>
      <c r="M111" s="72"/>
    </row>
    <row r="112" spans="12:57" x14ac:dyDescent="0.2">
      <c r="L112" s="72"/>
      <c r="M112" s="72"/>
    </row>
    <row r="113" spans="12:13" x14ac:dyDescent="0.2">
      <c r="L113" s="72"/>
      <c r="M113" s="72"/>
    </row>
    <row r="114" spans="12:13" x14ac:dyDescent="0.2">
      <c r="L114" s="72"/>
      <c r="M114" s="72"/>
    </row>
    <row r="115" spans="12:13" x14ac:dyDescent="0.2">
      <c r="L115" s="72"/>
      <c r="M115" s="72"/>
    </row>
  </sheetData>
  <mergeCells count="11">
    <mergeCell ref="Q2:Q3"/>
    <mergeCell ref="G2:G3"/>
    <mergeCell ref="H2:H3"/>
    <mergeCell ref="I2:I3"/>
    <mergeCell ref="O2:O3"/>
    <mergeCell ref="P2:P3"/>
    <mergeCell ref="R2:R3"/>
    <mergeCell ref="U2:U3"/>
    <mergeCell ref="AW2:AW3"/>
    <mergeCell ref="AX2:AX3"/>
    <mergeCell ref="BD2:BD3"/>
  </mergeCells>
  <pageMargins left="0.45" right="0.17" top="0.16" bottom="0.19" header="0.18" footer="0.15"/>
  <pageSetup orientation="landscape" r:id="rId1"/>
  <headerFooter alignWithMargins="0"/>
  <rowBreaks count="1" manualBreakCount="1">
    <brk id="1" max="16383" man="1"/>
  </rowBreaks>
  <colBreaks count="1" manualBreakCount="1">
    <brk id="2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K141"/>
  <sheetViews>
    <sheetView tabSelected="1" workbookViewId="0">
      <selection activeCell="E10" sqref="E10"/>
    </sheetView>
  </sheetViews>
  <sheetFormatPr defaultRowHeight="12.75" x14ac:dyDescent="0.2"/>
  <cols>
    <col min="4" max="4" width="10.42578125" customWidth="1"/>
    <col min="5" max="5" width="11" customWidth="1"/>
    <col min="6" max="6" width="11.28515625" customWidth="1"/>
    <col min="8" max="8" width="10.42578125" customWidth="1"/>
    <col min="12" max="12" width="23.7109375" customWidth="1"/>
    <col min="13" max="13" width="13.85546875" customWidth="1"/>
    <col min="20" max="20" width="11.42578125" customWidth="1"/>
  </cols>
  <sheetData>
    <row r="2" spans="2:37" x14ac:dyDescent="0.2">
      <c r="B2">
        <f>10000/3412</f>
        <v>2.9308323563892147</v>
      </c>
    </row>
    <row r="5" spans="2:37" x14ac:dyDescent="0.2">
      <c r="D5" t="s">
        <v>330</v>
      </c>
      <c r="G5">
        <v>9.9999999999999995E-7</v>
      </c>
    </row>
    <row r="6" spans="2:37" x14ac:dyDescent="0.2">
      <c r="N6" s="157"/>
      <c r="O6" s="157"/>
      <c r="P6" s="157"/>
      <c r="Q6" s="157"/>
      <c r="R6" s="157"/>
      <c r="S6" s="157"/>
      <c r="T6" s="157"/>
      <c r="U6" s="157"/>
      <c r="V6" s="158"/>
      <c r="W6" s="158"/>
      <c r="X6" s="158"/>
      <c r="Y6" s="158"/>
      <c r="Z6" s="158"/>
      <c r="AA6" s="158"/>
      <c r="AB6" s="158"/>
      <c r="AC6" s="158"/>
      <c r="AD6" s="157"/>
      <c r="AE6" s="157"/>
      <c r="AF6" s="157"/>
      <c r="AG6" s="157"/>
    </row>
    <row r="7" spans="2:37" x14ac:dyDescent="0.2">
      <c r="D7" s="151" t="s">
        <v>326</v>
      </c>
      <c r="E7" s="151"/>
      <c r="F7" s="151"/>
      <c r="G7" s="151"/>
      <c r="H7" s="151"/>
      <c r="I7" s="151"/>
      <c r="L7" s="37"/>
      <c r="M7" s="37"/>
      <c r="N7" s="37"/>
      <c r="O7" s="37"/>
      <c r="P7" s="37"/>
      <c r="Q7" s="37"/>
      <c r="R7" s="37"/>
      <c r="S7" s="37"/>
      <c r="T7" s="37"/>
      <c r="U7" s="37"/>
      <c r="V7" s="143"/>
      <c r="W7" s="143"/>
      <c r="X7" s="143"/>
      <c r="Y7" s="143"/>
      <c r="Z7" s="143"/>
      <c r="AA7" s="143"/>
      <c r="AB7" s="143"/>
      <c r="AC7" s="143"/>
      <c r="AD7" s="37"/>
      <c r="AE7" s="37"/>
      <c r="AF7" s="37"/>
      <c r="AG7" s="37"/>
      <c r="AH7" s="37"/>
      <c r="AI7" s="37"/>
      <c r="AJ7" s="37"/>
      <c r="AK7" s="37"/>
    </row>
    <row r="8" spans="2:37" x14ac:dyDescent="0.2">
      <c r="D8" t="s">
        <v>5</v>
      </c>
      <c r="E8" t="s">
        <v>93</v>
      </c>
      <c r="F8" t="s">
        <v>92</v>
      </c>
      <c r="G8" t="s">
        <v>194</v>
      </c>
      <c r="H8" t="s">
        <v>8</v>
      </c>
      <c r="L8" s="37"/>
      <c r="M8" s="37"/>
      <c r="N8" s="37"/>
      <c r="O8" s="37"/>
      <c r="P8" s="37"/>
      <c r="Q8" s="37"/>
      <c r="R8" s="37"/>
      <c r="S8" s="37"/>
      <c r="T8" s="37"/>
      <c r="U8" s="37"/>
      <c r="V8" s="143"/>
      <c r="W8" s="143"/>
      <c r="X8" s="143"/>
      <c r="Y8" s="143"/>
      <c r="Z8" s="143"/>
      <c r="AA8" s="143"/>
      <c r="AB8" s="144"/>
      <c r="AC8" s="144"/>
      <c r="AD8" s="37"/>
      <c r="AE8" s="37"/>
      <c r="AF8" s="37"/>
      <c r="AG8" s="37"/>
      <c r="AH8" s="37"/>
      <c r="AI8" s="37"/>
      <c r="AJ8" s="37"/>
      <c r="AK8" s="37"/>
    </row>
    <row r="9" spans="2:37" x14ac:dyDescent="0.2">
      <c r="C9">
        <v>2000</v>
      </c>
      <c r="E9" s="38">
        <f>'BB5AF8A8-8847-3795-A9E8-C8C2807'!$Z4*0.000001</f>
        <v>3671</v>
      </c>
      <c r="F9" s="38">
        <f>'BB5AF8A8-8847-3795-A9E8-C8C2807'!$AA4*0.000001</f>
        <v>1884</v>
      </c>
      <c r="G9" s="38">
        <f>'BB5AF8A8-8847-3795-A9E8-C8C2807'!AB4*0.000001</f>
        <v>846</v>
      </c>
      <c r="H9" s="38">
        <f>'BB5AF8A8-8847-3795-A9E8-C8C2807'!AC4*0.000001</f>
        <v>599</v>
      </c>
      <c r="L9" s="37"/>
      <c r="M9" s="37"/>
      <c r="N9" s="37"/>
      <c r="O9" s="37"/>
      <c r="P9" s="37"/>
      <c r="Q9" s="37"/>
      <c r="R9" s="37"/>
      <c r="S9" s="37"/>
      <c r="T9" s="37"/>
      <c r="U9" s="37"/>
      <c r="V9" s="143"/>
      <c r="W9" s="143"/>
      <c r="X9" s="143"/>
      <c r="Y9" s="143"/>
      <c r="Z9" s="143"/>
      <c r="AA9" s="143"/>
      <c r="AB9" s="144"/>
      <c r="AC9" s="144"/>
      <c r="AD9" s="37"/>
      <c r="AE9" s="37"/>
      <c r="AF9" s="37"/>
      <c r="AG9" s="37"/>
      <c r="AH9" s="37"/>
      <c r="AI9" s="37"/>
      <c r="AJ9" s="37"/>
      <c r="AK9" s="37"/>
    </row>
    <row r="10" spans="2:37" x14ac:dyDescent="0.2">
      <c r="C10">
        <f>C9+1</f>
        <v>2001</v>
      </c>
      <c r="E10" s="38">
        <f>'BB5AF8A8-8847-3795-A9E8-C8C2807'!$Z5*0.000001</f>
        <v>3624</v>
      </c>
      <c r="F10" s="38">
        <f>'BB5AF8A8-8847-3795-A9E8-C8C2807'!$AA5*0.000001</f>
        <v>1624</v>
      </c>
      <c r="G10" s="38">
        <f>'BB5AF8A8-8847-3795-A9E8-C8C2807'!AB5*0.000001</f>
        <v>819</v>
      </c>
      <c r="H10" s="38">
        <f>'BB5AF8A8-8847-3795-A9E8-C8C2807'!AC5*0.000001</f>
        <v>633</v>
      </c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43"/>
      <c r="W10" s="143"/>
      <c r="X10" s="143"/>
      <c r="Y10" s="143"/>
      <c r="Z10" s="143"/>
      <c r="AA10" s="143"/>
      <c r="AB10" s="144"/>
      <c r="AC10" s="144"/>
      <c r="AD10" s="37"/>
      <c r="AE10" s="37"/>
      <c r="AF10" s="37"/>
      <c r="AG10" s="37"/>
      <c r="AH10" s="37"/>
      <c r="AI10" s="37"/>
      <c r="AJ10" s="37"/>
      <c r="AK10" s="37"/>
    </row>
    <row r="11" spans="2:37" x14ac:dyDescent="0.2">
      <c r="C11">
        <f t="shared" ref="C11:C27" si="0">C10+1</f>
        <v>2002</v>
      </c>
      <c r="D11" s="16">
        <v>1241</v>
      </c>
      <c r="E11" s="38">
        <f>'BB5AF8A8-8847-3795-A9E8-C8C2807'!$Z6*0.000001</f>
        <v>3270</v>
      </c>
      <c r="F11" s="38">
        <f>'BB5AF8A8-8847-3795-A9E8-C8C2807'!$AA6*0.000001</f>
        <v>1640</v>
      </c>
      <c r="G11" s="38">
        <f>'BB5AF8A8-8847-3795-A9E8-C8C2807'!AB6*0.000001</f>
        <v>860</v>
      </c>
      <c r="H11" s="38">
        <f>'BB5AF8A8-8847-3795-A9E8-C8C2807'!AC6*0.000001</f>
        <v>730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43"/>
      <c r="W11" s="143"/>
      <c r="X11" s="143"/>
      <c r="Y11" s="143"/>
      <c r="Z11" s="143"/>
      <c r="AA11" s="143"/>
      <c r="AB11" s="144"/>
      <c r="AC11" s="144"/>
      <c r="AD11" s="37"/>
      <c r="AE11" s="37"/>
      <c r="AF11" s="37"/>
      <c r="AG11" s="37"/>
      <c r="AH11" s="37"/>
      <c r="AI11" s="37"/>
      <c r="AJ11" s="37"/>
      <c r="AK11" s="37"/>
    </row>
    <row r="12" spans="2:37" x14ac:dyDescent="0.2">
      <c r="C12">
        <f t="shared" si="0"/>
        <v>2003</v>
      </c>
      <c r="E12" s="38">
        <f>'BB5AF8A8-8847-3795-A9E8-C8C2807'!$Z7*0.000001</f>
        <v>3430</v>
      </c>
      <c r="F12" s="38">
        <f>'BB5AF8A8-8847-3795-A9E8-C8C2807'!$AA7*0.000001</f>
        <v>1760</v>
      </c>
      <c r="G12" s="38">
        <f>'BB5AF8A8-8847-3795-A9E8-C8C2807'!AB7*0.000001</f>
        <v>920</v>
      </c>
      <c r="H12" s="38">
        <f>'BB5AF8A8-8847-3795-A9E8-C8C2807'!AC7*0.000001</f>
        <v>590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43"/>
      <c r="W12" s="143"/>
      <c r="X12" s="143"/>
      <c r="Y12" s="143"/>
      <c r="Z12" s="143"/>
      <c r="AA12" s="143"/>
      <c r="AB12" s="144"/>
      <c r="AC12" s="144"/>
      <c r="AD12" s="37"/>
      <c r="AE12" s="37"/>
      <c r="AF12" s="37"/>
      <c r="AG12" s="37"/>
      <c r="AH12" s="37"/>
      <c r="AI12" s="37"/>
      <c r="AJ12" s="37"/>
      <c r="AK12" s="37"/>
    </row>
    <row r="13" spans="2:37" x14ac:dyDescent="0.2">
      <c r="C13">
        <f t="shared" si="0"/>
        <v>2004</v>
      </c>
      <c r="E13" s="38">
        <f>'BB5AF8A8-8847-3795-A9E8-C8C2807'!$Z8*0.000001</f>
        <v>4390</v>
      </c>
      <c r="F13" s="38">
        <f>'BB5AF8A8-8847-3795-A9E8-C8C2807'!$AA8*0.000001</f>
        <v>1910</v>
      </c>
      <c r="G13" s="38">
        <f>'BB5AF8A8-8847-3795-A9E8-C8C2807'!AB8*0.000001</f>
        <v>1130</v>
      </c>
      <c r="H13" s="38">
        <f>'BB5AF8A8-8847-3795-A9E8-C8C2807'!AC8*0.000001</f>
        <v>570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43"/>
      <c r="W13" s="143"/>
      <c r="X13" s="143"/>
      <c r="Y13" s="143"/>
      <c r="Z13" s="143"/>
      <c r="AA13" s="143"/>
      <c r="AB13" s="144"/>
      <c r="AC13" s="144"/>
      <c r="AD13" s="37"/>
      <c r="AE13" s="37"/>
      <c r="AF13" s="37"/>
      <c r="AG13" s="37"/>
      <c r="AH13" s="37"/>
      <c r="AI13" s="37"/>
      <c r="AJ13" s="37"/>
      <c r="AK13" s="37"/>
    </row>
    <row r="14" spans="2:37" x14ac:dyDescent="0.2">
      <c r="C14">
        <f t="shared" si="0"/>
        <v>2005</v>
      </c>
      <c r="E14" s="38">
        <f>'BB5AF8A8-8847-3795-A9E8-C8C2807'!$Z9*0.000001</f>
        <v>5870</v>
      </c>
      <c r="F14" s="38">
        <f>'BB5AF8A8-8847-3795-A9E8-C8C2807'!$AA9*0.000001</f>
        <v>2310</v>
      </c>
      <c r="G14" s="38">
        <f>'BB5AF8A8-8847-3795-A9E8-C8C2807'!AB9*0.000001</f>
        <v>1230</v>
      </c>
      <c r="H14" s="38">
        <f>'BB5AF8A8-8847-3795-A9E8-C8C2807'!AC9*0.000001</f>
        <v>690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43"/>
      <c r="W14" s="143"/>
      <c r="X14" s="143"/>
      <c r="Y14" s="143"/>
      <c r="Z14" s="143"/>
      <c r="AA14" s="143"/>
      <c r="AB14" s="144"/>
      <c r="AC14" s="144"/>
      <c r="AD14" s="37"/>
      <c r="AE14" s="37"/>
      <c r="AF14" s="37"/>
      <c r="AG14" s="37"/>
      <c r="AH14" s="37"/>
      <c r="AI14" s="37"/>
      <c r="AJ14" s="37"/>
      <c r="AK14" s="37"/>
    </row>
    <row r="15" spans="2:37" x14ac:dyDescent="0.2">
      <c r="C15">
        <f t="shared" si="0"/>
        <v>2006</v>
      </c>
      <c r="E15" s="38">
        <f>'BB5AF8A8-8847-3795-A9E8-C8C2807'!$Z10*0.000001</f>
        <v>6730</v>
      </c>
      <c r="F15" s="38">
        <f>'BB5AF8A8-8847-3795-A9E8-C8C2807'!$AA10*0.000001</f>
        <v>2370</v>
      </c>
      <c r="G15" s="38">
        <f>'BB5AF8A8-8847-3795-A9E8-C8C2807'!AB10*0.000001</f>
        <v>1280</v>
      </c>
      <c r="H15" s="38">
        <f>'BB5AF8A8-8847-3795-A9E8-C8C2807'!AC10*0.000001</f>
        <v>720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143"/>
      <c r="W15" s="143"/>
      <c r="X15" s="143"/>
      <c r="Y15" s="143"/>
      <c r="Z15" s="143"/>
      <c r="AA15" s="143"/>
      <c r="AB15" s="144"/>
      <c r="AC15" s="144"/>
      <c r="AD15" s="37"/>
      <c r="AE15" s="37"/>
      <c r="AF15" s="37"/>
      <c r="AG15" s="37"/>
      <c r="AH15" s="37"/>
      <c r="AI15" s="37"/>
      <c r="AJ15" s="37"/>
      <c r="AK15" s="37"/>
    </row>
    <row r="16" spans="2:37" x14ac:dyDescent="0.2">
      <c r="C16">
        <f t="shared" si="0"/>
        <v>2007</v>
      </c>
      <c r="D16">
        <v>1102</v>
      </c>
      <c r="E16" s="38">
        <f>'BB5AF8A8-8847-3795-A9E8-C8C2807'!$Z11*0.000001</f>
        <v>8200</v>
      </c>
      <c r="F16" s="38">
        <f>'BB5AF8A8-8847-3795-A9E8-C8C2807'!$AA11*0.000001</f>
        <v>2790</v>
      </c>
      <c r="G16" s="38">
        <f>'BB5AF8A8-8847-3795-A9E8-C8C2807'!AB11*0.000001</f>
        <v>1650</v>
      </c>
      <c r="H16" s="38">
        <f>'BB5AF8A8-8847-3795-A9E8-C8C2807'!AC11*0.000001</f>
        <v>860</v>
      </c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143"/>
      <c r="W16" s="143"/>
      <c r="X16" s="143"/>
      <c r="Y16" s="143"/>
      <c r="Z16" s="143"/>
      <c r="AA16" s="143"/>
      <c r="AB16" s="144"/>
      <c r="AC16" s="144"/>
      <c r="AD16" s="37"/>
      <c r="AE16" s="37"/>
      <c r="AF16" s="37"/>
      <c r="AG16" s="37"/>
      <c r="AH16" s="37"/>
      <c r="AI16" s="37"/>
      <c r="AJ16" s="37"/>
      <c r="AK16" s="37"/>
    </row>
    <row r="17" spans="3:37" x14ac:dyDescent="0.2">
      <c r="C17">
        <f t="shared" si="0"/>
        <v>2008</v>
      </c>
      <c r="E17" s="38">
        <f>'BB5AF8A8-8847-3795-A9E8-C8C2807'!$Z12*0.000001</f>
        <v>9860</v>
      </c>
      <c r="F17" s="38">
        <f>'BB5AF8A8-8847-3795-A9E8-C8C2807'!$AA12*0.000001</f>
        <v>3010</v>
      </c>
      <c r="G17" s="38">
        <f>'BB5AF8A8-8847-3795-A9E8-C8C2807'!AB12*0.000001</f>
        <v>2030</v>
      </c>
      <c r="H17" s="38">
        <f>'BB5AF8A8-8847-3795-A9E8-C8C2807'!AC12*0.000001</f>
        <v>1100</v>
      </c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143"/>
      <c r="W17" s="143"/>
      <c r="X17" s="143"/>
      <c r="Y17" s="143"/>
      <c r="Z17" s="143"/>
      <c r="AA17" s="143"/>
      <c r="AB17" s="144"/>
      <c r="AC17" s="144"/>
      <c r="AD17" s="37"/>
      <c r="AE17" s="37"/>
      <c r="AF17" s="37"/>
      <c r="AG17" s="37"/>
      <c r="AH17" s="37"/>
      <c r="AI17" s="37"/>
      <c r="AJ17" s="37"/>
      <c r="AK17" s="37"/>
    </row>
    <row r="18" spans="3:37" x14ac:dyDescent="0.2">
      <c r="C18">
        <f t="shared" si="0"/>
        <v>2009</v>
      </c>
      <c r="E18" s="38">
        <f>'BB5AF8A8-8847-3795-A9E8-C8C2807'!$Z13*0.000001</f>
        <v>7200</v>
      </c>
      <c r="F18" s="38">
        <f>'BB5AF8A8-8847-3795-A9E8-C8C2807'!$AA13*0.000001</f>
        <v>2430</v>
      </c>
      <c r="G18" s="38">
        <f>'BB5AF8A8-8847-3795-A9E8-C8C2807'!AB13*0.000001</f>
        <v>1970</v>
      </c>
      <c r="H18" s="38">
        <f>'BB5AF8A8-8847-3795-A9E8-C8C2807'!AC13*0.000001</f>
        <v>800</v>
      </c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143"/>
      <c r="W18" s="143"/>
      <c r="X18" s="143"/>
      <c r="Y18" s="143"/>
      <c r="Z18" s="143"/>
      <c r="AA18" s="143"/>
      <c r="AB18" s="144"/>
      <c r="AC18" s="144"/>
      <c r="AD18" s="37"/>
      <c r="AE18" s="37"/>
      <c r="AF18" s="37"/>
      <c r="AG18" s="37"/>
      <c r="AH18" s="37"/>
      <c r="AI18" s="37"/>
      <c r="AJ18" s="37"/>
      <c r="AK18" s="37"/>
    </row>
    <row r="19" spans="3:37" x14ac:dyDescent="0.2">
      <c r="C19">
        <f t="shared" si="0"/>
        <v>2010</v>
      </c>
      <c r="E19" s="38">
        <f>'BB5AF8A8-8847-3795-A9E8-C8C2807'!$Z14*0.000001</f>
        <v>8150</v>
      </c>
      <c r="F19" s="38">
        <f>'BB5AF8A8-8847-3795-A9E8-C8C2807'!$AA14*0.000001</f>
        <v>2550</v>
      </c>
      <c r="G19" s="38">
        <f>'BB5AF8A8-8847-3795-A9E8-C8C2807'!AB14*0.000001</f>
        <v>1480</v>
      </c>
      <c r="H19" s="38">
        <f>'BB5AF8A8-8847-3795-A9E8-C8C2807'!AC14*0.000001</f>
        <v>720</v>
      </c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143"/>
      <c r="W19" s="143"/>
      <c r="X19" s="143"/>
      <c r="Y19" s="143"/>
      <c r="Z19" s="143"/>
      <c r="AA19" s="143"/>
      <c r="AB19" s="144"/>
      <c r="AC19" s="144"/>
      <c r="AD19" s="37"/>
      <c r="AE19" s="37"/>
      <c r="AF19" s="37"/>
      <c r="AG19" s="37"/>
      <c r="AH19" s="37"/>
      <c r="AI19" s="37"/>
      <c r="AJ19" s="37"/>
      <c r="AK19" s="37"/>
    </row>
    <row r="20" spans="3:37" x14ac:dyDescent="0.2">
      <c r="C20">
        <f t="shared" si="0"/>
        <v>2011</v>
      </c>
      <c r="E20" s="38">
        <f>'BB5AF8A8-8847-3795-A9E8-C8C2807'!$Z15*0.000001</f>
        <v>10080</v>
      </c>
      <c r="F20" s="38">
        <f>'BB5AF8A8-8847-3795-A9E8-C8C2807'!$AA15*0.000001</f>
        <v>2790</v>
      </c>
      <c r="G20" s="38">
        <f>'BB5AF8A8-8847-3795-A9E8-C8C2807'!AB15*0.000001</f>
        <v>1610</v>
      </c>
      <c r="H20" s="38">
        <f>'BB5AF8A8-8847-3795-A9E8-C8C2807'!AC15*0.000001</f>
        <v>820</v>
      </c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143"/>
      <c r="W20" s="143"/>
      <c r="X20" s="143"/>
      <c r="Y20" s="143"/>
      <c r="Z20" s="143"/>
      <c r="AA20" s="143"/>
      <c r="AB20" s="144"/>
      <c r="AC20" s="144"/>
      <c r="AD20" s="37"/>
      <c r="AE20" s="37"/>
      <c r="AF20" s="37"/>
      <c r="AG20" s="37"/>
      <c r="AH20" s="37"/>
      <c r="AI20" s="37"/>
      <c r="AJ20" s="37"/>
      <c r="AK20" s="37"/>
    </row>
    <row r="21" spans="3:37" x14ac:dyDescent="0.2">
      <c r="C21">
        <f t="shared" si="0"/>
        <v>2012</v>
      </c>
      <c r="E21" s="38">
        <f>[9]Pivot_Table!C33*$G$5</f>
        <v>10400</v>
      </c>
      <c r="F21" s="38">
        <f>[9]Pivot_Table!D33*$G$5</f>
        <v>3100</v>
      </c>
      <c r="G21" s="38">
        <f>[9]Pivot_Table!E33*$G$5</f>
        <v>1400</v>
      </c>
      <c r="H21" s="38">
        <f>[9]Pivot_Table!F33*$G$5</f>
        <v>700</v>
      </c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143"/>
      <c r="W21" s="143"/>
      <c r="X21" s="143"/>
      <c r="Y21" s="143"/>
      <c r="Z21" s="143"/>
      <c r="AA21" s="143"/>
      <c r="AB21" s="144"/>
      <c r="AC21" s="144"/>
      <c r="AD21" s="37"/>
      <c r="AE21" s="37"/>
      <c r="AF21" s="37"/>
      <c r="AG21" s="37"/>
      <c r="AH21" s="37"/>
      <c r="AI21" s="37"/>
      <c r="AJ21" s="37"/>
      <c r="AK21" s="37"/>
    </row>
    <row r="22" spans="3:37" x14ac:dyDescent="0.2">
      <c r="C22">
        <f t="shared" si="0"/>
        <v>2013</v>
      </c>
      <c r="E22" s="38">
        <f>[9]Pivot_Table!C34*$G5</f>
        <v>10900</v>
      </c>
      <c r="F22" s="38">
        <f>[9]Pivot_Table!D34*$G$5</f>
        <v>3000</v>
      </c>
      <c r="G22" s="38">
        <f>[9]Pivot_Table!E34*$G$5</f>
        <v>1760</v>
      </c>
      <c r="H22" s="38">
        <f>[9]Pivot_Table!F34*$G$5</f>
        <v>740</v>
      </c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143"/>
      <c r="W22" s="143"/>
      <c r="X22" s="143"/>
      <c r="Y22" s="143"/>
      <c r="Z22" s="143"/>
      <c r="AA22" s="143"/>
      <c r="AB22" s="144"/>
      <c r="AC22" s="144"/>
      <c r="AD22" s="37"/>
      <c r="AE22" s="37"/>
      <c r="AF22" s="37"/>
      <c r="AG22" s="37"/>
      <c r="AH22" s="37"/>
      <c r="AI22" s="37"/>
      <c r="AJ22" s="37"/>
      <c r="AK22" s="37"/>
    </row>
    <row r="23" spans="3:37" x14ac:dyDescent="0.2">
      <c r="C23">
        <f t="shared" si="0"/>
        <v>2014</v>
      </c>
      <c r="E23" s="38">
        <f>[9]Pivot_Table!C35*$G$5</f>
        <v>10600</v>
      </c>
      <c r="F23" s="38">
        <f>[9]Pivot_Table!D35*$G$5</f>
        <v>3100</v>
      </c>
      <c r="G23" s="38">
        <f>[9]Pivot_Table!E35*$G$5</f>
        <v>2050</v>
      </c>
      <c r="H23" s="38">
        <f>[9]Pivot_Table!F35*$G$5</f>
        <v>950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143"/>
      <c r="W23" s="143"/>
      <c r="X23" s="143"/>
      <c r="Y23" s="143"/>
      <c r="Z23" s="143"/>
      <c r="AA23" s="143"/>
      <c r="AB23" s="144"/>
      <c r="AC23" s="144"/>
      <c r="AD23" s="37"/>
      <c r="AE23" s="37"/>
      <c r="AF23" s="37"/>
      <c r="AG23" s="37"/>
      <c r="AH23" s="37"/>
      <c r="AI23" s="37"/>
      <c r="AJ23" s="37"/>
      <c r="AK23" s="37"/>
    </row>
    <row r="24" spans="3:37" ht="15" x14ac:dyDescent="0.25">
      <c r="C24">
        <f t="shared" si="0"/>
        <v>2015</v>
      </c>
      <c r="E24" s="38">
        <f>[9]Pivot_Table!C36*$G$5</f>
        <v>8000</v>
      </c>
      <c r="F24" s="38">
        <f>[9]Pivot_Table!D36*$G$5</f>
        <v>2300</v>
      </c>
      <c r="G24" s="38">
        <f>[9]Pivot_Table!E36*$G$5</f>
        <v>1350</v>
      </c>
      <c r="H24" s="38">
        <f>[9]Pivot_Table!F36*$G$5</f>
        <v>650</v>
      </c>
      <c r="J24" s="146" t="s">
        <v>322</v>
      </c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143"/>
      <c r="W24" s="143"/>
      <c r="X24" s="143"/>
      <c r="Y24" s="143"/>
      <c r="Z24" s="143"/>
      <c r="AA24" s="143"/>
      <c r="AB24" s="144"/>
      <c r="AC24" s="144"/>
      <c r="AD24" s="37"/>
      <c r="AE24" s="37"/>
      <c r="AF24" s="37"/>
      <c r="AG24" s="37"/>
      <c r="AH24" s="37"/>
      <c r="AI24" s="37"/>
      <c r="AJ24" s="37"/>
      <c r="AK24" s="37"/>
    </row>
    <row r="25" spans="3:37" x14ac:dyDescent="0.2">
      <c r="C25">
        <f t="shared" si="0"/>
        <v>2016</v>
      </c>
      <c r="E25" s="38">
        <v>7400</v>
      </c>
      <c r="F25" s="38">
        <v>2100</v>
      </c>
      <c r="G25" s="38">
        <v>1160</v>
      </c>
      <c r="H25" s="38">
        <v>640</v>
      </c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143"/>
      <c r="W25" s="143"/>
      <c r="X25" s="143"/>
      <c r="Y25" s="143"/>
      <c r="Z25" s="143"/>
      <c r="AA25" s="143"/>
      <c r="AB25" s="144"/>
      <c r="AC25" s="144"/>
      <c r="AD25" s="37"/>
      <c r="AE25" s="37"/>
      <c r="AF25" s="37"/>
      <c r="AG25" s="37"/>
      <c r="AH25" s="37"/>
      <c r="AI25" s="37"/>
      <c r="AJ25" s="37"/>
      <c r="AK25" s="37"/>
    </row>
    <row r="26" spans="3:37" x14ac:dyDescent="0.2">
      <c r="C26">
        <f t="shared" si="0"/>
        <v>2017</v>
      </c>
      <c r="E26" s="38">
        <v>7500</v>
      </c>
      <c r="F26" s="38">
        <v>2200</v>
      </c>
      <c r="G26" s="38">
        <v>1400</v>
      </c>
      <c r="H26" s="38">
        <v>800</v>
      </c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143"/>
      <c r="W26" s="143"/>
      <c r="X26" s="143"/>
      <c r="Y26" s="143"/>
      <c r="Z26" s="143"/>
      <c r="AA26" s="143"/>
      <c r="AB26" s="144"/>
      <c r="AC26" s="144"/>
      <c r="AD26" s="37"/>
      <c r="AE26" s="37"/>
      <c r="AF26" s="37"/>
      <c r="AG26" s="37"/>
      <c r="AH26" s="37"/>
      <c r="AI26" s="37"/>
      <c r="AJ26" s="37"/>
      <c r="AK26" s="37"/>
    </row>
    <row r="27" spans="3:37" x14ac:dyDescent="0.2">
      <c r="C27">
        <f t="shared" si="0"/>
        <v>2018</v>
      </c>
      <c r="E27" s="38">
        <v>8100</v>
      </c>
      <c r="F27" s="38">
        <v>2130</v>
      </c>
      <c r="G27" s="38">
        <v>1410</v>
      </c>
      <c r="H27" s="38">
        <v>660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143"/>
      <c r="W27" s="143"/>
      <c r="X27" s="143"/>
      <c r="Y27" s="143"/>
      <c r="Z27" s="143"/>
      <c r="AA27" s="143"/>
      <c r="AB27" s="144"/>
      <c r="AC27" s="144"/>
      <c r="AD27" s="37"/>
      <c r="AE27" s="37"/>
      <c r="AF27" s="37"/>
      <c r="AG27" s="37"/>
      <c r="AH27" s="37"/>
      <c r="AI27" s="37"/>
      <c r="AJ27" s="37"/>
      <c r="AK27" s="37"/>
    </row>
    <row r="28" spans="3:37" x14ac:dyDescent="0.2"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143"/>
      <c r="W28" s="143"/>
      <c r="X28" s="143"/>
      <c r="Y28" s="143"/>
      <c r="Z28" s="143"/>
      <c r="AA28" s="143"/>
      <c r="AB28" s="144"/>
      <c r="AC28" s="144"/>
      <c r="AD28" s="37"/>
      <c r="AE28" s="37"/>
      <c r="AF28" s="37"/>
      <c r="AG28" s="37"/>
      <c r="AH28" s="37"/>
      <c r="AI28" s="37"/>
      <c r="AJ28" s="37"/>
      <c r="AK28" s="37"/>
    </row>
    <row r="29" spans="3:37" x14ac:dyDescent="0.2"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143"/>
      <c r="W29" s="143"/>
      <c r="X29" s="143"/>
      <c r="Y29" s="143"/>
      <c r="Z29" s="143"/>
      <c r="AA29" s="143"/>
      <c r="AB29" s="144"/>
      <c r="AC29" s="144"/>
      <c r="AD29" s="37"/>
      <c r="AE29" s="37"/>
      <c r="AF29" s="37"/>
      <c r="AG29" s="37"/>
      <c r="AH29" s="37"/>
      <c r="AI29" s="37"/>
      <c r="AJ29" s="37"/>
      <c r="AK29" s="37"/>
    </row>
    <row r="30" spans="3:37" x14ac:dyDescent="0.2">
      <c r="C30" t="s">
        <v>331</v>
      </c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143"/>
      <c r="W30" s="143"/>
      <c r="X30" s="143"/>
      <c r="Y30" s="143"/>
      <c r="Z30" s="143"/>
      <c r="AA30" s="143"/>
      <c r="AB30" s="144"/>
      <c r="AC30" s="144"/>
      <c r="AD30" s="37"/>
      <c r="AE30" s="37"/>
      <c r="AF30" s="37"/>
      <c r="AG30" s="37"/>
      <c r="AH30" s="37"/>
      <c r="AI30" s="37"/>
      <c r="AJ30" s="37"/>
      <c r="AK30" s="37"/>
    </row>
    <row r="31" spans="3:37" x14ac:dyDescent="0.2">
      <c r="D31" t="s">
        <v>5</v>
      </c>
      <c r="E31" t="s">
        <v>93</v>
      </c>
      <c r="F31" t="s">
        <v>92</v>
      </c>
      <c r="G31" t="s">
        <v>194</v>
      </c>
      <c r="H31" t="s">
        <v>287</v>
      </c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143"/>
      <c r="W31" s="143"/>
      <c r="X31" s="143"/>
      <c r="Y31" s="143"/>
      <c r="Z31" s="143"/>
      <c r="AA31" s="143"/>
      <c r="AB31" s="144"/>
      <c r="AC31" s="144"/>
      <c r="AD31" s="37"/>
      <c r="AE31" s="37"/>
      <c r="AF31" s="37"/>
      <c r="AG31" s="37"/>
      <c r="AH31" s="37"/>
      <c r="AI31" s="37"/>
      <c r="AJ31" s="37"/>
      <c r="AK31" s="37"/>
    </row>
    <row r="32" spans="3:37" x14ac:dyDescent="0.2">
      <c r="C32">
        <f t="shared" ref="C32:C43" si="1">C9</f>
        <v>2000</v>
      </c>
      <c r="D32">
        <f>'Ag Cons by Use'!F41</f>
        <v>312.52800000000002</v>
      </c>
      <c r="E32" s="39">
        <f>'Ag Cons by Use'!C41</f>
        <v>468.77199999999999</v>
      </c>
      <c r="F32" s="39">
        <f>'Ag Cons by Use'!B41</f>
        <v>156.25</v>
      </c>
      <c r="G32" s="39">
        <f>'Ag Cons by Use'!D41</f>
        <v>78.153000000000006</v>
      </c>
      <c r="H32" s="39">
        <f>'Ag Cons by Use'!E41</f>
        <v>75.846000000000004</v>
      </c>
      <c r="J32">
        <f>SUM(E32:I32)</f>
        <v>779.02099999999996</v>
      </c>
      <c r="K32" t="s">
        <v>318</v>
      </c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143"/>
      <c r="W32" s="143"/>
      <c r="X32" s="143"/>
      <c r="Y32" s="143"/>
      <c r="Z32" s="143"/>
      <c r="AA32" s="143"/>
      <c r="AB32" s="144"/>
      <c r="AC32" s="144"/>
      <c r="AD32" s="37"/>
      <c r="AE32" s="37"/>
      <c r="AF32" s="37"/>
      <c r="AG32" s="37"/>
      <c r="AH32" s="37"/>
      <c r="AI32" s="37"/>
      <c r="AJ32" s="37"/>
      <c r="AK32" s="37"/>
    </row>
    <row r="33" spans="3:37" x14ac:dyDescent="0.2">
      <c r="C33">
        <f t="shared" si="1"/>
        <v>2001</v>
      </c>
      <c r="D33">
        <f>'Ag Cons by Use'!F42</f>
        <v>369.88600000000002</v>
      </c>
      <c r="E33" s="39">
        <f>'Ag Cons by Use'!C42</f>
        <v>484.02800000000002</v>
      </c>
      <c r="F33" s="39">
        <f>'Ag Cons by Use'!B42</f>
        <v>143.75</v>
      </c>
      <c r="G33" s="39">
        <f>'Ag Cons by Use'!D42</f>
        <v>65.736000000000004</v>
      </c>
      <c r="H33" s="39">
        <f>'Ag Cons by Use'!E42</f>
        <v>57.561999999999998</v>
      </c>
      <c r="J33">
        <f>SUM(E33:I33)</f>
        <v>751.07600000000002</v>
      </c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143"/>
      <c r="W33" s="143"/>
      <c r="X33" s="143"/>
      <c r="Y33" s="143"/>
      <c r="Z33" s="143"/>
      <c r="AA33" s="143"/>
      <c r="AB33" s="144"/>
      <c r="AC33" s="144"/>
      <c r="AD33" s="37"/>
      <c r="AE33" s="37"/>
      <c r="AF33" s="37"/>
      <c r="AG33" s="37"/>
      <c r="AH33" s="37"/>
      <c r="AI33" s="37"/>
      <c r="AJ33" s="37"/>
      <c r="AK33" s="37"/>
    </row>
    <row r="34" spans="3:37" x14ac:dyDescent="0.2">
      <c r="C34">
        <f t="shared" si="1"/>
        <v>2002</v>
      </c>
      <c r="D34">
        <f>'Ag Cons by Use'!F43</f>
        <v>356</v>
      </c>
      <c r="E34" s="39">
        <f>'Ag Cons by Use'!C43</f>
        <v>469</v>
      </c>
      <c r="F34" s="39">
        <f>'Ag Cons by Use'!B43</f>
        <v>146</v>
      </c>
      <c r="G34" s="39">
        <f>'Ag Cons by Use'!D43</f>
        <v>78</v>
      </c>
      <c r="H34" s="39">
        <f>'Ag Cons by Use'!E43</f>
        <v>62</v>
      </c>
      <c r="J34">
        <f>SUM(E34:I34)</f>
        <v>755</v>
      </c>
      <c r="P34" s="37"/>
      <c r="Q34" s="37"/>
      <c r="R34" s="37"/>
      <c r="S34" s="37"/>
      <c r="T34" s="37"/>
      <c r="U34" s="37"/>
      <c r="V34" s="143"/>
      <c r="W34" s="143"/>
      <c r="X34" s="143"/>
      <c r="Y34" s="143"/>
      <c r="Z34" s="143"/>
      <c r="AA34" s="143"/>
      <c r="AB34" s="144"/>
      <c r="AC34" s="144"/>
      <c r="AD34" s="37"/>
      <c r="AE34" s="37"/>
      <c r="AF34" s="37"/>
      <c r="AG34" s="37"/>
      <c r="AH34" s="37"/>
      <c r="AI34" s="37"/>
      <c r="AJ34" s="37"/>
      <c r="AK34" s="37"/>
    </row>
    <row r="35" spans="3:37" x14ac:dyDescent="0.2">
      <c r="C35">
        <f t="shared" si="1"/>
        <v>2003</v>
      </c>
      <c r="P35" s="37"/>
      <c r="Q35" s="37"/>
      <c r="R35" s="37"/>
      <c r="S35" s="37"/>
      <c r="T35" s="37"/>
      <c r="U35" s="37"/>
      <c r="V35" s="143"/>
      <c r="W35" s="143"/>
      <c r="X35" s="143"/>
      <c r="Y35" s="143"/>
      <c r="Z35" s="143"/>
      <c r="AA35" s="143"/>
      <c r="AB35" s="144"/>
      <c r="AC35" s="144"/>
      <c r="AD35" s="37"/>
      <c r="AE35" s="37"/>
      <c r="AF35" s="37"/>
      <c r="AG35" s="37"/>
      <c r="AH35" s="37"/>
      <c r="AI35" s="37"/>
      <c r="AJ35" s="37"/>
      <c r="AK35" s="37"/>
    </row>
    <row r="36" spans="3:37" x14ac:dyDescent="0.2">
      <c r="C36">
        <f t="shared" si="1"/>
        <v>2004</v>
      </c>
      <c r="P36" s="37"/>
      <c r="Q36" s="37"/>
      <c r="R36" s="37"/>
      <c r="S36" s="37"/>
      <c r="T36" s="37"/>
      <c r="U36" s="37"/>
      <c r="V36" s="143"/>
      <c r="W36" s="143"/>
      <c r="X36" s="143"/>
      <c r="Y36" s="143"/>
      <c r="Z36" s="143"/>
      <c r="AA36" s="143"/>
      <c r="AB36" s="144"/>
      <c r="AC36" s="144"/>
      <c r="AD36" s="37"/>
      <c r="AE36" s="37"/>
      <c r="AF36" s="37"/>
      <c r="AG36" s="37"/>
      <c r="AH36" s="37"/>
      <c r="AI36" s="37"/>
      <c r="AJ36" s="37"/>
      <c r="AK36" s="37"/>
    </row>
    <row r="37" spans="3:37" x14ac:dyDescent="0.2">
      <c r="C37">
        <f t="shared" si="1"/>
        <v>2005</v>
      </c>
      <c r="D37">
        <v>135</v>
      </c>
      <c r="E37">
        <v>408.5</v>
      </c>
      <c r="F37">
        <v>128.5</v>
      </c>
      <c r="G37">
        <v>76</v>
      </c>
      <c r="H37">
        <v>53</v>
      </c>
      <c r="J37">
        <f>SUM(E37:I37)</f>
        <v>666</v>
      </c>
      <c r="K37" t="s">
        <v>235</v>
      </c>
      <c r="R37" s="37"/>
      <c r="S37" s="37"/>
      <c r="T37" s="37"/>
      <c r="U37" s="37"/>
      <c r="V37" s="143"/>
      <c r="W37" s="143"/>
      <c r="X37" s="143"/>
      <c r="Y37" s="143"/>
      <c r="Z37" s="143"/>
      <c r="AA37" s="143"/>
      <c r="AB37" s="144"/>
      <c r="AC37" s="144"/>
      <c r="AD37" s="37"/>
      <c r="AE37" s="37"/>
      <c r="AF37" s="37"/>
      <c r="AG37" s="37"/>
      <c r="AH37" s="37"/>
      <c r="AI37" s="37"/>
      <c r="AJ37" s="37"/>
      <c r="AK37" s="37"/>
    </row>
    <row r="38" spans="3:37" x14ac:dyDescent="0.2">
      <c r="C38">
        <f t="shared" si="1"/>
        <v>2006</v>
      </c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143"/>
      <c r="W38" s="143"/>
      <c r="X38" s="143"/>
      <c r="Y38" s="143"/>
      <c r="Z38" s="143"/>
      <c r="AA38" s="143"/>
      <c r="AB38" s="144"/>
      <c r="AC38" s="144"/>
      <c r="AD38" s="37"/>
      <c r="AE38" s="37"/>
      <c r="AF38" s="37"/>
      <c r="AG38" s="37"/>
      <c r="AH38" s="37"/>
      <c r="AI38" s="37"/>
      <c r="AJ38" s="37"/>
      <c r="AK38" s="37"/>
    </row>
    <row r="39" spans="3:37" x14ac:dyDescent="0.2">
      <c r="C39">
        <f t="shared" si="1"/>
        <v>2007</v>
      </c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143"/>
      <c r="W39" s="143"/>
      <c r="X39" s="143"/>
      <c r="Y39" s="143"/>
      <c r="Z39" s="143"/>
      <c r="AA39" s="143"/>
      <c r="AB39" s="144"/>
      <c r="AC39" s="144"/>
      <c r="AD39" s="37"/>
      <c r="AE39" s="37"/>
      <c r="AF39" s="37"/>
      <c r="AG39" s="37"/>
      <c r="AH39" s="37"/>
      <c r="AI39" s="37"/>
      <c r="AJ39" s="37"/>
      <c r="AK39" s="37"/>
    </row>
    <row r="40" spans="3:37" x14ac:dyDescent="0.2">
      <c r="C40">
        <f t="shared" si="1"/>
        <v>2008</v>
      </c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143"/>
      <c r="W40" s="143"/>
      <c r="X40" s="143"/>
      <c r="Y40" s="143"/>
      <c r="Z40" s="143"/>
      <c r="AA40" s="143"/>
      <c r="AB40" s="144"/>
      <c r="AC40" s="144"/>
      <c r="AD40" s="37"/>
      <c r="AE40" s="37"/>
      <c r="AF40" s="37"/>
      <c r="AG40" s="37"/>
      <c r="AH40" s="37"/>
      <c r="AI40" s="37"/>
      <c r="AJ40" s="37"/>
      <c r="AK40" s="37"/>
    </row>
    <row r="41" spans="3:37" ht="15.75" x14ac:dyDescent="0.25">
      <c r="C41">
        <f t="shared" si="1"/>
        <v>2009</v>
      </c>
      <c r="L41" s="37"/>
      <c r="M41" s="37"/>
      <c r="N41" s="150" t="s">
        <v>329</v>
      </c>
      <c r="O41" s="150"/>
      <c r="P41" s="150"/>
      <c r="Q41" s="150"/>
      <c r="R41" s="150"/>
      <c r="S41" s="150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</row>
    <row r="42" spans="3:37" x14ac:dyDescent="0.2">
      <c r="C42">
        <f t="shared" si="1"/>
        <v>2010</v>
      </c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</row>
    <row r="43" spans="3:37" x14ac:dyDescent="0.2">
      <c r="C43">
        <f t="shared" si="1"/>
        <v>2011</v>
      </c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</row>
    <row r="44" spans="3:37" x14ac:dyDescent="0.2"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</row>
    <row r="45" spans="3:37" x14ac:dyDescent="0.2">
      <c r="L45" s="37"/>
      <c r="M45" s="37"/>
      <c r="N45" s="149" t="s">
        <v>93</v>
      </c>
      <c r="O45" s="37"/>
      <c r="P45" s="37" t="s">
        <v>290</v>
      </c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</row>
    <row r="46" spans="3:37" x14ac:dyDescent="0.2"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</row>
    <row r="47" spans="3:37" x14ac:dyDescent="0.2">
      <c r="D47" t="s">
        <v>316</v>
      </c>
      <c r="L47" s="37"/>
      <c r="M47" s="37"/>
      <c r="N47" s="37"/>
      <c r="O47" s="37"/>
      <c r="P47" s="129">
        <v>0.73</v>
      </c>
      <c r="Q47" s="37">
        <f>1-P47</f>
        <v>0.27</v>
      </c>
      <c r="R47" s="37"/>
      <c r="S47" s="37" t="s">
        <v>289</v>
      </c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</row>
    <row r="48" spans="3:37" x14ac:dyDescent="0.2">
      <c r="D48" t="s">
        <v>5</v>
      </c>
      <c r="E48" t="s">
        <v>93</v>
      </c>
      <c r="F48" t="s">
        <v>92</v>
      </c>
      <c r="G48" t="s">
        <v>194</v>
      </c>
      <c r="H48" t="s">
        <v>8</v>
      </c>
      <c r="L48" s="37"/>
      <c r="M48" s="37"/>
      <c r="N48" s="37" t="s">
        <v>288</v>
      </c>
      <c r="O48" s="37" t="s">
        <v>27</v>
      </c>
      <c r="P48" s="37"/>
      <c r="Q48" s="37" t="s">
        <v>295</v>
      </c>
      <c r="R48" s="37"/>
      <c r="S48" s="37"/>
      <c r="T48" s="37"/>
      <c r="U48" s="37"/>
      <c r="V48" s="37"/>
      <c r="W48" s="37"/>
      <c r="X48" s="37"/>
      <c r="Y48" s="37"/>
      <c r="Z48" s="37" t="s">
        <v>309</v>
      </c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</row>
    <row r="49" spans="3:37" ht="15" x14ac:dyDescent="0.25">
      <c r="C49">
        <f t="shared" ref="C49:C60" si="2">C9</f>
        <v>2000</v>
      </c>
      <c r="D49" s="2"/>
      <c r="E49" s="2">
        <f>E9/E32</f>
        <v>7.8310991270809689</v>
      </c>
      <c r="F49" s="2">
        <f>F9/F32</f>
        <v>12.057600000000001</v>
      </c>
      <c r="G49" s="2">
        <f>G9/G32</f>
        <v>10.82492034854708</v>
      </c>
      <c r="H49" s="2">
        <f>H9/H32</f>
        <v>7.8975819423568803</v>
      </c>
      <c r="I49" s="2"/>
      <c r="L49" s="37">
        <v>2000</v>
      </c>
      <c r="M49" s="37"/>
      <c r="N49" s="130">
        <f>'stb0523'!AE10</f>
        <v>7.2535622317596564</v>
      </c>
      <c r="O49" s="130">
        <f>'stb0524'!U60</f>
        <v>10.750557939914163</v>
      </c>
      <c r="P49" s="130">
        <f>P$47*N49+Q$47*O49</f>
        <v>8.1977510729613741</v>
      </c>
      <c r="Q49" s="130">
        <f>E49</f>
        <v>7.8310991270809689</v>
      </c>
      <c r="R49" s="37"/>
      <c r="S49" s="37"/>
      <c r="T49" s="37"/>
      <c r="U49" s="37"/>
      <c r="V49" s="37">
        <v>1.0049999999999999</v>
      </c>
      <c r="W49" s="37"/>
      <c r="X49" s="37"/>
      <c r="Y49" s="37">
        <v>2008</v>
      </c>
      <c r="Z49">
        <v>3.6190000000000002</v>
      </c>
      <c r="AA49" s="22">
        <f>Z49/5.825*42</f>
        <v>26.094077253218884</v>
      </c>
      <c r="AB49" s="37"/>
      <c r="AC49" s="37"/>
      <c r="AD49" s="37"/>
      <c r="AE49" s="37"/>
      <c r="AF49" s="37"/>
      <c r="AG49" s="37"/>
      <c r="AH49" s="37"/>
      <c r="AI49" s="37"/>
      <c r="AJ49" s="37"/>
      <c r="AK49" s="37"/>
    </row>
    <row r="50" spans="3:37" ht="15" x14ac:dyDescent="0.25">
      <c r="C50">
        <f t="shared" si="2"/>
        <v>2001</v>
      </c>
      <c r="D50" s="2"/>
      <c r="E50" s="2">
        <f t="shared" ref="E50:G50" si="3">E10/E33</f>
        <v>7.4871701637095374</v>
      </c>
      <c r="F50" s="2">
        <f t="shared" si="3"/>
        <v>11.297391304347826</v>
      </c>
      <c r="G50" s="2">
        <f t="shared" si="3"/>
        <v>12.458926615553121</v>
      </c>
      <c r="H50" s="2">
        <f t="shared" ref="H50" si="4">H10/H33</f>
        <v>10.996838191862688</v>
      </c>
      <c r="I50" s="2"/>
      <c r="L50" s="37">
        <f>L49+1</f>
        <v>2001</v>
      </c>
      <c r="M50" s="37"/>
      <c r="N50" s="130">
        <f>'stb0523'!AE11</f>
        <v>6.575793991416309</v>
      </c>
      <c r="O50" s="130">
        <f>'stb0524'!U61</f>
        <v>10.101630901287553</v>
      </c>
      <c r="P50" s="130">
        <f t="shared" ref="P50:P66" si="5">P$47*N50+Q$47*O50</f>
        <v>7.5277699570815448</v>
      </c>
      <c r="Q50" s="130">
        <f t="shared" ref="Q50:Q54" si="6">E50</f>
        <v>7.4871701637095374</v>
      </c>
      <c r="R50" s="37"/>
      <c r="S50" s="37"/>
      <c r="T50" s="37"/>
      <c r="U50" s="37" t="s">
        <v>306</v>
      </c>
      <c r="V50" s="37" t="s">
        <v>299</v>
      </c>
      <c r="W50" s="37"/>
      <c r="X50" s="37"/>
      <c r="Y50" s="37">
        <v>2007</v>
      </c>
      <c r="Z50">
        <v>2.4300000000000002</v>
      </c>
      <c r="AA50" s="22">
        <f t="shared" ref="AA50:AA55" si="7">Z50/5.825*42</f>
        <v>17.521030042918458</v>
      </c>
      <c r="AB50" s="37"/>
      <c r="AC50" s="37"/>
      <c r="AD50" s="37"/>
      <c r="AE50" s="37"/>
      <c r="AF50" s="37"/>
      <c r="AG50" s="37"/>
      <c r="AH50" s="37"/>
      <c r="AI50" s="37"/>
      <c r="AJ50" s="37"/>
      <c r="AK50" s="37"/>
    </row>
    <row r="51" spans="3:37" ht="15" x14ac:dyDescent="0.25">
      <c r="C51">
        <f t="shared" si="2"/>
        <v>2002</v>
      </c>
      <c r="D51" s="2"/>
      <c r="E51" s="2">
        <f t="shared" ref="E51:G51" si="8">E11/E34</f>
        <v>6.9722814498933898</v>
      </c>
      <c r="F51" s="2">
        <f t="shared" si="8"/>
        <v>11.232876712328768</v>
      </c>
      <c r="G51" s="2">
        <f t="shared" si="8"/>
        <v>11.025641025641026</v>
      </c>
      <c r="H51" s="2">
        <f t="shared" ref="H51" si="9">H11/H34</f>
        <v>11.774193548387096</v>
      </c>
      <c r="I51" s="2"/>
      <c r="L51" s="37">
        <f t="shared" ref="L51:L67" si="10">L50+1</f>
        <v>2002</v>
      </c>
      <c r="M51" s="37"/>
      <c r="N51" s="130">
        <f>'stb0523'!AE12</f>
        <v>6.035021459227468</v>
      </c>
      <c r="O51" s="130">
        <f>'stb0524'!U62</f>
        <v>9.5103862660944198</v>
      </c>
      <c r="P51" s="130">
        <f t="shared" si="5"/>
        <v>6.9733699570815446</v>
      </c>
      <c r="Q51" s="130">
        <f t="shared" si="6"/>
        <v>6.9722814498933898</v>
      </c>
      <c r="R51" s="130">
        <f>Q51-P51</f>
        <v>-1.0885071881547859E-3</v>
      </c>
      <c r="S51" s="37">
        <f>R51/Q51</f>
        <v>-1.5611922668030417E-4</v>
      </c>
      <c r="T51" s="37"/>
      <c r="U51" s="37">
        <f>AA55</f>
        <v>6.9507296137339054</v>
      </c>
      <c r="V51" s="37">
        <f>U51*V$49</f>
        <v>6.9854832618025746</v>
      </c>
      <c r="W51" s="37"/>
      <c r="X51" s="37"/>
      <c r="Y51" s="37">
        <v>2006</v>
      </c>
      <c r="Z51">
        <v>2.2749999999999999</v>
      </c>
      <c r="AA51" s="22">
        <f t="shared" si="7"/>
        <v>16.403433476394849</v>
      </c>
      <c r="AB51" s="37"/>
      <c r="AC51" s="37"/>
      <c r="AD51" s="37"/>
      <c r="AE51" s="37"/>
      <c r="AF51" s="37"/>
      <c r="AG51" s="37"/>
      <c r="AH51" s="37"/>
      <c r="AI51" s="37"/>
      <c r="AJ51" s="37"/>
      <c r="AK51" s="37"/>
    </row>
    <row r="52" spans="3:37" ht="15" x14ac:dyDescent="0.25">
      <c r="C52">
        <f t="shared" si="2"/>
        <v>2003</v>
      </c>
      <c r="D52" s="2"/>
      <c r="E52" s="2"/>
      <c r="F52" s="2"/>
      <c r="G52" s="2"/>
      <c r="H52" s="2"/>
      <c r="I52" s="2"/>
      <c r="L52" s="37">
        <f t="shared" si="10"/>
        <v>2003</v>
      </c>
      <c r="M52" s="37"/>
      <c r="N52" s="130">
        <f>'stb0523'!AE13</f>
        <v>7.267982832618026</v>
      </c>
      <c r="O52" s="130">
        <f>'stb0524'!U63</f>
        <v>10.880343347639483</v>
      </c>
      <c r="P52" s="130">
        <f t="shared" si="5"/>
        <v>8.2433201716738189</v>
      </c>
      <c r="Q52" s="130"/>
      <c r="U52">
        <f>AA54</f>
        <v>8.9407725321888414</v>
      </c>
      <c r="V52" s="37">
        <f t="shared" ref="V52:V59" si="11">U52*V$49</f>
        <v>8.9854763948497851</v>
      </c>
      <c r="Y52" s="143">
        <v>2005</v>
      </c>
      <c r="Z52">
        <v>1.968</v>
      </c>
      <c r="AA52" s="22">
        <f t="shared" si="7"/>
        <v>14.189871244635192</v>
      </c>
    </row>
    <row r="53" spans="3:37" ht="15" x14ac:dyDescent="0.25">
      <c r="C53">
        <f t="shared" si="2"/>
        <v>2004</v>
      </c>
      <c r="D53" s="2"/>
      <c r="E53" s="2"/>
      <c r="F53" s="2"/>
      <c r="G53" s="2"/>
      <c r="H53" s="2"/>
      <c r="I53" s="2"/>
      <c r="L53" s="37">
        <f t="shared" si="10"/>
        <v>2004</v>
      </c>
      <c r="M53" s="37"/>
      <c r="N53" s="130">
        <f>'stb0523'!AE14</f>
        <v>9.4887553648068668</v>
      </c>
      <c r="O53" s="130">
        <f>'stb0524'!U64</f>
        <v>13.050643776824034</v>
      </c>
      <c r="P53" s="130">
        <f t="shared" si="5"/>
        <v>10.450465236051503</v>
      </c>
      <c r="Q53" s="130"/>
      <c r="U53">
        <f>AA53</f>
        <v>9.4454935622317588</v>
      </c>
      <c r="V53" s="37">
        <f t="shared" si="11"/>
        <v>9.492721030042917</v>
      </c>
      <c r="Y53" s="143">
        <v>2004</v>
      </c>
      <c r="Z53">
        <v>1.31</v>
      </c>
      <c r="AA53" s="22">
        <f t="shared" si="7"/>
        <v>9.4454935622317588</v>
      </c>
    </row>
    <row r="54" spans="3:37" ht="15" x14ac:dyDescent="0.25">
      <c r="C54">
        <f t="shared" si="2"/>
        <v>2005</v>
      </c>
      <c r="D54" s="2"/>
      <c r="E54" s="2">
        <f>E14/E37</f>
        <v>14.369645042839657</v>
      </c>
      <c r="F54" s="2">
        <f>F14/F37</f>
        <v>17.976653696498055</v>
      </c>
      <c r="G54" s="2">
        <f>G14/G37</f>
        <v>16.184210526315791</v>
      </c>
      <c r="H54" s="2">
        <f>H14/H37</f>
        <v>13.018867924528301</v>
      </c>
      <c r="I54" s="2"/>
      <c r="L54" s="37">
        <f t="shared" si="10"/>
        <v>2005</v>
      </c>
      <c r="M54" s="37"/>
      <c r="N54" s="130">
        <f>'stb0523'!AE15</f>
        <v>13.598626609442059</v>
      </c>
      <c r="O54" s="130">
        <f>'stb0524'!U65</f>
        <v>17.319141630901289</v>
      </c>
      <c r="P54" s="130">
        <f t="shared" si="5"/>
        <v>14.603165665236052</v>
      </c>
      <c r="Q54" s="130">
        <f t="shared" si="6"/>
        <v>14.369645042839657</v>
      </c>
      <c r="R54" s="130">
        <f>Q54-P54</f>
        <v>-0.23352062239639437</v>
      </c>
      <c r="S54" s="37">
        <f>R54/Q54</f>
        <v>-1.625096665228741E-2</v>
      </c>
      <c r="U54">
        <f>AA52</f>
        <v>14.189871244635192</v>
      </c>
      <c r="V54" s="37">
        <f t="shared" si="11"/>
        <v>14.260820600858366</v>
      </c>
      <c r="Y54" s="143">
        <v>2003</v>
      </c>
      <c r="Z54">
        <v>1.24</v>
      </c>
      <c r="AA54" s="22">
        <f t="shared" si="7"/>
        <v>8.9407725321888414</v>
      </c>
    </row>
    <row r="55" spans="3:37" ht="15" x14ac:dyDescent="0.25">
      <c r="C55">
        <f t="shared" si="2"/>
        <v>2006</v>
      </c>
      <c r="D55" s="2"/>
      <c r="E55" s="2"/>
      <c r="F55" s="2"/>
      <c r="G55" s="2"/>
      <c r="H55" s="2"/>
      <c r="I55" s="2"/>
      <c r="L55" s="37">
        <f t="shared" si="10"/>
        <v>2006</v>
      </c>
      <c r="M55" s="37"/>
      <c r="N55" s="130">
        <f>'stb0523'!AE16</f>
        <v>15.610300429184548</v>
      </c>
      <c r="O55" s="130">
        <f>'stb0524'!U66</f>
        <v>19.503862660944204</v>
      </c>
      <c r="P55" s="130">
        <f t="shared" si="5"/>
        <v>16.661562231759653</v>
      </c>
      <c r="U55">
        <f>AA51</f>
        <v>16.403433476394849</v>
      </c>
      <c r="V55" s="37">
        <f t="shared" si="11"/>
        <v>16.485450643776822</v>
      </c>
      <c r="Z55">
        <v>0.96399999999999997</v>
      </c>
      <c r="AA55" s="22">
        <f t="shared" si="7"/>
        <v>6.9507296137339054</v>
      </c>
    </row>
    <row r="56" spans="3:37" x14ac:dyDescent="0.2">
      <c r="C56">
        <f t="shared" si="2"/>
        <v>2007</v>
      </c>
      <c r="D56" s="2"/>
      <c r="E56" s="2"/>
      <c r="F56" s="2"/>
      <c r="G56" s="2"/>
      <c r="H56" s="2"/>
      <c r="I56" s="2"/>
      <c r="L56" s="37">
        <f t="shared" si="10"/>
        <v>2007</v>
      </c>
      <c r="M56" s="37"/>
      <c r="N56" s="130">
        <f>'stb0523'!AE17</f>
        <v>16.929785407725319</v>
      </c>
      <c r="O56" s="2">
        <f>'stb0524'!U67</f>
        <v>20.801716738197424</v>
      </c>
      <c r="P56" s="130">
        <f t="shared" si="5"/>
        <v>17.975206866952789</v>
      </c>
      <c r="U56">
        <f>AA50</f>
        <v>17.521030042918458</v>
      </c>
      <c r="V56" s="37">
        <f t="shared" si="11"/>
        <v>17.608635193133047</v>
      </c>
    </row>
    <row r="57" spans="3:37" x14ac:dyDescent="0.2">
      <c r="C57">
        <f t="shared" si="2"/>
        <v>2008</v>
      </c>
      <c r="D57" s="2"/>
      <c r="E57" s="2"/>
      <c r="F57" s="2"/>
      <c r="G57" s="2"/>
      <c r="H57" s="2"/>
      <c r="I57" s="2"/>
      <c r="L57" s="37">
        <f t="shared" si="10"/>
        <v>2008</v>
      </c>
      <c r="M57" s="37"/>
      <c r="N57" s="130">
        <f>'stb0523'!AE18</f>
        <v>23.289270386266097</v>
      </c>
      <c r="O57" s="2">
        <f>'stb0524'!U68</f>
        <v>27.420772532188838</v>
      </c>
      <c r="P57" s="130">
        <f t="shared" si="5"/>
        <v>24.404775965665234</v>
      </c>
      <c r="U57">
        <f>AA49</f>
        <v>26.094077253218884</v>
      </c>
      <c r="V57" s="37">
        <f t="shared" si="11"/>
        <v>26.224547639484975</v>
      </c>
    </row>
    <row r="58" spans="3:37" x14ac:dyDescent="0.2">
      <c r="C58">
        <f t="shared" si="2"/>
        <v>2009</v>
      </c>
      <c r="D58" s="2"/>
      <c r="E58" s="2"/>
      <c r="F58" s="2"/>
      <c r="G58" s="2"/>
      <c r="H58" s="2"/>
      <c r="I58" s="2"/>
      <c r="L58" s="37">
        <f t="shared" si="10"/>
        <v>2009</v>
      </c>
      <c r="M58" s="37"/>
      <c r="N58" s="130">
        <f>'stb0523'!AE19</f>
        <v>13.829356223175964</v>
      </c>
      <c r="O58" s="2">
        <f>'stb0524'!U69</f>
        <v>17.787811158798284</v>
      </c>
      <c r="P58" s="130">
        <f t="shared" si="5"/>
        <v>14.89813905579399</v>
      </c>
      <c r="S58" t="s">
        <v>300</v>
      </c>
      <c r="U58">
        <f>P58/P56*U56</f>
        <v>14.521710037176003</v>
      </c>
      <c r="V58" s="37">
        <f t="shared" si="11"/>
        <v>14.594318587361881</v>
      </c>
    </row>
    <row r="59" spans="3:37" x14ac:dyDescent="0.2">
      <c r="C59">
        <f t="shared" si="2"/>
        <v>2010</v>
      </c>
      <c r="D59" s="2"/>
      <c r="E59" s="2"/>
      <c r="F59" s="2"/>
      <c r="G59" s="2"/>
      <c r="H59" s="2"/>
      <c r="I59" s="2"/>
      <c r="L59" s="37">
        <f t="shared" si="10"/>
        <v>2010</v>
      </c>
      <c r="M59" s="37"/>
      <c r="N59" s="130">
        <f>'stb0523'!AE20</f>
        <v>17.412875536480687</v>
      </c>
      <c r="O59" s="2">
        <f>'stb0524'!U70</f>
        <v>21.57321888412017</v>
      </c>
      <c r="P59" s="130">
        <f t="shared" si="5"/>
        <v>18.536168240343347</v>
      </c>
      <c r="U59">
        <f>(P59/P58)*U58</f>
        <v>18.067817690417666</v>
      </c>
      <c r="V59" s="37">
        <f t="shared" si="11"/>
        <v>18.158156778869753</v>
      </c>
    </row>
    <row r="60" spans="3:37" x14ac:dyDescent="0.2">
      <c r="C60">
        <f t="shared" si="2"/>
        <v>2011</v>
      </c>
      <c r="D60" s="2"/>
      <c r="E60" s="2"/>
      <c r="F60" s="2"/>
      <c r="G60" s="2"/>
      <c r="H60" s="2"/>
      <c r="I60" s="2"/>
      <c r="L60" s="37">
        <f t="shared" si="10"/>
        <v>2011</v>
      </c>
      <c r="N60" s="130">
        <f>'stb0523'!AE21</f>
        <v>23.455459398102981</v>
      </c>
      <c r="O60" s="2">
        <f>'stb0524'!U71</f>
        <v>27.687553648068665</v>
      </c>
      <c r="P60" s="130">
        <f t="shared" si="5"/>
        <v>24.598124845593716</v>
      </c>
      <c r="U60">
        <f t="shared" ref="U60:U63" si="12">(P60/P59)*U59</f>
        <v>23.976607758070724</v>
      </c>
      <c r="V60" s="37">
        <f t="shared" ref="V60:V63" si="13">U60*V$49</f>
        <v>24.096490796861076</v>
      </c>
    </row>
    <row r="61" spans="3:37" x14ac:dyDescent="0.2">
      <c r="L61" s="37">
        <f t="shared" si="10"/>
        <v>2012</v>
      </c>
      <c r="N61" s="130">
        <f>'stb0523'!AE22</f>
        <v>24.095085336132737</v>
      </c>
      <c r="O61" s="2">
        <f>'stb0524'!U72</f>
        <v>28.610472103004291</v>
      </c>
      <c r="P61" s="130">
        <f t="shared" si="5"/>
        <v>25.314239763188059</v>
      </c>
      <c r="U61">
        <f t="shared" si="12"/>
        <v>24.674628708718039</v>
      </c>
      <c r="V61" s="37">
        <f t="shared" si="13"/>
        <v>24.798001852261628</v>
      </c>
    </row>
    <row r="62" spans="3:37" x14ac:dyDescent="0.2">
      <c r="L62" s="37">
        <f t="shared" si="10"/>
        <v>2013</v>
      </c>
      <c r="N62" s="130">
        <f>'stb0523'!AE23</f>
        <v>23.493084453281199</v>
      </c>
      <c r="O62" s="2">
        <f>'stb0524'!U73</f>
        <v>28.278798283261803</v>
      </c>
      <c r="P62" s="130">
        <f t="shared" si="5"/>
        <v>24.785227187375963</v>
      </c>
      <c r="U62">
        <f t="shared" si="12"/>
        <v>24.158982613377347</v>
      </c>
      <c r="V62" s="37">
        <f t="shared" si="13"/>
        <v>24.279777526444231</v>
      </c>
    </row>
    <row r="63" spans="3:37" x14ac:dyDescent="0.2">
      <c r="L63" s="37">
        <f t="shared" si="10"/>
        <v>2014</v>
      </c>
      <c r="N63" s="130">
        <f>'stb0523'!AE24</f>
        <v>21.995607257188006</v>
      </c>
      <c r="O63" s="2">
        <f>'stb0524'!U74</f>
        <v>27.579399141630905</v>
      </c>
      <c r="P63" s="130">
        <f t="shared" si="5"/>
        <v>23.503231065987588</v>
      </c>
      <c r="U63">
        <f t="shared" si="12"/>
        <v>22.909378493435529</v>
      </c>
      <c r="V63" s="37">
        <f t="shared" si="13"/>
        <v>23.023925385902704</v>
      </c>
    </row>
    <row r="64" spans="3:37" x14ac:dyDescent="0.2">
      <c r="L64" s="37">
        <f t="shared" si="10"/>
        <v>2015</v>
      </c>
      <c r="N64" s="130">
        <f>'stb0523'!AE25</f>
        <v>13.687995073836804</v>
      </c>
      <c r="O64" s="2">
        <f>'stb0524'!U75</f>
        <v>19.518283261802573</v>
      </c>
      <c r="P64" s="130">
        <f t="shared" si="5"/>
        <v>15.262172884587562</v>
      </c>
      <c r="U64">
        <f t="shared" ref="U64:U66" si="14">(P64/P63)*U63</f>
        <v>14.87654587846232</v>
      </c>
      <c r="V64" s="37">
        <f t="shared" ref="V64:V66" si="15">U64*V$49</f>
        <v>14.95092860785463</v>
      </c>
    </row>
    <row r="65" spans="3:28" x14ac:dyDescent="0.2">
      <c r="L65" s="37">
        <f t="shared" si="10"/>
        <v>2016</v>
      </c>
      <c r="N65" s="130">
        <f>'stb0523'!AE26</f>
        <v>11.37029167485839</v>
      </c>
      <c r="O65" s="2">
        <f>'stb0524'!U76</f>
        <v>16.6125321888412</v>
      </c>
      <c r="P65" s="130">
        <f t="shared" si="5"/>
        <v>12.785696613633748</v>
      </c>
      <c r="U65">
        <f t="shared" si="14"/>
        <v>12.462642357622778</v>
      </c>
      <c r="V65" s="37">
        <f t="shared" si="15"/>
        <v>12.52495556941089</v>
      </c>
    </row>
    <row r="66" spans="3:28" x14ac:dyDescent="0.2">
      <c r="L66" s="37">
        <f t="shared" si="10"/>
        <v>2017</v>
      </c>
      <c r="N66" s="130">
        <f>'stb0523'!AE27</f>
        <v>13.627794985551649</v>
      </c>
      <c r="O66" s="2">
        <f>'stb0524'!U77</f>
        <v>19.107296137339056</v>
      </c>
      <c r="P66" s="130">
        <f t="shared" si="5"/>
        <v>15.10726029653425</v>
      </c>
      <c r="U66">
        <f t="shared" si="14"/>
        <v>14.725547443262199</v>
      </c>
      <c r="V66" s="37">
        <f t="shared" si="15"/>
        <v>14.799175180478509</v>
      </c>
    </row>
    <row r="67" spans="3:28" x14ac:dyDescent="0.2">
      <c r="L67" s="37">
        <f t="shared" si="10"/>
        <v>2018</v>
      </c>
      <c r="N67" s="37"/>
    </row>
    <row r="69" spans="3:28" x14ac:dyDescent="0.2">
      <c r="N69" s="149" t="s">
        <v>92</v>
      </c>
      <c r="O69" s="37"/>
      <c r="P69" s="37" t="s">
        <v>290</v>
      </c>
      <c r="Q69" s="37"/>
      <c r="R69" s="37"/>
      <c r="S69" s="37"/>
    </row>
    <row r="70" spans="3:28" x14ac:dyDescent="0.2">
      <c r="N70" s="37"/>
      <c r="O70" s="37"/>
      <c r="P70" s="37"/>
      <c r="Q70" s="37"/>
      <c r="R70" s="37"/>
      <c r="S70" s="37"/>
      <c r="U70" t="s">
        <v>310</v>
      </c>
    </row>
    <row r="71" spans="3:28" x14ac:dyDescent="0.2">
      <c r="D71" t="s">
        <v>327</v>
      </c>
      <c r="N71" s="37"/>
      <c r="O71" s="37"/>
      <c r="P71" s="129">
        <v>0.08</v>
      </c>
      <c r="Q71" s="37">
        <f>1-P71</f>
        <v>0.92</v>
      </c>
      <c r="R71" s="37"/>
      <c r="S71" s="37" t="s">
        <v>289</v>
      </c>
      <c r="Y71" t="s">
        <v>311</v>
      </c>
    </row>
    <row r="72" spans="3:28" x14ac:dyDescent="0.2">
      <c r="D72" t="s">
        <v>5</v>
      </c>
      <c r="E72" t="s">
        <v>93</v>
      </c>
      <c r="F72" t="s">
        <v>92</v>
      </c>
      <c r="G72" t="s">
        <v>194</v>
      </c>
      <c r="H72" t="s">
        <v>294</v>
      </c>
      <c r="N72" s="37" t="s">
        <v>288</v>
      </c>
      <c r="O72" s="37" t="s">
        <v>27</v>
      </c>
      <c r="P72" s="37"/>
      <c r="Q72" s="37"/>
      <c r="R72" s="37"/>
      <c r="S72" s="37"/>
      <c r="U72" t="s">
        <v>307</v>
      </c>
      <c r="V72" t="s">
        <v>308</v>
      </c>
      <c r="W72" t="s">
        <v>297</v>
      </c>
      <c r="X72" t="s">
        <v>297</v>
      </c>
      <c r="Y72">
        <v>0.5</v>
      </c>
      <c r="Z72">
        <v>0.5</v>
      </c>
    </row>
    <row r="73" spans="3:28" x14ac:dyDescent="0.2">
      <c r="C73">
        <f t="shared" ref="C73:C84" si="16">C49</f>
        <v>2000</v>
      </c>
      <c r="E73" s="40">
        <f>'stb0523'!AE10</f>
        <v>7.2535622317596564</v>
      </c>
      <c r="F73" s="40">
        <f>'stb0523'!AD10</f>
        <v>8.3839388145315485</v>
      </c>
      <c r="G73" s="40">
        <f>'stb0303'!$H42</f>
        <v>9.5500000000000007</v>
      </c>
      <c r="H73" s="40">
        <f>'stb0304'!I37</f>
        <v>6.56</v>
      </c>
      <c r="L73">
        <v>2000</v>
      </c>
      <c r="N73" s="130">
        <f>'stb0523'!AD10</f>
        <v>8.3839388145315485</v>
      </c>
      <c r="O73" s="130">
        <f>'stb0524'!T60</f>
        <v>12.551816443594646</v>
      </c>
      <c r="P73" s="130">
        <f t="shared" ref="P73:P83" si="17">P$71*N73+Q$71*O73</f>
        <v>12.218386233269598</v>
      </c>
      <c r="Q73" s="130">
        <f>H51</f>
        <v>11.774193548387096</v>
      </c>
      <c r="R73" s="37"/>
      <c r="S73" s="37"/>
    </row>
    <row r="74" spans="3:28" x14ac:dyDescent="0.2">
      <c r="C74">
        <f t="shared" si="16"/>
        <v>2001</v>
      </c>
      <c r="E74" s="40">
        <f>'stb0523'!AE11</f>
        <v>6.575793991416309</v>
      </c>
      <c r="F74" s="40">
        <f>'stb0523'!AD11</f>
        <v>7.7736137667304002</v>
      </c>
      <c r="G74" s="40">
        <f>'stb0303'!$H43</f>
        <v>9.5399999999999991</v>
      </c>
      <c r="H74" s="40">
        <f>'stb0304'!I38</f>
        <v>8.32</v>
      </c>
      <c r="I74">
        <v>124</v>
      </c>
      <c r="L74">
        <f t="shared" ref="L74:L83" si="18">L50</f>
        <v>2001</v>
      </c>
      <c r="N74" s="130">
        <f>'stb0523'!AD11</f>
        <v>7.7736137667304002</v>
      </c>
      <c r="O74" s="130">
        <f>'stb0524'!T61</f>
        <v>12.294837476099424</v>
      </c>
      <c r="P74" s="130">
        <f t="shared" si="17"/>
        <v>11.933139579349904</v>
      </c>
      <c r="Q74" s="130">
        <f>F50</f>
        <v>11.297391304347826</v>
      </c>
      <c r="R74" s="37"/>
      <c r="S74" s="37"/>
      <c r="Y74" t="s">
        <v>312</v>
      </c>
    </row>
    <row r="75" spans="3:28" x14ac:dyDescent="0.2">
      <c r="C75">
        <f t="shared" si="16"/>
        <v>2002</v>
      </c>
      <c r="D75">
        <f>'stb0304'!$M$39</f>
        <v>22.81</v>
      </c>
      <c r="E75" s="40">
        <f>'stb0523'!AE12</f>
        <v>6.035021459227468</v>
      </c>
      <c r="F75" s="40">
        <f>'stb0523'!AD12</f>
        <v>7.235564053537284</v>
      </c>
      <c r="G75" s="40">
        <f>'stb0303'!$H44</f>
        <v>8.09</v>
      </c>
      <c r="H75" s="40">
        <f>'stb0304'!I39</f>
        <v>6.49</v>
      </c>
      <c r="L75">
        <f t="shared" si="18"/>
        <v>2002</v>
      </c>
      <c r="N75" s="130">
        <f>'stb0523'!AD12</f>
        <v>7.235564053537284</v>
      </c>
      <c r="O75" s="130">
        <f>'stb0524'!T62</f>
        <v>11.572084130019121</v>
      </c>
      <c r="P75" s="130">
        <f t="shared" si="17"/>
        <v>11.225162523900575</v>
      </c>
      <c r="Q75" s="130">
        <f>F51</f>
        <v>11.232876712328768</v>
      </c>
      <c r="R75" s="130">
        <f>Q75-P75</f>
        <v>7.7141884281921591E-3</v>
      </c>
      <c r="S75" s="37">
        <f>R75/Q75</f>
        <v>6.867509210463751E-4</v>
      </c>
      <c r="U75">
        <v>1.37</v>
      </c>
      <c r="V75">
        <v>1.36</v>
      </c>
      <c r="W75">
        <f t="shared" ref="W75:X81" si="19">U75/$AB$75</f>
        <v>10.953740719588806</v>
      </c>
      <c r="X75">
        <f t="shared" si="19"/>
        <v>10.873786407766991</v>
      </c>
      <c r="Y75">
        <f t="shared" ref="Y75:Y81" si="20">Y$72*W75+Z$72*X75</f>
        <v>10.913763563677898</v>
      </c>
      <c r="AB75">
        <f>5.253/42</f>
        <v>0.12507142857142858</v>
      </c>
    </row>
    <row r="76" spans="3:28" x14ac:dyDescent="0.2">
      <c r="C76">
        <f t="shared" si="16"/>
        <v>2003</v>
      </c>
      <c r="E76" s="40">
        <f>'stb0523'!AE13</f>
        <v>7.267982832618026</v>
      </c>
      <c r="F76" s="40">
        <f>'stb0523'!AD13</f>
        <v>8.6891013384321223</v>
      </c>
      <c r="G76" s="40">
        <f>'stb0303'!$H45</f>
        <v>10.32</v>
      </c>
      <c r="H76" s="40">
        <f>'stb0304'!I40</f>
        <v>8.07</v>
      </c>
      <c r="L76">
        <f t="shared" si="18"/>
        <v>2003</v>
      </c>
      <c r="N76" s="130">
        <f>'stb0523'!AD13</f>
        <v>8.6891013384321223</v>
      </c>
      <c r="O76" s="130">
        <f>'stb0524'!T63</f>
        <v>13.154110898661568</v>
      </c>
      <c r="P76" s="130">
        <f t="shared" si="17"/>
        <v>12.796910133843213</v>
      </c>
      <c r="Q76" s="130"/>
      <c r="U76">
        <v>1.6</v>
      </c>
      <c r="V76">
        <v>1.61</v>
      </c>
      <c r="W76">
        <f t="shared" si="19"/>
        <v>12.792689891490577</v>
      </c>
      <c r="X76">
        <f t="shared" si="19"/>
        <v>12.872644203312392</v>
      </c>
      <c r="Y76">
        <f t="shared" si="20"/>
        <v>12.832667047401484</v>
      </c>
    </row>
    <row r="77" spans="3:28" x14ac:dyDescent="0.2">
      <c r="C77">
        <f t="shared" si="16"/>
        <v>2004</v>
      </c>
      <c r="E77" s="40">
        <f>'stb0523'!AE14</f>
        <v>9.4887553648068668</v>
      </c>
      <c r="F77" s="40">
        <f>'stb0523'!AD14</f>
        <v>11.026003824091777</v>
      </c>
      <c r="G77" s="40">
        <f>'stb0303'!$H46</f>
        <v>12.24</v>
      </c>
      <c r="H77" s="40">
        <f>'stb0304'!I41</f>
        <v>9.19</v>
      </c>
      <c r="L77">
        <f t="shared" si="18"/>
        <v>2004</v>
      </c>
      <c r="N77" s="130">
        <f>'stb0523'!AD14</f>
        <v>11.026003824091777</v>
      </c>
      <c r="O77" s="130">
        <f>'stb0524'!T64</f>
        <v>15.442829827915869</v>
      </c>
      <c r="P77" s="130">
        <f t="shared" si="17"/>
        <v>15.089483747609941</v>
      </c>
      <c r="Q77" s="130"/>
      <c r="U77">
        <v>1.76</v>
      </c>
      <c r="V77">
        <v>1.75</v>
      </c>
      <c r="W77">
        <f t="shared" si="19"/>
        <v>14.071958880639633</v>
      </c>
      <c r="X77">
        <f t="shared" si="19"/>
        <v>13.992004568817817</v>
      </c>
      <c r="Y77">
        <f t="shared" si="20"/>
        <v>14.031981724728725</v>
      </c>
    </row>
    <row r="78" spans="3:28" x14ac:dyDescent="0.2">
      <c r="C78">
        <f t="shared" si="16"/>
        <v>2005</v>
      </c>
      <c r="E78" s="40">
        <f>'stb0523'!AE15</f>
        <v>13.598626609442059</v>
      </c>
      <c r="F78" s="40">
        <f>'stb0523'!AD15</f>
        <v>14.366730401529635</v>
      </c>
      <c r="G78" s="40">
        <f>'stb0303'!$H47</f>
        <v>14.58</v>
      </c>
      <c r="H78" s="40">
        <f>'stb0304'!I42</f>
        <v>10.98</v>
      </c>
      <c r="L78">
        <f t="shared" si="18"/>
        <v>2005</v>
      </c>
      <c r="N78" s="130">
        <f>'stb0523'!AD15</f>
        <v>14.366730401529635</v>
      </c>
      <c r="O78" s="130">
        <f>'stb0524'!T65</f>
        <v>18.775525812619502</v>
      </c>
      <c r="P78" s="130">
        <f t="shared" si="17"/>
        <v>18.422822179732314</v>
      </c>
      <c r="Q78" s="130">
        <f>F54</f>
        <v>17.976653696498055</v>
      </c>
      <c r="R78" s="130">
        <f>Q78-P78</f>
        <v>-0.44616848323425984</v>
      </c>
      <c r="S78" s="37">
        <f>R78/Q78</f>
        <v>-2.4819329045715322E-2</v>
      </c>
      <c r="U78">
        <v>2.2250000000000001</v>
      </c>
      <c r="V78">
        <v>2.2050000000000001</v>
      </c>
      <c r="W78">
        <f t="shared" si="19"/>
        <v>17.789834380354083</v>
      </c>
      <c r="X78">
        <f t="shared" si="19"/>
        <v>17.629925756710449</v>
      </c>
      <c r="Y78">
        <f t="shared" si="20"/>
        <v>17.709880068532264</v>
      </c>
    </row>
    <row r="79" spans="3:28" x14ac:dyDescent="0.2">
      <c r="C79">
        <f t="shared" si="16"/>
        <v>2006</v>
      </c>
      <c r="E79" s="40">
        <f>'stb0523'!AE16</f>
        <v>15.610300429184548</v>
      </c>
      <c r="F79" s="40">
        <f>'stb0523'!AD16</f>
        <v>16.647418738049712</v>
      </c>
      <c r="G79" s="40">
        <f>'stb0303'!$H48</f>
        <v>16.850000000000001</v>
      </c>
      <c r="H79" s="40">
        <f>'stb0304'!I43</f>
        <v>11.6</v>
      </c>
      <c r="L79">
        <f t="shared" si="18"/>
        <v>2006</v>
      </c>
      <c r="N79" s="130">
        <f>'stb0523'!AD16</f>
        <v>16.647418738049712</v>
      </c>
      <c r="O79" s="130">
        <f>'stb0524'!T66</f>
        <v>21.160611854684511</v>
      </c>
      <c r="P79" s="130">
        <f t="shared" si="17"/>
        <v>20.799556405353727</v>
      </c>
      <c r="U79">
        <v>2.597</v>
      </c>
      <c r="V79">
        <v>2.5739999999999998</v>
      </c>
      <c r="W79">
        <f t="shared" si="19"/>
        <v>20.764134780125641</v>
      </c>
      <c r="X79">
        <f t="shared" si="19"/>
        <v>20.580239862935461</v>
      </c>
      <c r="Y79">
        <f t="shared" si="20"/>
        <v>20.672187321530551</v>
      </c>
    </row>
    <row r="80" spans="3:28" x14ac:dyDescent="0.2">
      <c r="C80">
        <f t="shared" si="16"/>
        <v>2007</v>
      </c>
      <c r="D80">
        <f>'stb0304'!$M$44</f>
        <v>28.27</v>
      </c>
      <c r="E80" s="40">
        <f>'stb0523'!AE17</f>
        <v>16.929785407725319</v>
      </c>
      <c r="F80" s="40">
        <f>'stb0523'!AD17</f>
        <v>18.446271510516254</v>
      </c>
      <c r="G80" s="40">
        <f>'stb0303'!$H49</f>
        <v>18.760000000000002</v>
      </c>
      <c r="H80" s="40">
        <f>'stb0304'!I44</f>
        <v>10.98</v>
      </c>
      <c r="L80">
        <f t="shared" si="18"/>
        <v>2007</v>
      </c>
      <c r="N80" s="130">
        <f>'stb0523'!AD17</f>
        <v>18.446271510516254</v>
      </c>
      <c r="O80" s="130">
        <f>'stb0524'!T67</f>
        <v>22.879158699808794</v>
      </c>
      <c r="P80" s="130">
        <f t="shared" si="17"/>
        <v>22.524527724665393</v>
      </c>
      <c r="U80">
        <v>2.6379999999999999</v>
      </c>
      <c r="V80">
        <v>2.625</v>
      </c>
      <c r="W80">
        <f t="shared" si="19"/>
        <v>21.091947458595087</v>
      </c>
      <c r="X80">
        <f t="shared" si="19"/>
        <v>20.988006853226725</v>
      </c>
      <c r="Y80">
        <f t="shared" si="20"/>
        <v>21.039977155910904</v>
      </c>
    </row>
    <row r="81" spans="3:25" x14ac:dyDescent="0.2">
      <c r="C81">
        <f t="shared" si="16"/>
        <v>2008</v>
      </c>
      <c r="E81" s="40">
        <f>'stb0523'!AE18</f>
        <v>23.289270386266097</v>
      </c>
      <c r="F81" s="40">
        <f>'stb0523'!AD18</f>
        <v>21.931548757170169</v>
      </c>
      <c r="G81" s="40">
        <f>'stb0303'!$H50</f>
        <v>23.35</v>
      </c>
      <c r="H81" s="40">
        <f>'stb0304'!I45</f>
        <v>11.89</v>
      </c>
      <c r="L81">
        <f t="shared" si="18"/>
        <v>2008</v>
      </c>
      <c r="N81" s="130">
        <f>'stb0523'!AD18</f>
        <v>21.931548757170169</v>
      </c>
      <c r="O81" s="130">
        <f>'stb0524'!T68</f>
        <v>26.637476099426383</v>
      </c>
      <c r="P81" s="130">
        <f t="shared" si="17"/>
        <v>26.261001912045888</v>
      </c>
      <c r="U81">
        <v>3.331</v>
      </c>
      <c r="V81">
        <v>3.2770000000000001</v>
      </c>
      <c r="W81">
        <f t="shared" si="19"/>
        <v>26.632781267846941</v>
      </c>
      <c r="X81">
        <f t="shared" si="19"/>
        <v>26.201027984009137</v>
      </c>
      <c r="Y81">
        <f t="shared" si="20"/>
        <v>26.416904625928041</v>
      </c>
    </row>
    <row r="82" spans="3:25" x14ac:dyDescent="0.2">
      <c r="C82">
        <f t="shared" si="16"/>
        <v>2009</v>
      </c>
      <c r="E82" s="40">
        <f>'stb0523'!AE19</f>
        <v>13.829356223175964</v>
      </c>
      <c r="F82" s="40">
        <f>'stb0523'!AD19</f>
        <v>14.792351816443595</v>
      </c>
      <c r="G82" s="40">
        <f>'stb0303'!$H51</f>
        <v>16.38</v>
      </c>
      <c r="H82" s="40">
        <f>'stb0304'!I46</f>
        <v>9.69</v>
      </c>
      <c r="L82">
        <f t="shared" si="18"/>
        <v>2009</v>
      </c>
      <c r="N82" s="130">
        <f>'stb0523'!AD19</f>
        <v>14.792351816443595</v>
      </c>
      <c r="O82" s="130">
        <f>'stb0524'!T69</f>
        <v>19.281453154875713</v>
      </c>
      <c r="P82" s="130">
        <f t="shared" si="17"/>
        <v>18.922325047801145</v>
      </c>
    </row>
    <row r="83" spans="3:25" x14ac:dyDescent="0.2">
      <c r="C83">
        <f t="shared" si="16"/>
        <v>2010</v>
      </c>
      <c r="E83" s="40">
        <f>'stb0523'!AE20</f>
        <v>17.412875536480687</v>
      </c>
      <c r="F83" s="40">
        <f>'stb0523'!AD20</f>
        <v>18.205353728489481</v>
      </c>
      <c r="G83" s="40">
        <f>'stb0303'!$H52</f>
        <v>19.884245901639343</v>
      </c>
      <c r="H83" s="40">
        <f>'stb0304'!I47</f>
        <v>9.1216998011928414</v>
      </c>
      <c r="L83">
        <f t="shared" si="18"/>
        <v>2010</v>
      </c>
      <c r="N83" s="130">
        <f>'stb0523'!AD20</f>
        <v>18.205353728489481</v>
      </c>
      <c r="O83" s="130">
        <f>'stb0524'!T70</f>
        <v>22.774760994263858</v>
      </c>
      <c r="P83" s="130">
        <f t="shared" si="17"/>
        <v>22.409208413001906</v>
      </c>
    </row>
    <row r="84" spans="3:25" x14ac:dyDescent="0.2">
      <c r="C84">
        <f t="shared" si="16"/>
        <v>2011</v>
      </c>
      <c r="E84" s="40">
        <f>'stb0523'!AE21</f>
        <v>23.455459398102981</v>
      </c>
      <c r="F84" s="40">
        <f>'stb0523'!AD21</f>
        <v>24.1313902094276</v>
      </c>
      <c r="G84" s="40">
        <f>'stb0303'!$H53</f>
        <v>22.945426229508193</v>
      </c>
      <c r="H84" s="40">
        <f>'stb0304'!I48</f>
        <v>8.5822962226640129</v>
      </c>
      <c r="L84">
        <f>C84</f>
        <v>2011</v>
      </c>
      <c r="N84" s="130">
        <f>'stb0523'!AD21</f>
        <v>24.1313902094276</v>
      </c>
      <c r="O84" s="130">
        <f>'stb0524'!T71</f>
        <v>28.725430210325044</v>
      </c>
      <c r="P84" s="130">
        <f t="shared" ref="P84:P87" si="21">P$71*N84+Q$71*O84</f>
        <v>28.35790701025325</v>
      </c>
    </row>
    <row r="85" spans="3:25" x14ac:dyDescent="0.2">
      <c r="C85">
        <v>2012</v>
      </c>
      <c r="E85" s="40">
        <f>'stb0523'!AE22</f>
        <v>24.095085336132737</v>
      </c>
      <c r="F85" s="40">
        <f>'stb0523'!AD22</f>
        <v>24.954231055913002</v>
      </c>
      <c r="G85" s="40">
        <f>'stb0303'!$H54</f>
        <v>15.292475409836063</v>
      </c>
      <c r="H85" s="40">
        <f>'stb0304'!I49</f>
        <v>7.8020874751491025</v>
      </c>
      <c r="L85">
        <f t="shared" ref="L85:L87" si="22">C85</f>
        <v>2012</v>
      </c>
      <c r="N85" s="130">
        <f>'stb0523'!AD22</f>
        <v>24.954231055913002</v>
      </c>
      <c r="O85" s="130">
        <f>'stb0524'!T72</f>
        <v>29.673040152963669</v>
      </c>
      <c r="P85" s="130">
        <f t="shared" si="21"/>
        <v>29.295535425199617</v>
      </c>
    </row>
    <row r="86" spans="3:25" x14ac:dyDescent="0.2">
      <c r="C86">
        <v>2013</v>
      </c>
      <c r="E86" s="40">
        <f>'stb0523'!AE23</f>
        <v>23.493084453281199</v>
      </c>
      <c r="F86" s="40">
        <f>'stb0523'!AD23</f>
        <v>24.123478278211397</v>
      </c>
      <c r="G86" s="40">
        <f>'stb0303'!$H55</f>
        <v>13.802163934426227</v>
      </c>
      <c r="H86" s="40">
        <f>'stb0304'!I50</f>
        <v>7.7828230616302161</v>
      </c>
      <c r="I86" s="37"/>
      <c r="L86">
        <f t="shared" si="22"/>
        <v>2013</v>
      </c>
      <c r="N86" s="130">
        <f>'stb0523'!AD23</f>
        <v>24.123478278211397</v>
      </c>
      <c r="O86" s="130">
        <f>'stb0524'!T73</f>
        <v>28.781644359464625</v>
      </c>
      <c r="P86" s="130">
        <f t="shared" si="21"/>
        <v>28.408991072964369</v>
      </c>
    </row>
    <row r="87" spans="3:25" x14ac:dyDescent="0.2">
      <c r="C87">
        <v>2014</v>
      </c>
      <c r="E87" s="40">
        <f>'stb0523'!AE24</f>
        <v>21.995607257188006</v>
      </c>
      <c r="F87" s="40">
        <f>'stb0523'!AD24</f>
        <v>22.588563622267475</v>
      </c>
      <c r="G87" s="40">
        <f>'stb0303'!$H56</f>
        <v>14.728573770491801</v>
      </c>
      <c r="H87" s="40">
        <f>'stb0304'!I51</f>
        <v>8.5726640159045697</v>
      </c>
      <c r="I87" s="37"/>
      <c r="L87">
        <f t="shared" si="22"/>
        <v>2014</v>
      </c>
      <c r="N87" s="130">
        <f>'stb0523'!AD24</f>
        <v>22.588563622267475</v>
      </c>
      <c r="O87" s="130">
        <f>'stb0524'!T74</f>
        <v>27.504780114722752</v>
      </c>
      <c r="P87" s="130">
        <f t="shared" si="21"/>
        <v>27.111482795326332</v>
      </c>
    </row>
    <row r="88" spans="3:25" x14ac:dyDescent="0.2">
      <c r="C88">
        <v>2015</v>
      </c>
      <c r="E88" s="40">
        <f>'stb0523'!AE25</f>
        <v>13.687995073836804</v>
      </c>
      <c r="F88" s="40">
        <f>'stb0523'!AD25</f>
        <v>15.847598226060159</v>
      </c>
      <c r="G88" s="40">
        <f>'stb0303'!$H57</f>
        <v>6.4580163934426214</v>
      </c>
      <c r="H88" s="40">
        <f>'stb0304'!I52</f>
        <v>7.6190755467196789</v>
      </c>
      <c r="I88" s="37"/>
      <c r="L88">
        <f t="shared" ref="L88:L91" si="23">C88</f>
        <v>2015</v>
      </c>
      <c r="N88" s="130">
        <f>'stb0523'!AD25</f>
        <v>15.847598226060159</v>
      </c>
      <c r="O88" s="130">
        <f>'stb0524'!T75</f>
        <v>20.156787762906305</v>
      </c>
      <c r="P88" s="130">
        <f t="shared" ref="P88:P90" si="24">P$71*N88+Q$71*O88</f>
        <v>19.812052599958612</v>
      </c>
    </row>
    <row r="89" spans="3:25" x14ac:dyDescent="0.2">
      <c r="C89">
        <v>2016</v>
      </c>
      <c r="E89" s="40">
        <f>'stb0523'!AE26</f>
        <v>11.37029167485839</v>
      </c>
      <c r="F89" s="40">
        <f>'stb0523'!AD26</f>
        <v>13.687641004035981</v>
      </c>
      <c r="G89" s="40">
        <f>'stb0303'!$H58</f>
        <v>6.6862622950819652</v>
      </c>
      <c r="H89" s="40">
        <f>'stb0304'!I53</f>
        <v>7.0122465208747489</v>
      </c>
      <c r="I89" s="37"/>
      <c r="L89">
        <f t="shared" si="23"/>
        <v>2016</v>
      </c>
      <c r="N89" s="130">
        <f>'stb0523'!AD26</f>
        <v>13.687641004035981</v>
      </c>
      <c r="O89" s="130">
        <f>'stb0524'!T76</f>
        <v>17.69942638623327</v>
      </c>
      <c r="P89" s="130">
        <f t="shared" si="24"/>
        <v>17.378483555657489</v>
      </c>
    </row>
    <row r="90" spans="3:25" x14ac:dyDescent="0.2">
      <c r="C90">
        <v>2017</v>
      </c>
      <c r="E90" s="40">
        <f>'stb0523'!AE27</f>
        <v>13.627794985551649</v>
      </c>
      <c r="F90" s="40">
        <f>'stb0523'!AD27</f>
        <v>15.633976083222601</v>
      </c>
      <c r="G90" s="40">
        <f>'stb0303'!$H59</f>
        <v>10.365049180327865</v>
      </c>
      <c r="H90" s="40">
        <f>'stb0304'!I54</f>
        <v>7.5901789264413484</v>
      </c>
      <c r="I90" s="37"/>
      <c r="L90">
        <f t="shared" si="23"/>
        <v>2017</v>
      </c>
      <c r="N90" s="130">
        <f>'stb0523'!AD27</f>
        <v>15.633976083222601</v>
      </c>
      <c r="O90" s="130">
        <f>'stb0524'!T77</f>
        <v>19.827533460803057</v>
      </c>
      <c r="P90" s="130">
        <f t="shared" si="24"/>
        <v>19.492048870596623</v>
      </c>
    </row>
    <row r="91" spans="3:25" x14ac:dyDescent="0.2">
      <c r="C91">
        <v>2018</v>
      </c>
      <c r="E91" s="40">
        <f>'stb0523'!AE28</f>
        <v>0</v>
      </c>
      <c r="F91" s="40">
        <f>'stb0523'!AD28</f>
        <v>0</v>
      </c>
      <c r="G91" s="40">
        <f>'stb0303'!$H60</f>
        <v>12.419262295081964</v>
      </c>
      <c r="H91" s="40">
        <f>'stb0304'!I55</f>
        <v>7.4938568588469154</v>
      </c>
      <c r="I91" s="37"/>
      <c r="L91">
        <f t="shared" si="23"/>
        <v>2018</v>
      </c>
    </row>
    <row r="92" spans="3:25" x14ac:dyDescent="0.2">
      <c r="I92" s="136"/>
    </row>
    <row r="93" spans="3:25" x14ac:dyDescent="0.2">
      <c r="I93" s="136"/>
    </row>
    <row r="94" spans="3:25" x14ac:dyDescent="0.2">
      <c r="D94" s="151" t="s">
        <v>328</v>
      </c>
      <c r="I94" s="136"/>
      <c r="N94" s="149" t="s">
        <v>248</v>
      </c>
      <c r="O94" s="37"/>
      <c r="P94" s="37" t="s">
        <v>291</v>
      </c>
      <c r="Q94" s="37"/>
      <c r="R94" s="37"/>
      <c r="S94" s="37"/>
      <c r="U94" t="s">
        <v>298</v>
      </c>
    </row>
    <row r="95" spans="3:25" ht="13.5" thickBot="1" x14ac:dyDescent="0.25">
      <c r="D95" s="134" t="s">
        <v>5</v>
      </c>
      <c r="E95" s="134" t="s">
        <v>93</v>
      </c>
      <c r="F95" s="134" t="s">
        <v>92</v>
      </c>
      <c r="G95" s="134" t="s">
        <v>194</v>
      </c>
      <c r="H95" s="134" t="s">
        <v>293</v>
      </c>
      <c r="I95" s="134"/>
      <c r="J95" s="134" t="s">
        <v>144</v>
      </c>
      <c r="N95" s="37"/>
      <c r="O95" s="37"/>
      <c r="P95" s="37"/>
      <c r="Q95" s="37"/>
      <c r="R95" s="37"/>
      <c r="S95" s="37"/>
    </row>
    <row r="96" spans="3:25" x14ac:dyDescent="0.2">
      <c r="C96">
        <f>2000</f>
        <v>2000</v>
      </c>
      <c r="D96">
        <f t="shared" ref="D96:H98" si="25">D32</f>
        <v>312.52800000000002</v>
      </c>
      <c r="E96" s="131">
        <f t="shared" si="25"/>
        <v>468.77199999999999</v>
      </c>
      <c r="F96" s="132">
        <f t="shared" si="25"/>
        <v>156.25</v>
      </c>
      <c r="G96" s="132">
        <f t="shared" si="25"/>
        <v>78.153000000000006</v>
      </c>
      <c r="H96" s="132">
        <f t="shared" si="25"/>
        <v>75.846000000000004</v>
      </c>
      <c r="I96" s="132"/>
      <c r="N96" s="37"/>
      <c r="O96" s="37"/>
      <c r="P96" s="129">
        <v>1.3</v>
      </c>
      <c r="Q96" s="37"/>
      <c r="R96" s="37"/>
      <c r="S96" s="37" t="s">
        <v>289</v>
      </c>
    </row>
    <row r="97" spans="3:27" x14ac:dyDescent="0.2">
      <c r="C97">
        <f>C96+1</f>
        <v>2001</v>
      </c>
      <c r="D97">
        <f t="shared" si="25"/>
        <v>369.88600000000002</v>
      </c>
      <c r="E97" s="131">
        <f t="shared" si="25"/>
        <v>484.02800000000002</v>
      </c>
      <c r="F97" s="132">
        <f t="shared" si="25"/>
        <v>143.75</v>
      </c>
      <c r="G97" s="132">
        <f t="shared" si="25"/>
        <v>65.736000000000004</v>
      </c>
      <c r="H97" s="132">
        <f t="shared" si="25"/>
        <v>57.561999999999998</v>
      </c>
      <c r="I97" s="132"/>
      <c r="N97" s="37" t="s">
        <v>288</v>
      </c>
      <c r="O97" s="37" t="s">
        <v>292</v>
      </c>
      <c r="P97" s="37"/>
      <c r="Q97" s="37"/>
      <c r="R97" s="37"/>
      <c r="S97" s="37"/>
      <c r="AA97" t="s">
        <v>297</v>
      </c>
    </row>
    <row r="98" spans="3:27" ht="15" x14ac:dyDescent="0.25">
      <c r="C98">
        <f t="shared" ref="C98:C111" si="26">C97+1</f>
        <v>2002</v>
      </c>
      <c r="D98">
        <f t="shared" si="25"/>
        <v>356</v>
      </c>
      <c r="E98" s="131">
        <f t="shared" si="25"/>
        <v>469</v>
      </c>
      <c r="F98" s="132">
        <f t="shared" si="25"/>
        <v>146</v>
      </c>
      <c r="G98" s="132">
        <f t="shared" si="25"/>
        <v>78</v>
      </c>
      <c r="H98" s="132">
        <f t="shared" si="25"/>
        <v>62</v>
      </c>
      <c r="I98" s="132"/>
      <c r="M98">
        <v>2000</v>
      </c>
      <c r="N98" s="133">
        <f t="shared" ref="N98:N115" si="27">G73</f>
        <v>9.5500000000000007</v>
      </c>
      <c r="O98" s="37"/>
      <c r="P98" s="130">
        <f t="shared" ref="P98:P115" si="28">P$96*N98</f>
        <v>12.415000000000001</v>
      </c>
      <c r="Q98" s="2">
        <f>G49</f>
        <v>10.82492034854708</v>
      </c>
      <c r="R98" s="130">
        <f>Q98-P98</f>
        <v>-1.5900796514529212</v>
      </c>
      <c r="S98" s="37"/>
      <c r="Y98">
        <v>2008</v>
      </c>
      <c r="Z98">
        <f>'[10]052D1D78-5A5A-3A33-98B3-01286CB'!T2</f>
        <v>2.2810000000000001</v>
      </c>
      <c r="AA98" s="22">
        <f>Z98/3.62*42</f>
        <v>26.4646408839779</v>
      </c>
    </row>
    <row r="99" spans="3:27" ht="15" x14ac:dyDescent="0.25">
      <c r="C99">
        <f t="shared" si="26"/>
        <v>2003</v>
      </c>
      <c r="E99" s="131">
        <f t="shared" ref="E99:E110" si="29">E12/V52</f>
        <v>381.72711710265878</v>
      </c>
      <c r="F99" s="132">
        <f t="shared" ref="F99:F110" si="30">F12/P76</f>
        <v>137.53319993593098</v>
      </c>
      <c r="G99" s="132">
        <f t="shared" ref="G99:G110" si="31">G12/U101</f>
        <v>65.533254624163717</v>
      </c>
      <c r="H99" s="132">
        <f t="shared" ref="H99:H110" si="32">H12/P126</f>
        <v>56.238680773996748</v>
      </c>
      <c r="I99" s="132"/>
      <c r="J99" s="131">
        <f t="shared" ref="J99:J106" si="33">SUM(E99:H99)</f>
        <v>641.03225243675024</v>
      </c>
      <c r="M99">
        <f>M98+1</f>
        <v>2001</v>
      </c>
      <c r="N99" s="133">
        <f t="shared" si="27"/>
        <v>9.5399999999999991</v>
      </c>
      <c r="O99" s="37"/>
      <c r="P99" s="130">
        <f t="shared" si="28"/>
        <v>12.401999999999999</v>
      </c>
      <c r="Q99" s="2">
        <f>G50</f>
        <v>12.458926615553121</v>
      </c>
      <c r="R99" s="130">
        <f>Q99-P99</f>
        <v>5.6926615553122062E-2</v>
      </c>
      <c r="S99" s="37"/>
      <c r="Y99">
        <v>2007</v>
      </c>
      <c r="Z99">
        <f>'[10]052D1D78-5A5A-3A33-98B3-01286CB'!T3</f>
        <v>1.7270000000000001</v>
      </c>
      <c r="AA99" s="22">
        <f t="shared" ref="AA99:AA104" si="34">Z99/3.62*42</f>
        <v>20.037016574585635</v>
      </c>
    </row>
    <row r="100" spans="3:27" ht="15" x14ac:dyDescent="0.25">
      <c r="C100">
        <f t="shared" si="26"/>
        <v>2004</v>
      </c>
      <c r="E100" s="131">
        <f t="shared" si="29"/>
        <v>462.45960311130648</v>
      </c>
      <c r="F100" s="132">
        <f t="shared" si="30"/>
        <v>126.5782204313338</v>
      </c>
      <c r="G100" s="132">
        <f t="shared" si="31"/>
        <v>80.491932310114137</v>
      </c>
      <c r="H100" s="132">
        <f t="shared" si="32"/>
        <v>47.710722357077096</v>
      </c>
      <c r="I100" s="132"/>
      <c r="J100" s="131">
        <f t="shared" si="33"/>
        <v>717.24047820983151</v>
      </c>
      <c r="M100">
        <f t="shared" ref="M100:M112" si="35">M99+1</f>
        <v>2002</v>
      </c>
      <c r="N100" s="133">
        <f t="shared" si="27"/>
        <v>8.09</v>
      </c>
      <c r="O100" s="37"/>
      <c r="P100" s="130">
        <f t="shared" si="28"/>
        <v>10.516999999999999</v>
      </c>
      <c r="Q100" s="2">
        <f>G51</f>
        <v>11.025641025641026</v>
      </c>
      <c r="R100" s="130">
        <f>Q100-P100</f>
        <v>0.50864102564102609</v>
      </c>
      <c r="S100" s="37">
        <f>R100/Q100</f>
        <v>4.6132558139534922E-2</v>
      </c>
      <c r="U100">
        <f>AA104</f>
        <v>10.732044198895027</v>
      </c>
      <c r="Y100">
        <v>2006</v>
      </c>
      <c r="Z100">
        <f>'[10]052D1D78-5A5A-3A33-98B3-01286CB'!T4</f>
        <v>1.69</v>
      </c>
      <c r="AA100" s="22">
        <f t="shared" si="34"/>
        <v>19.607734806629832</v>
      </c>
    </row>
    <row r="101" spans="3:27" ht="15" x14ac:dyDescent="0.25">
      <c r="C101">
        <f t="shared" si="26"/>
        <v>2005</v>
      </c>
      <c r="E101" s="131">
        <f t="shared" si="29"/>
        <v>411.61726693670641</v>
      </c>
      <c r="F101" s="132">
        <f t="shared" si="30"/>
        <v>125.38795508439112</v>
      </c>
      <c r="G101" s="132">
        <f t="shared" si="31"/>
        <v>72.315338140713322</v>
      </c>
      <c r="H101" s="132">
        <f t="shared" si="32"/>
        <v>48.339638503572928</v>
      </c>
      <c r="I101" s="132"/>
      <c r="J101" s="131">
        <f t="shared" si="33"/>
        <v>657.66019866538375</v>
      </c>
      <c r="K101">
        <f>J101/J37</f>
        <v>0.98747777577384943</v>
      </c>
      <c r="M101">
        <f t="shared" si="35"/>
        <v>2003</v>
      </c>
      <c r="N101" s="133">
        <f t="shared" si="27"/>
        <v>10.32</v>
      </c>
      <c r="O101" s="37"/>
      <c r="P101" s="130">
        <f t="shared" si="28"/>
        <v>13.416</v>
      </c>
      <c r="Q101" s="2"/>
      <c r="U101">
        <f>AA103</f>
        <v>14.038674033149171</v>
      </c>
      <c r="Y101">
        <v>2005</v>
      </c>
      <c r="Z101">
        <f>'[10]052D1D78-5A5A-3A33-98B3-01286CB'!T5</f>
        <v>1.466</v>
      </c>
      <c r="AA101" s="22">
        <f t="shared" si="34"/>
        <v>17.008839779005523</v>
      </c>
    </row>
    <row r="102" spans="3:27" ht="15" x14ac:dyDescent="0.25">
      <c r="C102">
        <f t="shared" si="26"/>
        <v>2006</v>
      </c>
      <c r="E102" s="131">
        <f t="shared" si="29"/>
        <v>408.23876431552344</v>
      </c>
      <c r="F102" s="132">
        <f t="shared" si="30"/>
        <v>113.94473775363647</v>
      </c>
      <c r="G102" s="132">
        <f t="shared" si="31"/>
        <v>65.280360664976058</v>
      </c>
      <c r="H102" s="132">
        <f t="shared" si="32"/>
        <v>47.745358090185675</v>
      </c>
      <c r="I102" s="132"/>
      <c r="J102" s="131">
        <f t="shared" si="33"/>
        <v>635.20922082432162</v>
      </c>
      <c r="K102" t="s">
        <v>296</v>
      </c>
      <c r="M102">
        <f t="shared" si="35"/>
        <v>2004</v>
      </c>
      <c r="N102" s="133">
        <f t="shared" si="27"/>
        <v>12.24</v>
      </c>
      <c r="O102" s="37"/>
      <c r="P102" s="130">
        <f t="shared" si="28"/>
        <v>15.912000000000001</v>
      </c>
      <c r="Q102" s="2"/>
      <c r="U102">
        <f>AA102</f>
        <v>14.038674033149171</v>
      </c>
      <c r="Y102">
        <v>2004</v>
      </c>
      <c r="Z102">
        <f>'[10]052D1D78-5A5A-3A33-98B3-01286CB'!T6</f>
        <v>1.21</v>
      </c>
      <c r="AA102" s="22">
        <f t="shared" si="34"/>
        <v>14.038674033149171</v>
      </c>
    </row>
    <row r="103" spans="3:27" ht="15" x14ac:dyDescent="0.25">
      <c r="C103">
        <f t="shared" si="26"/>
        <v>2007</v>
      </c>
      <c r="D103">
        <f>D16/D11/(D80/D75)*D98</f>
        <v>255.06994456300433</v>
      </c>
      <c r="E103" s="131">
        <f t="shared" si="29"/>
        <v>465.68061124906529</v>
      </c>
      <c r="F103" s="132">
        <f t="shared" si="30"/>
        <v>123.86497218074064</v>
      </c>
      <c r="G103" s="132">
        <f t="shared" si="31"/>
        <v>82.347588717015469</v>
      </c>
      <c r="H103" s="132">
        <f t="shared" si="32"/>
        <v>60.249404511699588</v>
      </c>
      <c r="J103" s="131">
        <f t="shared" si="33"/>
        <v>732.14257665852097</v>
      </c>
      <c r="M103">
        <f t="shared" si="35"/>
        <v>2005</v>
      </c>
      <c r="N103" s="133">
        <f t="shared" si="27"/>
        <v>14.58</v>
      </c>
      <c r="O103" s="37"/>
      <c r="P103" s="130">
        <f t="shared" si="28"/>
        <v>18.954000000000001</v>
      </c>
      <c r="Q103" s="2">
        <f>G54</f>
        <v>16.184210526315791</v>
      </c>
      <c r="R103" s="130">
        <f>Q103-P103</f>
        <v>-2.7697894736842095</v>
      </c>
      <c r="S103" s="37">
        <f>R103/Q103</f>
        <v>-0.17114146341463407</v>
      </c>
      <c r="U103">
        <f>AA101</f>
        <v>17.008839779005523</v>
      </c>
      <c r="Y103">
        <v>2003</v>
      </c>
      <c r="Z103">
        <f>'[10]052D1D78-5A5A-3A33-98B3-01286CB'!T7</f>
        <v>1.21</v>
      </c>
      <c r="AA103" s="22">
        <f t="shared" si="34"/>
        <v>14.038674033149171</v>
      </c>
    </row>
    <row r="104" spans="3:27" ht="15" x14ac:dyDescent="0.25">
      <c r="C104">
        <f t="shared" si="26"/>
        <v>2008</v>
      </c>
      <c r="E104" s="131">
        <f t="shared" si="29"/>
        <v>375.98360648762144</v>
      </c>
      <c r="F104" s="132">
        <f t="shared" si="30"/>
        <v>114.61862765484652</v>
      </c>
      <c r="G104" s="132">
        <f t="shared" si="31"/>
        <v>76.70612304544791</v>
      </c>
      <c r="H104" s="132">
        <f t="shared" si="32"/>
        <v>71.165167885100601</v>
      </c>
      <c r="J104" s="131">
        <f t="shared" si="33"/>
        <v>638.4735250730165</v>
      </c>
      <c r="M104">
        <f t="shared" si="35"/>
        <v>2006</v>
      </c>
      <c r="N104" s="133">
        <f t="shared" si="27"/>
        <v>16.850000000000001</v>
      </c>
      <c r="O104" s="37"/>
      <c r="P104" s="130">
        <f t="shared" si="28"/>
        <v>21.905000000000001</v>
      </c>
      <c r="U104">
        <f>AA100</f>
        <v>19.607734806629832</v>
      </c>
      <c r="Y104">
        <v>2002</v>
      </c>
      <c r="Z104">
        <f>'[10]052D1D78-5A5A-3A33-98B3-01286CB'!T8</f>
        <v>0.92500000000000004</v>
      </c>
      <c r="AA104" s="22">
        <f t="shared" si="34"/>
        <v>10.732044198895027</v>
      </c>
    </row>
    <row r="105" spans="3:27" x14ac:dyDescent="0.2">
      <c r="C105">
        <f t="shared" si="26"/>
        <v>2009</v>
      </c>
      <c r="E105" s="131">
        <f t="shared" si="29"/>
        <v>493.34266323574184</v>
      </c>
      <c r="F105" s="132">
        <f t="shared" si="30"/>
        <v>128.41973667936628</v>
      </c>
      <c r="G105" s="132">
        <f t="shared" si="31"/>
        <v>106.1141277368496</v>
      </c>
      <c r="H105" s="132">
        <f t="shared" si="32"/>
        <v>63.507184250218309</v>
      </c>
      <c r="J105" s="131">
        <f t="shared" si="33"/>
        <v>791.38371190217595</v>
      </c>
      <c r="M105">
        <f t="shared" si="35"/>
        <v>2007</v>
      </c>
      <c r="N105" s="133">
        <f t="shared" si="27"/>
        <v>18.760000000000002</v>
      </c>
      <c r="O105" s="37"/>
      <c r="P105" s="130">
        <f t="shared" si="28"/>
        <v>24.388000000000002</v>
      </c>
      <c r="U105">
        <f>AA99</f>
        <v>20.037016574585635</v>
      </c>
    </row>
    <row r="106" spans="3:27" x14ac:dyDescent="0.2">
      <c r="C106">
        <f t="shared" si="26"/>
        <v>2010</v>
      </c>
      <c r="E106" s="131">
        <f t="shared" si="29"/>
        <v>448.83410245052931</v>
      </c>
      <c r="F106" s="132">
        <f t="shared" si="30"/>
        <v>113.79250676790888</v>
      </c>
      <c r="G106" s="132">
        <f t="shared" si="31"/>
        <v>65.670975860615385</v>
      </c>
      <c r="H106" s="132">
        <f t="shared" si="32"/>
        <v>60.717428321169649</v>
      </c>
      <c r="J106" s="131">
        <f t="shared" si="33"/>
        <v>689.01501340022321</v>
      </c>
      <c r="K106">
        <f>E106/J106</f>
        <v>0.65141411104465774</v>
      </c>
      <c r="M106">
        <f t="shared" si="35"/>
        <v>2008</v>
      </c>
      <c r="N106" s="133">
        <f t="shared" si="27"/>
        <v>23.35</v>
      </c>
      <c r="O106" s="37"/>
      <c r="P106" s="130">
        <f t="shared" si="28"/>
        <v>30.355000000000004</v>
      </c>
      <c r="T106" s="40">
        <f>G81</f>
        <v>23.35</v>
      </c>
      <c r="U106">
        <f>AA98</f>
        <v>26.4646408839779</v>
      </c>
    </row>
    <row r="107" spans="3:27" x14ac:dyDescent="0.2">
      <c r="C107">
        <f t="shared" si="26"/>
        <v>2011</v>
      </c>
      <c r="E107" s="131">
        <f t="shared" si="29"/>
        <v>418.31817275705015</v>
      </c>
      <c r="F107" s="132">
        <f t="shared" si="30"/>
        <v>98.385258086615181</v>
      </c>
      <c r="G107" s="132">
        <f t="shared" si="31"/>
        <v>61.908549156219834</v>
      </c>
      <c r="H107" s="132">
        <f t="shared" si="32"/>
        <v>73.496557844683082</v>
      </c>
      <c r="J107" s="131">
        <f t="shared" ref="J107:J113" si="36">SUM(E107:H107)</f>
        <v>652.10853784456822</v>
      </c>
      <c r="M107">
        <f t="shared" si="35"/>
        <v>2009</v>
      </c>
      <c r="N107" s="133">
        <f t="shared" si="27"/>
        <v>16.38</v>
      </c>
      <c r="O107" s="37"/>
      <c r="P107" s="130">
        <f t="shared" si="28"/>
        <v>21.294</v>
      </c>
      <c r="U107" s="135">
        <f t="shared" ref="U107:U115" si="37">(G82/G81)*U106</f>
        <v>18.564917245377217</v>
      </c>
      <c r="V107" t="s">
        <v>317</v>
      </c>
    </row>
    <row r="108" spans="3:27" x14ac:dyDescent="0.2">
      <c r="C108">
        <f t="shared" si="26"/>
        <v>2012</v>
      </c>
      <c r="E108" s="131">
        <f t="shared" si="29"/>
        <v>419.3886290500256</v>
      </c>
      <c r="F108" s="132">
        <f t="shared" si="30"/>
        <v>105.81817177962969</v>
      </c>
      <c r="G108" s="132">
        <f t="shared" si="31"/>
        <v>80.773913431293423</v>
      </c>
      <c r="H108" s="132">
        <f t="shared" si="32"/>
        <v>69.015060415129241</v>
      </c>
      <c r="J108" s="131">
        <f t="shared" si="36"/>
        <v>674.99577467607799</v>
      </c>
      <c r="M108">
        <f t="shared" si="35"/>
        <v>2010</v>
      </c>
      <c r="N108" s="133">
        <f t="shared" si="27"/>
        <v>19.884245901639343</v>
      </c>
      <c r="O108" s="37"/>
      <c r="P108" s="130">
        <f t="shared" si="28"/>
        <v>25.849519672131148</v>
      </c>
      <c r="U108" s="135">
        <f t="shared" si="37"/>
        <v>22.536592164265294</v>
      </c>
    </row>
    <row r="109" spans="3:27" x14ac:dyDescent="0.2">
      <c r="C109">
        <f t="shared" si="26"/>
        <v>2013</v>
      </c>
      <c r="E109" s="131">
        <f t="shared" si="29"/>
        <v>448.93327330237292</v>
      </c>
      <c r="F109" s="132">
        <f t="shared" si="30"/>
        <v>105.60037110416683</v>
      </c>
      <c r="G109" s="132">
        <f t="shared" si="31"/>
        <v>112.50876724632299</v>
      </c>
      <c r="H109" s="132">
        <f t="shared" si="32"/>
        <v>73.139369188169141</v>
      </c>
      <c r="J109" s="131">
        <f t="shared" si="36"/>
        <v>740.18178084103192</v>
      </c>
      <c r="M109">
        <f t="shared" si="35"/>
        <v>2011</v>
      </c>
      <c r="N109" s="133">
        <f t="shared" si="27"/>
        <v>22.945426229508193</v>
      </c>
      <c r="P109" s="130">
        <f t="shared" si="28"/>
        <v>29.82905409836065</v>
      </c>
      <c r="U109" s="135">
        <f t="shared" si="37"/>
        <v>26.006101288811198</v>
      </c>
    </row>
    <row r="110" spans="3:27" x14ac:dyDescent="0.2">
      <c r="C110">
        <f t="shared" si="26"/>
        <v>2014</v>
      </c>
      <c r="E110" s="131">
        <f t="shared" si="29"/>
        <v>460.39065113068267</v>
      </c>
      <c r="F110" s="132">
        <f t="shared" si="30"/>
        <v>114.34269469519387</v>
      </c>
      <c r="G110" s="132">
        <f t="shared" si="31"/>
        <v>122.8044336283361</v>
      </c>
      <c r="H110" s="132">
        <f t="shared" si="32"/>
        <v>85.244123578558501</v>
      </c>
      <c r="J110" s="131">
        <f t="shared" si="36"/>
        <v>782.7819030327712</v>
      </c>
      <c r="M110">
        <f t="shared" si="35"/>
        <v>2012</v>
      </c>
      <c r="N110" s="133">
        <f t="shared" si="27"/>
        <v>15.292475409836063</v>
      </c>
      <c r="P110" s="130">
        <f t="shared" si="28"/>
        <v>19.880218032786882</v>
      </c>
      <c r="U110" s="135">
        <f t="shared" si="37"/>
        <v>17.332328477446435</v>
      </c>
    </row>
    <row r="111" spans="3:27" x14ac:dyDescent="0.2">
      <c r="C111">
        <f t="shared" si="26"/>
        <v>2015</v>
      </c>
      <c r="E111" s="131">
        <f t="shared" ref="E111:E113" si="38">E24/V64</f>
        <v>535.08382053253297</v>
      </c>
      <c r="F111" s="132">
        <f t="shared" ref="F111:F113" si="39">F24/P88</f>
        <v>116.09094960735187</v>
      </c>
      <c r="G111" s="132">
        <f t="shared" ref="G111:G113" si="40">G24/U113</f>
        <v>184.44016630179439</v>
      </c>
      <c r="H111" s="132">
        <f t="shared" ref="H111:H113" si="41">H24/P138</f>
        <v>71.303825173794237</v>
      </c>
      <c r="J111" s="131">
        <f t="shared" si="36"/>
        <v>906.9187616154735</v>
      </c>
      <c r="M111">
        <f t="shared" si="35"/>
        <v>2013</v>
      </c>
      <c r="N111" s="133">
        <f t="shared" si="27"/>
        <v>13.802163934426227</v>
      </c>
      <c r="P111" s="130">
        <f t="shared" si="28"/>
        <v>17.942813114754095</v>
      </c>
      <c r="U111" s="135">
        <f t="shared" si="37"/>
        <v>15.643225351022769</v>
      </c>
    </row>
    <row r="112" spans="3:27" x14ac:dyDescent="0.2">
      <c r="C112">
        <v>2016</v>
      </c>
      <c r="E112" s="131">
        <f t="shared" si="38"/>
        <v>590.82045912184083</v>
      </c>
      <c r="F112" s="132">
        <f t="shared" si="39"/>
        <v>120.83908203350425</v>
      </c>
      <c r="G112" s="132">
        <f t="shared" si="40"/>
        <v>153.07189526959573</v>
      </c>
      <c r="H112" s="132">
        <f t="shared" si="41"/>
        <v>64.861144523573245</v>
      </c>
      <c r="J112" s="131">
        <f t="shared" si="36"/>
        <v>929.59258094851407</v>
      </c>
      <c r="M112">
        <f t="shared" si="35"/>
        <v>2014</v>
      </c>
      <c r="N112" s="133">
        <f t="shared" si="27"/>
        <v>14.728573770491801</v>
      </c>
      <c r="P112" s="130">
        <f t="shared" si="28"/>
        <v>19.147145901639341</v>
      </c>
      <c r="U112" s="135">
        <f t="shared" si="37"/>
        <v>16.693208375556399</v>
      </c>
    </row>
    <row r="113" spans="3:21" x14ac:dyDescent="0.2">
      <c r="C113">
        <v>2017</v>
      </c>
      <c r="E113" s="131">
        <f t="shared" si="38"/>
        <v>506.78500041632043</v>
      </c>
      <c r="F113" s="132">
        <f t="shared" si="39"/>
        <v>112.86653417530967</v>
      </c>
      <c r="G113" s="132">
        <f t="shared" si="40"/>
        <v>119.17291113762076</v>
      </c>
      <c r="H113" s="132">
        <f t="shared" si="41"/>
        <v>82.118544159022676</v>
      </c>
      <c r="J113" s="131">
        <f t="shared" si="36"/>
        <v>820.94298988827359</v>
      </c>
      <c r="M113">
        <v>2015</v>
      </c>
      <c r="N113" s="133">
        <f t="shared" si="27"/>
        <v>6.4580163934426214</v>
      </c>
      <c r="P113" s="130">
        <f t="shared" si="28"/>
        <v>8.3954213114754079</v>
      </c>
      <c r="U113" s="135">
        <f t="shared" si="37"/>
        <v>7.3194468811692133</v>
      </c>
    </row>
    <row r="114" spans="3:21" x14ac:dyDescent="0.2">
      <c r="M114">
        <v>2016</v>
      </c>
      <c r="N114" s="133">
        <f t="shared" si="27"/>
        <v>6.6862622950819652</v>
      </c>
      <c r="P114" s="130">
        <f t="shared" si="28"/>
        <v>8.6921409836065546</v>
      </c>
      <c r="U114" s="135">
        <f t="shared" si="37"/>
        <v>7.5781383509818463</v>
      </c>
    </row>
    <row r="115" spans="3:21" x14ac:dyDescent="0.2">
      <c r="M115">
        <v>2017</v>
      </c>
      <c r="N115" s="133">
        <f t="shared" si="27"/>
        <v>10.365049180327865</v>
      </c>
      <c r="P115" s="130">
        <f t="shared" si="28"/>
        <v>13.474563934426225</v>
      </c>
      <c r="U115" s="135">
        <f t="shared" si="37"/>
        <v>11.74763615855017</v>
      </c>
    </row>
    <row r="119" spans="3:21" x14ac:dyDescent="0.2">
      <c r="N119" s="149" t="s">
        <v>6</v>
      </c>
      <c r="O119" s="37"/>
      <c r="P119" s="37" t="s">
        <v>291</v>
      </c>
      <c r="Q119" s="37"/>
      <c r="R119" s="37"/>
      <c r="S119" s="37"/>
    </row>
    <row r="120" spans="3:21" x14ac:dyDescent="0.2">
      <c r="N120" s="37"/>
      <c r="O120" s="37"/>
      <c r="P120" s="37"/>
      <c r="Q120" s="37"/>
      <c r="R120" s="37"/>
      <c r="S120" s="37"/>
    </row>
    <row r="121" spans="3:21" x14ac:dyDescent="0.2">
      <c r="C121" s="145"/>
      <c r="D121" s="145" t="s">
        <v>319</v>
      </c>
      <c r="E121" s="145"/>
      <c r="F121" s="145"/>
      <c r="G121" s="145"/>
      <c r="H121" s="145"/>
      <c r="I121" s="145"/>
      <c r="N121" s="37"/>
      <c r="O121" s="37"/>
      <c r="P121" s="129">
        <v>1.3</v>
      </c>
      <c r="Q121" s="37"/>
      <c r="R121" s="37"/>
      <c r="S121" s="37" t="s">
        <v>289</v>
      </c>
    </row>
    <row r="122" spans="3:21" x14ac:dyDescent="0.2">
      <c r="C122" s="145"/>
      <c r="D122" s="145"/>
      <c r="E122" s="145"/>
      <c r="F122" s="145"/>
      <c r="G122" s="145"/>
      <c r="H122" s="145"/>
      <c r="I122" s="145"/>
      <c r="N122" s="37" t="s">
        <v>288</v>
      </c>
      <c r="O122" s="37" t="s">
        <v>292</v>
      </c>
      <c r="P122" s="37"/>
      <c r="Q122" s="37"/>
      <c r="R122" s="37"/>
      <c r="S122" s="37"/>
    </row>
    <row r="123" spans="3:21" x14ac:dyDescent="0.2">
      <c r="C123" s="145"/>
      <c r="D123" s="145" t="s">
        <v>52</v>
      </c>
      <c r="E123" s="145"/>
      <c r="F123" s="145"/>
      <c r="G123" s="145"/>
      <c r="H123" s="145"/>
      <c r="I123" s="145"/>
      <c r="M123">
        <f>2000</f>
        <v>2000</v>
      </c>
      <c r="N123" s="133">
        <f t="shared" ref="N123:N137" si="42">H73</f>
        <v>6.56</v>
      </c>
      <c r="O123" s="37"/>
      <c r="P123" s="130">
        <f t="shared" ref="P123:P141" si="43">P$121*N123</f>
        <v>8.5280000000000005</v>
      </c>
      <c r="Q123" s="2">
        <f>H49</f>
        <v>7.8975819423568803</v>
      </c>
      <c r="R123" s="130">
        <f>Q123-P123</f>
        <v>-0.6304180576431202</v>
      </c>
      <c r="S123" s="37"/>
    </row>
    <row r="124" spans="3:21" x14ac:dyDescent="0.2">
      <c r="C124" s="145"/>
      <c r="D124" s="145" t="s">
        <v>5</v>
      </c>
      <c r="E124" s="145" t="s">
        <v>6</v>
      </c>
      <c r="F124" s="145" t="s">
        <v>9</v>
      </c>
      <c r="G124" s="145" t="s">
        <v>7</v>
      </c>
      <c r="H124" s="145" t="s">
        <v>10</v>
      </c>
      <c r="I124" s="145" t="s">
        <v>8</v>
      </c>
      <c r="M124">
        <f>M123+1</f>
        <v>2001</v>
      </c>
      <c r="N124" s="133">
        <f t="shared" si="42"/>
        <v>8.32</v>
      </c>
      <c r="O124" s="37"/>
      <c r="P124" s="130">
        <f t="shared" si="43"/>
        <v>10.816000000000001</v>
      </c>
      <c r="Q124" s="2">
        <f>H50</f>
        <v>10.996838191862688</v>
      </c>
      <c r="R124" s="130">
        <f>Q124-P124</f>
        <v>0.18083819186268713</v>
      </c>
      <c r="S124" s="37"/>
    </row>
    <row r="125" spans="3:21" x14ac:dyDescent="0.2">
      <c r="C125" s="145">
        <v>1972</v>
      </c>
      <c r="D125" s="145"/>
      <c r="E125" s="145"/>
      <c r="F125" s="145"/>
      <c r="G125" s="145"/>
      <c r="H125" s="145"/>
      <c r="I125" s="145"/>
      <c r="M125">
        <f t="shared" ref="M125:M141" si="44">M124+1</f>
        <v>2002</v>
      </c>
      <c r="N125" s="133">
        <f t="shared" si="42"/>
        <v>6.49</v>
      </c>
      <c r="O125" s="37"/>
      <c r="P125" s="130">
        <f t="shared" si="43"/>
        <v>8.4370000000000012</v>
      </c>
      <c r="Q125" s="2">
        <f>H51</f>
        <v>11.774193548387096</v>
      </c>
      <c r="R125" s="130">
        <f>Q125-P125</f>
        <v>3.3371935483870949</v>
      </c>
      <c r="S125" s="37">
        <f>R125/Q125</f>
        <v>0.28343287671232864</v>
      </c>
    </row>
    <row r="126" spans="3:21" x14ac:dyDescent="0.2">
      <c r="C126" s="145">
        <v>1977</v>
      </c>
      <c r="D126" s="145">
        <f>D10/0.0384</f>
        <v>0</v>
      </c>
      <c r="E126" s="145">
        <v>227</v>
      </c>
      <c r="F126" s="145">
        <v>2573</v>
      </c>
      <c r="G126" s="145"/>
      <c r="H126" s="145">
        <v>348</v>
      </c>
      <c r="I126" s="145">
        <v>124</v>
      </c>
      <c r="M126">
        <f t="shared" si="44"/>
        <v>2003</v>
      </c>
      <c r="N126" s="133">
        <f t="shared" si="42"/>
        <v>8.07</v>
      </c>
      <c r="O126" s="37"/>
      <c r="P126" s="130">
        <f t="shared" si="43"/>
        <v>10.491000000000001</v>
      </c>
      <c r="Q126" s="2"/>
    </row>
    <row r="127" spans="3:21" x14ac:dyDescent="0.2">
      <c r="C127" s="145">
        <v>1982</v>
      </c>
      <c r="D127" s="145"/>
      <c r="E127" s="145"/>
      <c r="F127" s="145"/>
      <c r="G127" s="145"/>
      <c r="H127" s="145"/>
      <c r="I127" s="145"/>
      <c r="M127">
        <f t="shared" si="44"/>
        <v>2004</v>
      </c>
      <c r="N127" s="133">
        <f t="shared" si="42"/>
        <v>9.19</v>
      </c>
      <c r="O127" s="37"/>
      <c r="P127" s="130">
        <f t="shared" si="43"/>
        <v>11.946999999999999</v>
      </c>
      <c r="Q127" s="2"/>
    </row>
    <row r="128" spans="3:21" x14ac:dyDescent="0.2">
      <c r="C128" s="145">
        <v>1987</v>
      </c>
      <c r="D128" s="145">
        <v>1089.3</v>
      </c>
      <c r="E128" s="145">
        <v>303.5</v>
      </c>
      <c r="F128" s="145">
        <v>4125.2</v>
      </c>
      <c r="G128" s="145">
        <v>1601.5</v>
      </c>
      <c r="H128" s="145">
        <v>519.20000000000005</v>
      </c>
      <c r="I128" s="145"/>
      <c r="M128">
        <f t="shared" si="44"/>
        <v>2005</v>
      </c>
      <c r="N128" s="133">
        <f t="shared" si="42"/>
        <v>10.98</v>
      </c>
      <c r="O128" s="37"/>
      <c r="P128" s="130">
        <f t="shared" si="43"/>
        <v>14.274000000000001</v>
      </c>
      <c r="Q128" s="2">
        <f>H54</f>
        <v>13.018867924528301</v>
      </c>
      <c r="R128" s="130">
        <f>Q128-P128</f>
        <v>-1.2551320754716997</v>
      </c>
      <c r="S128" s="37">
        <f>R128/Q128</f>
        <v>-9.640869565217404E-2</v>
      </c>
    </row>
    <row r="129" spans="3:16" x14ac:dyDescent="0.2">
      <c r="C129" s="145">
        <v>1992</v>
      </c>
      <c r="D129" s="145">
        <v>1469</v>
      </c>
      <c r="E129" s="145">
        <v>464.2</v>
      </c>
      <c r="F129" s="145">
        <v>4479.8999999999996</v>
      </c>
      <c r="G129" s="145">
        <v>1760.9</v>
      </c>
      <c r="H129" s="145">
        <v>516.9</v>
      </c>
      <c r="I129" s="145"/>
      <c r="M129">
        <f t="shared" si="44"/>
        <v>2006</v>
      </c>
      <c r="N129" s="133">
        <f t="shared" si="42"/>
        <v>11.6</v>
      </c>
      <c r="O129" s="37"/>
      <c r="P129" s="130">
        <f t="shared" si="43"/>
        <v>15.08</v>
      </c>
    </row>
    <row r="130" spans="3:16" x14ac:dyDescent="0.2">
      <c r="C130" s="145">
        <v>1997</v>
      </c>
      <c r="D130" s="145">
        <v>1740.8</v>
      </c>
      <c r="E130" s="145">
        <v>514.79999999999995</v>
      </c>
      <c r="F130" s="145">
        <v>5335.6</v>
      </c>
      <c r="G130" s="145">
        <v>2117.1999999999998</v>
      </c>
      <c r="H130" s="145">
        <v>548.29999999999995</v>
      </c>
      <c r="I130" s="145"/>
      <c r="M130">
        <f t="shared" si="44"/>
        <v>2007</v>
      </c>
      <c r="N130" s="133">
        <f t="shared" si="42"/>
        <v>10.98</v>
      </c>
      <c r="O130" s="37"/>
      <c r="P130" s="130">
        <f t="shared" si="43"/>
        <v>14.274000000000001</v>
      </c>
    </row>
    <row r="131" spans="3:16" x14ac:dyDescent="0.2">
      <c r="C131" s="145">
        <v>2002</v>
      </c>
      <c r="D131" s="145"/>
      <c r="E131" s="145"/>
      <c r="F131" s="145"/>
      <c r="G131" s="145"/>
      <c r="H131" s="145"/>
      <c r="I131" s="145"/>
      <c r="M131">
        <f t="shared" si="44"/>
        <v>2008</v>
      </c>
      <c r="N131" s="133">
        <f t="shared" si="42"/>
        <v>11.89</v>
      </c>
      <c r="O131" s="37"/>
      <c r="P131" s="130">
        <f t="shared" si="43"/>
        <v>15.457000000000001</v>
      </c>
    </row>
    <row r="132" spans="3:16" x14ac:dyDescent="0.2">
      <c r="C132" s="145">
        <v>2007</v>
      </c>
      <c r="D132" s="145"/>
      <c r="E132" s="145"/>
      <c r="F132" s="145"/>
      <c r="G132" s="145"/>
      <c r="H132" s="145"/>
      <c r="I132" s="145"/>
      <c r="M132">
        <f t="shared" si="44"/>
        <v>2009</v>
      </c>
      <c r="N132" s="133">
        <f t="shared" si="42"/>
        <v>9.69</v>
      </c>
      <c r="O132" s="37"/>
      <c r="P132" s="130">
        <f t="shared" si="43"/>
        <v>12.597</v>
      </c>
    </row>
    <row r="133" spans="3:16" x14ac:dyDescent="0.2">
      <c r="C133" s="145"/>
      <c r="D133" s="145"/>
      <c r="E133" s="145"/>
      <c r="F133" s="145"/>
      <c r="G133" s="145"/>
      <c r="H133" s="145"/>
      <c r="I133" s="145"/>
      <c r="M133">
        <f t="shared" si="44"/>
        <v>2010</v>
      </c>
      <c r="N133" s="133">
        <f t="shared" si="42"/>
        <v>9.1216998011928414</v>
      </c>
      <c r="O133" s="37"/>
      <c r="P133" s="130">
        <f t="shared" si="43"/>
        <v>11.858209741550695</v>
      </c>
    </row>
    <row r="134" spans="3:16" x14ac:dyDescent="0.2">
      <c r="C134" s="145"/>
      <c r="D134" s="145">
        <f>D126*3412*0.000001</f>
        <v>0</v>
      </c>
      <c r="E134" s="145"/>
      <c r="F134" s="145"/>
      <c r="G134" s="145"/>
      <c r="H134" s="145"/>
      <c r="I134" s="145"/>
      <c r="M134">
        <f t="shared" si="44"/>
        <v>2011</v>
      </c>
      <c r="N134" s="133">
        <f t="shared" si="42"/>
        <v>8.5822962226640129</v>
      </c>
      <c r="P134" s="130">
        <f t="shared" si="43"/>
        <v>11.156985089463218</v>
      </c>
    </row>
    <row r="135" spans="3:16" x14ac:dyDescent="0.2">
      <c r="M135">
        <f t="shared" si="44"/>
        <v>2012</v>
      </c>
      <c r="N135" s="133">
        <f t="shared" si="42"/>
        <v>7.8020874751491025</v>
      </c>
      <c r="P135" s="130">
        <f t="shared" si="43"/>
        <v>10.142713717693834</v>
      </c>
    </row>
    <row r="136" spans="3:16" x14ac:dyDescent="0.2">
      <c r="M136">
        <f t="shared" si="44"/>
        <v>2013</v>
      </c>
      <c r="N136" s="133">
        <f t="shared" si="42"/>
        <v>7.7828230616302161</v>
      </c>
      <c r="P136" s="130">
        <f t="shared" si="43"/>
        <v>10.117669980119281</v>
      </c>
    </row>
    <row r="137" spans="3:16" x14ac:dyDescent="0.2">
      <c r="M137">
        <f t="shared" si="44"/>
        <v>2014</v>
      </c>
      <c r="N137" s="133">
        <f t="shared" si="42"/>
        <v>8.5726640159045697</v>
      </c>
      <c r="P137" s="130">
        <f t="shared" si="43"/>
        <v>11.144463220675942</v>
      </c>
    </row>
    <row r="138" spans="3:16" x14ac:dyDescent="0.2">
      <c r="M138">
        <f t="shared" si="44"/>
        <v>2015</v>
      </c>
      <c r="N138" s="133">
        <f>H89</f>
        <v>7.0122465208747489</v>
      </c>
      <c r="P138" s="130">
        <f t="shared" si="43"/>
        <v>9.1159204771371734</v>
      </c>
    </row>
    <row r="139" spans="3:16" x14ac:dyDescent="0.2">
      <c r="M139">
        <f t="shared" si="44"/>
        <v>2016</v>
      </c>
      <c r="N139" s="133">
        <f t="shared" ref="N139:N141" si="45">H90</f>
        <v>7.5901789264413484</v>
      </c>
      <c r="P139" s="130">
        <f t="shared" si="43"/>
        <v>9.8672326043737524</v>
      </c>
    </row>
    <row r="140" spans="3:16" x14ac:dyDescent="0.2">
      <c r="M140">
        <f t="shared" si="44"/>
        <v>2017</v>
      </c>
      <c r="N140" s="133">
        <f t="shared" si="45"/>
        <v>7.4938568588469154</v>
      </c>
      <c r="P140" s="130">
        <f t="shared" si="43"/>
        <v>9.7420139165009907</v>
      </c>
    </row>
    <row r="141" spans="3:16" x14ac:dyDescent="0.2">
      <c r="M141">
        <f t="shared" si="44"/>
        <v>2018</v>
      </c>
      <c r="N141" s="133">
        <f t="shared" si="45"/>
        <v>0</v>
      </c>
      <c r="P141" s="130">
        <f t="shared" si="43"/>
        <v>0</v>
      </c>
    </row>
  </sheetData>
  <mergeCells count="5">
    <mergeCell ref="N6:Q6"/>
    <mergeCell ref="R6:U6"/>
    <mergeCell ref="V6:Y6"/>
    <mergeCell ref="Z6:AC6"/>
    <mergeCell ref="AD6:AG6"/>
  </mergeCells>
  <hyperlinks>
    <hyperlink ref="J24" r:id="rId1" xr:uid="{05D501EE-8E38-4759-9600-01810EA303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C54"/>
  <sheetViews>
    <sheetView topLeftCell="O36" workbookViewId="0">
      <selection activeCell="P49" sqref="P49"/>
    </sheetView>
  </sheetViews>
  <sheetFormatPr defaultRowHeight="12.75" x14ac:dyDescent="0.2"/>
  <cols>
    <col min="26" max="26" width="9" bestFit="1" customWidth="1"/>
    <col min="27" max="27" width="10.42578125" customWidth="1"/>
    <col min="28" max="28" width="11.42578125" customWidth="1"/>
  </cols>
  <sheetData>
    <row r="2" spans="1:29" x14ac:dyDescent="0.2">
      <c r="B2" t="s">
        <v>304</v>
      </c>
      <c r="E2">
        <f>10500/3412</f>
        <v>3.0773739742086752</v>
      </c>
    </row>
    <row r="3" spans="1:29" x14ac:dyDescent="0.2">
      <c r="G3" t="s">
        <v>321</v>
      </c>
      <c r="T3" t="s">
        <v>190</v>
      </c>
      <c r="X3" t="s">
        <v>191</v>
      </c>
    </row>
    <row r="4" spans="1:29" x14ac:dyDescent="0.2">
      <c r="B4" t="s">
        <v>332</v>
      </c>
      <c r="C4" t="s">
        <v>301</v>
      </c>
      <c r="Y4" t="s">
        <v>192</v>
      </c>
      <c r="Z4" t="s">
        <v>192</v>
      </c>
      <c r="AA4" t="s">
        <v>193</v>
      </c>
      <c r="AB4" t="s">
        <v>193</v>
      </c>
    </row>
    <row r="5" spans="1:29" ht="13.5" customHeight="1" x14ac:dyDescent="0.2">
      <c r="B5" t="s">
        <v>189</v>
      </c>
      <c r="C5" t="s">
        <v>302</v>
      </c>
      <c r="D5" t="s">
        <v>303</v>
      </c>
      <c r="E5" t="s">
        <v>4</v>
      </c>
      <c r="G5" t="s">
        <v>305</v>
      </c>
      <c r="H5" t="s">
        <v>0</v>
      </c>
      <c r="I5" t="s">
        <v>4</v>
      </c>
      <c r="K5" t="s">
        <v>320</v>
      </c>
      <c r="U5" t="s">
        <v>0</v>
      </c>
      <c r="V5" t="s">
        <v>4</v>
      </c>
      <c r="Y5" t="s">
        <v>0</v>
      </c>
      <c r="Z5" t="s">
        <v>4</v>
      </c>
      <c r="AA5" t="s">
        <v>333</v>
      </c>
      <c r="AB5" t="s">
        <v>334</v>
      </c>
    </row>
    <row r="6" spans="1:29" x14ac:dyDescent="0.2">
      <c r="A6">
        <v>1970</v>
      </c>
      <c r="B6" s="38">
        <f>[11]Indicators_NonMan_2018_BEA!S5</f>
        <v>202706.26569</v>
      </c>
      <c r="C6">
        <f>'Ag Cons by Use'!F11</f>
        <v>123.82299999999999</v>
      </c>
      <c r="D6">
        <f>C6/E$2</f>
        <v>40.236578666666666</v>
      </c>
      <c r="E6" s="131">
        <f>'Ag Cons by Use'!$G6-'Ag Cons by Use'!$F6</f>
        <v>1102</v>
      </c>
      <c r="F6">
        <f>1970</f>
        <v>1970</v>
      </c>
      <c r="G6">
        <f>B6*0.001</f>
        <v>202.70626569000001</v>
      </c>
      <c r="H6">
        <f>D6</f>
        <v>40.236578666666666</v>
      </c>
      <c r="I6">
        <f>E6</f>
        <v>1102</v>
      </c>
      <c r="T6">
        <f>F6</f>
        <v>1970</v>
      </c>
      <c r="U6" s="137">
        <f>H6/$G6</f>
        <v>0.19849696569419675</v>
      </c>
      <c r="V6" s="137">
        <f>I6/$G6</f>
        <v>5.4364377748702433</v>
      </c>
      <c r="X6">
        <f>T6</f>
        <v>1970</v>
      </c>
      <c r="Y6" s="131">
        <f>U6*$G6</f>
        <v>40.236578666666666</v>
      </c>
      <c r="Z6" s="131">
        <f>V6*$G6</f>
        <v>1102</v>
      </c>
      <c r="AA6" s="131">
        <f>B6</f>
        <v>202706.26569</v>
      </c>
      <c r="AB6" s="38">
        <f>[11]Indicators_NonMan_2018_BEA!G5</f>
        <v>46358.753140000001</v>
      </c>
    </row>
    <row r="7" spans="1:29" x14ac:dyDescent="0.2">
      <c r="A7">
        <f>A6+1</f>
        <v>1971</v>
      </c>
      <c r="B7" s="38">
        <f>[11]Indicators_NonMan_2018_BEA!S6</f>
        <v>210569.29371</v>
      </c>
      <c r="C7">
        <f>'Ag Cons by Use'!F12</f>
        <v>133.93100000000001</v>
      </c>
      <c r="D7">
        <f t="shared" ref="D7:D38" si="0">C7/E$2</f>
        <v>43.52119733333334</v>
      </c>
      <c r="E7" s="131">
        <f>'Ag Cons by Use'!$G7-'Ag Cons by Use'!$F7</f>
        <v>1085</v>
      </c>
      <c r="F7">
        <f>F6+1</f>
        <v>1971</v>
      </c>
      <c r="G7">
        <f t="shared" ref="G7:G53" si="1">B7*0.001</f>
        <v>210.56929371000001</v>
      </c>
      <c r="H7">
        <f t="shared" ref="H7:H38" si="2">D7</f>
        <v>43.52119733333334</v>
      </c>
      <c r="I7">
        <f t="shared" ref="I7:I53" si="3">E7</f>
        <v>1085</v>
      </c>
      <c r="T7">
        <f t="shared" ref="T7:T46" si="4">F7</f>
        <v>1971</v>
      </c>
      <c r="U7" s="137">
        <f t="shared" ref="U7:U38" si="5">H7/$G7</f>
        <v>0.20668349390615115</v>
      </c>
      <c r="V7" s="137">
        <f t="shared" ref="V7:V46" si="6">I7/$G7</f>
        <v>5.1526981018147993</v>
      </c>
      <c r="X7">
        <f t="shared" ref="X7:X46" si="7">T7</f>
        <v>1971</v>
      </c>
      <c r="Y7" s="131">
        <f t="shared" ref="Y7:Y46" si="8">U7*$G7</f>
        <v>43.52119733333334</v>
      </c>
      <c r="Z7" s="131">
        <f t="shared" ref="Z7:Z46" si="9">V7*$G7</f>
        <v>1085</v>
      </c>
      <c r="AA7" s="131">
        <f t="shared" ref="AA7:AA46" si="10">B7</f>
        <v>210569.29371</v>
      </c>
      <c r="AB7" s="38">
        <f>[11]Indicators_NonMan_2018_BEA!G6</f>
        <v>48798.373960000004</v>
      </c>
    </row>
    <row r="8" spans="1:29" x14ac:dyDescent="0.2">
      <c r="A8">
        <f t="shared" ref="A8:A53" si="11">A7+1</f>
        <v>1972</v>
      </c>
      <c r="B8" s="38">
        <f>[11]Indicators_NonMan_2018_BEA!S7</f>
        <v>216066.92165999999</v>
      </c>
      <c r="C8">
        <f>'Ag Cons by Use'!F13</f>
        <v>141.512</v>
      </c>
      <c r="D8">
        <f t="shared" si="0"/>
        <v>45.984661333333335</v>
      </c>
      <c r="E8" s="131">
        <f>'Ag Cons by Use'!$G8-'Ag Cons by Use'!$F8</f>
        <v>1077</v>
      </c>
      <c r="F8">
        <f t="shared" ref="F8:F53" si="12">F7+1</f>
        <v>1972</v>
      </c>
      <c r="G8">
        <f t="shared" si="1"/>
        <v>216.06692165999999</v>
      </c>
      <c r="H8">
        <f t="shared" si="2"/>
        <v>45.984661333333335</v>
      </c>
      <c r="I8">
        <f t="shared" si="3"/>
        <v>1077</v>
      </c>
      <c r="T8">
        <f t="shared" si="4"/>
        <v>1972</v>
      </c>
      <c r="U8" s="137">
        <f t="shared" si="5"/>
        <v>0.21282601233007883</v>
      </c>
      <c r="V8" s="137">
        <f t="shared" si="6"/>
        <v>4.9845667801698621</v>
      </c>
      <c r="X8">
        <f t="shared" si="7"/>
        <v>1972</v>
      </c>
      <c r="Y8" s="131">
        <f t="shared" si="8"/>
        <v>45.984661333333335</v>
      </c>
      <c r="Z8" s="131">
        <f t="shared" si="9"/>
        <v>1077</v>
      </c>
      <c r="AA8" s="131">
        <f t="shared" si="10"/>
        <v>216066.92165999999</v>
      </c>
      <c r="AB8" s="38">
        <f>[11]Indicators_NonMan_2018_BEA!G7</f>
        <v>48796.884569999995</v>
      </c>
    </row>
    <row r="9" spans="1:29" x14ac:dyDescent="0.2">
      <c r="A9">
        <f t="shared" si="11"/>
        <v>1973</v>
      </c>
      <c r="B9" s="38">
        <f>[11]Indicators_NonMan_2018_BEA!S8</f>
        <v>219868.60239000001</v>
      </c>
      <c r="C9">
        <f>'Ag Cons by Use'!F14</f>
        <v>154.14699999999999</v>
      </c>
      <c r="D9">
        <f t="shared" si="0"/>
        <v>50.090434666666667</v>
      </c>
      <c r="E9" s="131">
        <f>'Ag Cons by Use'!$G9-'Ag Cons by Use'!$F9</f>
        <v>1096</v>
      </c>
      <c r="F9">
        <f t="shared" si="12"/>
        <v>1973</v>
      </c>
      <c r="G9">
        <f t="shared" si="1"/>
        <v>219.86860239000001</v>
      </c>
      <c r="H9">
        <f t="shared" si="2"/>
        <v>50.090434666666667</v>
      </c>
      <c r="I9">
        <f t="shared" si="3"/>
        <v>1096</v>
      </c>
      <c r="T9">
        <f t="shared" si="4"/>
        <v>1973</v>
      </c>
      <c r="U9" s="137">
        <f t="shared" si="5"/>
        <v>0.22781986205477814</v>
      </c>
      <c r="V9" s="137">
        <f t="shared" si="6"/>
        <v>4.9847954100146126</v>
      </c>
      <c r="X9">
        <f t="shared" si="7"/>
        <v>1973</v>
      </c>
      <c r="Y9" s="131">
        <f t="shared" si="8"/>
        <v>50.090434666666667</v>
      </c>
      <c r="Z9" s="131">
        <f t="shared" si="9"/>
        <v>1096</v>
      </c>
      <c r="AA9" s="131">
        <f t="shared" si="10"/>
        <v>219868.60239000001</v>
      </c>
      <c r="AB9" s="38">
        <f>[11]Indicators_NonMan_2018_BEA!G8</f>
        <v>48239.852710000006</v>
      </c>
    </row>
    <row r="10" spans="1:29" x14ac:dyDescent="0.2">
      <c r="A10">
        <f t="shared" si="11"/>
        <v>1974</v>
      </c>
      <c r="B10" s="38">
        <f>[11]Indicators_NonMan_2018_BEA!S9</f>
        <v>207173.34198</v>
      </c>
      <c r="C10">
        <f>'Ag Cons by Use'!F15</f>
        <v>169.309</v>
      </c>
      <c r="D10">
        <f t="shared" si="0"/>
        <v>55.017362666666664</v>
      </c>
      <c r="E10" s="131">
        <f>'Ag Cons by Use'!$G10-'Ag Cons by Use'!$F10</f>
        <v>1107</v>
      </c>
      <c r="F10">
        <f t="shared" si="12"/>
        <v>1974</v>
      </c>
      <c r="G10">
        <f t="shared" si="1"/>
        <v>207.17334198</v>
      </c>
      <c r="H10">
        <f t="shared" si="2"/>
        <v>55.017362666666664</v>
      </c>
      <c r="I10">
        <f t="shared" si="3"/>
        <v>1107</v>
      </c>
      <c r="T10">
        <f t="shared" si="4"/>
        <v>1974</v>
      </c>
      <c r="U10" s="137">
        <f t="shared" si="5"/>
        <v>0.26556197887649996</v>
      </c>
      <c r="V10" s="137">
        <f t="shared" si="6"/>
        <v>5.3433515597140246</v>
      </c>
      <c r="X10">
        <f t="shared" si="7"/>
        <v>1974</v>
      </c>
      <c r="Y10" s="131">
        <f t="shared" si="8"/>
        <v>55.017362666666664</v>
      </c>
      <c r="Z10" s="131">
        <f t="shared" si="9"/>
        <v>1107</v>
      </c>
      <c r="AA10" s="131">
        <f t="shared" si="10"/>
        <v>207173.34198</v>
      </c>
      <c r="AB10" s="38">
        <f>[11]Indicators_NonMan_2018_BEA!G9</f>
        <v>47170.470690000002</v>
      </c>
    </row>
    <row r="11" spans="1:29" x14ac:dyDescent="0.2">
      <c r="A11">
        <f t="shared" si="11"/>
        <v>1975</v>
      </c>
      <c r="B11" s="38">
        <f>[11]Indicators_NonMan_2018_BEA!S10</f>
        <v>220517.76879</v>
      </c>
      <c r="C11">
        <f>'Ag Cons by Use'!F16</f>
        <v>204.68700000000001</v>
      </c>
      <c r="D11">
        <f t="shared" si="0"/>
        <v>66.513528000000008</v>
      </c>
      <c r="E11" s="131">
        <f>'Ag Cons by Use'!$G11-'Ag Cons by Use'!$F11</f>
        <v>1106</v>
      </c>
      <c r="F11">
        <f t="shared" si="12"/>
        <v>1975</v>
      </c>
      <c r="G11">
        <f t="shared" si="1"/>
        <v>220.51776879000002</v>
      </c>
      <c r="H11">
        <f t="shared" si="2"/>
        <v>66.513528000000008</v>
      </c>
      <c r="I11">
        <f t="shared" si="3"/>
        <v>1106</v>
      </c>
      <c r="T11">
        <f t="shared" si="4"/>
        <v>1975</v>
      </c>
      <c r="U11" s="137">
        <f t="shared" si="5"/>
        <v>0.30162434694022827</v>
      </c>
      <c r="V11" s="137">
        <f t="shared" si="6"/>
        <v>5.0154688489218682</v>
      </c>
      <c r="X11">
        <f t="shared" si="7"/>
        <v>1975</v>
      </c>
      <c r="Y11" s="131">
        <f t="shared" si="8"/>
        <v>66.513528000000008</v>
      </c>
      <c r="Z11" s="131">
        <f t="shared" si="9"/>
        <v>1106</v>
      </c>
      <c r="AA11" s="131">
        <f t="shared" si="10"/>
        <v>220517.76879</v>
      </c>
      <c r="AB11" s="38">
        <f>[11]Indicators_NonMan_2018_BEA!G10</f>
        <v>56126.172759999994</v>
      </c>
      <c r="AC11" s="137"/>
    </row>
    <row r="12" spans="1:29" x14ac:dyDescent="0.2">
      <c r="A12">
        <f t="shared" si="11"/>
        <v>1976</v>
      </c>
      <c r="B12" s="38">
        <f>[11]Indicators_NonMan_2018_BEA!S11</f>
        <v>224562.88691999999</v>
      </c>
      <c r="C12">
        <f>'Ag Cons by Use'!F17</f>
        <v>250.173</v>
      </c>
      <c r="D12">
        <f t="shared" si="0"/>
        <v>81.294312000000005</v>
      </c>
      <c r="E12" s="131">
        <f>'Ag Cons by Use'!$G12-'Ag Cons by Use'!$F12</f>
        <v>1119</v>
      </c>
      <c r="F12">
        <f t="shared" si="12"/>
        <v>1976</v>
      </c>
      <c r="G12">
        <f t="shared" si="1"/>
        <v>224.56288691999998</v>
      </c>
      <c r="H12">
        <f t="shared" si="2"/>
        <v>81.294312000000005</v>
      </c>
      <c r="I12">
        <f t="shared" si="3"/>
        <v>1119</v>
      </c>
      <c r="T12">
        <f t="shared" si="4"/>
        <v>1976</v>
      </c>
      <c r="U12" s="137">
        <f t="shared" si="5"/>
        <v>0.3620113417448223</v>
      </c>
      <c r="V12" s="137">
        <f t="shared" si="6"/>
        <v>4.9830139581285362</v>
      </c>
      <c r="X12">
        <f t="shared" si="7"/>
        <v>1976</v>
      </c>
      <c r="Y12" s="131">
        <f t="shared" si="8"/>
        <v>81.294312000000005</v>
      </c>
      <c r="Z12" s="131">
        <f t="shared" si="9"/>
        <v>1119</v>
      </c>
      <c r="AA12" s="131">
        <f t="shared" si="10"/>
        <v>224562.88691999999</v>
      </c>
      <c r="AB12" s="38">
        <f>[11]Indicators_NonMan_2018_BEA!G11</f>
        <v>53413.993569999999</v>
      </c>
      <c r="AC12" s="137"/>
    </row>
    <row r="13" spans="1:29" x14ac:dyDescent="0.2">
      <c r="A13">
        <f t="shared" si="11"/>
        <v>1977</v>
      </c>
      <c r="B13" s="38">
        <f>[11]Indicators_NonMan_2018_BEA!S12</f>
        <v>234568.16406000001</v>
      </c>
      <c r="C13">
        <f>'Ag Cons by Use'!F18</f>
        <v>300.173</v>
      </c>
      <c r="D13">
        <f t="shared" si="0"/>
        <v>97.541931047619045</v>
      </c>
      <c r="E13" s="131">
        <f>'Ag Cons by Use'!$G13-'Ag Cons by Use'!$F13</f>
        <v>1073</v>
      </c>
      <c r="F13">
        <f t="shared" si="12"/>
        <v>1977</v>
      </c>
      <c r="G13">
        <f t="shared" si="1"/>
        <v>234.56816406000002</v>
      </c>
      <c r="H13">
        <f t="shared" si="2"/>
        <v>97.541931047619045</v>
      </c>
      <c r="I13">
        <f t="shared" si="3"/>
        <v>1073</v>
      </c>
      <c r="T13">
        <f t="shared" si="4"/>
        <v>1977</v>
      </c>
      <c r="U13" s="137">
        <f t="shared" si="5"/>
        <v>0.41583618748309281</v>
      </c>
      <c r="V13" s="137">
        <f t="shared" si="6"/>
        <v>4.5743632956326428</v>
      </c>
      <c r="X13">
        <f t="shared" si="7"/>
        <v>1977</v>
      </c>
      <c r="Y13" s="131">
        <f t="shared" si="8"/>
        <v>97.541931047619045</v>
      </c>
      <c r="Z13" s="131">
        <f t="shared" si="9"/>
        <v>1073</v>
      </c>
      <c r="AA13" s="131">
        <f t="shared" si="10"/>
        <v>234568.16406000001</v>
      </c>
      <c r="AB13" s="38">
        <f>[11]Indicators_NonMan_2018_BEA!G12</f>
        <v>56222.983110000008</v>
      </c>
      <c r="AC13" s="137"/>
    </row>
    <row r="14" spans="1:29" x14ac:dyDescent="0.2">
      <c r="A14">
        <f t="shared" si="11"/>
        <v>1978</v>
      </c>
      <c r="B14" s="38">
        <f>[11]Indicators_NonMan_2018_BEA!S13</f>
        <v>245149.57638000001</v>
      </c>
      <c r="C14">
        <f>'Ag Cons by Use'!F19</f>
        <v>300.71300000000002</v>
      </c>
      <c r="D14">
        <f t="shared" si="0"/>
        <v>97.717405333333346</v>
      </c>
      <c r="E14" s="131">
        <f>'Ag Cons by Use'!$G14-'Ag Cons by Use'!$F14</f>
        <v>1289</v>
      </c>
      <c r="F14">
        <f t="shared" si="12"/>
        <v>1978</v>
      </c>
      <c r="G14">
        <f t="shared" si="1"/>
        <v>245.14957638000001</v>
      </c>
      <c r="H14">
        <f t="shared" si="2"/>
        <v>97.717405333333346</v>
      </c>
      <c r="I14">
        <f t="shared" si="3"/>
        <v>1289</v>
      </c>
      <c r="T14">
        <f t="shared" si="4"/>
        <v>1978</v>
      </c>
      <c r="U14" s="137">
        <f t="shared" si="5"/>
        <v>0.39860319881550244</v>
      </c>
      <c r="V14" s="137">
        <f t="shared" si="6"/>
        <v>5.2580143887418123</v>
      </c>
      <c r="X14">
        <f t="shared" si="7"/>
        <v>1978</v>
      </c>
      <c r="Y14" s="131">
        <f t="shared" si="8"/>
        <v>97.717405333333346</v>
      </c>
      <c r="Z14" s="131">
        <f t="shared" si="9"/>
        <v>1289</v>
      </c>
      <c r="AA14" s="131">
        <f t="shared" si="10"/>
        <v>245149.57638000001</v>
      </c>
      <c r="AB14" s="38">
        <f>[11]Indicators_NonMan_2018_BEA!G13</f>
        <v>54087.197849999997</v>
      </c>
      <c r="AC14" s="137"/>
    </row>
    <row r="15" spans="1:29" x14ac:dyDescent="0.2">
      <c r="A15">
        <f t="shared" si="11"/>
        <v>1979</v>
      </c>
      <c r="B15" s="38">
        <f>[11]Indicators_NonMan_2018_BEA!S14</f>
        <v>259820.73702</v>
      </c>
      <c r="C15">
        <f>'Ag Cons by Use'!F20</f>
        <v>293.13200000000001</v>
      </c>
      <c r="D15">
        <f t="shared" si="0"/>
        <v>95.25394133333333</v>
      </c>
      <c r="E15" s="131">
        <f>'Ag Cons by Use'!$G15-'Ag Cons by Use'!$F15</f>
        <v>988</v>
      </c>
      <c r="F15">
        <f t="shared" si="12"/>
        <v>1979</v>
      </c>
      <c r="G15">
        <f t="shared" si="1"/>
        <v>259.82073702000002</v>
      </c>
      <c r="H15">
        <f t="shared" si="2"/>
        <v>95.25394133333333</v>
      </c>
      <c r="I15">
        <f t="shared" si="3"/>
        <v>988</v>
      </c>
      <c r="T15">
        <f t="shared" si="4"/>
        <v>1979</v>
      </c>
      <c r="U15" s="137">
        <f t="shared" si="5"/>
        <v>0.36661408333239021</v>
      </c>
      <c r="V15" s="137">
        <f t="shared" si="6"/>
        <v>3.8026218050638025</v>
      </c>
      <c r="X15">
        <f t="shared" si="7"/>
        <v>1979</v>
      </c>
      <c r="Y15" s="131">
        <f t="shared" si="8"/>
        <v>95.25394133333333</v>
      </c>
      <c r="Z15" s="131">
        <f t="shared" si="9"/>
        <v>988</v>
      </c>
      <c r="AA15" s="131">
        <f t="shared" si="10"/>
        <v>259820.73702</v>
      </c>
      <c r="AB15" s="38">
        <f>[11]Indicators_NonMan_2018_BEA!G14</f>
        <v>59238.997860000003</v>
      </c>
      <c r="AC15" s="137"/>
    </row>
    <row r="16" spans="1:29" x14ac:dyDescent="0.2">
      <c r="A16">
        <f t="shared" si="11"/>
        <v>1980</v>
      </c>
      <c r="B16" s="38">
        <f>[11]Indicators_NonMan_2018_BEA!S15</f>
        <v>248837.65299000003</v>
      </c>
      <c r="C16">
        <f>'Ag Cons by Use'!F21</f>
        <v>277.97000000000003</v>
      </c>
      <c r="D16">
        <f t="shared" si="0"/>
        <v>90.32701333333334</v>
      </c>
      <c r="E16" s="131">
        <f>'Ag Cons by Use'!$G16-'Ag Cons by Use'!$F16</f>
        <v>1134</v>
      </c>
      <c r="F16">
        <f t="shared" si="12"/>
        <v>1980</v>
      </c>
      <c r="G16">
        <f t="shared" si="1"/>
        <v>248.83765299000004</v>
      </c>
      <c r="H16">
        <f t="shared" si="2"/>
        <v>90.32701333333334</v>
      </c>
      <c r="I16">
        <f t="shared" si="3"/>
        <v>1134</v>
      </c>
      <c r="T16">
        <f t="shared" si="4"/>
        <v>1980</v>
      </c>
      <c r="U16" s="137">
        <f t="shared" si="5"/>
        <v>0.36299576148535401</v>
      </c>
      <c r="V16" s="137">
        <f t="shared" si="6"/>
        <v>4.5571881360156201</v>
      </c>
      <c r="X16">
        <f t="shared" si="7"/>
        <v>1980</v>
      </c>
      <c r="Y16" s="131">
        <f t="shared" si="8"/>
        <v>90.32701333333334</v>
      </c>
      <c r="Z16" s="131">
        <f t="shared" si="9"/>
        <v>1134</v>
      </c>
      <c r="AA16" s="131">
        <f t="shared" si="10"/>
        <v>248837.65299000003</v>
      </c>
      <c r="AB16" s="38">
        <f>[11]Indicators_NonMan_2018_BEA!G15</f>
        <v>57551.518989999997</v>
      </c>
      <c r="AC16" s="137"/>
    </row>
    <row r="17" spans="1:29" x14ac:dyDescent="0.2">
      <c r="A17">
        <f t="shared" si="11"/>
        <v>1981</v>
      </c>
      <c r="B17" s="38">
        <f>[11]Indicators_NonMan_2018_BEA!S16</f>
        <v>267586.39007999998</v>
      </c>
      <c r="C17">
        <f>'Ag Cons by Use'!F22</f>
        <v>283.024</v>
      </c>
      <c r="D17">
        <f t="shared" si="0"/>
        <v>91.96932266666667</v>
      </c>
      <c r="E17" s="131">
        <f>'Ag Cons by Use'!$G17-'Ag Cons by Use'!$F17</f>
        <v>1179</v>
      </c>
      <c r="F17">
        <f t="shared" si="12"/>
        <v>1981</v>
      </c>
      <c r="G17">
        <f t="shared" si="1"/>
        <v>267.58639008</v>
      </c>
      <c r="H17">
        <f t="shared" si="2"/>
        <v>91.96932266666667</v>
      </c>
      <c r="I17">
        <f t="shared" si="3"/>
        <v>1179</v>
      </c>
      <c r="T17">
        <f t="shared" si="4"/>
        <v>1981</v>
      </c>
      <c r="U17" s="137">
        <f t="shared" si="5"/>
        <v>0.34369955302723249</v>
      </c>
      <c r="V17" s="137">
        <f t="shared" si="6"/>
        <v>4.4060536847465066</v>
      </c>
      <c r="X17">
        <f t="shared" si="7"/>
        <v>1981</v>
      </c>
      <c r="Y17" s="131">
        <f t="shared" si="8"/>
        <v>91.96932266666667</v>
      </c>
      <c r="Z17" s="131">
        <f t="shared" si="9"/>
        <v>1179</v>
      </c>
      <c r="AA17" s="131">
        <f t="shared" si="10"/>
        <v>267586.39007999998</v>
      </c>
      <c r="AB17" s="38">
        <f>[11]Indicators_NonMan_2018_BEA!G16</f>
        <v>76030.380720000001</v>
      </c>
      <c r="AC17" s="137"/>
    </row>
    <row r="18" spans="1:29" x14ac:dyDescent="0.2">
      <c r="A18">
        <f t="shared" si="11"/>
        <v>1982</v>
      </c>
      <c r="B18" s="38">
        <f>[11]Indicators_NonMan_2018_BEA!S17</f>
        <v>271834.37270999997</v>
      </c>
      <c r="C18">
        <f>'Ag Cons by Use'!F23</f>
        <v>285.55099999999999</v>
      </c>
      <c r="D18">
        <f t="shared" si="0"/>
        <v>92.790477333333328</v>
      </c>
      <c r="E18" s="131">
        <f>'Ag Cons by Use'!$G18-'Ag Cons by Use'!$F18</f>
        <v>1133</v>
      </c>
      <c r="F18">
        <f t="shared" si="12"/>
        <v>1982</v>
      </c>
      <c r="G18">
        <f t="shared" si="1"/>
        <v>271.83437270999997</v>
      </c>
      <c r="H18">
        <f t="shared" si="2"/>
        <v>92.790477333333328</v>
      </c>
      <c r="I18">
        <f t="shared" si="3"/>
        <v>1133</v>
      </c>
      <c r="T18">
        <f t="shared" si="4"/>
        <v>1982</v>
      </c>
      <c r="U18" s="137">
        <f t="shared" si="5"/>
        <v>0.34134931652784262</v>
      </c>
      <c r="V18" s="137">
        <f t="shared" si="6"/>
        <v>4.1679791584293646</v>
      </c>
      <c r="X18">
        <f t="shared" si="7"/>
        <v>1982</v>
      </c>
      <c r="Y18" s="131">
        <f t="shared" si="8"/>
        <v>92.790477333333328</v>
      </c>
      <c r="Z18" s="131">
        <f t="shared" si="9"/>
        <v>1133</v>
      </c>
      <c r="AA18" s="131">
        <f t="shared" si="10"/>
        <v>271834.37270999997</v>
      </c>
      <c r="AB18" s="38">
        <f>[11]Indicators_NonMan_2018_BEA!G17</f>
        <v>79710.663410000008</v>
      </c>
      <c r="AC18" s="137"/>
    </row>
    <row r="19" spans="1:29" x14ac:dyDescent="0.2">
      <c r="A19">
        <f t="shared" si="11"/>
        <v>1983</v>
      </c>
      <c r="B19" s="38">
        <f>[11]Indicators_NonMan_2018_BEA!S18</f>
        <v>235752.89274000001</v>
      </c>
      <c r="C19">
        <f>'Ag Cons by Use'!F24</f>
        <v>262.80799999999999</v>
      </c>
      <c r="D19">
        <f t="shared" si="0"/>
        <v>85.400085333333337</v>
      </c>
      <c r="E19" s="131">
        <f>'Ag Cons by Use'!$G19-'Ag Cons by Use'!$F19</f>
        <v>1292</v>
      </c>
      <c r="F19">
        <f t="shared" si="12"/>
        <v>1983</v>
      </c>
      <c r="G19">
        <f t="shared" si="1"/>
        <v>235.75289274000002</v>
      </c>
      <c r="H19">
        <f t="shared" si="2"/>
        <v>85.400085333333337</v>
      </c>
      <c r="I19">
        <f t="shared" si="3"/>
        <v>1292</v>
      </c>
      <c r="T19">
        <f t="shared" si="4"/>
        <v>1983</v>
      </c>
      <c r="U19" s="137">
        <f t="shared" si="5"/>
        <v>0.36224406131685005</v>
      </c>
      <c r="V19" s="137">
        <f t="shared" si="6"/>
        <v>5.480314514846194</v>
      </c>
      <c r="X19">
        <f t="shared" si="7"/>
        <v>1983</v>
      </c>
      <c r="Y19" s="131">
        <f t="shared" si="8"/>
        <v>85.400085333333337</v>
      </c>
      <c r="Z19" s="131">
        <f t="shared" si="9"/>
        <v>1292</v>
      </c>
      <c r="AA19" s="131">
        <f t="shared" si="10"/>
        <v>235752.89274000001</v>
      </c>
      <c r="AB19" s="38">
        <f>[11]Indicators_NonMan_2018_BEA!G18</f>
        <v>55091.046709999995</v>
      </c>
      <c r="AC19" s="137"/>
    </row>
    <row r="20" spans="1:29" x14ac:dyDescent="0.2">
      <c r="A20">
        <f t="shared" si="11"/>
        <v>1984</v>
      </c>
      <c r="B20" s="38">
        <f>[11]Indicators_NonMan_2018_BEA!S19</f>
        <v>270613.12841999996</v>
      </c>
      <c r="C20">
        <f>'Ag Cons by Use'!F25</f>
        <v>283.62400000000002</v>
      </c>
      <c r="D20">
        <f t="shared" si="0"/>
        <v>92.164294095238105</v>
      </c>
      <c r="E20" s="131">
        <f>'Ag Cons by Use'!$G20-'Ag Cons by Use'!$F20</f>
        <v>1168</v>
      </c>
      <c r="F20">
        <f t="shared" si="12"/>
        <v>1984</v>
      </c>
      <c r="G20">
        <f t="shared" si="1"/>
        <v>270.61312841999995</v>
      </c>
      <c r="H20">
        <f t="shared" si="2"/>
        <v>92.164294095238105</v>
      </c>
      <c r="I20">
        <f t="shared" si="3"/>
        <v>1168</v>
      </c>
      <c r="T20">
        <f t="shared" si="4"/>
        <v>1984</v>
      </c>
      <c r="U20" s="137">
        <f t="shared" si="5"/>
        <v>0.34057584210103903</v>
      </c>
      <c r="V20" s="137">
        <f t="shared" si="6"/>
        <v>4.3161246714801944</v>
      </c>
      <c r="X20">
        <f t="shared" si="7"/>
        <v>1984</v>
      </c>
      <c r="Y20" s="131">
        <f t="shared" si="8"/>
        <v>92.164294095238105</v>
      </c>
      <c r="Z20" s="131">
        <f t="shared" si="9"/>
        <v>1168</v>
      </c>
      <c r="AA20" s="131">
        <f t="shared" si="10"/>
        <v>270613.12841999996</v>
      </c>
      <c r="AB20" s="38">
        <f>[11]Indicators_NonMan_2018_BEA!G19</f>
        <v>73502.885890000005</v>
      </c>
      <c r="AC20" s="137"/>
    </row>
    <row r="21" spans="1:29" x14ac:dyDescent="0.2">
      <c r="A21">
        <f t="shared" si="11"/>
        <v>1985</v>
      </c>
      <c r="B21" s="38">
        <f>[11]Indicators_NonMan_2018_BEA!S20</f>
        <v>284521.51854000002</v>
      </c>
      <c r="C21">
        <f>'Ag Cons by Use'!F26</f>
        <v>252.7</v>
      </c>
      <c r="D21">
        <f t="shared" si="0"/>
        <v>82.115466666666663</v>
      </c>
      <c r="E21" s="131">
        <f>'Ag Cons by Use'!$G21-'Ag Cons by Use'!$F21</f>
        <v>1032</v>
      </c>
      <c r="F21">
        <f t="shared" si="12"/>
        <v>1985</v>
      </c>
      <c r="G21">
        <f t="shared" si="1"/>
        <v>284.52151854000005</v>
      </c>
      <c r="H21">
        <f t="shared" si="2"/>
        <v>82.115466666666663</v>
      </c>
      <c r="I21">
        <f t="shared" si="3"/>
        <v>1032</v>
      </c>
      <c r="T21">
        <f t="shared" si="4"/>
        <v>1985</v>
      </c>
      <c r="U21" s="137">
        <f t="shared" si="5"/>
        <v>0.28860898496548087</v>
      </c>
      <c r="V21" s="137">
        <f t="shared" si="6"/>
        <v>3.6271421764358189</v>
      </c>
      <c r="X21">
        <f t="shared" si="7"/>
        <v>1985</v>
      </c>
      <c r="Y21" s="131">
        <f t="shared" si="8"/>
        <v>82.115466666666663</v>
      </c>
      <c r="Z21" s="131">
        <f t="shared" si="9"/>
        <v>1032</v>
      </c>
      <c r="AA21" s="131">
        <f t="shared" si="10"/>
        <v>284521.51854000002</v>
      </c>
      <c r="AB21" s="38">
        <f>[11]Indicators_NonMan_2018_BEA!G20</f>
        <v>87092.080249999999</v>
      </c>
      <c r="AC21" s="137"/>
    </row>
    <row r="22" spans="1:29" x14ac:dyDescent="0.2">
      <c r="A22">
        <f t="shared" si="11"/>
        <v>1986</v>
      </c>
      <c r="B22" s="38">
        <f>[11]Indicators_NonMan_2018_BEA!S21</f>
        <v>279133.43742000003</v>
      </c>
      <c r="C22">
        <f>'Ag Cons by Use'!F27</f>
        <v>242.59200000000001</v>
      </c>
      <c r="D22">
        <f t="shared" si="0"/>
        <v>78.830848000000003</v>
      </c>
      <c r="E22" s="131">
        <f>'Ag Cons by Use'!$G22-'Ag Cons by Use'!$F22</f>
        <v>958.99999999999989</v>
      </c>
      <c r="F22">
        <f t="shared" si="12"/>
        <v>1986</v>
      </c>
      <c r="G22">
        <f t="shared" si="1"/>
        <v>279.13343742000006</v>
      </c>
      <c r="H22">
        <f t="shared" si="2"/>
        <v>78.830848000000003</v>
      </c>
      <c r="I22">
        <f t="shared" si="3"/>
        <v>958.99999999999989</v>
      </c>
      <c r="T22">
        <f t="shared" si="4"/>
        <v>1986</v>
      </c>
      <c r="U22" s="137">
        <f t="shared" si="5"/>
        <v>0.28241277264603243</v>
      </c>
      <c r="V22" s="137">
        <f t="shared" si="6"/>
        <v>3.4356328244438656</v>
      </c>
      <c r="X22">
        <f t="shared" si="7"/>
        <v>1986</v>
      </c>
      <c r="Y22" s="131">
        <f t="shared" si="8"/>
        <v>78.830848000000003</v>
      </c>
      <c r="Z22" s="131">
        <f t="shared" si="9"/>
        <v>958.99999999999989</v>
      </c>
      <c r="AA22" s="131">
        <f t="shared" si="10"/>
        <v>279133.43742000003</v>
      </c>
      <c r="AB22" s="38">
        <f>[11]Indicators_NonMan_2018_BEA!G21</f>
        <v>83325.412939999995</v>
      </c>
      <c r="AC22" s="137"/>
    </row>
    <row r="23" spans="1:29" x14ac:dyDescent="0.2">
      <c r="A23">
        <f t="shared" si="11"/>
        <v>1987</v>
      </c>
      <c r="B23" s="38">
        <f>[11]Indicators_NonMan_2018_BEA!S22</f>
        <v>290290.98492000002</v>
      </c>
      <c r="C23">
        <f>'Ag Cons by Use'!F28</f>
        <v>290.60500000000002</v>
      </c>
      <c r="D23">
        <f t="shared" si="0"/>
        <v>94.432786666666672</v>
      </c>
      <c r="E23" s="131">
        <f>'Ag Cons by Use'!$G23-'Ag Cons by Use'!$F23</f>
        <v>899</v>
      </c>
      <c r="F23">
        <f t="shared" si="12"/>
        <v>1987</v>
      </c>
      <c r="G23">
        <f t="shared" si="1"/>
        <v>290.29098492000003</v>
      </c>
      <c r="H23">
        <f t="shared" si="2"/>
        <v>94.432786666666672</v>
      </c>
      <c r="I23">
        <f t="shared" si="3"/>
        <v>899</v>
      </c>
      <c r="T23">
        <f t="shared" si="4"/>
        <v>1987</v>
      </c>
      <c r="U23" s="137">
        <f t="shared" si="5"/>
        <v>0.3253038901386861</v>
      </c>
      <c r="V23" s="137">
        <f t="shared" si="6"/>
        <v>3.0968925895089416</v>
      </c>
      <c r="X23">
        <f t="shared" si="7"/>
        <v>1987</v>
      </c>
      <c r="Y23" s="131">
        <f t="shared" si="8"/>
        <v>94.432786666666672</v>
      </c>
      <c r="Z23" s="131">
        <f t="shared" si="9"/>
        <v>899</v>
      </c>
      <c r="AA23" s="131">
        <f t="shared" si="10"/>
        <v>290290.98492000002</v>
      </c>
      <c r="AB23" s="38">
        <f>[11]Indicators_NonMan_2018_BEA!G22</f>
        <v>84129.683539999998</v>
      </c>
      <c r="AC23" s="137"/>
    </row>
    <row r="24" spans="1:29" x14ac:dyDescent="0.2">
      <c r="A24">
        <f t="shared" si="11"/>
        <v>1988</v>
      </c>
      <c r="B24" s="38">
        <f>[11]Indicators_NonMan_2018_BEA!S23</f>
        <v>278390.95334999997</v>
      </c>
      <c r="C24">
        <f>'Ag Cons by Use'!F29</f>
        <v>308.29399999999998</v>
      </c>
      <c r="D24">
        <f t="shared" si="0"/>
        <v>100.18086933333333</v>
      </c>
      <c r="E24" s="131">
        <f>'Ag Cons by Use'!$G24-'Ag Cons by Use'!$F24</f>
        <v>881</v>
      </c>
      <c r="F24">
        <f t="shared" si="12"/>
        <v>1988</v>
      </c>
      <c r="G24">
        <f t="shared" si="1"/>
        <v>278.39095334999996</v>
      </c>
      <c r="H24">
        <f t="shared" si="2"/>
        <v>100.18086933333333</v>
      </c>
      <c r="I24">
        <f t="shared" si="3"/>
        <v>881</v>
      </c>
      <c r="T24">
        <f t="shared" si="4"/>
        <v>1988</v>
      </c>
      <c r="U24" s="137">
        <f t="shared" si="5"/>
        <v>0.35985677022838986</v>
      </c>
      <c r="V24" s="137">
        <f t="shared" si="6"/>
        <v>3.1646143288729109</v>
      </c>
      <c r="X24">
        <f t="shared" si="7"/>
        <v>1988</v>
      </c>
      <c r="Y24" s="131">
        <f t="shared" si="8"/>
        <v>100.18086933333333</v>
      </c>
      <c r="Z24" s="131">
        <f t="shared" si="9"/>
        <v>881</v>
      </c>
      <c r="AA24" s="131">
        <f t="shared" si="10"/>
        <v>278390.95334999997</v>
      </c>
      <c r="AB24" s="38">
        <f>[11]Indicators_NonMan_2018_BEA!G23</f>
        <v>74804.61275</v>
      </c>
      <c r="AC24" s="137"/>
    </row>
    <row r="25" spans="1:29" x14ac:dyDescent="0.2">
      <c r="A25">
        <f t="shared" si="11"/>
        <v>1989</v>
      </c>
      <c r="B25" s="38">
        <f>[11]Indicators_NonMan_2018_BEA!S24</f>
        <v>295180.01936999999</v>
      </c>
      <c r="C25">
        <f>'Ag Cons by Use'!F30</f>
        <v>336.09100000000001</v>
      </c>
      <c r="D25">
        <f t="shared" si="0"/>
        <v>109.21357066666667</v>
      </c>
      <c r="E25" s="131">
        <f>'Ag Cons by Use'!$G25-'Ag Cons by Use'!$F25</f>
        <v>853</v>
      </c>
      <c r="F25">
        <f t="shared" si="12"/>
        <v>1989</v>
      </c>
      <c r="G25">
        <f t="shared" si="1"/>
        <v>295.18001937000002</v>
      </c>
      <c r="H25">
        <f t="shared" si="2"/>
        <v>109.21357066666667</v>
      </c>
      <c r="I25">
        <f t="shared" si="3"/>
        <v>853</v>
      </c>
      <c r="T25">
        <f t="shared" si="4"/>
        <v>1989</v>
      </c>
      <c r="U25" s="137">
        <f t="shared" si="5"/>
        <v>0.36998971305632466</v>
      </c>
      <c r="V25" s="137">
        <f t="shared" si="6"/>
        <v>2.8897619893804127</v>
      </c>
      <c r="X25">
        <f t="shared" si="7"/>
        <v>1989</v>
      </c>
      <c r="Y25" s="131">
        <f t="shared" si="8"/>
        <v>109.21357066666667</v>
      </c>
      <c r="Z25" s="131">
        <f t="shared" si="9"/>
        <v>853</v>
      </c>
      <c r="AA25" s="131">
        <f t="shared" si="10"/>
        <v>295180.01936999999</v>
      </c>
      <c r="AB25" s="38">
        <f>[11]Indicators_NonMan_2018_BEA!G24</f>
        <v>84992.04035000001</v>
      </c>
      <c r="AC25" s="137"/>
    </row>
    <row r="26" spans="1:29" x14ac:dyDescent="0.2">
      <c r="A26">
        <f t="shared" si="11"/>
        <v>1990</v>
      </c>
      <c r="B26" s="38">
        <f>[11]Indicators_NonMan_2018_BEA!S25</f>
        <v>308289.12336000003</v>
      </c>
      <c r="C26">
        <f>'Ag Cons by Use'!F31</f>
        <v>318.40199999999999</v>
      </c>
      <c r="D26">
        <f t="shared" si="0"/>
        <v>103.46548799999999</v>
      </c>
      <c r="E26" s="131">
        <f>'Ag Cons by Use'!$G26-'Ag Cons by Use'!$F26</f>
        <v>799</v>
      </c>
      <c r="F26">
        <f t="shared" si="12"/>
        <v>1990</v>
      </c>
      <c r="G26">
        <f t="shared" si="1"/>
        <v>308.28912336000002</v>
      </c>
      <c r="H26">
        <f t="shared" si="2"/>
        <v>103.46548799999999</v>
      </c>
      <c r="I26">
        <f t="shared" si="3"/>
        <v>799</v>
      </c>
      <c r="T26">
        <f t="shared" si="4"/>
        <v>1990</v>
      </c>
      <c r="U26" s="137">
        <f t="shared" si="5"/>
        <v>0.33561186613508814</v>
      </c>
      <c r="V26" s="137">
        <f t="shared" si="6"/>
        <v>2.5917229621720379</v>
      </c>
      <c r="X26">
        <f t="shared" si="7"/>
        <v>1990</v>
      </c>
      <c r="Y26" s="131">
        <f t="shared" si="8"/>
        <v>103.46548800000001</v>
      </c>
      <c r="Z26" s="131">
        <f t="shared" si="9"/>
        <v>799</v>
      </c>
      <c r="AA26" s="131">
        <f t="shared" si="10"/>
        <v>308289.12336000003</v>
      </c>
      <c r="AB26" s="38">
        <f>[11]Indicators_NonMan_2018_BEA!G25</f>
        <v>91733.019490000006</v>
      </c>
    </row>
    <row r="27" spans="1:29" x14ac:dyDescent="0.2">
      <c r="A27">
        <f t="shared" si="11"/>
        <v>1991</v>
      </c>
      <c r="B27" s="38">
        <f>[11]Indicators_NonMan_2018_BEA!S26</f>
        <v>312606.07992000005</v>
      </c>
      <c r="C27">
        <f>'Ag Cons by Use'!F32</f>
        <v>315.875</v>
      </c>
      <c r="D27">
        <f t="shared" si="0"/>
        <v>102.64433333333334</v>
      </c>
      <c r="E27" s="131">
        <f>'Ag Cons by Use'!$G27-'Ag Cons by Use'!$F27</f>
        <v>705</v>
      </c>
      <c r="F27">
        <f t="shared" si="12"/>
        <v>1991</v>
      </c>
      <c r="G27">
        <f t="shared" si="1"/>
        <v>312.60607992000007</v>
      </c>
      <c r="H27">
        <f t="shared" si="2"/>
        <v>102.64433333333334</v>
      </c>
      <c r="I27">
        <f t="shared" si="3"/>
        <v>705</v>
      </c>
      <c r="K27" t="s">
        <v>190</v>
      </c>
      <c r="T27">
        <f t="shared" si="4"/>
        <v>1991</v>
      </c>
      <c r="U27" s="137">
        <f t="shared" si="5"/>
        <v>0.32835040623522532</v>
      </c>
      <c r="V27" s="137">
        <f t="shared" si="6"/>
        <v>2.2552344477126569</v>
      </c>
      <c r="X27">
        <f t="shared" si="7"/>
        <v>1991</v>
      </c>
      <c r="Y27" s="131">
        <f t="shared" si="8"/>
        <v>102.64433333333334</v>
      </c>
      <c r="Z27" s="131">
        <f t="shared" si="9"/>
        <v>705</v>
      </c>
      <c r="AA27" s="131">
        <f t="shared" si="10"/>
        <v>312606.07992000005</v>
      </c>
      <c r="AB27" s="38">
        <f>[11]Indicators_NonMan_2018_BEA!G26</f>
        <v>92252.816600000006</v>
      </c>
    </row>
    <row r="28" spans="1:29" x14ac:dyDescent="0.2">
      <c r="A28">
        <f t="shared" si="11"/>
        <v>1992</v>
      </c>
      <c r="B28" s="38">
        <f>[11]Indicators_NonMan_2018_BEA!S27</f>
        <v>328892.04197999998</v>
      </c>
      <c r="C28">
        <f>'Ag Cons by Use'!F33</f>
        <v>330.20400000000001</v>
      </c>
      <c r="D28">
        <f t="shared" si="0"/>
        <v>107.30057600000001</v>
      </c>
      <c r="E28" s="131">
        <f>'Ag Cons by Use'!$G28-'Ag Cons by Use'!$F28</f>
        <v>705</v>
      </c>
      <c r="F28">
        <f t="shared" si="12"/>
        <v>1992</v>
      </c>
      <c r="G28">
        <f t="shared" si="1"/>
        <v>328.89204197999999</v>
      </c>
      <c r="H28">
        <f t="shared" si="2"/>
        <v>107.30057600000001</v>
      </c>
      <c r="I28">
        <f t="shared" si="3"/>
        <v>705</v>
      </c>
      <c r="T28">
        <f t="shared" si="4"/>
        <v>1992</v>
      </c>
      <c r="U28" s="137">
        <f t="shared" si="5"/>
        <v>0.32624862357273143</v>
      </c>
      <c r="V28" s="137">
        <f t="shared" si="6"/>
        <v>2.143560530549022</v>
      </c>
      <c r="X28">
        <f t="shared" si="7"/>
        <v>1992</v>
      </c>
      <c r="Y28" s="131">
        <f t="shared" si="8"/>
        <v>107.30057600000001</v>
      </c>
      <c r="Z28" s="131">
        <f t="shared" si="9"/>
        <v>705</v>
      </c>
      <c r="AA28" s="131">
        <f t="shared" si="10"/>
        <v>328892.04197999998</v>
      </c>
      <c r="AB28" s="38">
        <f>[11]Indicators_NonMan_2018_BEA!G27</f>
        <v>106556.91816</v>
      </c>
    </row>
    <row r="29" spans="1:29" x14ac:dyDescent="0.2">
      <c r="A29">
        <f t="shared" si="11"/>
        <v>1993</v>
      </c>
      <c r="B29" s="38">
        <f>[11]Indicators_NonMan_2018_BEA!S28</f>
        <v>321207.53472000005</v>
      </c>
      <c r="C29">
        <f>'Ag Cons by Use'!F34</f>
        <v>333.65800000000002</v>
      </c>
      <c r="D29">
        <f t="shared" si="0"/>
        <v>108.42296152380953</v>
      </c>
      <c r="E29" s="131">
        <f>'Ag Cons by Use'!$G29-'Ag Cons by Use'!$F29</f>
        <v>701</v>
      </c>
      <c r="F29">
        <f t="shared" si="12"/>
        <v>1993</v>
      </c>
      <c r="G29">
        <f t="shared" si="1"/>
        <v>321.20753472000007</v>
      </c>
      <c r="H29">
        <f t="shared" si="2"/>
        <v>108.42296152380953</v>
      </c>
      <c r="I29">
        <f t="shared" si="3"/>
        <v>701</v>
      </c>
      <c r="T29">
        <f t="shared" si="4"/>
        <v>1993</v>
      </c>
      <c r="U29" s="137">
        <f t="shared" si="5"/>
        <v>0.33754800184971673</v>
      </c>
      <c r="V29" s="137">
        <f t="shared" si="6"/>
        <v>2.1823896522572825</v>
      </c>
      <c r="X29">
        <f t="shared" si="7"/>
        <v>1993</v>
      </c>
      <c r="Y29" s="131">
        <f t="shared" si="8"/>
        <v>108.42296152380953</v>
      </c>
      <c r="Z29" s="131">
        <f t="shared" si="9"/>
        <v>701</v>
      </c>
      <c r="AA29" s="131">
        <f t="shared" si="10"/>
        <v>321207.53472000005</v>
      </c>
      <c r="AB29" s="38">
        <f>[11]Indicators_NonMan_2018_BEA!G28</f>
        <v>94445.198680000016</v>
      </c>
    </row>
    <row r="30" spans="1:29" x14ac:dyDescent="0.2">
      <c r="A30">
        <f t="shared" si="11"/>
        <v>1994</v>
      </c>
      <c r="B30" s="38">
        <f>[11]Indicators_NonMan_2018_BEA!S29</f>
        <v>350736.49133999995</v>
      </c>
      <c r="C30">
        <f>'Ag Cons by Use'!F35</f>
        <v>333.65800000000002</v>
      </c>
      <c r="D30">
        <f t="shared" si="0"/>
        <v>108.42296152380953</v>
      </c>
      <c r="E30" s="131">
        <f>'Ag Cons by Use'!$G30-'Ag Cons by Use'!$F30</f>
        <v>646</v>
      </c>
      <c r="F30">
        <f t="shared" si="12"/>
        <v>1994</v>
      </c>
      <c r="G30">
        <f t="shared" si="1"/>
        <v>350.73649133999993</v>
      </c>
      <c r="H30">
        <f t="shared" si="2"/>
        <v>108.42296152380953</v>
      </c>
      <c r="I30">
        <f t="shared" si="3"/>
        <v>646</v>
      </c>
      <c r="T30">
        <f t="shared" si="4"/>
        <v>1994</v>
      </c>
      <c r="U30" s="137">
        <f t="shared" si="5"/>
        <v>0.3091294011340997</v>
      </c>
      <c r="V30" s="137">
        <f t="shared" si="6"/>
        <v>1.8418385766817031</v>
      </c>
      <c r="X30">
        <f t="shared" si="7"/>
        <v>1994</v>
      </c>
      <c r="Y30" s="131">
        <f t="shared" si="8"/>
        <v>108.42296152380952</v>
      </c>
      <c r="Z30" s="131">
        <f t="shared" si="9"/>
        <v>646</v>
      </c>
      <c r="AA30" s="131">
        <f t="shared" si="10"/>
        <v>350736.49133999995</v>
      </c>
      <c r="AB30" s="38">
        <f>[11]Indicators_NonMan_2018_BEA!G29</f>
        <v>114336.00212999999</v>
      </c>
    </row>
    <row r="31" spans="1:29" x14ac:dyDescent="0.2">
      <c r="A31">
        <f t="shared" si="11"/>
        <v>1995</v>
      </c>
      <c r="B31" s="38">
        <f>[11]Indicators_NonMan_2018_BEA!S30</f>
        <v>336552.20550000004</v>
      </c>
      <c r="C31">
        <f>'Ag Cons by Use'!F36</f>
        <v>371.548</v>
      </c>
      <c r="D31">
        <f t="shared" si="0"/>
        <v>120.73540723809523</v>
      </c>
      <c r="E31" s="131">
        <f>'Ag Cons by Use'!$G31-'Ag Cons by Use'!$F31</f>
        <v>639</v>
      </c>
      <c r="F31">
        <f t="shared" si="12"/>
        <v>1995</v>
      </c>
      <c r="G31">
        <f t="shared" si="1"/>
        <v>336.55220550000007</v>
      </c>
      <c r="H31">
        <f t="shared" si="2"/>
        <v>120.73540723809523</v>
      </c>
      <c r="I31">
        <f t="shared" si="3"/>
        <v>639</v>
      </c>
      <c r="T31">
        <f t="shared" si="4"/>
        <v>1995</v>
      </c>
      <c r="U31" s="137">
        <f t="shared" si="5"/>
        <v>0.3587419879145472</v>
      </c>
      <c r="V31" s="137">
        <f t="shared" si="6"/>
        <v>1.8986653171702357</v>
      </c>
      <c r="X31">
        <f t="shared" si="7"/>
        <v>1995</v>
      </c>
      <c r="Y31" s="131">
        <f t="shared" si="8"/>
        <v>120.73540723809523</v>
      </c>
      <c r="Z31" s="131">
        <f t="shared" si="9"/>
        <v>639</v>
      </c>
      <c r="AA31" s="131">
        <f t="shared" si="10"/>
        <v>336552.20550000004</v>
      </c>
      <c r="AB31" s="38">
        <f>[11]Indicators_NonMan_2018_BEA!G30</f>
        <v>91031.516799999998</v>
      </c>
    </row>
    <row r="32" spans="1:29" x14ac:dyDescent="0.2">
      <c r="A32">
        <f t="shared" si="11"/>
        <v>1996</v>
      </c>
      <c r="B32" s="38">
        <f>[11]Indicators_NonMan_2018_BEA!S31</f>
        <v>343011.41118</v>
      </c>
      <c r="C32">
        <f>'Ag Cons by Use'!F37</f>
        <v>401.44799999999998</v>
      </c>
      <c r="D32">
        <f t="shared" si="0"/>
        <v>130.45148342857144</v>
      </c>
      <c r="E32" s="131">
        <f>'Ag Cons by Use'!$G32-'Ag Cons by Use'!$F32</f>
        <v>660</v>
      </c>
      <c r="F32">
        <f t="shared" si="12"/>
        <v>1996</v>
      </c>
      <c r="G32">
        <f t="shared" si="1"/>
        <v>343.01141117999998</v>
      </c>
      <c r="H32">
        <f t="shared" si="2"/>
        <v>130.45148342857144</v>
      </c>
      <c r="I32">
        <f t="shared" si="3"/>
        <v>660</v>
      </c>
      <c r="T32">
        <f t="shared" si="4"/>
        <v>1996</v>
      </c>
      <c r="U32" s="137">
        <f t="shared" si="5"/>
        <v>0.38031237205725266</v>
      </c>
      <c r="V32" s="137">
        <f t="shared" si="6"/>
        <v>1.9241342371949715</v>
      </c>
      <c r="X32">
        <f t="shared" si="7"/>
        <v>1996</v>
      </c>
      <c r="Y32" s="131">
        <f t="shared" si="8"/>
        <v>130.45148342857144</v>
      </c>
      <c r="Z32" s="131">
        <f t="shared" si="9"/>
        <v>660</v>
      </c>
      <c r="AA32" s="131">
        <f t="shared" si="10"/>
        <v>343011.41118</v>
      </c>
      <c r="AB32" s="38">
        <f>[11]Indicators_NonMan_2018_BEA!G31</f>
        <v>105326.68202000002</v>
      </c>
    </row>
    <row r="33" spans="1:28" x14ac:dyDescent="0.2">
      <c r="A33">
        <f t="shared" si="11"/>
        <v>1997</v>
      </c>
      <c r="B33" s="38">
        <f>[11]Indicators_NonMan_2018_BEA!S32</f>
        <v>367172.57313000003</v>
      </c>
      <c r="C33">
        <f>'Ag Cons by Use'!F38</f>
        <v>303.74299999999999</v>
      </c>
      <c r="D33">
        <f t="shared" si="0"/>
        <v>98.702011047619052</v>
      </c>
      <c r="E33" s="131">
        <f>'Ag Cons by Use'!$G33-'Ag Cons by Use'!$F33</f>
        <v>745.10200000000009</v>
      </c>
      <c r="F33">
        <f t="shared" si="12"/>
        <v>1997</v>
      </c>
      <c r="G33">
        <f t="shared" si="1"/>
        <v>367.17257313000005</v>
      </c>
      <c r="H33">
        <f t="shared" si="2"/>
        <v>98.702011047619052</v>
      </c>
      <c r="I33">
        <f t="shared" si="3"/>
        <v>745.10200000000009</v>
      </c>
      <c r="T33">
        <f t="shared" si="4"/>
        <v>1997</v>
      </c>
      <c r="U33" s="137">
        <f t="shared" si="5"/>
        <v>0.26881640479359253</v>
      </c>
      <c r="V33" s="137">
        <f t="shared" si="6"/>
        <v>2.0292964522058443</v>
      </c>
      <c r="X33">
        <f t="shared" si="7"/>
        <v>1997</v>
      </c>
      <c r="Y33" s="131">
        <f t="shared" si="8"/>
        <v>98.702011047619052</v>
      </c>
      <c r="Z33" s="131">
        <f t="shared" si="9"/>
        <v>745.10199999999998</v>
      </c>
      <c r="AA33" s="131">
        <f t="shared" si="10"/>
        <v>367172.57313000003</v>
      </c>
      <c r="AB33" s="38">
        <f>[11]Indicators_NonMan_2018_BEA!G32</f>
        <v>118101.18005000001</v>
      </c>
    </row>
    <row r="34" spans="1:28" x14ac:dyDescent="0.2">
      <c r="A34">
        <f t="shared" si="11"/>
        <v>1998</v>
      </c>
      <c r="B34" s="38">
        <f>[11]Indicators_NonMan_2018_BEA!S33</f>
        <v>369355.39515</v>
      </c>
      <c r="C34">
        <f>'Ag Cons by Use'!F39</f>
        <v>331.10500000000002</v>
      </c>
      <c r="D34">
        <f t="shared" si="0"/>
        <v>107.5933580952381</v>
      </c>
      <c r="E34" s="131">
        <f>'Ag Cons by Use'!$G34-'Ag Cons by Use'!$F34</f>
        <v>771.31499999999994</v>
      </c>
      <c r="F34">
        <f t="shared" si="12"/>
        <v>1998</v>
      </c>
      <c r="G34">
        <f t="shared" si="1"/>
        <v>369.35539514999999</v>
      </c>
      <c r="H34">
        <f t="shared" si="2"/>
        <v>107.5933580952381</v>
      </c>
      <c r="I34">
        <f t="shared" si="3"/>
        <v>771.31499999999994</v>
      </c>
      <c r="T34">
        <f t="shared" si="4"/>
        <v>1998</v>
      </c>
      <c r="U34" s="137">
        <f t="shared" si="5"/>
        <v>0.29130035599329218</v>
      </c>
      <c r="V34" s="137">
        <f t="shared" si="6"/>
        <v>2.0882732731892517</v>
      </c>
      <c r="X34">
        <f t="shared" si="7"/>
        <v>1998</v>
      </c>
      <c r="Y34" s="131">
        <f t="shared" si="8"/>
        <v>107.5933580952381</v>
      </c>
      <c r="Z34" s="131">
        <f t="shared" si="9"/>
        <v>771.31499999999994</v>
      </c>
      <c r="AA34" s="131">
        <f t="shared" si="10"/>
        <v>369355.39515</v>
      </c>
      <c r="AB34" s="38">
        <f>[11]Indicators_NonMan_2018_BEA!G33</f>
        <v>113962.16524</v>
      </c>
    </row>
    <row r="35" spans="1:28" x14ac:dyDescent="0.2">
      <c r="A35">
        <f t="shared" si="11"/>
        <v>1999</v>
      </c>
      <c r="B35" s="38">
        <f>[11]Indicators_NonMan_2018_BEA!S34</f>
        <v>377782.38647999993</v>
      </c>
      <c r="C35">
        <f>'Ag Cons by Use'!F40</f>
        <v>279.88600000000002</v>
      </c>
      <c r="D35">
        <f t="shared" si="0"/>
        <v>90.949622095238098</v>
      </c>
      <c r="E35" s="131">
        <f>'Ag Cons by Use'!$G35-'Ag Cons by Use'!$F35</f>
        <v>823.62</v>
      </c>
      <c r="F35">
        <f t="shared" si="12"/>
        <v>1999</v>
      </c>
      <c r="G35">
        <f t="shared" si="1"/>
        <v>377.78238647999996</v>
      </c>
      <c r="H35">
        <f t="shared" si="2"/>
        <v>90.949622095238098</v>
      </c>
      <c r="I35">
        <f t="shared" si="3"/>
        <v>823.62</v>
      </c>
      <c r="T35">
        <f t="shared" si="4"/>
        <v>1999</v>
      </c>
      <c r="U35" s="137">
        <f t="shared" si="5"/>
        <v>0.24074606268085774</v>
      </c>
      <c r="V35" s="137">
        <f t="shared" si="6"/>
        <v>2.1801439915558452</v>
      </c>
      <c r="X35">
        <f t="shared" si="7"/>
        <v>1999</v>
      </c>
      <c r="Y35" s="131">
        <f t="shared" si="8"/>
        <v>90.949622095238098</v>
      </c>
      <c r="Z35" s="131">
        <f t="shared" si="9"/>
        <v>823.62</v>
      </c>
      <c r="AA35" s="131">
        <f t="shared" si="10"/>
        <v>377782.38647999993</v>
      </c>
      <c r="AB35" s="38">
        <f>[11]Indicators_NonMan_2018_BEA!G34</f>
        <v>116824.77282</v>
      </c>
    </row>
    <row r="36" spans="1:28" x14ac:dyDescent="0.2">
      <c r="A36">
        <f t="shared" si="11"/>
        <v>2000</v>
      </c>
      <c r="B36" s="38">
        <f>[11]Indicators_NonMan_2018_BEA!S35</f>
        <v>382740.39486</v>
      </c>
      <c r="C36">
        <f>'Ag Cons by Use'!F41</f>
        <v>312.52800000000002</v>
      </c>
      <c r="D36">
        <f t="shared" si="0"/>
        <v>101.55671771428572</v>
      </c>
      <c r="E36" s="131">
        <f>'Ag Cons by Use'!$G36-'Ag Cons by Use'!$F36</f>
        <v>837.6099999999999</v>
      </c>
      <c r="F36">
        <f t="shared" si="12"/>
        <v>2000</v>
      </c>
      <c r="G36">
        <f t="shared" si="1"/>
        <v>382.74039485999998</v>
      </c>
      <c r="H36">
        <f t="shared" si="2"/>
        <v>101.55671771428572</v>
      </c>
      <c r="I36">
        <f t="shared" si="3"/>
        <v>837.6099999999999</v>
      </c>
      <c r="T36">
        <f t="shared" si="4"/>
        <v>2000</v>
      </c>
      <c r="U36" s="137">
        <f t="shared" si="5"/>
        <v>0.26534099634671032</v>
      </c>
      <c r="V36" s="137">
        <f t="shared" si="6"/>
        <v>2.1884546581668851</v>
      </c>
      <c r="X36">
        <f t="shared" si="7"/>
        <v>2000</v>
      </c>
      <c r="Y36" s="131">
        <f t="shared" si="8"/>
        <v>101.55671771428572</v>
      </c>
      <c r="Z36" s="131">
        <f t="shared" si="9"/>
        <v>837.6099999999999</v>
      </c>
      <c r="AA36" s="131">
        <f t="shared" si="10"/>
        <v>382740.39486</v>
      </c>
      <c r="AB36" s="38">
        <f>[11]Indicators_NonMan_2018_BEA!G35</f>
        <v>138243.69041000001</v>
      </c>
    </row>
    <row r="37" spans="1:28" x14ac:dyDescent="0.2">
      <c r="A37">
        <f t="shared" si="11"/>
        <v>2001</v>
      </c>
      <c r="B37" s="38">
        <f>[11]Indicators_NonMan_2018_BEA!S36</f>
        <v>377664.72506999999</v>
      </c>
      <c r="C37">
        <f>'Ag Cons by Use'!F42</f>
        <v>369.88600000000002</v>
      </c>
      <c r="D37">
        <f t="shared" si="0"/>
        <v>120.1953363809524</v>
      </c>
      <c r="E37" s="131">
        <f>'Ag Cons by Use'!$G37-'Ag Cons by Use'!$F37</f>
        <v>812.322</v>
      </c>
      <c r="F37">
        <f t="shared" si="12"/>
        <v>2001</v>
      </c>
      <c r="G37">
        <f t="shared" si="1"/>
        <v>377.66472506999997</v>
      </c>
      <c r="H37">
        <f t="shared" si="2"/>
        <v>120.1953363809524</v>
      </c>
      <c r="I37">
        <f t="shared" si="3"/>
        <v>812.322</v>
      </c>
      <c r="T37">
        <f t="shared" si="4"/>
        <v>2001</v>
      </c>
      <c r="U37" s="137">
        <f t="shared" si="5"/>
        <v>0.31825936711106456</v>
      </c>
      <c r="V37" s="137">
        <f t="shared" si="6"/>
        <v>2.1509077922208291</v>
      </c>
      <c r="X37">
        <f t="shared" si="7"/>
        <v>2001</v>
      </c>
      <c r="Y37" s="131">
        <f t="shared" si="8"/>
        <v>120.19533638095238</v>
      </c>
      <c r="Z37" s="131">
        <f t="shared" si="9"/>
        <v>812.322</v>
      </c>
      <c r="AA37" s="131">
        <f t="shared" si="10"/>
        <v>377664.72506999999</v>
      </c>
      <c r="AB37" s="38">
        <f>[11]Indicators_NonMan_2018_BEA!G36</f>
        <v>128096.47633999999</v>
      </c>
    </row>
    <row r="38" spans="1:28" x14ac:dyDescent="0.2">
      <c r="A38">
        <f t="shared" si="11"/>
        <v>2002</v>
      </c>
      <c r="B38" s="38">
        <f>[11]Indicators_NonMan_2018_BEA!S37</f>
        <v>376135.12674000004</v>
      </c>
      <c r="C38">
        <f>'Ag Cons by Use'!F43</f>
        <v>356</v>
      </c>
      <c r="D38">
        <f t="shared" si="0"/>
        <v>115.68304761904763</v>
      </c>
      <c r="E38" s="131">
        <f>'Ag Cons by Use'!$G38-'Ag Cons by Use'!$F38</f>
        <v>843.41599999999994</v>
      </c>
      <c r="F38">
        <f t="shared" si="12"/>
        <v>2002</v>
      </c>
      <c r="G38">
        <f t="shared" si="1"/>
        <v>376.13512674000003</v>
      </c>
      <c r="H38">
        <f t="shared" si="2"/>
        <v>115.68304761904763</v>
      </c>
      <c r="I38">
        <f t="shared" si="3"/>
        <v>843.41599999999994</v>
      </c>
      <c r="J38">
        <f>H38/(H38+I38)</f>
        <v>0.12061637211112811</v>
      </c>
      <c r="T38">
        <f t="shared" si="4"/>
        <v>2002</v>
      </c>
      <c r="U38" s="137">
        <f t="shared" si="5"/>
        <v>0.30755715006381862</v>
      </c>
      <c r="V38" s="137">
        <f t="shared" si="6"/>
        <v>2.2423218147955737</v>
      </c>
      <c r="X38">
        <f t="shared" si="7"/>
        <v>2002</v>
      </c>
      <c r="Y38" s="131">
        <f t="shared" si="8"/>
        <v>115.68304761904763</v>
      </c>
      <c r="Z38" s="131">
        <f t="shared" si="9"/>
        <v>843.41599999999994</v>
      </c>
      <c r="AA38" s="131">
        <f t="shared" si="10"/>
        <v>376135.12674000004</v>
      </c>
      <c r="AB38" s="38">
        <f>[11]Indicators_NonMan_2018_BEA!G37</f>
        <v>133544.66495999999</v>
      </c>
    </row>
    <row r="39" spans="1:28" x14ac:dyDescent="0.2">
      <c r="A39">
        <f t="shared" si="11"/>
        <v>2003</v>
      </c>
      <c r="B39" s="38">
        <f>[11]Indicators_NonMan_2018_BEA!S38</f>
        <v>387138.49722000002</v>
      </c>
      <c r="E39" s="131">
        <f>Farms!J99</f>
        <v>641.03225243675024</v>
      </c>
      <c r="F39">
        <f t="shared" si="12"/>
        <v>2003</v>
      </c>
      <c r="G39">
        <f t="shared" si="1"/>
        <v>387.13849722000003</v>
      </c>
      <c r="I39">
        <f t="shared" si="3"/>
        <v>641.03225243675024</v>
      </c>
      <c r="T39">
        <f t="shared" si="4"/>
        <v>2003</v>
      </c>
      <c r="U39" s="135">
        <f>U$38</f>
        <v>0.30755715006381862</v>
      </c>
      <c r="V39" s="137">
        <f t="shared" si="6"/>
        <v>1.6558215135925101</v>
      </c>
      <c r="X39">
        <f t="shared" si="7"/>
        <v>2003</v>
      </c>
      <c r="Y39" s="131">
        <f t="shared" si="8"/>
        <v>119.06721288497278</v>
      </c>
      <c r="Z39" s="131">
        <f t="shared" si="9"/>
        <v>641.03225243675024</v>
      </c>
      <c r="AA39" s="131">
        <f t="shared" si="10"/>
        <v>387138.49722000002</v>
      </c>
      <c r="AB39" s="38">
        <f>[11]Indicators_NonMan_2018_BEA!G38</f>
        <v>145087.43745999999</v>
      </c>
    </row>
    <row r="40" spans="1:28" x14ac:dyDescent="0.2">
      <c r="A40">
        <f t="shared" si="11"/>
        <v>2004</v>
      </c>
      <c r="B40" s="38">
        <f>[11]Indicators_NonMan_2018_BEA!S39</f>
        <v>398081.00835000002</v>
      </c>
      <c r="E40" s="131">
        <f>Farms!J100</f>
        <v>717.24047820983151</v>
      </c>
      <c r="F40">
        <f t="shared" si="12"/>
        <v>2004</v>
      </c>
      <c r="G40">
        <f t="shared" si="1"/>
        <v>398.08100835000005</v>
      </c>
      <c r="I40">
        <f t="shared" si="3"/>
        <v>717.24047820983151</v>
      </c>
      <c r="T40">
        <f t="shared" si="4"/>
        <v>2004</v>
      </c>
      <c r="U40" s="135">
        <f t="shared" ref="U40:U53" si="13">U$38</f>
        <v>0.30755715006381862</v>
      </c>
      <c r="V40" s="137">
        <f t="shared" si="6"/>
        <v>1.8017450296931037</v>
      </c>
      <c r="X40">
        <f t="shared" si="7"/>
        <v>2004</v>
      </c>
      <c r="Y40" s="131">
        <f t="shared" si="8"/>
        <v>122.43266042265719</v>
      </c>
      <c r="Z40" s="131">
        <f t="shared" si="9"/>
        <v>717.24047820983151</v>
      </c>
      <c r="AA40" s="131">
        <f t="shared" si="10"/>
        <v>398081.00835000002</v>
      </c>
      <c r="AB40" s="38">
        <f>[11]Indicators_NonMan_2018_BEA!G39</f>
        <v>159781.7592</v>
      </c>
    </row>
    <row r="41" spans="1:28" x14ac:dyDescent="0.2">
      <c r="A41">
        <f t="shared" si="11"/>
        <v>2005</v>
      </c>
      <c r="B41" s="38">
        <f>[11]Indicators_NonMan_2018_BEA!S40</f>
        <v>400795.33536000008</v>
      </c>
      <c r="E41" s="131">
        <f>Farms!J101</f>
        <v>657.66019866538375</v>
      </c>
      <c r="F41">
        <f t="shared" si="12"/>
        <v>2005</v>
      </c>
      <c r="G41">
        <f t="shared" si="1"/>
        <v>400.79533536000008</v>
      </c>
      <c r="I41">
        <f t="shared" si="3"/>
        <v>657.66019866538375</v>
      </c>
      <c r="T41">
        <f t="shared" si="4"/>
        <v>2005</v>
      </c>
      <c r="U41" s="135">
        <f t="shared" si="13"/>
        <v>0.30755715006381862</v>
      </c>
      <c r="V41" s="137">
        <f t="shared" si="6"/>
        <v>1.6408878563286271</v>
      </c>
      <c r="X41">
        <f t="shared" si="7"/>
        <v>2005</v>
      </c>
      <c r="Y41" s="131">
        <f t="shared" si="8"/>
        <v>123.26747110219405</v>
      </c>
      <c r="Z41" s="131">
        <f t="shared" si="9"/>
        <v>657.66019866538375</v>
      </c>
      <c r="AA41" s="131">
        <f t="shared" si="10"/>
        <v>400795.33536000008</v>
      </c>
      <c r="AB41" s="38">
        <f>[11]Indicators_NonMan_2018_BEA!G40</f>
        <v>168782.14296999999</v>
      </c>
    </row>
    <row r="42" spans="1:28" x14ac:dyDescent="0.2">
      <c r="A42">
        <f t="shared" si="11"/>
        <v>2006</v>
      </c>
      <c r="B42" s="38">
        <f>[11]Indicators_NonMan_2018_BEA!S41</f>
        <v>403379.82909000001</v>
      </c>
      <c r="E42" s="131">
        <f>Farms!J102</f>
        <v>635.20922082432162</v>
      </c>
      <c r="F42">
        <f t="shared" si="12"/>
        <v>2006</v>
      </c>
      <c r="G42">
        <f t="shared" si="1"/>
        <v>403.37982909000004</v>
      </c>
      <c r="I42">
        <f t="shared" si="3"/>
        <v>635.20922082432162</v>
      </c>
      <c r="T42">
        <f t="shared" si="4"/>
        <v>2006</v>
      </c>
      <c r="U42" s="135">
        <f t="shared" si="13"/>
        <v>0.30755715006381862</v>
      </c>
      <c r="V42" s="137">
        <f t="shared" si="6"/>
        <v>1.5747173631793001</v>
      </c>
      <c r="X42">
        <f t="shared" si="7"/>
        <v>2006</v>
      </c>
      <c r="Y42" s="131">
        <f t="shared" si="8"/>
        <v>124.06235062815065</v>
      </c>
      <c r="Z42" s="131">
        <f t="shared" si="9"/>
        <v>635.20922082432162</v>
      </c>
      <c r="AA42" s="131">
        <f t="shared" si="10"/>
        <v>403379.82909000001</v>
      </c>
      <c r="AB42" s="38">
        <f>[11]Indicators_NonMan_2018_BEA!G41</f>
        <v>165515.91069999998</v>
      </c>
    </row>
    <row r="43" spans="1:28" x14ac:dyDescent="0.2">
      <c r="A43">
        <f t="shared" si="11"/>
        <v>2007</v>
      </c>
      <c r="B43" s="38">
        <f>[11]Indicators_NonMan_2018_BEA!S42</f>
        <v>404787.70872</v>
      </c>
      <c r="E43" s="131">
        <f>Farms!J103</f>
        <v>732.14257665852097</v>
      </c>
      <c r="F43">
        <f t="shared" si="12"/>
        <v>2007</v>
      </c>
      <c r="G43">
        <f t="shared" si="1"/>
        <v>404.78770872000001</v>
      </c>
      <c r="H43">
        <f>Farms!$D103/E2</f>
        <v>82.885585795140074</v>
      </c>
      <c r="I43">
        <f t="shared" si="3"/>
        <v>732.14257665852097</v>
      </c>
      <c r="T43">
        <f t="shared" si="4"/>
        <v>2007</v>
      </c>
      <c r="U43" s="135">
        <f t="shared" si="13"/>
        <v>0.30755715006381862</v>
      </c>
      <c r="V43" s="137">
        <f t="shared" si="6"/>
        <v>1.8087075296176027</v>
      </c>
      <c r="X43">
        <f t="shared" si="7"/>
        <v>2007</v>
      </c>
      <c r="Y43" s="131">
        <f t="shared" si="8"/>
        <v>124.49535407478635</v>
      </c>
      <c r="Z43" s="131">
        <f t="shared" si="9"/>
        <v>732.14257665852097</v>
      </c>
      <c r="AA43" s="131">
        <f t="shared" si="10"/>
        <v>404787.70872</v>
      </c>
      <c r="AB43" s="38">
        <f>[11]Indicators_NonMan_2018_BEA!G42</f>
        <v>144581.04485999999</v>
      </c>
    </row>
    <row r="44" spans="1:28" x14ac:dyDescent="0.2">
      <c r="A44">
        <f t="shared" si="11"/>
        <v>2008</v>
      </c>
      <c r="B44" s="38">
        <f>[11]Indicators_NonMan_2018_BEA!S43</f>
        <v>396137.56644000002</v>
      </c>
      <c r="E44" s="131">
        <f>Farms!J104</f>
        <v>638.4735250730165</v>
      </c>
      <c r="F44">
        <f t="shared" si="12"/>
        <v>2008</v>
      </c>
      <c r="G44">
        <f t="shared" si="1"/>
        <v>396.13756644000006</v>
      </c>
      <c r="I44">
        <f t="shared" si="3"/>
        <v>638.4735250730165</v>
      </c>
      <c r="T44">
        <f t="shared" si="4"/>
        <v>2008</v>
      </c>
      <c r="U44" s="135">
        <f t="shared" si="13"/>
        <v>0.30755715006381862</v>
      </c>
      <c r="V44" s="137">
        <f t="shared" si="6"/>
        <v>1.611746976715275</v>
      </c>
      <c r="X44">
        <f t="shared" si="7"/>
        <v>2008</v>
      </c>
      <c r="Y44" s="131">
        <f t="shared" si="8"/>
        <v>121.83494096750302</v>
      </c>
      <c r="Z44" s="131">
        <f t="shared" si="9"/>
        <v>638.4735250730165</v>
      </c>
      <c r="AA44" s="131">
        <f t="shared" si="10"/>
        <v>396137.56644000002</v>
      </c>
      <c r="AB44" s="38">
        <f>[11]Indicators_NonMan_2018_BEA!G43</f>
        <v>148472.82093000002</v>
      </c>
    </row>
    <row r="45" spans="1:28" x14ac:dyDescent="0.2">
      <c r="A45">
        <f t="shared" si="11"/>
        <v>2009</v>
      </c>
      <c r="B45" s="38">
        <f>[11]Indicators_NonMan_2018_BEA!S44</f>
        <v>415287.97524</v>
      </c>
      <c r="E45" s="131">
        <f>Farms!J105</f>
        <v>791.38371190217595</v>
      </c>
      <c r="F45">
        <f t="shared" si="12"/>
        <v>2009</v>
      </c>
      <c r="G45">
        <f t="shared" si="1"/>
        <v>415.28797523999998</v>
      </c>
      <c r="I45">
        <f t="shared" si="3"/>
        <v>791.38371190217595</v>
      </c>
      <c r="T45">
        <f t="shared" si="4"/>
        <v>2009</v>
      </c>
      <c r="U45" s="135">
        <f t="shared" si="13"/>
        <v>0.30755715006381862</v>
      </c>
      <c r="V45" s="137">
        <f t="shared" si="6"/>
        <v>1.9056263582995046</v>
      </c>
      <c r="X45">
        <f t="shared" si="7"/>
        <v>2009</v>
      </c>
      <c r="Y45" s="131">
        <f t="shared" si="8"/>
        <v>127.72478612058806</v>
      </c>
      <c r="Z45" s="131">
        <f t="shared" si="9"/>
        <v>791.38371190217595</v>
      </c>
      <c r="AA45" s="131">
        <f t="shared" si="10"/>
        <v>415287.97524</v>
      </c>
      <c r="AB45" s="38">
        <f>[11]Indicators_NonMan_2018_BEA!G44</f>
        <v>170704.94546000002</v>
      </c>
    </row>
    <row r="46" spans="1:28" x14ac:dyDescent="0.2">
      <c r="A46">
        <f t="shared" si="11"/>
        <v>2010</v>
      </c>
      <c r="B46" s="38">
        <f>[11]Indicators_NonMan_2018_BEA!S45</f>
        <v>416131.89155999996</v>
      </c>
      <c r="E46" s="131">
        <f>Farms!J106</f>
        <v>689.01501340022321</v>
      </c>
      <c r="F46">
        <f t="shared" si="12"/>
        <v>2010</v>
      </c>
      <c r="G46">
        <f t="shared" si="1"/>
        <v>416.13189155999999</v>
      </c>
      <c r="I46">
        <f t="shared" si="3"/>
        <v>689.01501340022321</v>
      </c>
      <c r="T46">
        <f t="shared" si="4"/>
        <v>2010</v>
      </c>
      <c r="U46" s="135">
        <f t="shared" si="13"/>
        <v>0.30755715006381862</v>
      </c>
      <c r="V46" s="137">
        <f t="shared" si="6"/>
        <v>1.6557611357717281</v>
      </c>
      <c r="X46">
        <f t="shared" si="7"/>
        <v>2010</v>
      </c>
      <c r="Y46" s="131">
        <f t="shared" si="8"/>
        <v>127.98433861885961</v>
      </c>
      <c r="Z46" s="131">
        <f t="shared" si="9"/>
        <v>689.01501340022321</v>
      </c>
      <c r="AA46" s="131">
        <f t="shared" si="10"/>
        <v>416131.89155999996</v>
      </c>
      <c r="AB46" s="38">
        <f>[11]Indicators_NonMan_2018_BEA!G45</f>
        <v>165054.1998</v>
      </c>
    </row>
    <row r="47" spans="1:28" x14ac:dyDescent="0.2">
      <c r="A47">
        <f t="shared" si="11"/>
        <v>2011</v>
      </c>
      <c r="B47" s="38">
        <f>[11]Indicators_NonMan_2018_BEA!S46</f>
        <v>402191.04311999999</v>
      </c>
      <c r="E47" s="131">
        <f>Farms!J107</f>
        <v>652.10853784456822</v>
      </c>
      <c r="F47">
        <f t="shared" si="12"/>
        <v>2011</v>
      </c>
      <c r="G47">
        <f t="shared" si="1"/>
        <v>402.19104312000002</v>
      </c>
      <c r="I47">
        <f t="shared" si="3"/>
        <v>652.10853784456822</v>
      </c>
      <c r="T47">
        <f t="shared" ref="T47:T50" si="14">F47</f>
        <v>2011</v>
      </c>
      <c r="U47" s="135">
        <f t="shared" si="13"/>
        <v>0.30755715006381862</v>
      </c>
      <c r="V47" s="137">
        <f t="shared" ref="V47:V50" si="15">I47/$G47</f>
        <v>1.6213900060673438</v>
      </c>
      <c r="X47">
        <f t="shared" ref="X47:X50" si="16">T47</f>
        <v>2011</v>
      </c>
      <c r="Y47" s="131">
        <f t="shared" ref="Y47:Y50" si="17">U47*$G47</f>
        <v>123.6967310031816</v>
      </c>
      <c r="Z47" s="131">
        <f t="shared" ref="Z47:Z50" si="18">V47*$G47</f>
        <v>652.10853784456822</v>
      </c>
      <c r="AA47" s="131">
        <f t="shared" ref="AA47:AA50" si="19">B47</f>
        <v>402191.04311999999</v>
      </c>
      <c r="AB47" s="38">
        <f>[11]Indicators_NonMan_2018_BEA!G46</f>
        <v>157495.54555000001</v>
      </c>
    </row>
    <row r="48" spans="1:28" x14ac:dyDescent="0.2">
      <c r="A48">
        <f t="shared" si="11"/>
        <v>2012</v>
      </c>
      <c r="B48" s="38">
        <f>[11]Indicators_NonMan_2018_BEA!S47</f>
        <v>405729</v>
      </c>
      <c r="E48" s="131">
        <f>Farms!J108</f>
        <v>674.99577467607799</v>
      </c>
      <c r="F48">
        <f t="shared" si="12"/>
        <v>2012</v>
      </c>
      <c r="G48">
        <f t="shared" si="1"/>
        <v>405.72899999999998</v>
      </c>
      <c r="I48">
        <f t="shared" si="3"/>
        <v>674.99577467607799</v>
      </c>
      <c r="T48">
        <f t="shared" si="14"/>
        <v>2012</v>
      </c>
      <c r="U48" s="135">
        <f t="shared" si="13"/>
        <v>0.30755715006381862</v>
      </c>
      <c r="V48" s="137">
        <f t="shared" si="15"/>
        <v>1.663661642811034</v>
      </c>
      <c r="X48">
        <f t="shared" si="16"/>
        <v>2012</v>
      </c>
      <c r="Y48" s="131">
        <f t="shared" si="17"/>
        <v>124.78485493824306</v>
      </c>
      <c r="Z48" s="131">
        <f t="shared" si="18"/>
        <v>674.99577467607799</v>
      </c>
      <c r="AA48" s="131">
        <f t="shared" si="19"/>
        <v>405729</v>
      </c>
      <c r="AB48" s="38">
        <f>[11]Indicators_NonMan_2018_BEA!G47</f>
        <v>148939</v>
      </c>
    </row>
    <row r="49" spans="1:28" x14ac:dyDescent="0.2">
      <c r="A49">
        <f t="shared" si="11"/>
        <v>2013</v>
      </c>
      <c r="B49" s="38">
        <f>[11]Indicators_NonMan_2018_BEA!S48</f>
        <v>431362.95821999997</v>
      </c>
      <c r="E49" s="131">
        <f>Farms!J109</f>
        <v>740.18178084103192</v>
      </c>
      <c r="F49">
        <f t="shared" si="12"/>
        <v>2013</v>
      </c>
      <c r="G49">
        <f t="shared" si="1"/>
        <v>431.36295822</v>
      </c>
      <c r="I49">
        <f t="shared" si="3"/>
        <v>740.18178084103192</v>
      </c>
      <c r="T49">
        <f t="shared" si="14"/>
        <v>2013</v>
      </c>
      <c r="U49" s="135">
        <f t="shared" si="13"/>
        <v>0.30755715006381862</v>
      </c>
      <c r="V49" s="137">
        <f t="shared" si="15"/>
        <v>1.7159140967860547</v>
      </c>
      <c r="X49">
        <f t="shared" si="16"/>
        <v>2013</v>
      </c>
      <c r="Y49" s="131">
        <f t="shared" si="17"/>
        <v>132.66876207324125</v>
      </c>
      <c r="Z49" s="131">
        <f t="shared" si="18"/>
        <v>740.18178084103192</v>
      </c>
      <c r="AA49" s="131">
        <f t="shared" si="19"/>
        <v>431362.95821999997</v>
      </c>
      <c r="AB49" s="38">
        <f>[11]Indicators_NonMan_2018_BEA!G48</f>
        <v>179818.52287000002</v>
      </c>
    </row>
    <row r="50" spans="1:28" x14ac:dyDescent="0.2">
      <c r="A50">
        <f t="shared" si="11"/>
        <v>2014</v>
      </c>
      <c r="B50" s="38">
        <f>[11]Indicators_NonMan_2018_BEA!S49</f>
        <v>442589.47964999999</v>
      </c>
      <c r="E50" s="131">
        <f>Farms!J110</f>
        <v>782.7819030327712</v>
      </c>
      <c r="F50">
        <f t="shared" si="12"/>
        <v>2014</v>
      </c>
      <c r="G50">
        <f t="shared" si="1"/>
        <v>442.58947964999999</v>
      </c>
      <c r="I50">
        <f t="shared" si="3"/>
        <v>782.7819030327712</v>
      </c>
      <c r="T50">
        <f t="shared" si="14"/>
        <v>2014</v>
      </c>
      <c r="U50" s="135">
        <f t="shared" si="13"/>
        <v>0.30755715006381862</v>
      </c>
      <c r="V50" s="137">
        <f t="shared" si="15"/>
        <v>1.768641007128763</v>
      </c>
      <c r="X50">
        <f t="shared" si="16"/>
        <v>2014</v>
      </c>
      <c r="Y50" s="131">
        <f t="shared" si="17"/>
        <v>136.12155900938245</v>
      </c>
      <c r="Z50" s="131">
        <f t="shared" si="18"/>
        <v>782.7819030327712</v>
      </c>
      <c r="AA50" s="131">
        <f t="shared" si="19"/>
        <v>442589.47964999999</v>
      </c>
      <c r="AB50" s="38">
        <f>[11]Indicators_NonMan_2018_BEA!G49</f>
        <v>181611.74842999998</v>
      </c>
    </row>
    <row r="51" spans="1:28" x14ac:dyDescent="0.2">
      <c r="A51">
        <f t="shared" si="11"/>
        <v>2015</v>
      </c>
      <c r="B51" s="38">
        <f>[11]Indicators_NonMan_2018_BEA!S50</f>
        <v>449381.38311</v>
      </c>
      <c r="E51" s="131">
        <f>Farms!J111</f>
        <v>906.9187616154735</v>
      </c>
      <c r="F51">
        <f t="shared" si="12"/>
        <v>2015</v>
      </c>
      <c r="G51">
        <f t="shared" si="1"/>
        <v>449.38138311</v>
      </c>
      <c r="I51">
        <f t="shared" si="3"/>
        <v>906.9187616154735</v>
      </c>
      <c r="T51">
        <f t="shared" ref="T51:T53" si="20">F51</f>
        <v>2015</v>
      </c>
      <c r="U51" s="135">
        <f t="shared" si="13"/>
        <v>0.30755715006381862</v>
      </c>
      <c r="V51" s="137">
        <f t="shared" ref="V51:V53" si="21">I51/$G51</f>
        <v>2.0181493842469149</v>
      </c>
      <c r="X51">
        <f t="shared" ref="X51:X53" si="22">T51</f>
        <v>2015</v>
      </c>
      <c r="Y51" s="131">
        <f t="shared" ref="Y51:Y53" si="23">U51*$G51</f>
        <v>138.21045748104865</v>
      </c>
      <c r="Z51" s="131">
        <f t="shared" ref="Z51:Z53" si="24">V51*$G51</f>
        <v>906.9187616154735</v>
      </c>
      <c r="AA51" s="131">
        <f t="shared" ref="AA51:AA53" si="25">B51</f>
        <v>449381.38311</v>
      </c>
      <c r="AB51" s="38">
        <f>[11]Indicators_NonMan_2018_BEA!G50</f>
        <v>194396.67218999998</v>
      </c>
    </row>
    <row r="52" spans="1:28" x14ac:dyDescent="0.2">
      <c r="A52">
        <f t="shared" si="11"/>
        <v>2016</v>
      </c>
      <c r="B52" s="38">
        <f>[11]Indicators_NonMan_2018_BEA!S51</f>
        <v>470698.38477000006</v>
      </c>
      <c r="E52" s="131">
        <f>Farms!J112</f>
        <v>929.59258094851407</v>
      </c>
      <c r="F52">
        <f t="shared" si="12"/>
        <v>2016</v>
      </c>
      <c r="G52">
        <f t="shared" si="1"/>
        <v>470.69838477000008</v>
      </c>
      <c r="I52">
        <f t="shared" si="3"/>
        <v>929.59258094851407</v>
      </c>
      <c r="T52">
        <f t="shared" si="20"/>
        <v>2016</v>
      </c>
      <c r="U52" s="135">
        <f t="shared" si="13"/>
        <v>0.30755715006381862</v>
      </c>
      <c r="V52" s="137">
        <f t="shared" si="21"/>
        <v>1.9749219691984836</v>
      </c>
      <c r="X52">
        <f t="shared" si="22"/>
        <v>2016</v>
      </c>
      <c r="Y52" s="131">
        <f t="shared" si="23"/>
        <v>144.76665375950395</v>
      </c>
      <c r="Z52" s="131">
        <f t="shared" si="24"/>
        <v>929.59258094851407</v>
      </c>
      <c r="AA52" s="131">
        <f t="shared" si="25"/>
        <v>470698.38477000006</v>
      </c>
      <c r="AB52" s="38">
        <f>[11]Indicators_NonMan_2018_BEA!G51</f>
        <v>205786.03752000001</v>
      </c>
    </row>
    <row r="53" spans="1:28" x14ac:dyDescent="0.2">
      <c r="A53">
        <f t="shared" si="11"/>
        <v>2017</v>
      </c>
      <c r="B53" s="38">
        <f>[11]Indicators_NonMan_2018_BEA!S52</f>
        <v>477445.65804000001</v>
      </c>
      <c r="E53" s="131">
        <f>Farms!J113</f>
        <v>820.94298988827359</v>
      </c>
      <c r="F53">
        <f t="shared" si="12"/>
        <v>2017</v>
      </c>
      <c r="G53">
        <f t="shared" si="1"/>
        <v>477.44565804000001</v>
      </c>
      <c r="I53">
        <f t="shared" si="3"/>
        <v>820.94298988827359</v>
      </c>
      <c r="T53">
        <f t="shared" si="20"/>
        <v>2017</v>
      </c>
      <c r="U53" s="135">
        <f t="shared" si="13"/>
        <v>0.30755715006381862</v>
      </c>
      <c r="V53" s="137">
        <f t="shared" si="21"/>
        <v>1.7194480168871817</v>
      </c>
      <c r="X53">
        <f t="shared" si="22"/>
        <v>2017</v>
      </c>
      <c r="Y53" s="131">
        <f t="shared" si="23"/>
        <v>146.84182589712691</v>
      </c>
      <c r="Z53" s="131">
        <f t="shared" si="24"/>
        <v>820.94298988827359</v>
      </c>
      <c r="AA53" s="131">
        <f t="shared" si="25"/>
        <v>477445.65804000001</v>
      </c>
      <c r="AB53" s="38">
        <f>[11]Indicators_NonMan_2018_BEA!G52</f>
        <v>202291.92858000001</v>
      </c>
    </row>
    <row r="54" spans="1:28" x14ac:dyDescent="0.2">
      <c r="X54">
        <v>2018</v>
      </c>
      <c r="AB54" s="38">
        <f>[11]Indicators_NonMan_2018_BEA!G53</f>
        <v>196480.32879999999</v>
      </c>
    </row>
  </sheetData>
  <pageMargins left="0.7" right="0.7" top="0.75" bottom="0.75" header="0.3" footer="0.3"/>
  <pageSetup orientation="portrait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82"/>
  <sheetViews>
    <sheetView showGridLines="0" topLeftCell="A49" workbookViewId="0">
      <selection activeCell="A68" sqref="A68:M69"/>
    </sheetView>
  </sheetViews>
  <sheetFormatPr defaultRowHeight="15" x14ac:dyDescent="0.25"/>
  <cols>
    <col min="1" max="1" width="5.7109375" style="3" customWidth="1"/>
    <col min="2" max="2" width="5.85546875" style="3" customWidth="1"/>
    <col min="3" max="3" width="5.7109375" style="3" customWidth="1"/>
    <col min="4" max="4" width="2.5703125" style="3" customWidth="1"/>
    <col min="5" max="5" width="6.28515625" style="3" customWidth="1"/>
    <col min="6" max="6" width="3" style="3" customWidth="1"/>
    <col min="7" max="7" width="6.7109375" style="3" customWidth="1"/>
    <col min="8" max="8" width="5.7109375" style="3" customWidth="1"/>
    <col min="9" max="9" width="2.5703125" style="3" customWidth="1"/>
    <col min="10" max="10" width="7.140625" style="3" customWidth="1"/>
    <col min="11" max="11" width="3.42578125" style="3" customWidth="1"/>
    <col min="12" max="12" width="6" style="3" customWidth="1"/>
    <col min="13" max="13" width="2.85546875" style="3" customWidth="1"/>
    <col min="14" max="14" width="6.42578125" style="3" customWidth="1"/>
    <col min="15" max="15" width="3.140625" style="3" customWidth="1"/>
    <col min="16" max="16" width="6.42578125" style="3" customWidth="1"/>
    <col min="17" max="17" width="3.140625" style="3" customWidth="1"/>
    <col min="18" max="18" width="9.7109375" style="3" customWidth="1"/>
    <col min="19" max="19" width="7.42578125" style="3" customWidth="1"/>
    <col min="20" max="20" width="4.140625" style="3" customWidth="1"/>
    <col min="21" max="21" width="6.42578125" style="3" customWidth="1"/>
    <col min="22" max="22" width="3.140625" style="3" customWidth="1"/>
    <col min="23" max="23" width="12.140625" style="3" customWidth="1"/>
    <col min="24" max="24" width="14" style="3" customWidth="1"/>
    <col min="25" max="25" width="8.42578125" style="3" customWidth="1"/>
    <col min="26" max="26" width="4.140625" style="3" customWidth="1"/>
    <col min="27" max="256" width="9.140625" style="3"/>
    <col min="257" max="257" width="5.7109375" style="3" customWidth="1"/>
    <col min="258" max="258" width="5.85546875" style="3" customWidth="1"/>
    <col min="259" max="259" width="5.7109375" style="3" customWidth="1"/>
    <col min="260" max="260" width="2.5703125" style="3" customWidth="1"/>
    <col min="261" max="261" width="6.28515625" style="3" customWidth="1"/>
    <col min="262" max="262" width="3" style="3" customWidth="1"/>
    <col min="263" max="263" width="6.7109375" style="3" customWidth="1"/>
    <col min="264" max="264" width="5.7109375" style="3" customWidth="1"/>
    <col min="265" max="265" width="2.5703125" style="3" customWidth="1"/>
    <col min="266" max="266" width="7.140625" style="3" customWidth="1"/>
    <col min="267" max="267" width="3.42578125" style="3" customWidth="1"/>
    <col min="268" max="268" width="6" style="3" customWidth="1"/>
    <col min="269" max="269" width="2.85546875" style="3" customWidth="1"/>
    <col min="270" max="270" width="6.42578125" style="3" customWidth="1"/>
    <col min="271" max="271" width="3.140625" style="3" customWidth="1"/>
    <col min="272" max="272" width="6.42578125" style="3" customWidth="1"/>
    <col min="273" max="273" width="3.140625" style="3" customWidth="1"/>
    <col min="274" max="274" width="9.7109375" style="3" customWidth="1"/>
    <col min="275" max="275" width="7.42578125" style="3" customWidth="1"/>
    <col min="276" max="276" width="4.140625" style="3" customWidth="1"/>
    <col min="277" max="277" width="6.42578125" style="3" customWidth="1"/>
    <col min="278" max="278" width="3.140625" style="3" customWidth="1"/>
    <col min="279" max="279" width="12.140625" style="3" customWidth="1"/>
    <col min="280" max="280" width="14" style="3" customWidth="1"/>
    <col min="281" max="281" width="8.42578125" style="3" customWidth="1"/>
    <col min="282" max="282" width="4.140625" style="3" customWidth="1"/>
    <col min="283" max="512" width="9.140625" style="3"/>
    <col min="513" max="513" width="5.7109375" style="3" customWidth="1"/>
    <col min="514" max="514" width="5.85546875" style="3" customWidth="1"/>
    <col min="515" max="515" width="5.7109375" style="3" customWidth="1"/>
    <col min="516" max="516" width="2.5703125" style="3" customWidth="1"/>
    <col min="517" max="517" width="6.28515625" style="3" customWidth="1"/>
    <col min="518" max="518" width="3" style="3" customWidth="1"/>
    <col min="519" max="519" width="6.7109375" style="3" customWidth="1"/>
    <col min="520" max="520" width="5.7109375" style="3" customWidth="1"/>
    <col min="521" max="521" width="2.5703125" style="3" customWidth="1"/>
    <col min="522" max="522" width="7.140625" style="3" customWidth="1"/>
    <col min="523" max="523" width="3.42578125" style="3" customWidth="1"/>
    <col min="524" max="524" width="6" style="3" customWidth="1"/>
    <col min="525" max="525" width="2.85546875" style="3" customWidth="1"/>
    <col min="526" max="526" width="6.42578125" style="3" customWidth="1"/>
    <col min="527" max="527" width="3.140625" style="3" customWidth="1"/>
    <col min="528" max="528" width="6.42578125" style="3" customWidth="1"/>
    <col min="529" max="529" width="3.140625" style="3" customWidth="1"/>
    <col min="530" max="530" width="9.7109375" style="3" customWidth="1"/>
    <col min="531" max="531" width="7.42578125" style="3" customWidth="1"/>
    <col min="532" max="532" width="4.140625" style="3" customWidth="1"/>
    <col min="533" max="533" width="6.42578125" style="3" customWidth="1"/>
    <col min="534" max="534" width="3.140625" style="3" customWidth="1"/>
    <col min="535" max="535" width="12.140625" style="3" customWidth="1"/>
    <col min="536" max="536" width="14" style="3" customWidth="1"/>
    <col min="537" max="537" width="8.42578125" style="3" customWidth="1"/>
    <col min="538" max="538" width="4.140625" style="3" customWidth="1"/>
    <col min="539" max="768" width="9.140625" style="3"/>
    <col min="769" max="769" width="5.7109375" style="3" customWidth="1"/>
    <col min="770" max="770" width="5.85546875" style="3" customWidth="1"/>
    <col min="771" max="771" width="5.7109375" style="3" customWidth="1"/>
    <col min="772" max="772" width="2.5703125" style="3" customWidth="1"/>
    <col min="773" max="773" width="6.28515625" style="3" customWidth="1"/>
    <col min="774" max="774" width="3" style="3" customWidth="1"/>
    <col min="775" max="775" width="6.7109375" style="3" customWidth="1"/>
    <col min="776" max="776" width="5.7109375" style="3" customWidth="1"/>
    <col min="777" max="777" width="2.5703125" style="3" customWidth="1"/>
    <col min="778" max="778" width="7.140625" style="3" customWidth="1"/>
    <col min="779" max="779" width="3.42578125" style="3" customWidth="1"/>
    <col min="780" max="780" width="6" style="3" customWidth="1"/>
    <col min="781" max="781" width="2.85546875" style="3" customWidth="1"/>
    <col min="782" max="782" width="6.42578125" style="3" customWidth="1"/>
    <col min="783" max="783" width="3.140625" style="3" customWidth="1"/>
    <col min="784" max="784" width="6.42578125" style="3" customWidth="1"/>
    <col min="785" max="785" width="3.140625" style="3" customWidth="1"/>
    <col min="786" max="786" width="9.7109375" style="3" customWidth="1"/>
    <col min="787" max="787" width="7.42578125" style="3" customWidth="1"/>
    <col min="788" max="788" width="4.140625" style="3" customWidth="1"/>
    <col min="789" max="789" width="6.42578125" style="3" customWidth="1"/>
    <col min="790" max="790" width="3.140625" style="3" customWidth="1"/>
    <col min="791" max="791" width="12.140625" style="3" customWidth="1"/>
    <col min="792" max="792" width="14" style="3" customWidth="1"/>
    <col min="793" max="793" width="8.42578125" style="3" customWidth="1"/>
    <col min="794" max="794" width="4.140625" style="3" customWidth="1"/>
    <col min="795" max="1024" width="9.140625" style="3"/>
    <col min="1025" max="1025" width="5.7109375" style="3" customWidth="1"/>
    <col min="1026" max="1026" width="5.85546875" style="3" customWidth="1"/>
    <col min="1027" max="1027" width="5.7109375" style="3" customWidth="1"/>
    <col min="1028" max="1028" width="2.5703125" style="3" customWidth="1"/>
    <col min="1029" max="1029" width="6.28515625" style="3" customWidth="1"/>
    <col min="1030" max="1030" width="3" style="3" customWidth="1"/>
    <col min="1031" max="1031" width="6.7109375" style="3" customWidth="1"/>
    <col min="1032" max="1032" width="5.7109375" style="3" customWidth="1"/>
    <col min="1033" max="1033" width="2.5703125" style="3" customWidth="1"/>
    <col min="1034" max="1034" width="7.140625" style="3" customWidth="1"/>
    <col min="1035" max="1035" width="3.42578125" style="3" customWidth="1"/>
    <col min="1036" max="1036" width="6" style="3" customWidth="1"/>
    <col min="1037" max="1037" width="2.85546875" style="3" customWidth="1"/>
    <col min="1038" max="1038" width="6.42578125" style="3" customWidth="1"/>
    <col min="1039" max="1039" width="3.140625" style="3" customWidth="1"/>
    <col min="1040" max="1040" width="6.42578125" style="3" customWidth="1"/>
    <col min="1041" max="1041" width="3.140625" style="3" customWidth="1"/>
    <col min="1042" max="1042" width="9.7109375" style="3" customWidth="1"/>
    <col min="1043" max="1043" width="7.42578125" style="3" customWidth="1"/>
    <col min="1044" max="1044" width="4.140625" style="3" customWidth="1"/>
    <col min="1045" max="1045" width="6.42578125" style="3" customWidth="1"/>
    <col min="1046" max="1046" width="3.140625" style="3" customWidth="1"/>
    <col min="1047" max="1047" width="12.140625" style="3" customWidth="1"/>
    <col min="1048" max="1048" width="14" style="3" customWidth="1"/>
    <col min="1049" max="1049" width="8.42578125" style="3" customWidth="1"/>
    <col min="1050" max="1050" width="4.140625" style="3" customWidth="1"/>
    <col min="1051" max="1280" width="9.140625" style="3"/>
    <col min="1281" max="1281" width="5.7109375" style="3" customWidth="1"/>
    <col min="1282" max="1282" width="5.85546875" style="3" customWidth="1"/>
    <col min="1283" max="1283" width="5.7109375" style="3" customWidth="1"/>
    <col min="1284" max="1284" width="2.5703125" style="3" customWidth="1"/>
    <col min="1285" max="1285" width="6.28515625" style="3" customWidth="1"/>
    <col min="1286" max="1286" width="3" style="3" customWidth="1"/>
    <col min="1287" max="1287" width="6.7109375" style="3" customWidth="1"/>
    <col min="1288" max="1288" width="5.7109375" style="3" customWidth="1"/>
    <col min="1289" max="1289" width="2.5703125" style="3" customWidth="1"/>
    <col min="1290" max="1290" width="7.140625" style="3" customWidth="1"/>
    <col min="1291" max="1291" width="3.42578125" style="3" customWidth="1"/>
    <col min="1292" max="1292" width="6" style="3" customWidth="1"/>
    <col min="1293" max="1293" width="2.85546875" style="3" customWidth="1"/>
    <col min="1294" max="1294" width="6.42578125" style="3" customWidth="1"/>
    <col min="1295" max="1295" width="3.140625" style="3" customWidth="1"/>
    <col min="1296" max="1296" width="6.42578125" style="3" customWidth="1"/>
    <col min="1297" max="1297" width="3.140625" style="3" customWidth="1"/>
    <col min="1298" max="1298" width="9.7109375" style="3" customWidth="1"/>
    <col min="1299" max="1299" width="7.42578125" style="3" customWidth="1"/>
    <col min="1300" max="1300" width="4.140625" style="3" customWidth="1"/>
    <col min="1301" max="1301" width="6.42578125" style="3" customWidth="1"/>
    <col min="1302" max="1302" width="3.140625" style="3" customWidth="1"/>
    <col min="1303" max="1303" width="12.140625" style="3" customWidth="1"/>
    <col min="1304" max="1304" width="14" style="3" customWidth="1"/>
    <col min="1305" max="1305" width="8.42578125" style="3" customWidth="1"/>
    <col min="1306" max="1306" width="4.140625" style="3" customWidth="1"/>
    <col min="1307" max="1536" width="9.140625" style="3"/>
    <col min="1537" max="1537" width="5.7109375" style="3" customWidth="1"/>
    <col min="1538" max="1538" width="5.85546875" style="3" customWidth="1"/>
    <col min="1539" max="1539" width="5.7109375" style="3" customWidth="1"/>
    <col min="1540" max="1540" width="2.5703125" style="3" customWidth="1"/>
    <col min="1541" max="1541" width="6.28515625" style="3" customWidth="1"/>
    <col min="1542" max="1542" width="3" style="3" customWidth="1"/>
    <col min="1543" max="1543" width="6.7109375" style="3" customWidth="1"/>
    <col min="1544" max="1544" width="5.7109375" style="3" customWidth="1"/>
    <col min="1545" max="1545" width="2.5703125" style="3" customWidth="1"/>
    <col min="1546" max="1546" width="7.140625" style="3" customWidth="1"/>
    <col min="1547" max="1547" width="3.42578125" style="3" customWidth="1"/>
    <col min="1548" max="1548" width="6" style="3" customWidth="1"/>
    <col min="1549" max="1549" width="2.85546875" style="3" customWidth="1"/>
    <col min="1550" max="1550" width="6.42578125" style="3" customWidth="1"/>
    <col min="1551" max="1551" width="3.140625" style="3" customWidth="1"/>
    <col min="1552" max="1552" width="6.42578125" style="3" customWidth="1"/>
    <col min="1553" max="1553" width="3.140625" style="3" customWidth="1"/>
    <col min="1554" max="1554" width="9.7109375" style="3" customWidth="1"/>
    <col min="1555" max="1555" width="7.42578125" style="3" customWidth="1"/>
    <col min="1556" max="1556" width="4.140625" style="3" customWidth="1"/>
    <col min="1557" max="1557" width="6.42578125" style="3" customWidth="1"/>
    <col min="1558" max="1558" width="3.140625" style="3" customWidth="1"/>
    <col min="1559" max="1559" width="12.140625" style="3" customWidth="1"/>
    <col min="1560" max="1560" width="14" style="3" customWidth="1"/>
    <col min="1561" max="1561" width="8.42578125" style="3" customWidth="1"/>
    <col min="1562" max="1562" width="4.140625" style="3" customWidth="1"/>
    <col min="1563" max="1792" width="9.140625" style="3"/>
    <col min="1793" max="1793" width="5.7109375" style="3" customWidth="1"/>
    <col min="1794" max="1794" width="5.85546875" style="3" customWidth="1"/>
    <col min="1795" max="1795" width="5.7109375" style="3" customWidth="1"/>
    <col min="1796" max="1796" width="2.5703125" style="3" customWidth="1"/>
    <col min="1797" max="1797" width="6.28515625" style="3" customWidth="1"/>
    <col min="1798" max="1798" width="3" style="3" customWidth="1"/>
    <col min="1799" max="1799" width="6.7109375" style="3" customWidth="1"/>
    <col min="1800" max="1800" width="5.7109375" style="3" customWidth="1"/>
    <col min="1801" max="1801" width="2.5703125" style="3" customWidth="1"/>
    <col min="1802" max="1802" width="7.140625" style="3" customWidth="1"/>
    <col min="1803" max="1803" width="3.42578125" style="3" customWidth="1"/>
    <col min="1804" max="1804" width="6" style="3" customWidth="1"/>
    <col min="1805" max="1805" width="2.85546875" style="3" customWidth="1"/>
    <col min="1806" max="1806" width="6.42578125" style="3" customWidth="1"/>
    <col min="1807" max="1807" width="3.140625" style="3" customWidth="1"/>
    <col min="1808" max="1808" width="6.42578125" style="3" customWidth="1"/>
    <col min="1809" max="1809" width="3.140625" style="3" customWidth="1"/>
    <col min="1810" max="1810" width="9.7109375" style="3" customWidth="1"/>
    <col min="1811" max="1811" width="7.42578125" style="3" customWidth="1"/>
    <col min="1812" max="1812" width="4.140625" style="3" customWidth="1"/>
    <col min="1813" max="1813" width="6.42578125" style="3" customWidth="1"/>
    <col min="1814" max="1814" width="3.140625" style="3" customWidth="1"/>
    <col min="1815" max="1815" width="12.140625" style="3" customWidth="1"/>
    <col min="1816" max="1816" width="14" style="3" customWidth="1"/>
    <col min="1817" max="1817" width="8.42578125" style="3" customWidth="1"/>
    <col min="1818" max="1818" width="4.140625" style="3" customWidth="1"/>
    <col min="1819" max="2048" width="9.140625" style="3"/>
    <col min="2049" max="2049" width="5.7109375" style="3" customWidth="1"/>
    <col min="2050" max="2050" width="5.85546875" style="3" customWidth="1"/>
    <col min="2051" max="2051" width="5.7109375" style="3" customWidth="1"/>
    <col min="2052" max="2052" width="2.5703125" style="3" customWidth="1"/>
    <col min="2053" max="2053" width="6.28515625" style="3" customWidth="1"/>
    <col min="2054" max="2054" width="3" style="3" customWidth="1"/>
    <col min="2055" max="2055" width="6.7109375" style="3" customWidth="1"/>
    <col min="2056" max="2056" width="5.7109375" style="3" customWidth="1"/>
    <col min="2057" max="2057" width="2.5703125" style="3" customWidth="1"/>
    <col min="2058" max="2058" width="7.140625" style="3" customWidth="1"/>
    <col min="2059" max="2059" width="3.42578125" style="3" customWidth="1"/>
    <col min="2060" max="2060" width="6" style="3" customWidth="1"/>
    <col min="2061" max="2061" width="2.85546875" style="3" customWidth="1"/>
    <col min="2062" max="2062" width="6.42578125" style="3" customWidth="1"/>
    <col min="2063" max="2063" width="3.140625" style="3" customWidth="1"/>
    <col min="2064" max="2064" width="6.42578125" style="3" customWidth="1"/>
    <col min="2065" max="2065" width="3.140625" style="3" customWidth="1"/>
    <col min="2066" max="2066" width="9.7109375" style="3" customWidth="1"/>
    <col min="2067" max="2067" width="7.42578125" style="3" customWidth="1"/>
    <col min="2068" max="2068" width="4.140625" style="3" customWidth="1"/>
    <col min="2069" max="2069" width="6.42578125" style="3" customWidth="1"/>
    <col min="2070" max="2070" width="3.140625" style="3" customWidth="1"/>
    <col min="2071" max="2071" width="12.140625" style="3" customWidth="1"/>
    <col min="2072" max="2072" width="14" style="3" customWidth="1"/>
    <col min="2073" max="2073" width="8.42578125" style="3" customWidth="1"/>
    <col min="2074" max="2074" width="4.140625" style="3" customWidth="1"/>
    <col min="2075" max="2304" width="9.140625" style="3"/>
    <col min="2305" max="2305" width="5.7109375" style="3" customWidth="1"/>
    <col min="2306" max="2306" width="5.85546875" style="3" customWidth="1"/>
    <col min="2307" max="2307" width="5.7109375" style="3" customWidth="1"/>
    <col min="2308" max="2308" width="2.5703125" style="3" customWidth="1"/>
    <col min="2309" max="2309" width="6.28515625" style="3" customWidth="1"/>
    <col min="2310" max="2310" width="3" style="3" customWidth="1"/>
    <col min="2311" max="2311" width="6.7109375" style="3" customWidth="1"/>
    <col min="2312" max="2312" width="5.7109375" style="3" customWidth="1"/>
    <col min="2313" max="2313" width="2.5703125" style="3" customWidth="1"/>
    <col min="2314" max="2314" width="7.140625" style="3" customWidth="1"/>
    <col min="2315" max="2315" width="3.42578125" style="3" customWidth="1"/>
    <col min="2316" max="2316" width="6" style="3" customWidth="1"/>
    <col min="2317" max="2317" width="2.85546875" style="3" customWidth="1"/>
    <col min="2318" max="2318" width="6.42578125" style="3" customWidth="1"/>
    <col min="2319" max="2319" width="3.140625" style="3" customWidth="1"/>
    <col min="2320" max="2320" width="6.42578125" style="3" customWidth="1"/>
    <col min="2321" max="2321" width="3.140625" style="3" customWidth="1"/>
    <col min="2322" max="2322" width="9.7109375" style="3" customWidth="1"/>
    <col min="2323" max="2323" width="7.42578125" style="3" customWidth="1"/>
    <col min="2324" max="2324" width="4.140625" style="3" customWidth="1"/>
    <col min="2325" max="2325" width="6.42578125" style="3" customWidth="1"/>
    <col min="2326" max="2326" width="3.140625" style="3" customWidth="1"/>
    <col min="2327" max="2327" width="12.140625" style="3" customWidth="1"/>
    <col min="2328" max="2328" width="14" style="3" customWidth="1"/>
    <col min="2329" max="2329" width="8.42578125" style="3" customWidth="1"/>
    <col min="2330" max="2330" width="4.140625" style="3" customWidth="1"/>
    <col min="2331" max="2560" width="9.140625" style="3"/>
    <col min="2561" max="2561" width="5.7109375" style="3" customWidth="1"/>
    <col min="2562" max="2562" width="5.85546875" style="3" customWidth="1"/>
    <col min="2563" max="2563" width="5.7109375" style="3" customWidth="1"/>
    <col min="2564" max="2564" width="2.5703125" style="3" customWidth="1"/>
    <col min="2565" max="2565" width="6.28515625" style="3" customWidth="1"/>
    <col min="2566" max="2566" width="3" style="3" customWidth="1"/>
    <col min="2567" max="2567" width="6.7109375" style="3" customWidth="1"/>
    <col min="2568" max="2568" width="5.7109375" style="3" customWidth="1"/>
    <col min="2569" max="2569" width="2.5703125" style="3" customWidth="1"/>
    <col min="2570" max="2570" width="7.140625" style="3" customWidth="1"/>
    <col min="2571" max="2571" width="3.42578125" style="3" customWidth="1"/>
    <col min="2572" max="2572" width="6" style="3" customWidth="1"/>
    <col min="2573" max="2573" width="2.85546875" style="3" customWidth="1"/>
    <col min="2574" max="2574" width="6.42578125" style="3" customWidth="1"/>
    <col min="2575" max="2575" width="3.140625" style="3" customWidth="1"/>
    <col min="2576" max="2576" width="6.42578125" style="3" customWidth="1"/>
    <col min="2577" max="2577" width="3.140625" style="3" customWidth="1"/>
    <col min="2578" max="2578" width="9.7109375" style="3" customWidth="1"/>
    <col min="2579" max="2579" width="7.42578125" style="3" customWidth="1"/>
    <col min="2580" max="2580" width="4.140625" style="3" customWidth="1"/>
    <col min="2581" max="2581" width="6.42578125" style="3" customWidth="1"/>
    <col min="2582" max="2582" width="3.140625" style="3" customWidth="1"/>
    <col min="2583" max="2583" width="12.140625" style="3" customWidth="1"/>
    <col min="2584" max="2584" width="14" style="3" customWidth="1"/>
    <col min="2585" max="2585" width="8.42578125" style="3" customWidth="1"/>
    <col min="2586" max="2586" width="4.140625" style="3" customWidth="1"/>
    <col min="2587" max="2816" width="9.140625" style="3"/>
    <col min="2817" max="2817" width="5.7109375" style="3" customWidth="1"/>
    <col min="2818" max="2818" width="5.85546875" style="3" customWidth="1"/>
    <col min="2819" max="2819" width="5.7109375" style="3" customWidth="1"/>
    <col min="2820" max="2820" width="2.5703125" style="3" customWidth="1"/>
    <col min="2821" max="2821" width="6.28515625" style="3" customWidth="1"/>
    <col min="2822" max="2822" width="3" style="3" customWidth="1"/>
    <col min="2823" max="2823" width="6.7109375" style="3" customWidth="1"/>
    <col min="2824" max="2824" width="5.7109375" style="3" customWidth="1"/>
    <col min="2825" max="2825" width="2.5703125" style="3" customWidth="1"/>
    <col min="2826" max="2826" width="7.140625" style="3" customWidth="1"/>
    <col min="2827" max="2827" width="3.42578125" style="3" customWidth="1"/>
    <col min="2828" max="2828" width="6" style="3" customWidth="1"/>
    <col min="2829" max="2829" width="2.85546875" style="3" customWidth="1"/>
    <col min="2830" max="2830" width="6.42578125" style="3" customWidth="1"/>
    <col min="2831" max="2831" width="3.140625" style="3" customWidth="1"/>
    <col min="2832" max="2832" width="6.42578125" style="3" customWidth="1"/>
    <col min="2833" max="2833" width="3.140625" style="3" customWidth="1"/>
    <col min="2834" max="2834" width="9.7109375" style="3" customWidth="1"/>
    <col min="2835" max="2835" width="7.42578125" style="3" customWidth="1"/>
    <col min="2836" max="2836" width="4.140625" style="3" customWidth="1"/>
    <col min="2837" max="2837" width="6.42578125" style="3" customWidth="1"/>
    <col min="2838" max="2838" width="3.140625" style="3" customWidth="1"/>
    <col min="2839" max="2839" width="12.140625" style="3" customWidth="1"/>
    <col min="2840" max="2840" width="14" style="3" customWidth="1"/>
    <col min="2841" max="2841" width="8.42578125" style="3" customWidth="1"/>
    <col min="2842" max="2842" width="4.140625" style="3" customWidth="1"/>
    <col min="2843" max="3072" width="9.140625" style="3"/>
    <col min="3073" max="3073" width="5.7109375" style="3" customWidth="1"/>
    <col min="3074" max="3074" width="5.85546875" style="3" customWidth="1"/>
    <col min="3075" max="3075" width="5.7109375" style="3" customWidth="1"/>
    <col min="3076" max="3076" width="2.5703125" style="3" customWidth="1"/>
    <col min="3077" max="3077" width="6.28515625" style="3" customWidth="1"/>
    <col min="3078" max="3078" width="3" style="3" customWidth="1"/>
    <col min="3079" max="3079" width="6.7109375" style="3" customWidth="1"/>
    <col min="3080" max="3080" width="5.7109375" style="3" customWidth="1"/>
    <col min="3081" max="3081" width="2.5703125" style="3" customWidth="1"/>
    <col min="3082" max="3082" width="7.140625" style="3" customWidth="1"/>
    <col min="3083" max="3083" width="3.42578125" style="3" customWidth="1"/>
    <col min="3084" max="3084" width="6" style="3" customWidth="1"/>
    <col min="3085" max="3085" width="2.85546875" style="3" customWidth="1"/>
    <col min="3086" max="3086" width="6.42578125" style="3" customWidth="1"/>
    <col min="3087" max="3087" width="3.140625" style="3" customWidth="1"/>
    <col min="3088" max="3088" width="6.42578125" style="3" customWidth="1"/>
    <col min="3089" max="3089" width="3.140625" style="3" customWidth="1"/>
    <col min="3090" max="3090" width="9.7109375" style="3" customWidth="1"/>
    <col min="3091" max="3091" width="7.42578125" style="3" customWidth="1"/>
    <col min="3092" max="3092" width="4.140625" style="3" customWidth="1"/>
    <col min="3093" max="3093" width="6.42578125" style="3" customWidth="1"/>
    <col min="3094" max="3094" width="3.140625" style="3" customWidth="1"/>
    <col min="3095" max="3095" width="12.140625" style="3" customWidth="1"/>
    <col min="3096" max="3096" width="14" style="3" customWidth="1"/>
    <col min="3097" max="3097" width="8.42578125" style="3" customWidth="1"/>
    <col min="3098" max="3098" width="4.140625" style="3" customWidth="1"/>
    <col min="3099" max="3328" width="9.140625" style="3"/>
    <col min="3329" max="3329" width="5.7109375" style="3" customWidth="1"/>
    <col min="3330" max="3330" width="5.85546875" style="3" customWidth="1"/>
    <col min="3331" max="3331" width="5.7109375" style="3" customWidth="1"/>
    <col min="3332" max="3332" width="2.5703125" style="3" customWidth="1"/>
    <col min="3333" max="3333" width="6.28515625" style="3" customWidth="1"/>
    <col min="3334" max="3334" width="3" style="3" customWidth="1"/>
    <col min="3335" max="3335" width="6.7109375" style="3" customWidth="1"/>
    <col min="3336" max="3336" width="5.7109375" style="3" customWidth="1"/>
    <col min="3337" max="3337" width="2.5703125" style="3" customWidth="1"/>
    <col min="3338" max="3338" width="7.140625" style="3" customWidth="1"/>
    <col min="3339" max="3339" width="3.42578125" style="3" customWidth="1"/>
    <col min="3340" max="3340" width="6" style="3" customWidth="1"/>
    <col min="3341" max="3341" width="2.85546875" style="3" customWidth="1"/>
    <col min="3342" max="3342" width="6.42578125" style="3" customWidth="1"/>
    <col min="3343" max="3343" width="3.140625" style="3" customWidth="1"/>
    <col min="3344" max="3344" width="6.42578125" style="3" customWidth="1"/>
    <col min="3345" max="3345" width="3.140625" style="3" customWidth="1"/>
    <col min="3346" max="3346" width="9.7109375" style="3" customWidth="1"/>
    <col min="3347" max="3347" width="7.42578125" style="3" customWidth="1"/>
    <col min="3348" max="3348" width="4.140625" style="3" customWidth="1"/>
    <col min="3349" max="3349" width="6.42578125" style="3" customWidth="1"/>
    <col min="3350" max="3350" width="3.140625" style="3" customWidth="1"/>
    <col min="3351" max="3351" width="12.140625" style="3" customWidth="1"/>
    <col min="3352" max="3352" width="14" style="3" customWidth="1"/>
    <col min="3353" max="3353" width="8.42578125" style="3" customWidth="1"/>
    <col min="3354" max="3354" width="4.140625" style="3" customWidth="1"/>
    <col min="3355" max="3584" width="9.140625" style="3"/>
    <col min="3585" max="3585" width="5.7109375" style="3" customWidth="1"/>
    <col min="3586" max="3586" width="5.85546875" style="3" customWidth="1"/>
    <col min="3587" max="3587" width="5.7109375" style="3" customWidth="1"/>
    <col min="3588" max="3588" width="2.5703125" style="3" customWidth="1"/>
    <col min="3589" max="3589" width="6.28515625" style="3" customWidth="1"/>
    <col min="3590" max="3590" width="3" style="3" customWidth="1"/>
    <col min="3591" max="3591" width="6.7109375" style="3" customWidth="1"/>
    <col min="3592" max="3592" width="5.7109375" style="3" customWidth="1"/>
    <col min="3593" max="3593" width="2.5703125" style="3" customWidth="1"/>
    <col min="3594" max="3594" width="7.140625" style="3" customWidth="1"/>
    <col min="3595" max="3595" width="3.42578125" style="3" customWidth="1"/>
    <col min="3596" max="3596" width="6" style="3" customWidth="1"/>
    <col min="3597" max="3597" width="2.85546875" style="3" customWidth="1"/>
    <col min="3598" max="3598" width="6.42578125" style="3" customWidth="1"/>
    <col min="3599" max="3599" width="3.140625" style="3" customWidth="1"/>
    <col min="3600" max="3600" width="6.42578125" style="3" customWidth="1"/>
    <col min="3601" max="3601" width="3.140625" style="3" customWidth="1"/>
    <col min="3602" max="3602" width="9.7109375" style="3" customWidth="1"/>
    <col min="3603" max="3603" width="7.42578125" style="3" customWidth="1"/>
    <col min="3604" max="3604" width="4.140625" style="3" customWidth="1"/>
    <col min="3605" max="3605" width="6.42578125" style="3" customWidth="1"/>
    <col min="3606" max="3606" width="3.140625" style="3" customWidth="1"/>
    <col min="3607" max="3607" width="12.140625" style="3" customWidth="1"/>
    <col min="3608" max="3608" width="14" style="3" customWidth="1"/>
    <col min="3609" max="3609" width="8.42578125" style="3" customWidth="1"/>
    <col min="3610" max="3610" width="4.140625" style="3" customWidth="1"/>
    <col min="3611" max="3840" width="9.140625" style="3"/>
    <col min="3841" max="3841" width="5.7109375" style="3" customWidth="1"/>
    <col min="3842" max="3842" width="5.85546875" style="3" customWidth="1"/>
    <col min="3843" max="3843" width="5.7109375" style="3" customWidth="1"/>
    <col min="3844" max="3844" width="2.5703125" style="3" customWidth="1"/>
    <col min="3845" max="3845" width="6.28515625" style="3" customWidth="1"/>
    <col min="3846" max="3846" width="3" style="3" customWidth="1"/>
    <col min="3847" max="3847" width="6.7109375" style="3" customWidth="1"/>
    <col min="3848" max="3848" width="5.7109375" style="3" customWidth="1"/>
    <col min="3849" max="3849" width="2.5703125" style="3" customWidth="1"/>
    <col min="3850" max="3850" width="7.140625" style="3" customWidth="1"/>
    <col min="3851" max="3851" width="3.42578125" style="3" customWidth="1"/>
    <col min="3852" max="3852" width="6" style="3" customWidth="1"/>
    <col min="3853" max="3853" width="2.85546875" style="3" customWidth="1"/>
    <col min="3854" max="3854" width="6.42578125" style="3" customWidth="1"/>
    <col min="3855" max="3855" width="3.140625" style="3" customWidth="1"/>
    <col min="3856" max="3856" width="6.42578125" style="3" customWidth="1"/>
    <col min="3857" max="3857" width="3.140625" style="3" customWidth="1"/>
    <col min="3858" max="3858" width="9.7109375" style="3" customWidth="1"/>
    <col min="3859" max="3859" width="7.42578125" style="3" customWidth="1"/>
    <col min="3860" max="3860" width="4.140625" style="3" customWidth="1"/>
    <col min="3861" max="3861" width="6.42578125" style="3" customWidth="1"/>
    <col min="3862" max="3862" width="3.140625" style="3" customWidth="1"/>
    <col min="3863" max="3863" width="12.140625" style="3" customWidth="1"/>
    <col min="3864" max="3864" width="14" style="3" customWidth="1"/>
    <col min="3865" max="3865" width="8.42578125" style="3" customWidth="1"/>
    <col min="3866" max="3866" width="4.140625" style="3" customWidth="1"/>
    <col min="3867" max="4096" width="9.140625" style="3"/>
    <col min="4097" max="4097" width="5.7109375" style="3" customWidth="1"/>
    <col min="4098" max="4098" width="5.85546875" style="3" customWidth="1"/>
    <col min="4099" max="4099" width="5.7109375" style="3" customWidth="1"/>
    <col min="4100" max="4100" width="2.5703125" style="3" customWidth="1"/>
    <col min="4101" max="4101" width="6.28515625" style="3" customWidth="1"/>
    <col min="4102" max="4102" width="3" style="3" customWidth="1"/>
    <col min="4103" max="4103" width="6.7109375" style="3" customWidth="1"/>
    <col min="4104" max="4104" width="5.7109375" style="3" customWidth="1"/>
    <col min="4105" max="4105" width="2.5703125" style="3" customWidth="1"/>
    <col min="4106" max="4106" width="7.140625" style="3" customWidth="1"/>
    <col min="4107" max="4107" width="3.42578125" style="3" customWidth="1"/>
    <col min="4108" max="4108" width="6" style="3" customWidth="1"/>
    <col min="4109" max="4109" width="2.85546875" style="3" customWidth="1"/>
    <col min="4110" max="4110" width="6.42578125" style="3" customWidth="1"/>
    <col min="4111" max="4111" width="3.140625" style="3" customWidth="1"/>
    <col min="4112" max="4112" width="6.42578125" style="3" customWidth="1"/>
    <col min="4113" max="4113" width="3.140625" style="3" customWidth="1"/>
    <col min="4114" max="4114" width="9.7109375" style="3" customWidth="1"/>
    <col min="4115" max="4115" width="7.42578125" style="3" customWidth="1"/>
    <col min="4116" max="4116" width="4.140625" style="3" customWidth="1"/>
    <col min="4117" max="4117" width="6.42578125" style="3" customWidth="1"/>
    <col min="4118" max="4118" width="3.140625" style="3" customWidth="1"/>
    <col min="4119" max="4119" width="12.140625" style="3" customWidth="1"/>
    <col min="4120" max="4120" width="14" style="3" customWidth="1"/>
    <col min="4121" max="4121" width="8.42578125" style="3" customWidth="1"/>
    <col min="4122" max="4122" width="4.140625" style="3" customWidth="1"/>
    <col min="4123" max="4352" width="9.140625" style="3"/>
    <col min="4353" max="4353" width="5.7109375" style="3" customWidth="1"/>
    <col min="4354" max="4354" width="5.85546875" style="3" customWidth="1"/>
    <col min="4355" max="4355" width="5.7109375" style="3" customWidth="1"/>
    <col min="4356" max="4356" width="2.5703125" style="3" customWidth="1"/>
    <col min="4357" max="4357" width="6.28515625" style="3" customWidth="1"/>
    <col min="4358" max="4358" width="3" style="3" customWidth="1"/>
    <col min="4359" max="4359" width="6.7109375" style="3" customWidth="1"/>
    <col min="4360" max="4360" width="5.7109375" style="3" customWidth="1"/>
    <col min="4361" max="4361" width="2.5703125" style="3" customWidth="1"/>
    <col min="4362" max="4362" width="7.140625" style="3" customWidth="1"/>
    <col min="4363" max="4363" width="3.42578125" style="3" customWidth="1"/>
    <col min="4364" max="4364" width="6" style="3" customWidth="1"/>
    <col min="4365" max="4365" width="2.85546875" style="3" customWidth="1"/>
    <col min="4366" max="4366" width="6.42578125" style="3" customWidth="1"/>
    <col min="4367" max="4367" width="3.140625" style="3" customWidth="1"/>
    <col min="4368" max="4368" width="6.42578125" style="3" customWidth="1"/>
    <col min="4369" max="4369" width="3.140625" style="3" customWidth="1"/>
    <col min="4370" max="4370" width="9.7109375" style="3" customWidth="1"/>
    <col min="4371" max="4371" width="7.42578125" style="3" customWidth="1"/>
    <col min="4372" max="4372" width="4.140625" style="3" customWidth="1"/>
    <col min="4373" max="4373" width="6.42578125" style="3" customWidth="1"/>
    <col min="4374" max="4374" width="3.140625" style="3" customWidth="1"/>
    <col min="4375" max="4375" width="12.140625" style="3" customWidth="1"/>
    <col min="4376" max="4376" width="14" style="3" customWidth="1"/>
    <col min="4377" max="4377" width="8.42578125" style="3" customWidth="1"/>
    <col min="4378" max="4378" width="4.140625" style="3" customWidth="1"/>
    <col min="4379" max="4608" width="9.140625" style="3"/>
    <col min="4609" max="4609" width="5.7109375" style="3" customWidth="1"/>
    <col min="4610" max="4610" width="5.85546875" style="3" customWidth="1"/>
    <col min="4611" max="4611" width="5.7109375" style="3" customWidth="1"/>
    <col min="4612" max="4612" width="2.5703125" style="3" customWidth="1"/>
    <col min="4613" max="4613" width="6.28515625" style="3" customWidth="1"/>
    <col min="4614" max="4614" width="3" style="3" customWidth="1"/>
    <col min="4615" max="4615" width="6.7109375" style="3" customWidth="1"/>
    <col min="4616" max="4616" width="5.7109375" style="3" customWidth="1"/>
    <col min="4617" max="4617" width="2.5703125" style="3" customWidth="1"/>
    <col min="4618" max="4618" width="7.140625" style="3" customWidth="1"/>
    <col min="4619" max="4619" width="3.42578125" style="3" customWidth="1"/>
    <col min="4620" max="4620" width="6" style="3" customWidth="1"/>
    <col min="4621" max="4621" width="2.85546875" style="3" customWidth="1"/>
    <col min="4622" max="4622" width="6.42578125" style="3" customWidth="1"/>
    <col min="4623" max="4623" width="3.140625" style="3" customWidth="1"/>
    <col min="4624" max="4624" width="6.42578125" style="3" customWidth="1"/>
    <col min="4625" max="4625" width="3.140625" style="3" customWidth="1"/>
    <col min="4626" max="4626" width="9.7109375" style="3" customWidth="1"/>
    <col min="4627" max="4627" width="7.42578125" style="3" customWidth="1"/>
    <col min="4628" max="4628" width="4.140625" style="3" customWidth="1"/>
    <col min="4629" max="4629" width="6.42578125" style="3" customWidth="1"/>
    <col min="4630" max="4630" width="3.140625" style="3" customWidth="1"/>
    <col min="4631" max="4631" width="12.140625" style="3" customWidth="1"/>
    <col min="4632" max="4632" width="14" style="3" customWidth="1"/>
    <col min="4633" max="4633" width="8.42578125" style="3" customWidth="1"/>
    <col min="4634" max="4634" width="4.140625" style="3" customWidth="1"/>
    <col min="4635" max="4864" width="9.140625" style="3"/>
    <col min="4865" max="4865" width="5.7109375" style="3" customWidth="1"/>
    <col min="4866" max="4866" width="5.85546875" style="3" customWidth="1"/>
    <col min="4867" max="4867" width="5.7109375" style="3" customWidth="1"/>
    <col min="4868" max="4868" width="2.5703125" style="3" customWidth="1"/>
    <col min="4869" max="4869" width="6.28515625" style="3" customWidth="1"/>
    <col min="4870" max="4870" width="3" style="3" customWidth="1"/>
    <col min="4871" max="4871" width="6.7109375" style="3" customWidth="1"/>
    <col min="4872" max="4872" width="5.7109375" style="3" customWidth="1"/>
    <col min="4873" max="4873" width="2.5703125" style="3" customWidth="1"/>
    <col min="4874" max="4874" width="7.140625" style="3" customWidth="1"/>
    <col min="4875" max="4875" width="3.42578125" style="3" customWidth="1"/>
    <col min="4876" max="4876" width="6" style="3" customWidth="1"/>
    <col min="4877" max="4877" width="2.85546875" style="3" customWidth="1"/>
    <col min="4878" max="4878" width="6.42578125" style="3" customWidth="1"/>
    <col min="4879" max="4879" width="3.140625" style="3" customWidth="1"/>
    <col min="4880" max="4880" width="6.42578125" style="3" customWidth="1"/>
    <col min="4881" max="4881" width="3.140625" style="3" customWidth="1"/>
    <col min="4882" max="4882" width="9.7109375" style="3" customWidth="1"/>
    <col min="4883" max="4883" width="7.42578125" style="3" customWidth="1"/>
    <col min="4884" max="4884" width="4.140625" style="3" customWidth="1"/>
    <col min="4885" max="4885" width="6.42578125" style="3" customWidth="1"/>
    <col min="4886" max="4886" width="3.140625" style="3" customWidth="1"/>
    <col min="4887" max="4887" width="12.140625" style="3" customWidth="1"/>
    <col min="4888" max="4888" width="14" style="3" customWidth="1"/>
    <col min="4889" max="4889" width="8.42578125" style="3" customWidth="1"/>
    <col min="4890" max="4890" width="4.140625" style="3" customWidth="1"/>
    <col min="4891" max="5120" width="9.140625" style="3"/>
    <col min="5121" max="5121" width="5.7109375" style="3" customWidth="1"/>
    <col min="5122" max="5122" width="5.85546875" style="3" customWidth="1"/>
    <col min="5123" max="5123" width="5.7109375" style="3" customWidth="1"/>
    <col min="5124" max="5124" width="2.5703125" style="3" customWidth="1"/>
    <col min="5125" max="5125" width="6.28515625" style="3" customWidth="1"/>
    <col min="5126" max="5126" width="3" style="3" customWidth="1"/>
    <col min="5127" max="5127" width="6.7109375" style="3" customWidth="1"/>
    <col min="5128" max="5128" width="5.7109375" style="3" customWidth="1"/>
    <col min="5129" max="5129" width="2.5703125" style="3" customWidth="1"/>
    <col min="5130" max="5130" width="7.140625" style="3" customWidth="1"/>
    <col min="5131" max="5131" width="3.42578125" style="3" customWidth="1"/>
    <col min="5132" max="5132" width="6" style="3" customWidth="1"/>
    <col min="5133" max="5133" width="2.85546875" style="3" customWidth="1"/>
    <col min="5134" max="5134" width="6.42578125" style="3" customWidth="1"/>
    <col min="5135" max="5135" width="3.140625" style="3" customWidth="1"/>
    <col min="5136" max="5136" width="6.42578125" style="3" customWidth="1"/>
    <col min="5137" max="5137" width="3.140625" style="3" customWidth="1"/>
    <col min="5138" max="5138" width="9.7109375" style="3" customWidth="1"/>
    <col min="5139" max="5139" width="7.42578125" style="3" customWidth="1"/>
    <col min="5140" max="5140" width="4.140625" style="3" customWidth="1"/>
    <col min="5141" max="5141" width="6.42578125" style="3" customWidth="1"/>
    <col min="5142" max="5142" width="3.140625" style="3" customWidth="1"/>
    <col min="5143" max="5143" width="12.140625" style="3" customWidth="1"/>
    <col min="5144" max="5144" width="14" style="3" customWidth="1"/>
    <col min="5145" max="5145" width="8.42578125" style="3" customWidth="1"/>
    <col min="5146" max="5146" width="4.140625" style="3" customWidth="1"/>
    <col min="5147" max="5376" width="9.140625" style="3"/>
    <col min="5377" max="5377" width="5.7109375" style="3" customWidth="1"/>
    <col min="5378" max="5378" width="5.85546875" style="3" customWidth="1"/>
    <col min="5379" max="5379" width="5.7109375" style="3" customWidth="1"/>
    <col min="5380" max="5380" width="2.5703125" style="3" customWidth="1"/>
    <col min="5381" max="5381" width="6.28515625" style="3" customWidth="1"/>
    <col min="5382" max="5382" width="3" style="3" customWidth="1"/>
    <col min="5383" max="5383" width="6.7109375" style="3" customWidth="1"/>
    <col min="5384" max="5384" width="5.7109375" style="3" customWidth="1"/>
    <col min="5385" max="5385" width="2.5703125" style="3" customWidth="1"/>
    <col min="5386" max="5386" width="7.140625" style="3" customWidth="1"/>
    <col min="5387" max="5387" width="3.42578125" style="3" customWidth="1"/>
    <col min="5388" max="5388" width="6" style="3" customWidth="1"/>
    <col min="5389" max="5389" width="2.85546875" style="3" customWidth="1"/>
    <col min="5390" max="5390" width="6.42578125" style="3" customWidth="1"/>
    <col min="5391" max="5391" width="3.140625" style="3" customWidth="1"/>
    <col min="5392" max="5392" width="6.42578125" style="3" customWidth="1"/>
    <col min="5393" max="5393" width="3.140625" style="3" customWidth="1"/>
    <col min="5394" max="5394" width="9.7109375" style="3" customWidth="1"/>
    <col min="5395" max="5395" width="7.42578125" style="3" customWidth="1"/>
    <col min="5396" max="5396" width="4.140625" style="3" customWidth="1"/>
    <col min="5397" max="5397" width="6.42578125" style="3" customWidth="1"/>
    <col min="5398" max="5398" width="3.140625" style="3" customWidth="1"/>
    <col min="5399" max="5399" width="12.140625" style="3" customWidth="1"/>
    <col min="5400" max="5400" width="14" style="3" customWidth="1"/>
    <col min="5401" max="5401" width="8.42578125" style="3" customWidth="1"/>
    <col min="5402" max="5402" width="4.140625" style="3" customWidth="1"/>
    <col min="5403" max="5632" width="9.140625" style="3"/>
    <col min="5633" max="5633" width="5.7109375" style="3" customWidth="1"/>
    <col min="5634" max="5634" width="5.85546875" style="3" customWidth="1"/>
    <col min="5635" max="5635" width="5.7109375" style="3" customWidth="1"/>
    <col min="5636" max="5636" width="2.5703125" style="3" customWidth="1"/>
    <col min="5637" max="5637" width="6.28515625" style="3" customWidth="1"/>
    <col min="5638" max="5638" width="3" style="3" customWidth="1"/>
    <col min="5639" max="5639" width="6.7109375" style="3" customWidth="1"/>
    <col min="5640" max="5640" width="5.7109375" style="3" customWidth="1"/>
    <col min="5641" max="5641" width="2.5703125" style="3" customWidth="1"/>
    <col min="5642" max="5642" width="7.140625" style="3" customWidth="1"/>
    <col min="5643" max="5643" width="3.42578125" style="3" customWidth="1"/>
    <col min="5644" max="5644" width="6" style="3" customWidth="1"/>
    <col min="5645" max="5645" width="2.85546875" style="3" customWidth="1"/>
    <col min="5646" max="5646" width="6.42578125" style="3" customWidth="1"/>
    <col min="5647" max="5647" width="3.140625" style="3" customWidth="1"/>
    <col min="5648" max="5648" width="6.42578125" style="3" customWidth="1"/>
    <col min="5649" max="5649" width="3.140625" style="3" customWidth="1"/>
    <col min="5650" max="5650" width="9.7109375" style="3" customWidth="1"/>
    <col min="5651" max="5651" width="7.42578125" style="3" customWidth="1"/>
    <col min="5652" max="5652" width="4.140625" style="3" customWidth="1"/>
    <col min="5653" max="5653" width="6.42578125" style="3" customWidth="1"/>
    <col min="5654" max="5654" width="3.140625" style="3" customWidth="1"/>
    <col min="5655" max="5655" width="12.140625" style="3" customWidth="1"/>
    <col min="5656" max="5656" width="14" style="3" customWidth="1"/>
    <col min="5657" max="5657" width="8.42578125" style="3" customWidth="1"/>
    <col min="5658" max="5658" width="4.140625" style="3" customWidth="1"/>
    <col min="5659" max="5888" width="9.140625" style="3"/>
    <col min="5889" max="5889" width="5.7109375" style="3" customWidth="1"/>
    <col min="5890" max="5890" width="5.85546875" style="3" customWidth="1"/>
    <col min="5891" max="5891" width="5.7109375" style="3" customWidth="1"/>
    <col min="5892" max="5892" width="2.5703125" style="3" customWidth="1"/>
    <col min="5893" max="5893" width="6.28515625" style="3" customWidth="1"/>
    <col min="5894" max="5894" width="3" style="3" customWidth="1"/>
    <col min="5895" max="5895" width="6.7109375" style="3" customWidth="1"/>
    <col min="5896" max="5896" width="5.7109375" style="3" customWidth="1"/>
    <col min="5897" max="5897" width="2.5703125" style="3" customWidth="1"/>
    <col min="5898" max="5898" width="7.140625" style="3" customWidth="1"/>
    <col min="5899" max="5899" width="3.42578125" style="3" customWidth="1"/>
    <col min="5900" max="5900" width="6" style="3" customWidth="1"/>
    <col min="5901" max="5901" width="2.85546875" style="3" customWidth="1"/>
    <col min="5902" max="5902" width="6.42578125" style="3" customWidth="1"/>
    <col min="5903" max="5903" width="3.140625" style="3" customWidth="1"/>
    <col min="5904" max="5904" width="6.42578125" style="3" customWidth="1"/>
    <col min="5905" max="5905" width="3.140625" style="3" customWidth="1"/>
    <col min="5906" max="5906" width="9.7109375" style="3" customWidth="1"/>
    <col min="5907" max="5907" width="7.42578125" style="3" customWidth="1"/>
    <col min="5908" max="5908" width="4.140625" style="3" customWidth="1"/>
    <col min="5909" max="5909" width="6.42578125" style="3" customWidth="1"/>
    <col min="5910" max="5910" width="3.140625" style="3" customWidth="1"/>
    <col min="5911" max="5911" width="12.140625" style="3" customWidth="1"/>
    <col min="5912" max="5912" width="14" style="3" customWidth="1"/>
    <col min="5913" max="5913" width="8.42578125" style="3" customWidth="1"/>
    <col min="5914" max="5914" width="4.140625" style="3" customWidth="1"/>
    <col min="5915" max="6144" width="9.140625" style="3"/>
    <col min="6145" max="6145" width="5.7109375" style="3" customWidth="1"/>
    <col min="6146" max="6146" width="5.85546875" style="3" customWidth="1"/>
    <col min="6147" max="6147" width="5.7109375" style="3" customWidth="1"/>
    <col min="6148" max="6148" width="2.5703125" style="3" customWidth="1"/>
    <col min="6149" max="6149" width="6.28515625" style="3" customWidth="1"/>
    <col min="6150" max="6150" width="3" style="3" customWidth="1"/>
    <col min="6151" max="6151" width="6.7109375" style="3" customWidth="1"/>
    <col min="6152" max="6152" width="5.7109375" style="3" customWidth="1"/>
    <col min="6153" max="6153" width="2.5703125" style="3" customWidth="1"/>
    <col min="6154" max="6154" width="7.140625" style="3" customWidth="1"/>
    <col min="6155" max="6155" width="3.42578125" style="3" customWidth="1"/>
    <col min="6156" max="6156" width="6" style="3" customWidth="1"/>
    <col min="6157" max="6157" width="2.85546875" style="3" customWidth="1"/>
    <col min="6158" max="6158" width="6.42578125" style="3" customWidth="1"/>
    <col min="6159" max="6159" width="3.140625" style="3" customWidth="1"/>
    <col min="6160" max="6160" width="6.42578125" style="3" customWidth="1"/>
    <col min="6161" max="6161" width="3.140625" style="3" customWidth="1"/>
    <col min="6162" max="6162" width="9.7109375" style="3" customWidth="1"/>
    <col min="6163" max="6163" width="7.42578125" style="3" customWidth="1"/>
    <col min="6164" max="6164" width="4.140625" style="3" customWidth="1"/>
    <col min="6165" max="6165" width="6.42578125" style="3" customWidth="1"/>
    <col min="6166" max="6166" width="3.140625" style="3" customWidth="1"/>
    <col min="6167" max="6167" width="12.140625" style="3" customWidth="1"/>
    <col min="6168" max="6168" width="14" style="3" customWidth="1"/>
    <col min="6169" max="6169" width="8.42578125" style="3" customWidth="1"/>
    <col min="6170" max="6170" width="4.140625" style="3" customWidth="1"/>
    <col min="6171" max="6400" width="9.140625" style="3"/>
    <col min="6401" max="6401" width="5.7109375" style="3" customWidth="1"/>
    <col min="6402" max="6402" width="5.85546875" style="3" customWidth="1"/>
    <col min="6403" max="6403" width="5.7109375" style="3" customWidth="1"/>
    <col min="6404" max="6404" width="2.5703125" style="3" customWidth="1"/>
    <col min="6405" max="6405" width="6.28515625" style="3" customWidth="1"/>
    <col min="6406" max="6406" width="3" style="3" customWidth="1"/>
    <col min="6407" max="6407" width="6.7109375" style="3" customWidth="1"/>
    <col min="6408" max="6408" width="5.7109375" style="3" customWidth="1"/>
    <col min="6409" max="6409" width="2.5703125" style="3" customWidth="1"/>
    <col min="6410" max="6410" width="7.140625" style="3" customWidth="1"/>
    <col min="6411" max="6411" width="3.42578125" style="3" customWidth="1"/>
    <col min="6412" max="6412" width="6" style="3" customWidth="1"/>
    <col min="6413" max="6413" width="2.85546875" style="3" customWidth="1"/>
    <col min="6414" max="6414" width="6.42578125" style="3" customWidth="1"/>
    <col min="6415" max="6415" width="3.140625" style="3" customWidth="1"/>
    <col min="6416" max="6416" width="6.42578125" style="3" customWidth="1"/>
    <col min="6417" max="6417" width="3.140625" style="3" customWidth="1"/>
    <col min="6418" max="6418" width="9.7109375" style="3" customWidth="1"/>
    <col min="6419" max="6419" width="7.42578125" style="3" customWidth="1"/>
    <col min="6420" max="6420" width="4.140625" style="3" customWidth="1"/>
    <col min="6421" max="6421" width="6.42578125" style="3" customWidth="1"/>
    <col min="6422" max="6422" width="3.140625" style="3" customWidth="1"/>
    <col min="6423" max="6423" width="12.140625" style="3" customWidth="1"/>
    <col min="6424" max="6424" width="14" style="3" customWidth="1"/>
    <col min="6425" max="6425" width="8.42578125" style="3" customWidth="1"/>
    <col min="6426" max="6426" width="4.140625" style="3" customWidth="1"/>
    <col min="6427" max="6656" width="9.140625" style="3"/>
    <col min="6657" max="6657" width="5.7109375" style="3" customWidth="1"/>
    <col min="6658" max="6658" width="5.85546875" style="3" customWidth="1"/>
    <col min="6659" max="6659" width="5.7109375" style="3" customWidth="1"/>
    <col min="6660" max="6660" width="2.5703125" style="3" customWidth="1"/>
    <col min="6661" max="6661" width="6.28515625" style="3" customWidth="1"/>
    <col min="6662" max="6662" width="3" style="3" customWidth="1"/>
    <col min="6663" max="6663" width="6.7109375" style="3" customWidth="1"/>
    <col min="6664" max="6664" width="5.7109375" style="3" customWidth="1"/>
    <col min="6665" max="6665" width="2.5703125" style="3" customWidth="1"/>
    <col min="6666" max="6666" width="7.140625" style="3" customWidth="1"/>
    <col min="6667" max="6667" width="3.42578125" style="3" customWidth="1"/>
    <col min="6668" max="6668" width="6" style="3" customWidth="1"/>
    <col min="6669" max="6669" width="2.85546875" style="3" customWidth="1"/>
    <col min="6670" max="6670" width="6.42578125" style="3" customWidth="1"/>
    <col min="6671" max="6671" width="3.140625" style="3" customWidth="1"/>
    <col min="6672" max="6672" width="6.42578125" style="3" customWidth="1"/>
    <col min="6673" max="6673" width="3.140625" style="3" customWidth="1"/>
    <col min="6674" max="6674" width="9.7109375" style="3" customWidth="1"/>
    <col min="6675" max="6675" width="7.42578125" style="3" customWidth="1"/>
    <col min="6676" max="6676" width="4.140625" style="3" customWidth="1"/>
    <col min="6677" max="6677" width="6.42578125" style="3" customWidth="1"/>
    <col min="6678" max="6678" width="3.140625" style="3" customWidth="1"/>
    <col min="6679" max="6679" width="12.140625" style="3" customWidth="1"/>
    <col min="6680" max="6680" width="14" style="3" customWidth="1"/>
    <col min="6681" max="6681" width="8.42578125" style="3" customWidth="1"/>
    <col min="6682" max="6682" width="4.140625" style="3" customWidth="1"/>
    <col min="6683" max="6912" width="9.140625" style="3"/>
    <col min="6913" max="6913" width="5.7109375" style="3" customWidth="1"/>
    <col min="6914" max="6914" width="5.85546875" style="3" customWidth="1"/>
    <col min="6915" max="6915" width="5.7109375" style="3" customWidth="1"/>
    <col min="6916" max="6916" width="2.5703125" style="3" customWidth="1"/>
    <col min="6917" max="6917" width="6.28515625" style="3" customWidth="1"/>
    <col min="6918" max="6918" width="3" style="3" customWidth="1"/>
    <col min="6919" max="6919" width="6.7109375" style="3" customWidth="1"/>
    <col min="6920" max="6920" width="5.7109375" style="3" customWidth="1"/>
    <col min="6921" max="6921" width="2.5703125" style="3" customWidth="1"/>
    <col min="6922" max="6922" width="7.140625" style="3" customWidth="1"/>
    <col min="6923" max="6923" width="3.42578125" style="3" customWidth="1"/>
    <col min="6924" max="6924" width="6" style="3" customWidth="1"/>
    <col min="6925" max="6925" width="2.85546875" style="3" customWidth="1"/>
    <col min="6926" max="6926" width="6.42578125" style="3" customWidth="1"/>
    <col min="6927" max="6927" width="3.140625" style="3" customWidth="1"/>
    <col min="6928" max="6928" width="6.42578125" style="3" customWidth="1"/>
    <col min="6929" max="6929" width="3.140625" style="3" customWidth="1"/>
    <col min="6930" max="6930" width="9.7109375" style="3" customWidth="1"/>
    <col min="6931" max="6931" width="7.42578125" style="3" customWidth="1"/>
    <col min="6932" max="6932" width="4.140625" style="3" customWidth="1"/>
    <col min="6933" max="6933" width="6.42578125" style="3" customWidth="1"/>
    <col min="6934" max="6934" width="3.140625" style="3" customWidth="1"/>
    <col min="6935" max="6935" width="12.140625" style="3" customWidth="1"/>
    <col min="6936" max="6936" width="14" style="3" customWidth="1"/>
    <col min="6937" max="6937" width="8.42578125" style="3" customWidth="1"/>
    <col min="6938" max="6938" width="4.140625" style="3" customWidth="1"/>
    <col min="6939" max="7168" width="9.140625" style="3"/>
    <col min="7169" max="7169" width="5.7109375" style="3" customWidth="1"/>
    <col min="7170" max="7170" width="5.85546875" style="3" customWidth="1"/>
    <col min="7171" max="7171" width="5.7109375" style="3" customWidth="1"/>
    <col min="7172" max="7172" width="2.5703125" style="3" customWidth="1"/>
    <col min="7173" max="7173" width="6.28515625" style="3" customWidth="1"/>
    <col min="7174" max="7174" width="3" style="3" customWidth="1"/>
    <col min="7175" max="7175" width="6.7109375" style="3" customWidth="1"/>
    <col min="7176" max="7176" width="5.7109375" style="3" customWidth="1"/>
    <col min="7177" max="7177" width="2.5703125" style="3" customWidth="1"/>
    <col min="7178" max="7178" width="7.140625" style="3" customWidth="1"/>
    <col min="7179" max="7179" width="3.42578125" style="3" customWidth="1"/>
    <col min="7180" max="7180" width="6" style="3" customWidth="1"/>
    <col min="7181" max="7181" width="2.85546875" style="3" customWidth="1"/>
    <col min="7182" max="7182" width="6.42578125" style="3" customWidth="1"/>
    <col min="7183" max="7183" width="3.140625" style="3" customWidth="1"/>
    <col min="7184" max="7184" width="6.42578125" style="3" customWidth="1"/>
    <col min="7185" max="7185" width="3.140625" style="3" customWidth="1"/>
    <col min="7186" max="7186" width="9.7109375" style="3" customWidth="1"/>
    <col min="7187" max="7187" width="7.42578125" style="3" customWidth="1"/>
    <col min="7188" max="7188" width="4.140625" style="3" customWidth="1"/>
    <col min="7189" max="7189" width="6.42578125" style="3" customWidth="1"/>
    <col min="7190" max="7190" width="3.140625" style="3" customWidth="1"/>
    <col min="7191" max="7191" width="12.140625" style="3" customWidth="1"/>
    <col min="7192" max="7192" width="14" style="3" customWidth="1"/>
    <col min="7193" max="7193" width="8.42578125" style="3" customWidth="1"/>
    <col min="7194" max="7194" width="4.140625" style="3" customWidth="1"/>
    <col min="7195" max="7424" width="9.140625" style="3"/>
    <col min="7425" max="7425" width="5.7109375" style="3" customWidth="1"/>
    <col min="7426" max="7426" width="5.85546875" style="3" customWidth="1"/>
    <col min="7427" max="7427" width="5.7109375" style="3" customWidth="1"/>
    <col min="7428" max="7428" width="2.5703125" style="3" customWidth="1"/>
    <col min="7429" max="7429" width="6.28515625" style="3" customWidth="1"/>
    <col min="7430" max="7430" width="3" style="3" customWidth="1"/>
    <col min="7431" max="7431" width="6.7109375" style="3" customWidth="1"/>
    <col min="7432" max="7432" width="5.7109375" style="3" customWidth="1"/>
    <col min="7433" max="7433" width="2.5703125" style="3" customWidth="1"/>
    <col min="7434" max="7434" width="7.140625" style="3" customWidth="1"/>
    <col min="7435" max="7435" width="3.42578125" style="3" customWidth="1"/>
    <col min="7436" max="7436" width="6" style="3" customWidth="1"/>
    <col min="7437" max="7437" width="2.85546875" style="3" customWidth="1"/>
    <col min="7438" max="7438" width="6.42578125" style="3" customWidth="1"/>
    <col min="7439" max="7439" width="3.140625" style="3" customWidth="1"/>
    <col min="7440" max="7440" width="6.42578125" style="3" customWidth="1"/>
    <col min="7441" max="7441" width="3.140625" style="3" customWidth="1"/>
    <col min="7442" max="7442" width="9.7109375" style="3" customWidth="1"/>
    <col min="7443" max="7443" width="7.42578125" style="3" customWidth="1"/>
    <col min="7444" max="7444" width="4.140625" style="3" customWidth="1"/>
    <col min="7445" max="7445" width="6.42578125" style="3" customWidth="1"/>
    <col min="7446" max="7446" width="3.140625" style="3" customWidth="1"/>
    <col min="7447" max="7447" width="12.140625" style="3" customWidth="1"/>
    <col min="7448" max="7448" width="14" style="3" customWidth="1"/>
    <col min="7449" max="7449" width="8.42578125" style="3" customWidth="1"/>
    <col min="7450" max="7450" width="4.140625" style="3" customWidth="1"/>
    <col min="7451" max="7680" width="9.140625" style="3"/>
    <col min="7681" max="7681" width="5.7109375" style="3" customWidth="1"/>
    <col min="7682" max="7682" width="5.85546875" style="3" customWidth="1"/>
    <col min="7683" max="7683" width="5.7109375" style="3" customWidth="1"/>
    <col min="7684" max="7684" width="2.5703125" style="3" customWidth="1"/>
    <col min="7685" max="7685" width="6.28515625" style="3" customWidth="1"/>
    <col min="7686" max="7686" width="3" style="3" customWidth="1"/>
    <col min="7687" max="7687" width="6.7109375" style="3" customWidth="1"/>
    <col min="7688" max="7688" width="5.7109375" style="3" customWidth="1"/>
    <col min="7689" max="7689" width="2.5703125" style="3" customWidth="1"/>
    <col min="7690" max="7690" width="7.140625" style="3" customWidth="1"/>
    <col min="7691" max="7691" width="3.42578125" style="3" customWidth="1"/>
    <col min="7692" max="7692" width="6" style="3" customWidth="1"/>
    <col min="7693" max="7693" width="2.85546875" style="3" customWidth="1"/>
    <col min="7694" max="7694" width="6.42578125" style="3" customWidth="1"/>
    <col min="7695" max="7695" width="3.140625" style="3" customWidth="1"/>
    <col min="7696" max="7696" width="6.42578125" style="3" customWidth="1"/>
    <col min="7697" max="7697" width="3.140625" style="3" customWidth="1"/>
    <col min="7698" max="7698" width="9.7109375" style="3" customWidth="1"/>
    <col min="7699" max="7699" width="7.42578125" style="3" customWidth="1"/>
    <col min="7700" max="7700" width="4.140625" style="3" customWidth="1"/>
    <col min="7701" max="7701" width="6.42578125" style="3" customWidth="1"/>
    <col min="7702" max="7702" width="3.140625" style="3" customWidth="1"/>
    <col min="7703" max="7703" width="12.140625" style="3" customWidth="1"/>
    <col min="7704" max="7704" width="14" style="3" customWidth="1"/>
    <col min="7705" max="7705" width="8.42578125" style="3" customWidth="1"/>
    <col min="7706" max="7706" width="4.140625" style="3" customWidth="1"/>
    <col min="7707" max="7936" width="9.140625" style="3"/>
    <col min="7937" max="7937" width="5.7109375" style="3" customWidth="1"/>
    <col min="7938" max="7938" width="5.85546875" style="3" customWidth="1"/>
    <col min="7939" max="7939" width="5.7109375" style="3" customWidth="1"/>
    <col min="7940" max="7940" width="2.5703125" style="3" customWidth="1"/>
    <col min="7941" max="7941" width="6.28515625" style="3" customWidth="1"/>
    <col min="7942" max="7942" width="3" style="3" customWidth="1"/>
    <col min="7943" max="7943" width="6.7109375" style="3" customWidth="1"/>
    <col min="7944" max="7944" width="5.7109375" style="3" customWidth="1"/>
    <col min="7945" max="7945" width="2.5703125" style="3" customWidth="1"/>
    <col min="7946" max="7946" width="7.140625" style="3" customWidth="1"/>
    <col min="7947" max="7947" width="3.42578125" style="3" customWidth="1"/>
    <col min="7948" max="7948" width="6" style="3" customWidth="1"/>
    <col min="7949" max="7949" width="2.85546875" style="3" customWidth="1"/>
    <col min="7950" max="7950" width="6.42578125" style="3" customWidth="1"/>
    <col min="7951" max="7951" width="3.140625" style="3" customWidth="1"/>
    <col min="7952" max="7952" width="6.42578125" style="3" customWidth="1"/>
    <col min="7953" max="7953" width="3.140625" style="3" customWidth="1"/>
    <col min="7954" max="7954" width="9.7109375" style="3" customWidth="1"/>
    <col min="7955" max="7955" width="7.42578125" style="3" customWidth="1"/>
    <col min="7956" max="7956" width="4.140625" style="3" customWidth="1"/>
    <col min="7957" max="7957" width="6.42578125" style="3" customWidth="1"/>
    <col min="7958" max="7958" width="3.140625" style="3" customWidth="1"/>
    <col min="7959" max="7959" width="12.140625" style="3" customWidth="1"/>
    <col min="7960" max="7960" width="14" style="3" customWidth="1"/>
    <col min="7961" max="7961" width="8.42578125" style="3" customWidth="1"/>
    <col min="7962" max="7962" width="4.140625" style="3" customWidth="1"/>
    <col min="7963" max="8192" width="9.140625" style="3"/>
    <col min="8193" max="8193" width="5.7109375" style="3" customWidth="1"/>
    <col min="8194" max="8194" width="5.85546875" style="3" customWidth="1"/>
    <col min="8195" max="8195" width="5.7109375" style="3" customWidth="1"/>
    <col min="8196" max="8196" width="2.5703125" style="3" customWidth="1"/>
    <col min="8197" max="8197" width="6.28515625" style="3" customWidth="1"/>
    <col min="8198" max="8198" width="3" style="3" customWidth="1"/>
    <col min="8199" max="8199" width="6.7109375" style="3" customWidth="1"/>
    <col min="8200" max="8200" width="5.7109375" style="3" customWidth="1"/>
    <col min="8201" max="8201" width="2.5703125" style="3" customWidth="1"/>
    <col min="8202" max="8202" width="7.140625" style="3" customWidth="1"/>
    <col min="8203" max="8203" width="3.42578125" style="3" customWidth="1"/>
    <col min="8204" max="8204" width="6" style="3" customWidth="1"/>
    <col min="8205" max="8205" width="2.85546875" style="3" customWidth="1"/>
    <col min="8206" max="8206" width="6.42578125" style="3" customWidth="1"/>
    <col min="8207" max="8207" width="3.140625" style="3" customWidth="1"/>
    <col min="8208" max="8208" width="6.42578125" style="3" customWidth="1"/>
    <col min="8209" max="8209" width="3.140625" style="3" customWidth="1"/>
    <col min="8210" max="8210" width="9.7109375" style="3" customWidth="1"/>
    <col min="8211" max="8211" width="7.42578125" style="3" customWidth="1"/>
    <col min="8212" max="8212" width="4.140625" style="3" customWidth="1"/>
    <col min="8213" max="8213" width="6.42578125" style="3" customWidth="1"/>
    <col min="8214" max="8214" width="3.140625" style="3" customWidth="1"/>
    <col min="8215" max="8215" width="12.140625" style="3" customWidth="1"/>
    <col min="8216" max="8216" width="14" style="3" customWidth="1"/>
    <col min="8217" max="8217" width="8.42578125" style="3" customWidth="1"/>
    <col min="8218" max="8218" width="4.140625" style="3" customWidth="1"/>
    <col min="8219" max="8448" width="9.140625" style="3"/>
    <col min="8449" max="8449" width="5.7109375" style="3" customWidth="1"/>
    <col min="8450" max="8450" width="5.85546875" style="3" customWidth="1"/>
    <col min="8451" max="8451" width="5.7109375" style="3" customWidth="1"/>
    <col min="8452" max="8452" width="2.5703125" style="3" customWidth="1"/>
    <col min="8453" max="8453" width="6.28515625" style="3" customWidth="1"/>
    <col min="8454" max="8454" width="3" style="3" customWidth="1"/>
    <col min="8455" max="8455" width="6.7109375" style="3" customWidth="1"/>
    <col min="8456" max="8456" width="5.7109375" style="3" customWidth="1"/>
    <col min="8457" max="8457" width="2.5703125" style="3" customWidth="1"/>
    <col min="8458" max="8458" width="7.140625" style="3" customWidth="1"/>
    <col min="8459" max="8459" width="3.42578125" style="3" customWidth="1"/>
    <col min="8460" max="8460" width="6" style="3" customWidth="1"/>
    <col min="8461" max="8461" width="2.85546875" style="3" customWidth="1"/>
    <col min="8462" max="8462" width="6.42578125" style="3" customWidth="1"/>
    <col min="8463" max="8463" width="3.140625" style="3" customWidth="1"/>
    <col min="8464" max="8464" width="6.42578125" style="3" customWidth="1"/>
    <col min="8465" max="8465" width="3.140625" style="3" customWidth="1"/>
    <col min="8466" max="8466" width="9.7109375" style="3" customWidth="1"/>
    <col min="8467" max="8467" width="7.42578125" style="3" customWidth="1"/>
    <col min="8468" max="8468" width="4.140625" style="3" customWidth="1"/>
    <col min="8469" max="8469" width="6.42578125" style="3" customWidth="1"/>
    <col min="8470" max="8470" width="3.140625" style="3" customWidth="1"/>
    <col min="8471" max="8471" width="12.140625" style="3" customWidth="1"/>
    <col min="8472" max="8472" width="14" style="3" customWidth="1"/>
    <col min="8473" max="8473" width="8.42578125" style="3" customWidth="1"/>
    <col min="8474" max="8474" width="4.140625" style="3" customWidth="1"/>
    <col min="8475" max="8704" width="9.140625" style="3"/>
    <col min="8705" max="8705" width="5.7109375" style="3" customWidth="1"/>
    <col min="8706" max="8706" width="5.85546875" style="3" customWidth="1"/>
    <col min="8707" max="8707" width="5.7109375" style="3" customWidth="1"/>
    <col min="8708" max="8708" width="2.5703125" style="3" customWidth="1"/>
    <col min="8709" max="8709" width="6.28515625" style="3" customWidth="1"/>
    <col min="8710" max="8710" width="3" style="3" customWidth="1"/>
    <col min="8711" max="8711" width="6.7109375" style="3" customWidth="1"/>
    <col min="8712" max="8712" width="5.7109375" style="3" customWidth="1"/>
    <col min="8713" max="8713" width="2.5703125" style="3" customWidth="1"/>
    <col min="8714" max="8714" width="7.140625" style="3" customWidth="1"/>
    <col min="8715" max="8715" width="3.42578125" style="3" customWidth="1"/>
    <col min="8716" max="8716" width="6" style="3" customWidth="1"/>
    <col min="8717" max="8717" width="2.85546875" style="3" customWidth="1"/>
    <col min="8718" max="8718" width="6.42578125" style="3" customWidth="1"/>
    <col min="8719" max="8719" width="3.140625" style="3" customWidth="1"/>
    <col min="8720" max="8720" width="6.42578125" style="3" customWidth="1"/>
    <col min="8721" max="8721" width="3.140625" style="3" customWidth="1"/>
    <col min="8722" max="8722" width="9.7109375" style="3" customWidth="1"/>
    <col min="8723" max="8723" width="7.42578125" style="3" customWidth="1"/>
    <col min="8724" max="8724" width="4.140625" style="3" customWidth="1"/>
    <col min="8725" max="8725" width="6.42578125" style="3" customWidth="1"/>
    <col min="8726" max="8726" width="3.140625" style="3" customWidth="1"/>
    <col min="8727" max="8727" width="12.140625" style="3" customWidth="1"/>
    <col min="8728" max="8728" width="14" style="3" customWidth="1"/>
    <col min="8729" max="8729" width="8.42578125" style="3" customWidth="1"/>
    <col min="8730" max="8730" width="4.140625" style="3" customWidth="1"/>
    <col min="8731" max="8960" width="9.140625" style="3"/>
    <col min="8961" max="8961" width="5.7109375" style="3" customWidth="1"/>
    <col min="8962" max="8962" width="5.85546875" style="3" customWidth="1"/>
    <col min="8963" max="8963" width="5.7109375" style="3" customWidth="1"/>
    <col min="8964" max="8964" width="2.5703125" style="3" customWidth="1"/>
    <col min="8965" max="8965" width="6.28515625" style="3" customWidth="1"/>
    <col min="8966" max="8966" width="3" style="3" customWidth="1"/>
    <col min="8967" max="8967" width="6.7109375" style="3" customWidth="1"/>
    <col min="8968" max="8968" width="5.7109375" style="3" customWidth="1"/>
    <col min="8969" max="8969" width="2.5703125" style="3" customWidth="1"/>
    <col min="8970" max="8970" width="7.140625" style="3" customWidth="1"/>
    <col min="8971" max="8971" width="3.42578125" style="3" customWidth="1"/>
    <col min="8972" max="8972" width="6" style="3" customWidth="1"/>
    <col min="8973" max="8973" width="2.85546875" style="3" customWidth="1"/>
    <col min="8974" max="8974" width="6.42578125" style="3" customWidth="1"/>
    <col min="8975" max="8975" width="3.140625" style="3" customWidth="1"/>
    <col min="8976" max="8976" width="6.42578125" style="3" customWidth="1"/>
    <col min="8977" max="8977" width="3.140625" style="3" customWidth="1"/>
    <col min="8978" max="8978" width="9.7109375" style="3" customWidth="1"/>
    <col min="8979" max="8979" width="7.42578125" style="3" customWidth="1"/>
    <col min="8980" max="8980" width="4.140625" style="3" customWidth="1"/>
    <col min="8981" max="8981" width="6.42578125" style="3" customWidth="1"/>
    <col min="8982" max="8982" width="3.140625" style="3" customWidth="1"/>
    <col min="8983" max="8983" width="12.140625" style="3" customWidth="1"/>
    <col min="8984" max="8984" width="14" style="3" customWidth="1"/>
    <col min="8985" max="8985" width="8.42578125" style="3" customWidth="1"/>
    <col min="8986" max="8986" width="4.140625" style="3" customWidth="1"/>
    <col min="8987" max="9216" width="9.140625" style="3"/>
    <col min="9217" max="9217" width="5.7109375" style="3" customWidth="1"/>
    <col min="9218" max="9218" width="5.85546875" style="3" customWidth="1"/>
    <col min="9219" max="9219" width="5.7109375" style="3" customWidth="1"/>
    <col min="9220" max="9220" width="2.5703125" style="3" customWidth="1"/>
    <col min="9221" max="9221" width="6.28515625" style="3" customWidth="1"/>
    <col min="9222" max="9222" width="3" style="3" customWidth="1"/>
    <col min="9223" max="9223" width="6.7109375" style="3" customWidth="1"/>
    <col min="9224" max="9224" width="5.7109375" style="3" customWidth="1"/>
    <col min="9225" max="9225" width="2.5703125" style="3" customWidth="1"/>
    <col min="9226" max="9226" width="7.140625" style="3" customWidth="1"/>
    <col min="9227" max="9227" width="3.42578125" style="3" customWidth="1"/>
    <col min="9228" max="9228" width="6" style="3" customWidth="1"/>
    <col min="9229" max="9229" width="2.85546875" style="3" customWidth="1"/>
    <col min="9230" max="9230" width="6.42578125" style="3" customWidth="1"/>
    <col min="9231" max="9231" width="3.140625" style="3" customWidth="1"/>
    <col min="9232" max="9232" width="6.42578125" style="3" customWidth="1"/>
    <col min="9233" max="9233" width="3.140625" style="3" customWidth="1"/>
    <col min="9234" max="9234" width="9.7109375" style="3" customWidth="1"/>
    <col min="9235" max="9235" width="7.42578125" style="3" customWidth="1"/>
    <col min="9236" max="9236" width="4.140625" style="3" customWidth="1"/>
    <col min="9237" max="9237" width="6.42578125" style="3" customWidth="1"/>
    <col min="9238" max="9238" width="3.140625" style="3" customWidth="1"/>
    <col min="9239" max="9239" width="12.140625" style="3" customWidth="1"/>
    <col min="9240" max="9240" width="14" style="3" customWidth="1"/>
    <col min="9241" max="9241" width="8.42578125" style="3" customWidth="1"/>
    <col min="9242" max="9242" width="4.140625" style="3" customWidth="1"/>
    <col min="9243" max="9472" width="9.140625" style="3"/>
    <col min="9473" max="9473" width="5.7109375" style="3" customWidth="1"/>
    <col min="9474" max="9474" width="5.85546875" style="3" customWidth="1"/>
    <col min="9475" max="9475" width="5.7109375" style="3" customWidth="1"/>
    <col min="9476" max="9476" width="2.5703125" style="3" customWidth="1"/>
    <col min="9477" max="9477" width="6.28515625" style="3" customWidth="1"/>
    <col min="9478" max="9478" width="3" style="3" customWidth="1"/>
    <col min="9479" max="9479" width="6.7109375" style="3" customWidth="1"/>
    <col min="9480" max="9480" width="5.7109375" style="3" customWidth="1"/>
    <col min="9481" max="9481" width="2.5703125" style="3" customWidth="1"/>
    <col min="9482" max="9482" width="7.140625" style="3" customWidth="1"/>
    <col min="9483" max="9483" width="3.42578125" style="3" customWidth="1"/>
    <col min="9484" max="9484" width="6" style="3" customWidth="1"/>
    <col min="9485" max="9485" width="2.85546875" style="3" customWidth="1"/>
    <col min="9486" max="9486" width="6.42578125" style="3" customWidth="1"/>
    <col min="9487" max="9487" width="3.140625" style="3" customWidth="1"/>
    <col min="9488" max="9488" width="6.42578125" style="3" customWidth="1"/>
    <col min="9489" max="9489" width="3.140625" style="3" customWidth="1"/>
    <col min="9490" max="9490" width="9.7109375" style="3" customWidth="1"/>
    <col min="9491" max="9491" width="7.42578125" style="3" customWidth="1"/>
    <col min="9492" max="9492" width="4.140625" style="3" customWidth="1"/>
    <col min="9493" max="9493" width="6.42578125" style="3" customWidth="1"/>
    <col min="9494" max="9494" width="3.140625" style="3" customWidth="1"/>
    <col min="9495" max="9495" width="12.140625" style="3" customWidth="1"/>
    <col min="9496" max="9496" width="14" style="3" customWidth="1"/>
    <col min="9497" max="9497" width="8.42578125" style="3" customWidth="1"/>
    <col min="9498" max="9498" width="4.140625" style="3" customWidth="1"/>
    <col min="9499" max="9728" width="9.140625" style="3"/>
    <col min="9729" max="9729" width="5.7109375" style="3" customWidth="1"/>
    <col min="9730" max="9730" width="5.85546875" style="3" customWidth="1"/>
    <col min="9731" max="9731" width="5.7109375" style="3" customWidth="1"/>
    <col min="9732" max="9732" width="2.5703125" style="3" customWidth="1"/>
    <col min="9733" max="9733" width="6.28515625" style="3" customWidth="1"/>
    <col min="9734" max="9734" width="3" style="3" customWidth="1"/>
    <col min="9735" max="9735" width="6.7109375" style="3" customWidth="1"/>
    <col min="9736" max="9736" width="5.7109375" style="3" customWidth="1"/>
    <col min="9737" max="9737" width="2.5703125" style="3" customWidth="1"/>
    <col min="9738" max="9738" width="7.140625" style="3" customWidth="1"/>
    <col min="9739" max="9739" width="3.42578125" style="3" customWidth="1"/>
    <col min="9740" max="9740" width="6" style="3" customWidth="1"/>
    <col min="9741" max="9741" width="2.85546875" style="3" customWidth="1"/>
    <col min="9742" max="9742" width="6.42578125" style="3" customWidth="1"/>
    <col min="9743" max="9743" width="3.140625" style="3" customWidth="1"/>
    <col min="9744" max="9744" width="6.42578125" style="3" customWidth="1"/>
    <col min="9745" max="9745" width="3.140625" style="3" customWidth="1"/>
    <col min="9746" max="9746" width="9.7109375" style="3" customWidth="1"/>
    <col min="9747" max="9747" width="7.42578125" style="3" customWidth="1"/>
    <col min="9748" max="9748" width="4.140625" style="3" customWidth="1"/>
    <col min="9749" max="9749" width="6.42578125" style="3" customWidth="1"/>
    <col min="9750" max="9750" width="3.140625" style="3" customWidth="1"/>
    <col min="9751" max="9751" width="12.140625" style="3" customWidth="1"/>
    <col min="9752" max="9752" width="14" style="3" customWidth="1"/>
    <col min="9753" max="9753" width="8.42578125" style="3" customWidth="1"/>
    <col min="9754" max="9754" width="4.140625" style="3" customWidth="1"/>
    <col min="9755" max="9984" width="9.140625" style="3"/>
    <col min="9985" max="9985" width="5.7109375" style="3" customWidth="1"/>
    <col min="9986" max="9986" width="5.85546875" style="3" customWidth="1"/>
    <col min="9987" max="9987" width="5.7109375" style="3" customWidth="1"/>
    <col min="9988" max="9988" width="2.5703125" style="3" customWidth="1"/>
    <col min="9989" max="9989" width="6.28515625" style="3" customWidth="1"/>
    <col min="9990" max="9990" width="3" style="3" customWidth="1"/>
    <col min="9991" max="9991" width="6.7109375" style="3" customWidth="1"/>
    <col min="9992" max="9992" width="5.7109375" style="3" customWidth="1"/>
    <col min="9993" max="9993" width="2.5703125" style="3" customWidth="1"/>
    <col min="9994" max="9994" width="7.140625" style="3" customWidth="1"/>
    <col min="9995" max="9995" width="3.42578125" style="3" customWidth="1"/>
    <col min="9996" max="9996" width="6" style="3" customWidth="1"/>
    <col min="9997" max="9997" width="2.85546875" style="3" customWidth="1"/>
    <col min="9998" max="9998" width="6.42578125" style="3" customWidth="1"/>
    <col min="9999" max="9999" width="3.140625" style="3" customWidth="1"/>
    <col min="10000" max="10000" width="6.42578125" style="3" customWidth="1"/>
    <col min="10001" max="10001" width="3.140625" style="3" customWidth="1"/>
    <col min="10002" max="10002" width="9.7109375" style="3" customWidth="1"/>
    <col min="10003" max="10003" width="7.42578125" style="3" customWidth="1"/>
    <col min="10004" max="10004" width="4.140625" style="3" customWidth="1"/>
    <col min="10005" max="10005" width="6.42578125" style="3" customWidth="1"/>
    <col min="10006" max="10006" width="3.140625" style="3" customWidth="1"/>
    <col min="10007" max="10007" width="12.140625" style="3" customWidth="1"/>
    <col min="10008" max="10008" width="14" style="3" customWidth="1"/>
    <col min="10009" max="10009" width="8.42578125" style="3" customWidth="1"/>
    <col min="10010" max="10010" width="4.140625" style="3" customWidth="1"/>
    <col min="10011" max="10240" width="9.140625" style="3"/>
    <col min="10241" max="10241" width="5.7109375" style="3" customWidth="1"/>
    <col min="10242" max="10242" width="5.85546875" style="3" customWidth="1"/>
    <col min="10243" max="10243" width="5.7109375" style="3" customWidth="1"/>
    <col min="10244" max="10244" width="2.5703125" style="3" customWidth="1"/>
    <col min="10245" max="10245" width="6.28515625" style="3" customWidth="1"/>
    <col min="10246" max="10246" width="3" style="3" customWidth="1"/>
    <col min="10247" max="10247" width="6.7109375" style="3" customWidth="1"/>
    <col min="10248" max="10248" width="5.7109375" style="3" customWidth="1"/>
    <col min="10249" max="10249" width="2.5703125" style="3" customWidth="1"/>
    <col min="10250" max="10250" width="7.140625" style="3" customWidth="1"/>
    <col min="10251" max="10251" width="3.42578125" style="3" customWidth="1"/>
    <col min="10252" max="10252" width="6" style="3" customWidth="1"/>
    <col min="10253" max="10253" width="2.85546875" style="3" customWidth="1"/>
    <col min="10254" max="10254" width="6.42578125" style="3" customWidth="1"/>
    <col min="10255" max="10255" width="3.140625" style="3" customWidth="1"/>
    <col min="10256" max="10256" width="6.42578125" style="3" customWidth="1"/>
    <col min="10257" max="10257" width="3.140625" style="3" customWidth="1"/>
    <col min="10258" max="10258" width="9.7109375" style="3" customWidth="1"/>
    <col min="10259" max="10259" width="7.42578125" style="3" customWidth="1"/>
    <col min="10260" max="10260" width="4.140625" style="3" customWidth="1"/>
    <col min="10261" max="10261" width="6.42578125" style="3" customWidth="1"/>
    <col min="10262" max="10262" width="3.140625" style="3" customWidth="1"/>
    <col min="10263" max="10263" width="12.140625" style="3" customWidth="1"/>
    <col min="10264" max="10264" width="14" style="3" customWidth="1"/>
    <col min="10265" max="10265" width="8.42578125" style="3" customWidth="1"/>
    <col min="10266" max="10266" width="4.140625" style="3" customWidth="1"/>
    <col min="10267" max="10496" width="9.140625" style="3"/>
    <col min="10497" max="10497" width="5.7109375" style="3" customWidth="1"/>
    <col min="10498" max="10498" width="5.85546875" style="3" customWidth="1"/>
    <col min="10499" max="10499" width="5.7109375" style="3" customWidth="1"/>
    <col min="10500" max="10500" width="2.5703125" style="3" customWidth="1"/>
    <col min="10501" max="10501" width="6.28515625" style="3" customWidth="1"/>
    <col min="10502" max="10502" width="3" style="3" customWidth="1"/>
    <col min="10503" max="10503" width="6.7109375" style="3" customWidth="1"/>
    <col min="10504" max="10504" width="5.7109375" style="3" customWidth="1"/>
    <col min="10505" max="10505" width="2.5703125" style="3" customWidth="1"/>
    <col min="10506" max="10506" width="7.140625" style="3" customWidth="1"/>
    <col min="10507" max="10507" width="3.42578125" style="3" customWidth="1"/>
    <col min="10508" max="10508" width="6" style="3" customWidth="1"/>
    <col min="10509" max="10509" width="2.85546875" style="3" customWidth="1"/>
    <col min="10510" max="10510" width="6.42578125" style="3" customWidth="1"/>
    <col min="10511" max="10511" width="3.140625" style="3" customWidth="1"/>
    <col min="10512" max="10512" width="6.42578125" style="3" customWidth="1"/>
    <col min="10513" max="10513" width="3.140625" style="3" customWidth="1"/>
    <col min="10514" max="10514" width="9.7109375" style="3" customWidth="1"/>
    <col min="10515" max="10515" width="7.42578125" style="3" customWidth="1"/>
    <col min="10516" max="10516" width="4.140625" style="3" customWidth="1"/>
    <col min="10517" max="10517" width="6.42578125" style="3" customWidth="1"/>
    <col min="10518" max="10518" width="3.140625" style="3" customWidth="1"/>
    <col min="10519" max="10519" width="12.140625" style="3" customWidth="1"/>
    <col min="10520" max="10520" width="14" style="3" customWidth="1"/>
    <col min="10521" max="10521" width="8.42578125" style="3" customWidth="1"/>
    <col min="10522" max="10522" width="4.140625" style="3" customWidth="1"/>
    <col min="10523" max="10752" width="9.140625" style="3"/>
    <col min="10753" max="10753" width="5.7109375" style="3" customWidth="1"/>
    <col min="10754" max="10754" width="5.85546875" style="3" customWidth="1"/>
    <col min="10755" max="10755" width="5.7109375" style="3" customWidth="1"/>
    <col min="10756" max="10756" width="2.5703125" style="3" customWidth="1"/>
    <col min="10757" max="10757" width="6.28515625" style="3" customWidth="1"/>
    <col min="10758" max="10758" width="3" style="3" customWidth="1"/>
    <col min="10759" max="10759" width="6.7109375" style="3" customWidth="1"/>
    <col min="10760" max="10760" width="5.7109375" style="3" customWidth="1"/>
    <col min="10761" max="10761" width="2.5703125" style="3" customWidth="1"/>
    <col min="10762" max="10762" width="7.140625" style="3" customWidth="1"/>
    <col min="10763" max="10763" width="3.42578125" style="3" customWidth="1"/>
    <col min="10764" max="10764" width="6" style="3" customWidth="1"/>
    <col min="10765" max="10765" width="2.85546875" style="3" customWidth="1"/>
    <col min="10766" max="10766" width="6.42578125" style="3" customWidth="1"/>
    <col min="10767" max="10767" width="3.140625" style="3" customWidth="1"/>
    <col min="10768" max="10768" width="6.42578125" style="3" customWidth="1"/>
    <col min="10769" max="10769" width="3.140625" style="3" customWidth="1"/>
    <col min="10770" max="10770" width="9.7109375" style="3" customWidth="1"/>
    <col min="10771" max="10771" width="7.42578125" style="3" customWidth="1"/>
    <col min="10772" max="10772" width="4.140625" style="3" customWidth="1"/>
    <col min="10773" max="10773" width="6.42578125" style="3" customWidth="1"/>
    <col min="10774" max="10774" width="3.140625" style="3" customWidth="1"/>
    <col min="10775" max="10775" width="12.140625" style="3" customWidth="1"/>
    <col min="10776" max="10776" width="14" style="3" customWidth="1"/>
    <col min="10777" max="10777" width="8.42578125" style="3" customWidth="1"/>
    <col min="10778" max="10778" width="4.140625" style="3" customWidth="1"/>
    <col min="10779" max="11008" width="9.140625" style="3"/>
    <col min="11009" max="11009" width="5.7109375" style="3" customWidth="1"/>
    <col min="11010" max="11010" width="5.85546875" style="3" customWidth="1"/>
    <col min="11011" max="11011" width="5.7109375" style="3" customWidth="1"/>
    <col min="11012" max="11012" width="2.5703125" style="3" customWidth="1"/>
    <col min="11013" max="11013" width="6.28515625" style="3" customWidth="1"/>
    <col min="11014" max="11014" width="3" style="3" customWidth="1"/>
    <col min="11015" max="11015" width="6.7109375" style="3" customWidth="1"/>
    <col min="11016" max="11016" width="5.7109375" style="3" customWidth="1"/>
    <col min="11017" max="11017" width="2.5703125" style="3" customWidth="1"/>
    <col min="11018" max="11018" width="7.140625" style="3" customWidth="1"/>
    <col min="11019" max="11019" width="3.42578125" style="3" customWidth="1"/>
    <col min="11020" max="11020" width="6" style="3" customWidth="1"/>
    <col min="11021" max="11021" width="2.85546875" style="3" customWidth="1"/>
    <col min="11022" max="11022" width="6.42578125" style="3" customWidth="1"/>
    <col min="11023" max="11023" width="3.140625" style="3" customWidth="1"/>
    <col min="11024" max="11024" width="6.42578125" style="3" customWidth="1"/>
    <col min="11025" max="11025" width="3.140625" style="3" customWidth="1"/>
    <col min="11026" max="11026" width="9.7109375" style="3" customWidth="1"/>
    <col min="11027" max="11027" width="7.42578125" style="3" customWidth="1"/>
    <col min="11028" max="11028" width="4.140625" style="3" customWidth="1"/>
    <col min="11029" max="11029" width="6.42578125" style="3" customWidth="1"/>
    <col min="11030" max="11030" width="3.140625" style="3" customWidth="1"/>
    <col min="11031" max="11031" width="12.140625" style="3" customWidth="1"/>
    <col min="11032" max="11032" width="14" style="3" customWidth="1"/>
    <col min="11033" max="11033" width="8.42578125" style="3" customWidth="1"/>
    <col min="11034" max="11034" width="4.140625" style="3" customWidth="1"/>
    <col min="11035" max="11264" width="9.140625" style="3"/>
    <col min="11265" max="11265" width="5.7109375" style="3" customWidth="1"/>
    <col min="11266" max="11266" width="5.85546875" style="3" customWidth="1"/>
    <col min="11267" max="11267" width="5.7109375" style="3" customWidth="1"/>
    <col min="11268" max="11268" width="2.5703125" style="3" customWidth="1"/>
    <col min="11269" max="11269" width="6.28515625" style="3" customWidth="1"/>
    <col min="11270" max="11270" width="3" style="3" customWidth="1"/>
    <col min="11271" max="11271" width="6.7109375" style="3" customWidth="1"/>
    <col min="11272" max="11272" width="5.7109375" style="3" customWidth="1"/>
    <col min="11273" max="11273" width="2.5703125" style="3" customWidth="1"/>
    <col min="11274" max="11274" width="7.140625" style="3" customWidth="1"/>
    <col min="11275" max="11275" width="3.42578125" style="3" customWidth="1"/>
    <col min="11276" max="11276" width="6" style="3" customWidth="1"/>
    <col min="11277" max="11277" width="2.85546875" style="3" customWidth="1"/>
    <col min="11278" max="11278" width="6.42578125" style="3" customWidth="1"/>
    <col min="11279" max="11279" width="3.140625" style="3" customWidth="1"/>
    <col min="11280" max="11280" width="6.42578125" style="3" customWidth="1"/>
    <col min="11281" max="11281" width="3.140625" style="3" customWidth="1"/>
    <col min="11282" max="11282" width="9.7109375" style="3" customWidth="1"/>
    <col min="11283" max="11283" width="7.42578125" style="3" customWidth="1"/>
    <col min="11284" max="11284" width="4.140625" style="3" customWidth="1"/>
    <col min="11285" max="11285" width="6.42578125" style="3" customWidth="1"/>
    <col min="11286" max="11286" width="3.140625" style="3" customWidth="1"/>
    <col min="11287" max="11287" width="12.140625" style="3" customWidth="1"/>
    <col min="11288" max="11288" width="14" style="3" customWidth="1"/>
    <col min="11289" max="11289" width="8.42578125" style="3" customWidth="1"/>
    <col min="11290" max="11290" width="4.140625" style="3" customWidth="1"/>
    <col min="11291" max="11520" width="9.140625" style="3"/>
    <col min="11521" max="11521" width="5.7109375" style="3" customWidth="1"/>
    <col min="11522" max="11522" width="5.85546875" style="3" customWidth="1"/>
    <col min="11523" max="11523" width="5.7109375" style="3" customWidth="1"/>
    <col min="11524" max="11524" width="2.5703125" style="3" customWidth="1"/>
    <col min="11525" max="11525" width="6.28515625" style="3" customWidth="1"/>
    <col min="11526" max="11526" width="3" style="3" customWidth="1"/>
    <col min="11527" max="11527" width="6.7109375" style="3" customWidth="1"/>
    <col min="11528" max="11528" width="5.7109375" style="3" customWidth="1"/>
    <col min="11529" max="11529" width="2.5703125" style="3" customWidth="1"/>
    <col min="11530" max="11530" width="7.140625" style="3" customWidth="1"/>
    <col min="11531" max="11531" width="3.42578125" style="3" customWidth="1"/>
    <col min="11532" max="11532" width="6" style="3" customWidth="1"/>
    <col min="11533" max="11533" width="2.85546875" style="3" customWidth="1"/>
    <col min="11534" max="11534" width="6.42578125" style="3" customWidth="1"/>
    <col min="11535" max="11535" width="3.140625" style="3" customWidth="1"/>
    <col min="11536" max="11536" width="6.42578125" style="3" customWidth="1"/>
    <col min="11537" max="11537" width="3.140625" style="3" customWidth="1"/>
    <col min="11538" max="11538" width="9.7109375" style="3" customWidth="1"/>
    <col min="11539" max="11539" width="7.42578125" style="3" customWidth="1"/>
    <col min="11540" max="11540" width="4.140625" style="3" customWidth="1"/>
    <col min="11541" max="11541" width="6.42578125" style="3" customWidth="1"/>
    <col min="11542" max="11542" width="3.140625" style="3" customWidth="1"/>
    <col min="11543" max="11543" width="12.140625" style="3" customWidth="1"/>
    <col min="11544" max="11544" width="14" style="3" customWidth="1"/>
    <col min="11545" max="11545" width="8.42578125" style="3" customWidth="1"/>
    <col min="11546" max="11546" width="4.140625" style="3" customWidth="1"/>
    <col min="11547" max="11776" width="9.140625" style="3"/>
    <col min="11777" max="11777" width="5.7109375" style="3" customWidth="1"/>
    <col min="11778" max="11778" width="5.85546875" style="3" customWidth="1"/>
    <col min="11779" max="11779" width="5.7109375" style="3" customWidth="1"/>
    <col min="11780" max="11780" width="2.5703125" style="3" customWidth="1"/>
    <col min="11781" max="11781" width="6.28515625" style="3" customWidth="1"/>
    <col min="11782" max="11782" width="3" style="3" customWidth="1"/>
    <col min="11783" max="11783" width="6.7109375" style="3" customWidth="1"/>
    <col min="11784" max="11784" width="5.7109375" style="3" customWidth="1"/>
    <col min="11785" max="11785" width="2.5703125" style="3" customWidth="1"/>
    <col min="11786" max="11786" width="7.140625" style="3" customWidth="1"/>
    <col min="11787" max="11787" width="3.42578125" style="3" customWidth="1"/>
    <col min="11788" max="11788" width="6" style="3" customWidth="1"/>
    <col min="11789" max="11789" width="2.85546875" style="3" customWidth="1"/>
    <col min="11790" max="11790" width="6.42578125" style="3" customWidth="1"/>
    <col min="11791" max="11791" width="3.140625" style="3" customWidth="1"/>
    <col min="11792" max="11792" width="6.42578125" style="3" customWidth="1"/>
    <col min="11793" max="11793" width="3.140625" style="3" customWidth="1"/>
    <col min="11794" max="11794" width="9.7109375" style="3" customWidth="1"/>
    <col min="11795" max="11795" width="7.42578125" style="3" customWidth="1"/>
    <col min="11796" max="11796" width="4.140625" style="3" customWidth="1"/>
    <col min="11797" max="11797" width="6.42578125" style="3" customWidth="1"/>
    <col min="11798" max="11798" width="3.140625" style="3" customWidth="1"/>
    <col min="11799" max="11799" width="12.140625" style="3" customWidth="1"/>
    <col min="11800" max="11800" width="14" style="3" customWidth="1"/>
    <col min="11801" max="11801" width="8.42578125" style="3" customWidth="1"/>
    <col min="11802" max="11802" width="4.140625" style="3" customWidth="1"/>
    <col min="11803" max="12032" width="9.140625" style="3"/>
    <col min="12033" max="12033" width="5.7109375" style="3" customWidth="1"/>
    <col min="12034" max="12034" width="5.85546875" style="3" customWidth="1"/>
    <col min="12035" max="12035" width="5.7109375" style="3" customWidth="1"/>
    <col min="12036" max="12036" width="2.5703125" style="3" customWidth="1"/>
    <col min="12037" max="12037" width="6.28515625" style="3" customWidth="1"/>
    <col min="12038" max="12038" width="3" style="3" customWidth="1"/>
    <col min="12039" max="12039" width="6.7109375" style="3" customWidth="1"/>
    <col min="12040" max="12040" width="5.7109375" style="3" customWidth="1"/>
    <col min="12041" max="12041" width="2.5703125" style="3" customWidth="1"/>
    <col min="12042" max="12042" width="7.140625" style="3" customWidth="1"/>
    <col min="12043" max="12043" width="3.42578125" style="3" customWidth="1"/>
    <col min="12044" max="12044" width="6" style="3" customWidth="1"/>
    <col min="12045" max="12045" width="2.85546875" style="3" customWidth="1"/>
    <col min="12046" max="12046" width="6.42578125" style="3" customWidth="1"/>
    <col min="12047" max="12047" width="3.140625" style="3" customWidth="1"/>
    <col min="12048" max="12048" width="6.42578125" style="3" customWidth="1"/>
    <col min="12049" max="12049" width="3.140625" style="3" customWidth="1"/>
    <col min="12050" max="12050" width="9.7109375" style="3" customWidth="1"/>
    <col min="12051" max="12051" width="7.42578125" style="3" customWidth="1"/>
    <col min="12052" max="12052" width="4.140625" style="3" customWidth="1"/>
    <col min="12053" max="12053" width="6.42578125" style="3" customWidth="1"/>
    <col min="12054" max="12054" width="3.140625" style="3" customWidth="1"/>
    <col min="12055" max="12055" width="12.140625" style="3" customWidth="1"/>
    <col min="12056" max="12056" width="14" style="3" customWidth="1"/>
    <col min="12057" max="12057" width="8.42578125" style="3" customWidth="1"/>
    <col min="12058" max="12058" width="4.140625" style="3" customWidth="1"/>
    <col min="12059" max="12288" width="9.140625" style="3"/>
    <col min="12289" max="12289" width="5.7109375" style="3" customWidth="1"/>
    <col min="12290" max="12290" width="5.85546875" style="3" customWidth="1"/>
    <col min="12291" max="12291" width="5.7109375" style="3" customWidth="1"/>
    <col min="12292" max="12292" width="2.5703125" style="3" customWidth="1"/>
    <col min="12293" max="12293" width="6.28515625" style="3" customWidth="1"/>
    <col min="12294" max="12294" width="3" style="3" customWidth="1"/>
    <col min="12295" max="12295" width="6.7109375" style="3" customWidth="1"/>
    <col min="12296" max="12296" width="5.7109375" style="3" customWidth="1"/>
    <col min="12297" max="12297" width="2.5703125" style="3" customWidth="1"/>
    <col min="12298" max="12298" width="7.140625" style="3" customWidth="1"/>
    <col min="12299" max="12299" width="3.42578125" style="3" customWidth="1"/>
    <col min="12300" max="12300" width="6" style="3" customWidth="1"/>
    <col min="12301" max="12301" width="2.85546875" style="3" customWidth="1"/>
    <col min="12302" max="12302" width="6.42578125" style="3" customWidth="1"/>
    <col min="12303" max="12303" width="3.140625" style="3" customWidth="1"/>
    <col min="12304" max="12304" width="6.42578125" style="3" customWidth="1"/>
    <col min="12305" max="12305" width="3.140625" style="3" customWidth="1"/>
    <col min="12306" max="12306" width="9.7109375" style="3" customWidth="1"/>
    <col min="12307" max="12307" width="7.42578125" style="3" customWidth="1"/>
    <col min="12308" max="12308" width="4.140625" style="3" customWidth="1"/>
    <col min="12309" max="12309" width="6.42578125" style="3" customWidth="1"/>
    <col min="12310" max="12310" width="3.140625" style="3" customWidth="1"/>
    <col min="12311" max="12311" width="12.140625" style="3" customWidth="1"/>
    <col min="12312" max="12312" width="14" style="3" customWidth="1"/>
    <col min="12313" max="12313" width="8.42578125" style="3" customWidth="1"/>
    <col min="12314" max="12314" width="4.140625" style="3" customWidth="1"/>
    <col min="12315" max="12544" width="9.140625" style="3"/>
    <col min="12545" max="12545" width="5.7109375" style="3" customWidth="1"/>
    <col min="12546" max="12546" width="5.85546875" style="3" customWidth="1"/>
    <col min="12547" max="12547" width="5.7109375" style="3" customWidth="1"/>
    <col min="12548" max="12548" width="2.5703125" style="3" customWidth="1"/>
    <col min="12549" max="12549" width="6.28515625" style="3" customWidth="1"/>
    <col min="12550" max="12550" width="3" style="3" customWidth="1"/>
    <col min="12551" max="12551" width="6.7109375" style="3" customWidth="1"/>
    <col min="12552" max="12552" width="5.7109375" style="3" customWidth="1"/>
    <col min="12553" max="12553" width="2.5703125" style="3" customWidth="1"/>
    <col min="12554" max="12554" width="7.140625" style="3" customWidth="1"/>
    <col min="12555" max="12555" width="3.42578125" style="3" customWidth="1"/>
    <col min="12556" max="12556" width="6" style="3" customWidth="1"/>
    <col min="12557" max="12557" width="2.85546875" style="3" customWidth="1"/>
    <col min="12558" max="12558" width="6.42578125" style="3" customWidth="1"/>
    <col min="12559" max="12559" width="3.140625" style="3" customWidth="1"/>
    <col min="12560" max="12560" width="6.42578125" style="3" customWidth="1"/>
    <col min="12561" max="12561" width="3.140625" style="3" customWidth="1"/>
    <col min="12562" max="12562" width="9.7109375" style="3" customWidth="1"/>
    <col min="12563" max="12563" width="7.42578125" style="3" customWidth="1"/>
    <col min="12564" max="12564" width="4.140625" style="3" customWidth="1"/>
    <col min="12565" max="12565" width="6.42578125" style="3" customWidth="1"/>
    <col min="12566" max="12566" width="3.140625" style="3" customWidth="1"/>
    <col min="12567" max="12567" width="12.140625" style="3" customWidth="1"/>
    <col min="12568" max="12568" width="14" style="3" customWidth="1"/>
    <col min="12569" max="12569" width="8.42578125" style="3" customWidth="1"/>
    <col min="12570" max="12570" width="4.140625" style="3" customWidth="1"/>
    <col min="12571" max="12800" width="9.140625" style="3"/>
    <col min="12801" max="12801" width="5.7109375" style="3" customWidth="1"/>
    <col min="12802" max="12802" width="5.85546875" style="3" customWidth="1"/>
    <col min="12803" max="12803" width="5.7109375" style="3" customWidth="1"/>
    <col min="12804" max="12804" width="2.5703125" style="3" customWidth="1"/>
    <col min="12805" max="12805" width="6.28515625" style="3" customWidth="1"/>
    <col min="12806" max="12806" width="3" style="3" customWidth="1"/>
    <col min="12807" max="12807" width="6.7109375" style="3" customWidth="1"/>
    <col min="12808" max="12808" width="5.7109375" style="3" customWidth="1"/>
    <col min="12809" max="12809" width="2.5703125" style="3" customWidth="1"/>
    <col min="12810" max="12810" width="7.140625" style="3" customWidth="1"/>
    <col min="12811" max="12811" width="3.42578125" style="3" customWidth="1"/>
    <col min="12812" max="12812" width="6" style="3" customWidth="1"/>
    <col min="12813" max="12813" width="2.85546875" style="3" customWidth="1"/>
    <col min="12814" max="12814" width="6.42578125" style="3" customWidth="1"/>
    <col min="12815" max="12815" width="3.140625" style="3" customWidth="1"/>
    <col min="12816" max="12816" width="6.42578125" style="3" customWidth="1"/>
    <col min="12817" max="12817" width="3.140625" style="3" customWidth="1"/>
    <col min="12818" max="12818" width="9.7109375" style="3" customWidth="1"/>
    <col min="12819" max="12819" width="7.42578125" style="3" customWidth="1"/>
    <col min="12820" max="12820" width="4.140625" style="3" customWidth="1"/>
    <col min="12821" max="12821" width="6.42578125" style="3" customWidth="1"/>
    <col min="12822" max="12822" width="3.140625" style="3" customWidth="1"/>
    <col min="12823" max="12823" width="12.140625" style="3" customWidth="1"/>
    <col min="12824" max="12824" width="14" style="3" customWidth="1"/>
    <col min="12825" max="12825" width="8.42578125" style="3" customWidth="1"/>
    <col min="12826" max="12826" width="4.140625" style="3" customWidth="1"/>
    <col min="12827" max="13056" width="9.140625" style="3"/>
    <col min="13057" max="13057" width="5.7109375" style="3" customWidth="1"/>
    <col min="13058" max="13058" width="5.85546875" style="3" customWidth="1"/>
    <col min="13059" max="13059" width="5.7109375" style="3" customWidth="1"/>
    <col min="13060" max="13060" width="2.5703125" style="3" customWidth="1"/>
    <col min="13061" max="13061" width="6.28515625" style="3" customWidth="1"/>
    <col min="13062" max="13062" width="3" style="3" customWidth="1"/>
    <col min="13063" max="13063" width="6.7109375" style="3" customWidth="1"/>
    <col min="13064" max="13064" width="5.7109375" style="3" customWidth="1"/>
    <col min="13065" max="13065" width="2.5703125" style="3" customWidth="1"/>
    <col min="13066" max="13066" width="7.140625" style="3" customWidth="1"/>
    <col min="13067" max="13067" width="3.42578125" style="3" customWidth="1"/>
    <col min="13068" max="13068" width="6" style="3" customWidth="1"/>
    <col min="13069" max="13069" width="2.85546875" style="3" customWidth="1"/>
    <col min="13070" max="13070" width="6.42578125" style="3" customWidth="1"/>
    <col min="13071" max="13071" width="3.140625" style="3" customWidth="1"/>
    <col min="13072" max="13072" width="6.42578125" style="3" customWidth="1"/>
    <col min="13073" max="13073" width="3.140625" style="3" customWidth="1"/>
    <col min="13074" max="13074" width="9.7109375" style="3" customWidth="1"/>
    <col min="13075" max="13075" width="7.42578125" style="3" customWidth="1"/>
    <col min="13076" max="13076" width="4.140625" style="3" customWidth="1"/>
    <col min="13077" max="13077" width="6.42578125" style="3" customWidth="1"/>
    <col min="13078" max="13078" width="3.140625" style="3" customWidth="1"/>
    <col min="13079" max="13079" width="12.140625" style="3" customWidth="1"/>
    <col min="13080" max="13080" width="14" style="3" customWidth="1"/>
    <col min="13081" max="13081" width="8.42578125" style="3" customWidth="1"/>
    <col min="13082" max="13082" width="4.140625" style="3" customWidth="1"/>
    <col min="13083" max="13312" width="9.140625" style="3"/>
    <col min="13313" max="13313" width="5.7109375" style="3" customWidth="1"/>
    <col min="13314" max="13314" width="5.85546875" style="3" customWidth="1"/>
    <col min="13315" max="13315" width="5.7109375" style="3" customWidth="1"/>
    <col min="13316" max="13316" width="2.5703125" style="3" customWidth="1"/>
    <col min="13317" max="13317" width="6.28515625" style="3" customWidth="1"/>
    <col min="13318" max="13318" width="3" style="3" customWidth="1"/>
    <col min="13319" max="13319" width="6.7109375" style="3" customWidth="1"/>
    <col min="13320" max="13320" width="5.7109375" style="3" customWidth="1"/>
    <col min="13321" max="13321" width="2.5703125" style="3" customWidth="1"/>
    <col min="13322" max="13322" width="7.140625" style="3" customWidth="1"/>
    <col min="13323" max="13323" width="3.42578125" style="3" customWidth="1"/>
    <col min="13324" max="13324" width="6" style="3" customWidth="1"/>
    <col min="13325" max="13325" width="2.85546875" style="3" customWidth="1"/>
    <col min="13326" max="13326" width="6.42578125" style="3" customWidth="1"/>
    <col min="13327" max="13327" width="3.140625" style="3" customWidth="1"/>
    <col min="13328" max="13328" width="6.42578125" style="3" customWidth="1"/>
    <col min="13329" max="13329" width="3.140625" style="3" customWidth="1"/>
    <col min="13330" max="13330" width="9.7109375" style="3" customWidth="1"/>
    <col min="13331" max="13331" width="7.42578125" style="3" customWidth="1"/>
    <col min="13332" max="13332" width="4.140625" style="3" customWidth="1"/>
    <col min="13333" max="13333" width="6.42578125" style="3" customWidth="1"/>
    <col min="13334" max="13334" width="3.140625" style="3" customWidth="1"/>
    <col min="13335" max="13335" width="12.140625" style="3" customWidth="1"/>
    <col min="13336" max="13336" width="14" style="3" customWidth="1"/>
    <col min="13337" max="13337" width="8.42578125" style="3" customWidth="1"/>
    <col min="13338" max="13338" width="4.140625" style="3" customWidth="1"/>
    <col min="13339" max="13568" width="9.140625" style="3"/>
    <col min="13569" max="13569" width="5.7109375" style="3" customWidth="1"/>
    <col min="13570" max="13570" width="5.85546875" style="3" customWidth="1"/>
    <col min="13571" max="13571" width="5.7109375" style="3" customWidth="1"/>
    <col min="13572" max="13572" width="2.5703125" style="3" customWidth="1"/>
    <col min="13573" max="13573" width="6.28515625" style="3" customWidth="1"/>
    <col min="13574" max="13574" width="3" style="3" customWidth="1"/>
    <col min="13575" max="13575" width="6.7109375" style="3" customWidth="1"/>
    <col min="13576" max="13576" width="5.7109375" style="3" customWidth="1"/>
    <col min="13577" max="13577" width="2.5703125" style="3" customWidth="1"/>
    <col min="13578" max="13578" width="7.140625" style="3" customWidth="1"/>
    <col min="13579" max="13579" width="3.42578125" style="3" customWidth="1"/>
    <col min="13580" max="13580" width="6" style="3" customWidth="1"/>
    <col min="13581" max="13581" width="2.85546875" style="3" customWidth="1"/>
    <col min="13582" max="13582" width="6.42578125" style="3" customWidth="1"/>
    <col min="13583" max="13583" width="3.140625" style="3" customWidth="1"/>
    <col min="13584" max="13584" width="6.42578125" style="3" customWidth="1"/>
    <col min="13585" max="13585" width="3.140625" style="3" customWidth="1"/>
    <col min="13586" max="13586" width="9.7109375" style="3" customWidth="1"/>
    <col min="13587" max="13587" width="7.42578125" style="3" customWidth="1"/>
    <col min="13588" max="13588" width="4.140625" style="3" customWidth="1"/>
    <col min="13589" max="13589" width="6.42578125" style="3" customWidth="1"/>
    <col min="13590" max="13590" width="3.140625" style="3" customWidth="1"/>
    <col min="13591" max="13591" width="12.140625" style="3" customWidth="1"/>
    <col min="13592" max="13592" width="14" style="3" customWidth="1"/>
    <col min="13593" max="13593" width="8.42578125" style="3" customWidth="1"/>
    <col min="13594" max="13594" width="4.140625" style="3" customWidth="1"/>
    <col min="13595" max="13824" width="9.140625" style="3"/>
    <col min="13825" max="13825" width="5.7109375" style="3" customWidth="1"/>
    <col min="13826" max="13826" width="5.85546875" style="3" customWidth="1"/>
    <col min="13827" max="13827" width="5.7109375" style="3" customWidth="1"/>
    <col min="13828" max="13828" width="2.5703125" style="3" customWidth="1"/>
    <col min="13829" max="13829" width="6.28515625" style="3" customWidth="1"/>
    <col min="13830" max="13830" width="3" style="3" customWidth="1"/>
    <col min="13831" max="13831" width="6.7109375" style="3" customWidth="1"/>
    <col min="13832" max="13832" width="5.7109375" style="3" customWidth="1"/>
    <col min="13833" max="13833" width="2.5703125" style="3" customWidth="1"/>
    <col min="13834" max="13834" width="7.140625" style="3" customWidth="1"/>
    <col min="13835" max="13835" width="3.42578125" style="3" customWidth="1"/>
    <col min="13836" max="13836" width="6" style="3" customWidth="1"/>
    <col min="13837" max="13837" width="2.85546875" style="3" customWidth="1"/>
    <col min="13838" max="13838" width="6.42578125" style="3" customWidth="1"/>
    <col min="13839" max="13839" width="3.140625" style="3" customWidth="1"/>
    <col min="13840" max="13840" width="6.42578125" style="3" customWidth="1"/>
    <col min="13841" max="13841" width="3.140625" style="3" customWidth="1"/>
    <col min="13842" max="13842" width="9.7109375" style="3" customWidth="1"/>
    <col min="13843" max="13843" width="7.42578125" style="3" customWidth="1"/>
    <col min="13844" max="13844" width="4.140625" style="3" customWidth="1"/>
    <col min="13845" max="13845" width="6.42578125" style="3" customWidth="1"/>
    <col min="13846" max="13846" width="3.140625" style="3" customWidth="1"/>
    <col min="13847" max="13847" width="12.140625" style="3" customWidth="1"/>
    <col min="13848" max="13848" width="14" style="3" customWidth="1"/>
    <col min="13849" max="13849" width="8.42578125" style="3" customWidth="1"/>
    <col min="13850" max="13850" width="4.140625" style="3" customWidth="1"/>
    <col min="13851" max="14080" width="9.140625" style="3"/>
    <col min="14081" max="14081" width="5.7109375" style="3" customWidth="1"/>
    <col min="14082" max="14082" width="5.85546875" style="3" customWidth="1"/>
    <col min="14083" max="14083" width="5.7109375" style="3" customWidth="1"/>
    <col min="14084" max="14084" width="2.5703125" style="3" customWidth="1"/>
    <col min="14085" max="14085" width="6.28515625" style="3" customWidth="1"/>
    <col min="14086" max="14086" width="3" style="3" customWidth="1"/>
    <col min="14087" max="14087" width="6.7109375" style="3" customWidth="1"/>
    <col min="14088" max="14088" width="5.7109375" style="3" customWidth="1"/>
    <col min="14089" max="14089" width="2.5703125" style="3" customWidth="1"/>
    <col min="14090" max="14090" width="7.140625" style="3" customWidth="1"/>
    <col min="14091" max="14091" width="3.42578125" style="3" customWidth="1"/>
    <col min="14092" max="14092" width="6" style="3" customWidth="1"/>
    <col min="14093" max="14093" width="2.85546875" style="3" customWidth="1"/>
    <col min="14094" max="14094" width="6.42578125" style="3" customWidth="1"/>
    <col min="14095" max="14095" width="3.140625" style="3" customWidth="1"/>
    <col min="14096" max="14096" width="6.42578125" style="3" customWidth="1"/>
    <col min="14097" max="14097" width="3.140625" style="3" customWidth="1"/>
    <col min="14098" max="14098" width="9.7109375" style="3" customWidth="1"/>
    <col min="14099" max="14099" width="7.42578125" style="3" customWidth="1"/>
    <col min="14100" max="14100" width="4.140625" style="3" customWidth="1"/>
    <col min="14101" max="14101" width="6.42578125" style="3" customWidth="1"/>
    <col min="14102" max="14102" width="3.140625" style="3" customWidth="1"/>
    <col min="14103" max="14103" width="12.140625" style="3" customWidth="1"/>
    <col min="14104" max="14104" width="14" style="3" customWidth="1"/>
    <col min="14105" max="14105" width="8.42578125" style="3" customWidth="1"/>
    <col min="14106" max="14106" width="4.140625" style="3" customWidth="1"/>
    <col min="14107" max="14336" width="9.140625" style="3"/>
    <col min="14337" max="14337" width="5.7109375" style="3" customWidth="1"/>
    <col min="14338" max="14338" width="5.85546875" style="3" customWidth="1"/>
    <col min="14339" max="14339" width="5.7109375" style="3" customWidth="1"/>
    <col min="14340" max="14340" width="2.5703125" style="3" customWidth="1"/>
    <col min="14341" max="14341" width="6.28515625" style="3" customWidth="1"/>
    <col min="14342" max="14342" width="3" style="3" customWidth="1"/>
    <col min="14343" max="14343" width="6.7109375" style="3" customWidth="1"/>
    <col min="14344" max="14344" width="5.7109375" style="3" customWidth="1"/>
    <col min="14345" max="14345" width="2.5703125" style="3" customWidth="1"/>
    <col min="14346" max="14346" width="7.140625" style="3" customWidth="1"/>
    <col min="14347" max="14347" width="3.42578125" style="3" customWidth="1"/>
    <col min="14348" max="14348" width="6" style="3" customWidth="1"/>
    <col min="14349" max="14349" width="2.85546875" style="3" customWidth="1"/>
    <col min="14350" max="14350" width="6.42578125" style="3" customWidth="1"/>
    <col min="14351" max="14351" width="3.140625" style="3" customWidth="1"/>
    <col min="14352" max="14352" width="6.42578125" style="3" customWidth="1"/>
    <col min="14353" max="14353" width="3.140625" style="3" customWidth="1"/>
    <col min="14354" max="14354" width="9.7109375" style="3" customWidth="1"/>
    <col min="14355" max="14355" width="7.42578125" style="3" customWidth="1"/>
    <col min="14356" max="14356" width="4.140625" style="3" customWidth="1"/>
    <col min="14357" max="14357" width="6.42578125" style="3" customWidth="1"/>
    <col min="14358" max="14358" width="3.140625" style="3" customWidth="1"/>
    <col min="14359" max="14359" width="12.140625" style="3" customWidth="1"/>
    <col min="14360" max="14360" width="14" style="3" customWidth="1"/>
    <col min="14361" max="14361" width="8.42578125" style="3" customWidth="1"/>
    <col min="14362" max="14362" width="4.140625" style="3" customWidth="1"/>
    <col min="14363" max="14592" width="9.140625" style="3"/>
    <col min="14593" max="14593" width="5.7109375" style="3" customWidth="1"/>
    <col min="14594" max="14594" width="5.85546875" style="3" customWidth="1"/>
    <col min="14595" max="14595" width="5.7109375" style="3" customWidth="1"/>
    <col min="14596" max="14596" width="2.5703125" style="3" customWidth="1"/>
    <col min="14597" max="14597" width="6.28515625" style="3" customWidth="1"/>
    <col min="14598" max="14598" width="3" style="3" customWidth="1"/>
    <col min="14599" max="14599" width="6.7109375" style="3" customWidth="1"/>
    <col min="14600" max="14600" width="5.7109375" style="3" customWidth="1"/>
    <col min="14601" max="14601" width="2.5703125" style="3" customWidth="1"/>
    <col min="14602" max="14602" width="7.140625" style="3" customWidth="1"/>
    <col min="14603" max="14603" width="3.42578125" style="3" customWidth="1"/>
    <col min="14604" max="14604" width="6" style="3" customWidth="1"/>
    <col min="14605" max="14605" width="2.85546875" style="3" customWidth="1"/>
    <col min="14606" max="14606" width="6.42578125" style="3" customWidth="1"/>
    <col min="14607" max="14607" width="3.140625" style="3" customWidth="1"/>
    <col min="14608" max="14608" width="6.42578125" style="3" customWidth="1"/>
    <col min="14609" max="14609" width="3.140625" style="3" customWidth="1"/>
    <col min="14610" max="14610" width="9.7109375" style="3" customWidth="1"/>
    <col min="14611" max="14611" width="7.42578125" style="3" customWidth="1"/>
    <col min="14612" max="14612" width="4.140625" style="3" customWidth="1"/>
    <col min="14613" max="14613" width="6.42578125" style="3" customWidth="1"/>
    <col min="14614" max="14614" width="3.140625" style="3" customWidth="1"/>
    <col min="14615" max="14615" width="12.140625" style="3" customWidth="1"/>
    <col min="14616" max="14616" width="14" style="3" customWidth="1"/>
    <col min="14617" max="14617" width="8.42578125" style="3" customWidth="1"/>
    <col min="14618" max="14618" width="4.140625" style="3" customWidth="1"/>
    <col min="14619" max="14848" width="9.140625" style="3"/>
    <col min="14849" max="14849" width="5.7109375" style="3" customWidth="1"/>
    <col min="14850" max="14850" width="5.85546875" style="3" customWidth="1"/>
    <col min="14851" max="14851" width="5.7109375" style="3" customWidth="1"/>
    <col min="14852" max="14852" width="2.5703125" style="3" customWidth="1"/>
    <col min="14853" max="14853" width="6.28515625" style="3" customWidth="1"/>
    <col min="14854" max="14854" width="3" style="3" customWidth="1"/>
    <col min="14855" max="14855" width="6.7109375" style="3" customWidth="1"/>
    <col min="14856" max="14856" width="5.7109375" style="3" customWidth="1"/>
    <col min="14857" max="14857" width="2.5703125" style="3" customWidth="1"/>
    <col min="14858" max="14858" width="7.140625" style="3" customWidth="1"/>
    <col min="14859" max="14859" width="3.42578125" style="3" customWidth="1"/>
    <col min="14860" max="14860" width="6" style="3" customWidth="1"/>
    <col min="14861" max="14861" width="2.85546875" style="3" customWidth="1"/>
    <col min="14862" max="14862" width="6.42578125" style="3" customWidth="1"/>
    <col min="14863" max="14863" width="3.140625" style="3" customWidth="1"/>
    <col min="14864" max="14864" width="6.42578125" style="3" customWidth="1"/>
    <col min="14865" max="14865" width="3.140625" style="3" customWidth="1"/>
    <col min="14866" max="14866" width="9.7109375" style="3" customWidth="1"/>
    <col min="14867" max="14867" width="7.42578125" style="3" customWidth="1"/>
    <col min="14868" max="14868" width="4.140625" style="3" customWidth="1"/>
    <col min="14869" max="14869" width="6.42578125" style="3" customWidth="1"/>
    <col min="14870" max="14870" width="3.140625" style="3" customWidth="1"/>
    <col min="14871" max="14871" width="12.140625" style="3" customWidth="1"/>
    <col min="14872" max="14872" width="14" style="3" customWidth="1"/>
    <col min="14873" max="14873" width="8.42578125" style="3" customWidth="1"/>
    <col min="14874" max="14874" width="4.140625" style="3" customWidth="1"/>
    <col min="14875" max="15104" width="9.140625" style="3"/>
    <col min="15105" max="15105" width="5.7109375" style="3" customWidth="1"/>
    <col min="15106" max="15106" width="5.85546875" style="3" customWidth="1"/>
    <col min="15107" max="15107" width="5.7109375" style="3" customWidth="1"/>
    <col min="15108" max="15108" width="2.5703125" style="3" customWidth="1"/>
    <col min="15109" max="15109" width="6.28515625" style="3" customWidth="1"/>
    <col min="15110" max="15110" width="3" style="3" customWidth="1"/>
    <col min="15111" max="15111" width="6.7109375" style="3" customWidth="1"/>
    <col min="15112" max="15112" width="5.7109375" style="3" customWidth="1"/>
    <col min="15113" max="15113" width="2.5703125" style="3" customWidth="1"/>
    <col min="15114" max="15114" width="7.140625" style="3" customWidth="1"/>
    <col min="15115" max="15115" width="3.42578125" style="3" customWidth="1"/>
    <col min="15116" max="15116" width="6" style="3" customWidth="1"/>
    <col min="15117" max="15117" width="2.85546875" style="3" customWidth="1"/>
    <col min="15118" max="15118" width="6.42578125" style="3" customWidth="1"/>
    <col min="15119" max="15119" width="3.140625" style="3" customWidth="1"/>
    <col min="15120" max="15120" width="6.42578125" style="3" customWidth="1"/>
    <col min="15121" max="15121" width="3.140625" style="3" customWidth="1"/>
    <col min="15122" max="15122" width="9.7109375" style="3" customWidth="1"/>
    <col min="15123" max="15123" width="7.42578125" style="3" customWidth="1"/>
    <col min="15124" max="15124" width="4.140625" style="3" customWidth="1"/>
    <col min="15125" max="15125" width="6.42578125" style="3" customWidth="1"/>
    <col min="15126" max="15126" width="3.140625" style="3" customWidth="1"/>
    <col min="15127" max="15127" width="12.140625" style="3" customWidth="1"/>
    <col min="15128" max="15128" width="14" style="3" customWidth="1"/>
    <col min="15129" max="15129" width="8.42578125" style="3" customWidth="1"/>
    <col min="15130" max="15130" width="4.140625" style="3" customWidth="1"/>
    <col min="15131" max="15360" width="9.140625" style="3"/>
    <col min="15361" max="15361" width="5.7109375" style="3" customWidth="1"/>
    <col min="15362" max="15362" width="5.85546875" style="3" customWidth="1"/>
    <col min="15363" max="15363" width="5.7109375" style="3" customWidth="1"/>
    <col min="15364" max="15364" width="2.5703125" style="3" customWidth="1"/>
    <col min="15365" max="15365" width="6.28515625" style="3" customWidth="1"/>
    <col min="15366" max="15366" width="3" style="3" customWidth="1"/>
    <col min="15367" max="15367" width="6.7109375" style="3" customWidth="1"/>
    <col min="15368" max="15368" width="5.7109375" style="3" customWidth="1"/>
    <col min="15369" max="15369" width="2.5703125" style="3" customWidth="1"/>
    <col min="15370" max="15370" width="7.140625" style="3" customWidth="1"/>
    <col min="15371" max="15371" width="3.42578125" style="3" customWidth="1"/>
    <col min="15372" max="15372" width="6" style="3" customWidth="1"/>
    <col min="15373" max="15373" width="2.85546875" style="3" customWidth="1"/>
    <col min="15374" max="15374" width="6.42578125" style="3" customWidth="1"/>
    <col min="15375" max="15375" width="3.140625" style="3" customWidth="1"/>
    <col min="15376" max="15376" width="6.42578125" style="3" customWidth="1"/>
    <col min="15377" max="15377" width="3.140625" style="3" customWidth="1"/>
    <col min="15378" max="15378" width="9.7109375" style="3" customWidth="1"/>
    <col min="15379" max="15379" width="7.42578125" style="3" customWidth="1"/>
    <col min="15380" max="15380" width="4.140625" style="3" customWidth="1"/>
    <col min="15381" max="15381" width="6.42578125" style="3" customWidth="1"/>
    <col min="15382" max="15382" width="3.140625" style="3" customWidth="1"/>
    <col min="15383" max="15383" width="12.140625" style="3" customWidth="1"/>
    <col min="15384" max="15384" width="14" style="3" customWidth="1"/>
    <col min="15385" max="15385" width="8.42578125" style="3" customWidth="1"/>
    <col min="15386" max="15386" width="4.140625" style="3" customWidth="1"/>
    <col min="15387" max="15616" width="9.140625" style="3"/>
    <col min="15617" max="15617" width="5.7109375" style="3" customWidth="1"/>
    <col min="15618" max="15618" width="5.85546875" style="3" customWidth="1"/>
    <col min="15619" max="15619" width="5.7109375" style="3" customWidth="1"/>
    <col min="15620" max="15620" width="2.5703125" style="3" customWidth="1"/>
    <col min="15621" max="15621" width="6.28515625" style="3" customWidth="1"/>
    <col min="15622" max="15622" width="3" style="3" customWidth="1"/>
    <col min="15623" max="15623" width="6.7109375" style="3" customWidth="1"/>
    <col min="15624" max="15624" width="5.7109375" style="3" customWidth="1"/>
    <col min="15625" max="15625" width="2.5703125" style="3" customWidth="1"/>
    <col min="15626" max="15626" width="7.140625" style="3" customWidth="1"/>
    <col min="15627" max="15627" width="3.42578125" style="3" customWidth="1"/>
    <col min="15628" max="15628" width="6" style="3" customWidth="1"/>
    <col min="15629" max="15629" width="2.85546875" style="3" customWidth="1"/>
    <col min="15630" max="15630" width="6.42578125" style="3" customWidth="1"/>
    <col min="15631" max="15631" width="3.140625" style="3" customWidth="1"/>
    <col min="15632" max="15632" width="6.42578125" style="3" customWidth="1"/>
    <col min="15633" max="15633" width="3.140625" style="3" customWidth="1"/>
    <col min="15634" max="15634" width="9.7109375" style="3" customWidth="1"/>
    <col min="15635" max="15635" width="7.42578125" style="3" customWidth="1"/>
    <col min="15636" max="15636" width="4.140625" style="3" customWidth="1"/>
    <col min="15637" max="15637" width="6.42578125" style="3" customWidth="1"/>
    <col min="15638" max="15638" width="3.140625" style="3" customWidth="1"/>
    <col min="15639" max="15639" width="12.140625" style="3" customWidth="1"/>
    <col min="15640" max="15640" width="14" style="3" customWidth="1"/>
    <col min="15641" max="15641" width="8.42578125" style="3" customWidth="1"/>
    <col min="15642" max="15642" width="4.140625" style="3" customWidth="1"/>
    <col min="15643" max="15872" width="9.140625" style="3"/>
    <col min="15873" max="15873" width="5.7109375" style="3" customWidth="1"/>
    <col min="15874" max="15874" width="5.85546875" style="3" customWidth="1"/>
    <col min="15875" max="15875" width="5.7109375" style="3" customWidth="1"/>
    <col min="15876" max="15876" width="2.5703125" style="3" customWidth="1"/>
    <col min="15877" max="15877" width="6.28515625" style="3" customWidth="1"/>
    <col min="15878" max="15878" width="3" style="3" customWidth="1"/>
    <col min="15879" max="15879" width="6.7109375" style="3" customWidth="1"/>
    <col min="15880" max="15880" width="5.7109375" style="3" customWidth="1"/>
    <col min="15881" max="15881" width="2.5703125" style="3" customWidth="1"/>
    <col min="15882" max="15882" width="7.140625" style="3" customWidth="1"/>
    <col min="15883" max="15883" width="3.42578125" style="3" customWidth="1"/>
    <col min="15884" max="15884" width="6" style="3" customWidth="1"/>
    <col min="15885" max="15885" width="2.85546875" style="3" customWidth="1"/>
    <col min="15886" max="15886" width="6.42578125" style="3" customWidth="1"/>
    <col min="15887" max="15887" width="3.140625" style="3" customWidth="1"/>
    <col min="15888" max="15888" width="6.42578125" style="3" customWidth="1"/>
    <col min="15889" max="15889" width="3.140625" style="3" customWidth="1"/>
    <col min="15890" max="15890" width="9.7109375" style="3" customWidth="1"/>
    <col min="15891" max="15891" width="7.42578125" style="3" customWidth="1"/>
    <col min="15892" max="15892" width="4.140625" style="3" customWidth="1"/>
    <col min="15893" max="15893" width="6.42578125" style="3" customWidth="1"/>
    <col min="15894" max="15894" width="3.140625" style="3" customWidth="1"/>
    <col min="15895" max="15895" width="12.140625" style="3" customWidth="1"/>
    <col min="15896" max="15896" width="14" style="3" customWidth="1"/>
    <col min="15897" max="15897" width="8.42578125" style="3" customWidth="1"/>
    <col min="15898" max="15898" width="4.140625" style="3" customWidth="1"/>
    <col min="15899" max="16128" width="9.140625" style="3"/>
    <col min="16129" max="16129" width="5.7109375" style="3" customWidth="1"/>
    <col min="16130" max="16130" width="5.85546875" style="3" customWidth="1"/>
    <col min="16131" max="16131" width="5.7109375" style="3" customWidth="1"/>
    <col min="16132" max="16132" width="2.5703125" style="3" customWidth="1"/>
    <col min="16133" max="16133" width="6.28515625" style="3" customWidth="1"/>
    <col min="16134" max="16134" width="3" style="3" customWidth="1"/>
    <col min="16135" max="16135" width="6.7109375" style="3" customWidth="1"/>
    <col min="16136" max="16136" width="5.7109375" style="3" customWidth="1"/>
    <col min="16137" max="16137" width="2.5703125" style="3" customWidth="1"/>
    <col min="16138" max="16138" width="7.140625" style="3" customWidth="1"/>
    <col min="16139" max="16139" width="3.42578125" style="3" customWidth="1"/>
    <col min="16140" max="16140" width="6" style="3" customWidth="1"/>
    <col min="16141" max="16141" width="2.85546875" style="3" customWidth="1"/>
    <col min="16142" max="16142" width="6.42578125" style="3" customWidth="1"/>
    <col min="16143" max="16143" width="3.140625" style="3" customWidth="1"/>
    <col min="16144" max="16144" width="6.42578125" style="3" customWidth="1"/>
    <col min="16145" max="16145" width="3.140625" style="3" customWidth="1"/>
    <col min="16146" max="16146" width="9.7109375" style="3" customWidth="1"/>
    <col min="16147" max="16147" width="7.42578125" style="3" customWidth="1"/>
    <col min="16148" max="16148" width="4.140625" style="3" customWidth="1"/>
    <col min="16149" max="16149" width="6.42578125" style="3" customWidth="1"/>
    <col min="16150" max="16150" width="3.140625" style="3" customWidth="1"/>
    <col min="16151" max="16151" width="12.140625" style="3" customWidth="1"/>
    <col min="16152" max="16152" width="14" style="3" customWidth="1"/>
    <col min="16153" max="16153" width="8.42578125" style="3" customWidth="1"/>
    <col min="16154" max="16154" width="4.140625" style="3" customWidth="1"/>
    <col min="16155" max="16384" width="9.140625" style="3"/>
  </cols>
  <sheetData>
    <row r="1" spans="1:26" ht="15.75" customHeight="1" x14ac:dyDescent="0.25">
      <c r="A1" s="184" t="s">
        <v>139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6"/>
    </row>
    <row r="2" spans="1:26" x14ac:dyDescent="0.25">
      <c r="A2" s="187" t="s">
        <v>12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9"/>
    </row>
    <row r="3" spans="1:26" x14ac:dyDescent="0.25">
      <c r="A3" s="190" t="s">
        <v>13</v>
      </c>
      <c r="B3" s="177" t="s">
        <v>140</v>
      </c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78"/>
      <c r="W3" s="4"/>
      <c r="X3" s="4"/>
      <c r="Y3" s="193"/>
      <c r="Z3" s="194"/>
    </row>
    <row r="4" spans="1:26" x14ac:dyDescent="0.25">
      <c r="A4" s="191"/>
      <c r="B4" s="179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0"/>
      <c r="W4" s="4"/>
      <c r="X4" s="4"/>
      <c r="Y4" s="195"/>
      <c r="Z4" s="196"/>
    </row>
    <row r="5" spans="1:26" x14ac:dyDescent="0.25">
      <c r="A5" s="191"/>
      <c r="B5" s="179"/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0"/>
      <c r="W5" s="4"/>
      <c r="X5" s="4"/>
      <c r="Y5" s="195"/>
      <c r="Z5" s="196"/>
    </row>
    <row r="6" spans="1:26" x14ac:dyDescent="0.25">
      <c r="A6" s="191"/>
      <c r="B6" s="172"/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73"/>
      <c r="W6" s="5" t="s">
        <v>141</v>
      </c>
      <c r="X6" s="4"/>
      <c r="Y6" s="195"/>
      <c r="Z6" s="196"/>
    </row>
    <row r="7" spans="1:26" x14ac:dyDescent="0.25">
      <c r="A7" s="191"/>
      <c r="B7" s="190" t="s">
        <v>22</v>
      </c>
      <c r="C7" s="193"/>
      <c r="D7" s="194"/>
      <c r="E7" s="177" t="s">
        <v>18</v>
      </c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78"/>
      <c r="R7" s="4"/>
      <c r="S7" s="177" t="s">
        <v>23</v>
      </c>
      <c r="T7" s="178"/>
      <c r="U7" s="177" t="s">
        <v>142</v>
      </c>
      <c r="V7" s="178"/>
      <c r="W7" s="5" t="s">
        <v>143</v>
      </c>
      <c r="X7" s="5" t="s">
        <v>27</v>
      </c>
      <c r="Y7" s="179" t="s">
        <v>144</v>
      </c>
      <c r="Z7" s="180"/>
    </row>
    <row r="8" spans="1:26" x14ac:dyDescent="0.25">
      <c r="A8" s="191"/>
      <c r="B8" s="191"/>
      <c r="C8" s="195"/>
      <c r="D8" s="196"/>
      <c r="E8" s="179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0"/>
      <c r="R8" s="4"/>
      <c r="S8" s="179"/>
      <c r="T8" s="180"/>
      <c r="U8" s="179"/>
      <c r="V8" s="180"/>
      <c r="W8" s="5" t="s">
        <v>145</v>
      </c>
      <c r="X8" s="5" t="s">
        <v>146</v>
      </c>
      <c r="Y8" s="179" t="s">
        <v>147</v>
      </c>
      <c r="Z8" s="180"/>
    </row>
    <row r="9" spans="1:26" x14ac:dyDescent="0.25">
      <c r="A9" s="191"/>
      <c r="B9" s="191"/>
      <c r="C9" s="179" t="s">
        <v>26</v>
      </c>
      <c r="D9" s="180"/>
      <c r="E9" s="172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73"/>
      <c r="R9" s="5" t="s">
        <v>148</v>
      </c>
      <c r="S9" s="179"/>
      <c r="T9" s="180"/>
      <c r="U9" s="179"/>
      <c r="V9" s="180"/>
      <c r="W9" s="5"/>
      <c r="X9" s="5"/>
      <c r="Y9" s="179"/>
      <c r="Z9" s="180"/>
    </row>
    <row r="10" spans="1:26" x14ac:dyDescent="0.25">
      <c r="A10" s="191"/>
      <c r="B10" s="191"/>
      <c r="C10" s="179" t="s">
        <v>149</v>
      </c>
      <c r="D10" s="180"/>
      <c r="E10" s="177" t="s">
        <v>150</v>
      </c>
      <c r="F10" s="178"/>
      <c r="G10" s="5" t="s">
        <v>151</v>
      </c>
      <c r="H10" s="177" t="s">
        <v>152</v>
      </c>
      <c r="I10" s="178"/>
      <c r="J10" s="177" t="s">
        <v>153</v>
      </c>
      <c r="K10" s="178"/>
      <c r="L10" s="177" t="s">
        <v>154</v>
      </c>
      <c r="M10" s="178"/>
      <c r="N10" s="177" t="s">
        <v>155</v>
      </c>
      <c r="O10" s="178"/>
      <c r="P10" s="177" t="s">
        <v>144</v>
      </c>
      <c r="Q10" s="178"/>
      <c r="R10" s="5" t="s">
        <v>156</v>
      </c>
      <c r="S10" s="179"/>
      <c r="T10" s="180"/>
      <c r="U10" s="179"/>
      <c r="V10" s="180"/>
      <c r="W10" s="5"/>
      <c r="X10" s="5"/>
      <c r="Y10" s="179"/>
      <c r="Z10" s="180"/>
    </row>
    <row r="11" spans="1:26" x14ac:dyDescent="0.25">
      <c r="A11" s="192"/>
      <c r="B11" s="192"/>
      <c r="C11" s="172"/>
      <c r="D11" s="173"/>
      <c r="E11" s="172" t="s">
        <v>157</v>
      </c>
      <c r="F11" s="173"/>
      <c r="G11" s="6" t="s">
        <v>158</v>
      </c>
      <c r="H11" s="172"/>
      <c r="I11" s="173"/>
      <c r="J11" s="172" t="s">
        <v>159</v>
      </c>
      <c r="K11" s="173"/>
      <c r="L11" s="172" t="s">
        <v>157</v>
      </c>
      <c r="M11" s="173"/>
      <c r="N11" s="172"/>
      <c r="O11" s="173"/>
      <c r="P11" s="172"/>
      <c r="Q11" s="173"/>
      <c r="R11" s="6"/>
      <c r="S11" s="172"/>
      <c r="T11" s="173"/>
      <c r="U11" s="172"/>
      <c r="V11" s="173"/>
      <c r="W11" s="6"/>
      <c r="X11" s="6"/>
      <c r="Y11" s="172"/>
      <c r="Z11" s="173"/>
    </row>
    <row r="12" spans="1:26" x14ac:dyDescent="0.25">
      <c r="A12" s="7">
        <v>1970</v>
      </c>
      <c r="B12" s="8">
        <v>0.38</v>
      </c>
      <c r="C12" s="8">
        <v>0.59</v>
      </c>
      <c r="D12" s="9"/>
      <c r="E12" s="8">
        <v>1.1599999999999999</v>
      </c>
      <c r="F12" s="9"/>
      <c r="G12" s="8">
        <v>0.73</v>
      </c>
      <c r="H12" s="8">
        <v>1.43</v>
      </c>
      <c r="I12" s="10" t="s">
        <v>30</v>
      </c>
      <c r="J12" s="8">
        <v>2.85</v>
      </c>
      <c r="K12" s="9"/>
      <c r="L12" s="8">
        <v>0.42</v>
      </c>
      <c r="M12" s="9"/>
      <c r="N12" s="8">
        <v>1.38</v>
      </c>
      <c r="O12" s="9"/>
      <c r="P12" s="8">
        <v>1.71</v>
      </c>
      <c r="Q12" s="10" t="s">
        <v>30</v>
      </c>
      <c r="R12" s="8">
        <v>0.18</v>
      </c>
      <c r="S12" s="8">
        <v>1.29</v>
      </c>
      <c r="T12" s="9"/>
      <c r="U12" s="8">
        <v>1.08</v>
      </c>
      <c r="V12" s="9"/>
      <c r="W12" s="8">
        <v>0.32</v>
      </c>
      <c r="X12" s="8">
        <v>4.9800000000000004</v>
      </c>
      <c r="Y12" s="8">
        <v>1.65</v>
      </c>
      <c r="Z12" s="9"/>
    </row>
    <row r="13" spans="1:26" x14ac:dyDescent="0.25">
      <c r="A13" s="7">
        <v>1971</v>
      </c>
      <c r="B13" s="8">
        <v>0.42</v>
      </c>
      <c r="C13" s="8">
        <v>0.63</v>
      </c>
      <c r="D13" s="9"/>
      <c r="E13" s="8">
        <v>1.22</v>
      </c>
      <c r="F13" s="9"/>
      <c r="G13" s="8">
        <v>0.77</v>
      </c>
      <c r="H13" s="8">
        <v>1.46</v>
      </c>
      <c r="I13" s="10" t="s">
        <v>30</v>
      </c>
      <c r="J13" s="8">
        <v>2.9</v>
      </c>
      <c r="K13" s="9"/>
      <c r="L13" s="8">
        <v>0.57999999999999996</v>
      </c>
      <c r="M13" s="9"/>
      <c r="N13" s="8">
        <v>1.45</v>
      </c>
      <c r="O13" s="9"/>
      <c r="P13" s="8">
        <v>1.78</v>
      </c>
      <c r="Q13" s="10" t="s">
        <v>30</v>
      </c>
      <c r="R13" s="8">
        <v>0.18</v>
      </c>
      <c r="S13" s="8">
        <v>1.31</v>
      </c>
      <c r="T13" s="9"/>
      <c r="U13" s="8">
        <v>1.1499999999999999</v>
      </c>
      <c r="V13" s="9"/>
      <c r="W13" s="8">
        <v>0.38</v>
      </c>
      <c r="X13" s="8">
        <v>5.3</v>
      </c>
      <c r="Y13" s="8">
        <v>1.76</v>
      </c>
      <c r="Z13" s="9"/>
    </row>
    <row r="14" spans="1:26" x14ac:dyDescent="0.25">
      <c r="A14" s="11">
        <v>1972</v>
      </c>
      <c r="B14" s="12">
        <v>0.45</v>
      </c>
      <c r="C14" s="12">
        <v>0.68</v>
      </c>
      <c r="D14" s="13"/>
      <c r="E14" s="12">
        <v>1.22</v>
      </c>
      <c r="F14" s="13"/>
      <c r="G14" s="12">
        <v>0.79</v>
      </c>
      <c r="H14" s="12">
        <v>1.49</v>
      </c>
      <c r="I14" s="14" t="s">
        <v>30</v>
      </c>
      <c r="J14" s="12">
        <v>2.88</v>
      </c>
      <c r="K14" s="13"/>
      <c r="L14" s="12">
        <v>0.62</v>
      </c>
      <c r="M14" s="13"/>
      <c r="N14" s="12">
        <v>1.49</v>
      </c>
      <c r="O14" s="13"/>
      <c r="P14" s="12">
        <v>1.78</v>
      </c>
      <c r="Q14" s="13"/>
      <c r="R14" s="12">
        <v>0.18</v>
      </c>
      <c r="S14" s="12">
        <v>1.33</v>
      </c>
      <c r="T14" s="13"/>
      <c r="U14" s="12">
        <v>1.18</v>
      </c>
      <c r="V14" s="13"/>
      <c r="W14" s="12">
        <v>0.42</v>
      </c>
      <c r="X14" s="12">
        <v>5.54</v>
      </c>
      <c r="Y14" s="12">
        <v>1.84</v>
      </c>
      <c r="Z14" s="13"/>
    </row>
    <row r="15" spans="1:26" x14ac:dyDescent="0.25">
      <c r="A15" s="7">
        <v>1973</v>
      </c>
      <c r="B15" s="8">
        <v>0.48</v>
      </c>
      <c r="C15" s="8">
        <v>0.73</v>
      </c>
      <c r="D15" s="9"/>
      <c r="E15" s="8">
        <v>1.46</v>
      </c>
      <c r="F15" s="9"/>
      <c r="G15" s="8">
        <v>0.92</v>
      </c>
      <c r="H15" s="8">
        <v>1.97</v>
      </c>
      <c r="I15" s="10" t="s">
        <v>30</v>
      </c>
      <c r="J15" s="8">
        <v>3.1</v>
      </c>
      <c r="K15" s="9"/>
      <c r="L15" s="8">
        <v>0.75</v>
      </c>
      <c r="M15" s="9"/>
      <c r="N15" s="8">
        <v>1.58</v>
      </c>
      <c r="O15" s="9"/>
      <c r="P15" s="8">
        <v>1.97</v>
      </c>
      <c r="Q15" s="9"/>
      <c r="R15" s="8">
        <v>0.19</v>
      </c>
      <c r="S15" s="8">
        <v>1.39</v>
      </c>
      <c r="T15" s="9"/>
      <c r="U15" s="8">
        <v>1.29</v>
      </c>
      <c r="V15" s="9"/>
      <c r="W15" s="8">
        <v>0.47</v>
      </c>
      <c r="X15" s="8">
        <v>5.86</v>
      </c>
      <c r="Y15" s="8">
        <v>2.02</v>
      </c>
      <c r="Z15" s="9"/>
    </row>
    <row r="16" spans="1:26" x14ac:dyDescent="0.25">
      <c r="A16" s="7">
        <v>1974</v>
      </c>
      <c r="B16" s="8">
        <v>0.88</v>
      </c>
      <c r="C16" s="8">
        <v>0.89</v>
      </c>
      <c r="D16" s="9"/>
      <c r="E16" s="8">
        <v>2.44</v>
      </c>
      <c r="F16" s="9"/>
      <c r="G16" s="8">
        <v>1.58</v>
      </c>
      <c r="H16" s="8">
        <v>2.77</v>
      </c>
      <c r="I16" s="10" t="s">
        <v>30</v>
      </c>
      <c r="J16" s="8">
        <v>4.32</v>
      </c>
      <c r="K16" s="9"/>
      <c r="L16" s="8">
        <v>1.82</v>
      </c>
      <c r="M16" s="9"/>
      <c r="N16" s="8">
        <v>2.6</v>
      </c>
      <c r="O16" s="9"/>
      <c r="P16" s="8">
        <v>3.05</v>
      </c>
      <c r="Q16" s="10" t="s">
        <v>30</v>
      </c>
      <c r="R16" s="8">
        <v>0.2</v>
      </c>
      <c r="S16" s="8">
        <v>1.5</v>
      </c>
      <c r="T16" s="9"/>
      <c r="U16" s="8">
        <v>1.94</v>
      </c>
      <c r="V16" s="9"/>
      <c r="W16" s="8">
        <v>0.87</v>
      </c>
      <c r="X16" s="8">
        <v>7.42</v>
      </c>
      <c r="Y16" s="8">
        <v>2.87</v>
      </c>
      <c r="Z16" s="9"/>
    </row>
    <row r="17" spans="1:26" x14ac:dyDescent="0.25">
      <c r="A17" s="11">
        <v>1975</v>
      </c>
      <c r="B17" s="12">
        <v>1.03</v>
      </c>
      <c r="C17" s="12">
        <v>1.18</v>
      </c>
      <c r="D17" s="13"/>
      <c r="E17" s="12">
        <v>2.6</v>
      </c>
      <c r="F17" s="13"/>
      <c r="G17" s="12">
        <v>2.0499999999999998</v>
      </c>
      <c r="H17" s="12">
        <v>2.93</v>
      </c>
      <c r="I17" s="14" t="s">
        <v>30</v>
      </c>
      <c r="J17" s="12">
        <v>4.6500000000000004</v>
      </c>
      <c r="K17" s="13"/>
      <c r="L17" s="12">
        <v>1.93</v>
      </c>
      <c r="M17" s="13"/>
      <c r="N17" s="12">
        <v>2.94</v>
      </c>
      <c r="O17" s="13"/>
      <c r="P17" s="12">
        <v>3.34</v>
      </c>
      <c r="Q17" s="14" t="s">
        <v>30</v>
      </c>
      <c r="R17" s="12">
        <v>0.24</v>
      </c>
      <c r="S17" s="12">
        <v>1.5</v>
      </c>
      <c r="T17" s="13"/>
      <c r="U17" s="12">
        <v>2.19</v>
      </c>
      <c r="V17" s="13"/>
      <c r="W17" s="12">
        <v>0.97</v>
      </c>
      <c r="X17" s="12">
        <v>8.61</v>
      </c>
      <c r="Y17" s="12">
        <v>3.33</v>
      </c>
      <c r="Z17" s="13"/>
    </row>
    <row r="18" spans="1:26" x14ac:dyDescent="0.25">
      <c r="A18" s="7">
        <v>1976</v>
      </c>
      <c r="B18" s="8">
        <v>1.04</v>
      </c>
      <c r="C18" s="8">
        <v>1.46</v>
      </c>
      <c r="D18" s="9"/>
      <c r="E18" s="8">
        <v>2.77</v>
      </c>
      <c r="F18" s="9"/>
      <c r="G18" s="8">
        <v>2.25</v>
      </c>
      <c r="H18" s="8">
        <v>3.16</v>
      </c>
      <c r="I18" s="10" t="s">
        <v>30</v>
      </c>
      <c r="J18" s="8">
        <v>4.84</v>
      </c>
      <c r="K18" s="9"/>
      <c r="L18" s="8">
        <v>1.9</v>
      </c>
      <c r="M18" s="9"/>
      <c r="N18" s="8">
        <v>3.08</v>
      </c>
      <c r="O18" s="9"/>
      <c r="P18" s="8">
        <v>3.46</v>
      </c>
      <c r="Q18" s="10" t="s">
        <v>30</v>
      </c>
      <c r="R18" s="8">
        <v>0.25</v>
      </c>
      <c r="S18" s="8">
        <v>1.53</v>
      </c>
      <c r="T18" s="9"/>
      <c r="U18" s="8">
        <v>2.34</v>
      </c>
      <c r="V18" s="9"/>
      <c r="W18" s="8">
        <v>1.03</v>
      </c>
      <c r="X18" s="8">
        <v>9.1300000000000008</v>
      </c>
      <c r="Y18" s="8">
        <v>3.57</v>
      </c>
      <c r="Z18" s="9"/>
    </row>
    <row r="19" spans="1:26" x14ac:dyDescent="0.25">
      <c r="A19" s="7">
        <v>1977</v>
      </c>
      <c r="B19" s="8">
        <v>1.1100000000000001</v>
      </c>
      <c r="C19" s="8">
        <v>1.76</v>
      </c>
      <c r="D19" s="9"/>
      <c r="E19" s="8">
        <v>3.11</v>
      </c>
      <c r="F19" s="9"/>
      <c r="G19" s="8">
        <v>2.59</v>
      </c>
      <c r="H19" s="8">
        <v>3.61</v>
      </c>
      <c r="I19" s="10" t="s">
        <v>30</v>
      </c>
      <c r="J19" s="8">
        <v>5.13</v>
      </c>
      <c r="K19" s="9"/>
      <c r="L19" s="8">
        <v>2.14</v>
      </c>
      <c r="M19" s="9"/>
      <c r="N19" s="8">
        <v>3.27</v>
      </c>
      <c r="O19" s="9"/>
      <c r="P19" s="8">
        <v>3.73</v>
      </c>
      <c r="Q19" s="9"/>
      <c r="R19" s="8">
        <v>0.27</v>
      </c>
      <c r="S19" s="8">
        <v>1.58</v>
      </c>
      <c r="T19" s="9"/>
      <c r="U19" s="8">
        <v>2.58</v>
      </c>
      <c r="V19" s="9"/>
      <c r="W19" s="8">
        <v>1.17</v>
      </c>
      <c r="X19" s="8">
        <v>10.11</v>
      </c>
      <c r="Y19" s="8">
        <v>3.98</v>
      </c>
      <c r="Z19" s="9"/>
    </row>
    <row r="20" spans="1:26" x14ac:dyDescent="0.25">
      <c r="A20" s="11">
        <v>1978</v>
      </c>
      <c r="B20" s="12">
        <v>1.27</v>
      </c>
      <c r="C20" s="12">
        <v>1.95</v>
      </c>
      <c r="D20" s="13"/>
      <c r="E20" s="12">
        <v>3.26</v>
      </c>
      <c r="F20" s="13"/>
      <c r="G20" s="12">
        <v>2.87</v>
      </c>
      <c r="H20" s="12">
        <v>3.56</v>
      </c>
      <c r="I20" s="14" t="s">
        <v>30</v>
      </c>
      <c r="J20" s="12">
        <v>5.24</v>
      </c>
      <c r="K20" s="13"/>
      <c r="L20" s="12">
        <v>2.08</v>
      </c>
      <c r="M20" s="13"/>
      <c r="N20" s="12">
        <v>3.45</v>
      </c>
      <c r="O20" s="13"/>
      <c r="P20" s="12">
        <v>3.84</v>
      </c>
      <c r="Q20" s="13"/>
      <c r="R20" s="12">
        <v>0.3</v>
      </c>
      <c r="S20" s="12">
        <v>1.61</v>
      </c>
      <c r="T20" s="13"/>
      <c r="U20" s="12">
        <v>2.71</v>
      </c>
      <c r="V20" s="13"/>
      <c r="W20" s="12">
        <v>1.27</v>
      </c>
      <c r="X20" s="12">
        <v>10.92</v>
      </c>
      <c r="Y20" s="12">
        <v>4.2300000000000004</v>
      </c>
      <c r="Z20" s="13"/>
    </row>
    <row r="21" spans="1:26" x14ac:dyDescent="0.25">
      <c r="A21" s="7">
        <v>1979</v>
      </c>
      <c r="B21" s="8">
        <v>1.36</v>
      </c>
      <c r="C21" s="8">
        <v>2.31</v>
      </c>
      <c r="D21" s="9"/>
      <c r="E21" s="8">
        <v>4.6900000000000004</v>
      </c>
      <c r="F21" s="9"/>
      <c r="G21" s="8">
        <v>3.9</v>
      </c>
      <c r="H21" s="8">
        <v>4.46</v>
      </c>
      <c r="I21" s="10" t="s">
        <v>30</v>
      </c>
      <c r="J21" s="8">
        <v>7.11</v>
      </c>
      <c r="K21" s="9"/>
      <c r="L21" s="8">
        <v>2.83</v>
      </c>
      <c r="M21" s="9"/>
      <c r="N21" s="8">
        <v>4.7</v>
      </c>
      <c r="O21" s="9"/>
      <c r="P21" s="8">
        <v>5.23</v>
      </c>
      <c r="Q21" s="9"/>
      <c r="R21" s="8">
        <v>0.34</v>
      </c>
      <c r="S21" s="8">
        <v>1.88</v>
      </c>
      <c r="T21" s="9"/>
      <c r="U21" s="8">
        <v>3.47</v>
      </c>
      <c r="V21" s="9"/>
      <c r="W21" s="8">
        <v>1.5</v>
      </c>
      <c r="X21" s="8">
        <v>11.78</v>
      </c>
      <c r="Y21" s="8">
        <v>5.21</v>
      </c>
      <c r="Z21" s="9"/>
    </row>
    <row r="22" spans="1:26" x14ac:dyDescent="0.25">
      <c r="A22" s="7">
        <v>1980</v>
      </c>
      <c r="B22" s="8">
        <v>1.46</v>
      </c>
      <c r="C22" s="8">
        <v>2.86</v>
      </c>
      <c r="D22" s="9"/>
      <c r="E22" s="8">
        <v>6.7</v>
      </c>
      <c r="F22" s="9"/>
      <c r="G22" s="8">
        <v>6.36</v>
      </c>
      <c r="H22" s="8">
        <v>5.59</v>
      </c>
      <c r="I22" s="10" t="s">
        <v>30</v>
      </c>
      <c r="J22" s="8">
        <v>9.84</v>
      </c>
      <c r="K22" s="9"/>
      <c r="L22" s="8">
        <v>3.88</v>
      </c>
      <c r="M22" s="9"/>
      <c r="N22" s="8">
        <v>7.04</v>
      </c>
      <c r="O22" s="9"/>
      <c r="P22" s="8">
        <v>7.4</v>
      </c>
      <c r="Q22" s="9"/>
      <c r="R22" s="8">
        <v>0.43</v>
      </c>
      <c r="S22" s="8">
        <v>2.2599999999999998</v>
      </c>
      <c r="T22" s="9"/>
      <c r="U22" s="8">
        <v>4.57</v>
      </c>
      <c r="V22" s="9"/>
      <c r="W22" s="8">
        <v>1.77</v>
      </c>
      <c r="X22" s="8">
        <v>13.95</v>
      </c>
      <c r="Y22" s="8">
        <v>6.89</v>
      </c>
      <c r="Z22" s="9"/>
    </row>
    <row r="23" spans="1:26" x14ac:dyDescent="0.25">
      <c r="A23" s="11">
        <v>1981</v>
      </c>
      <c r="B23" s="12">
        <v>1.64</v>
      </c>
      <c r="C23" s="12">
        <v>3.43</v>
      </c>
      <c r="D23" s="13"/>
      <c r="E23" s="12">
        <v>8.0299999999999994</v>
      </c>
      <c r="F23" s="13"/>
      <c r="G23" s="12">
        <v>7.57</v>
      </c>
      <c r="H23" s="12">
        <v>6.13</v>
      </c>
      <c r="I23" s="14" t="s">
        <v>30</v>
      </c>
      <c r="J23" s="12">
        <v>10.94</v>
      </c>
      <c r="K23" s="13"/>
      <c r="L23" s="12">
        <v>4.91</v>
      </c>
      <c r="M23" s="13"/>
      <c r="N23" s="12">
        <v>8.67</v>
      </c>
      <c r="O23" s="13"/>
      <c r="P23" s="12">
        <v>8.68</v>
      </c>
      <c r="Q23" s="13"/>
      <c r="R23" s="12">
        <v>0.48</v>
      </c>
      <c r="S23" s="12">
        <v>2.52</v>
      </c>
      <c r="T23" s="13"/>
      <c r="U23" s="12">
        <v>5.25</v>
      </c>
      <c r="V23" s="13"/>
      <c r="W23" s="12">
        <v>2.04</v>
      </c>
      <c r="X23" s="12">
        <v>16.14</v>
      </c>
      <c r="Y23" s="12">
        <v>8.0299999999999994</v>
      </c>
      <c r="Z23" s="13"/>
    </row>
    <row r="24" spans="1:26" x14ac:dyDescent="0.25">
      <c r="A24" s="7">
        <v>1982</v>
      </c>
      <c r="B24" s="8">
        <v>1.73</v>
      </c>
      <c r="C24" s="8">
        <v>4.2300000000000004</v>
      </c>
      <c r="D24" s="9"/>
      <c r="E24" s="8">
        <v>7.78</v>
      </c>
      <c r="F24" s="9"/>
      <c r="G24" s="8">
        <v>7.23</v>
      </c>
      <c r="H24" s="8">
        <v>6.6</v>
      </c>
      <c r="I24" s="10" t="s">
        <v>30</v>
      </c>
      <c r="J24" s="8">
        <v>10.39</v>
      </c>
      <c r="K24" s="9"/>
      <c r="L24" s="8">
        <v>4.6500000000000004</v>
      </c>
      <c r="M24" s="9"/>
      <c r="N24" s="8">
        <v>7.87</v>
      </c>
      <c r="O24" s="9"/>
      <c r="P24" s="8">
        <v>8.39</v>
      </c>
      <c r="Q24" s="10" t="s">
        <v>30</v>
      </c>
      <c r="R24" s="8">
        <v>0.54</v>
      </c>
      <c r="S24" s="8">
        <v>2.6</v>
      </c>
      <c r="T24" s="9"/>
      <c r="U24" s="8">
        <v>5.32</v>
      </c>
      <c r="V24" s="10" t="s">
        <v>30</v>
      </c>
      <c r="W24" s="8">
        <v>2.0499999999999998</v>
      </c>
      <c r="X24" s="8">
        <v>18.16</v>
      </c>
      <c r="Y24" s="8">
        <v>8.4600000000000009</v>
      </c>
      <c r="Z24" s="9"/>
    </row>
    <row r="25" spans="1:26" x14ac:dyDescent="0.25">
      <c r="A25" s="7">
        <v>1983</v>
      </c>
      <c r="B25" s="8">
        <v>1.7</v>
      </c>
      <c r="C25" s="8">
        <v>4.72</v>
      </c>
      <c r="D25" s="9"/>
      <c r="E25" s="8">
        <v>7.32</v>
      </c>
      <c r="F25" s="9"/>
      <c r="G25" s="8">
        <v>6.53</v>
      </c>
      <c r="H25" s="8">
        <v>7.11</v>
      </c>
      <c r="I25" s="10" t="s">
        <v>30</v>
      </c>
      <c r="J25" s="8">
        <v>9.1199999999999992</v>
      </c>
      <c r="K25" s="9"/>
      <c r="L25" s="8">
        <v>4.5</v>
      </c>
      <c r="M25" s="9"/>
      <c r="N25" s="8">
        <v>7.6</v>
      </c>
      <c r="O25" s="9"/>
      <c r="P25" s="8">
        <v>7.77</v>
      </c>
      <c r="Q25" s="9"/>
      <c r="R25" s="8">
        <v>0.57999999999999996</v>
      </c>
      <c r="S25" s="8">
        <v>2.44</v>
      </c>
      <c r="T25" s="9"/>
      <c r="U25" s="8">
        <v>5.1100000000000003</v>
      </c>
      <c r="V25" s="10" t="s">
        <v>30</v>
      </c>
      <c r="W25" s="8">
        <v>2.02</v>
      </c>
      <c r="X25" s="8">
        <v>18.62</v>
      </c>
      <c r="Y25" s="8">
        <v>8.39</v>
      </c>
      <c r="Z25" s="9"/>
    </row>
    <row r="26" spans="1:26" x14ac:dyDescent="0.25">
      <c r="A26" s="11">
        <v>1984</v>
      </c>
      <c r="B26" s="12">
        <v>1.71</v>
      </c>
      <c r="C26" s="12">
        <v>4.75</v>
      </c>
      <c r="D26" s="13"/>
      <c r="E26" s="12">
        <v>7.37</v>
      </c>
      <c r="F26" s="13"/>
      <c r="G26" s="12">
        <v>6.25</v>
      </c>
      <c r="H26" s="12">
        <v>6.88</v>
      </c>
      <c r="I26" s="14" t="s">
        <v>30</v>
      </c>
      <c r="J26" s="12">
        <v>8.89</v>
      </c>
      <c r="K26" s="13"/>
      <c r="L26" s="12">
        <v>4.75</v>
      </c>
      <c r="M26" s="13"/>
      <c r="N26" s="12">
        <v>7.72</v>
      </c>
      <c r="O26" s="13"/>
      <c r="P26" s="12">
        <v>7.68</v>
      </c>
      <c r="Q26" s="13"/>
      <c r="R26" s="12">
        <v>0.67</v>
      </c>
      <c r="S26" s="12">
        <v>2.5299999999999998</v>
      </c>
      <c r="T26" s="13"/>
      <c r="U26" s="12">
        <v>5.04</v>
      </c>
      <c r="V26" s="13"/>
      <c r="W26" s="12">
        <v>2.02</v>
      </c>
      <c r="X26" s="12">
        <v>18.5</v>
      </c>
      <c r="Y26" s="12">
        <v>8.2799999999999994</v>
      </c>
      <c r="Z26" s="14" t="s">
        <v>30</v>
      </c>
    </row>
    <row r="27" spans="1:26" x14ac:dyDescent="0.25">
      <c r="A27" s="7">
        <v>1985</v>
      </c>
      <c r="B27" s="8">
        <v>1.69</v>
      </c>
      <c r="C27" s="8">
        <v>4.6100000000000003</v>
      </c>
      <c r="D27" s="9"/>
      <c r="E27" s="8">
        <v>7.22</v>
      </c>
      <c r="F27" s="9"/>
      <c r="G27" s="8">
        <v>5.91</v>
      </c>
      <c r="H27" s="8">
        <v>6.55</v>
      </c>
      <c r="I27" s="9"/>
      <c r="J27" s="8">
        <v>9.01</v>
      </c>
      <c r="K27" s="9"/>
      <c r="L27" s="8">
        <v>4.3</v>
      </c>
      <c r="M27" s="9"/>
      <c r="N27" s="8">
        <v>7.55</v>
      </c>
      <c r="O27" s="9"/>
      <c r="P27" s="8">
        <v>7.63</v>
      </c>
      <c r="Q27" s="9"/>
      <c r="R27" s="8">
        <v>0.71</v>
      </c>
      <c r="S27" s="8">
        <v>2.4700000000000002</v>
      </c>
      <c r="T27" s="9"/>
      <c r="U27" s="8">
        <v>4.92</v>
      </c>
      <c r="V27" s="9"/>
      <c r="W27" s="8">
        <v>1.91</v>
      </c>
      <c r="X27" s="8">
        <v>19.05</v>
      </c>
      <c r="Y27" s="8">
        <v>8.3699999999999992</v>
      </c>
      <c r="Z27" s="9"/>
    </row>
    <row r="28" spans="1:26" x14ac:dyDescent="0.25">
      <c r="A28" s="7">
        <v>1986</v>
      </c>
      <c r="B28" s="8">
        <v>1.62</v>
      </c>
      <c r="C28" s="8">
        <v>4.07</v>
      </c>
      <c r="D28" s="9"/>
      <c r="E28" s="8">
        <v>5.68</v>
      </c>
      <c r="F28" s="9"/>
      <c r="G28" s="8">
        <v>3.92</v>
      </c>
      <c r="H28" s="8">
        <v>6.43</v>
      </c>
      <c r="I28" s="10" t="s">
        <v>30</v>
      </c>
      <c r="J28" s="8">
        <v>6.79</v>
      </c>
      <c r="K28" s="9"/>
      <c r="L28" s="8">
        <v>2.37</v>
      </c>
      <c r="M28" s="9"/>
      <c r="N28" s="8">
        <v>5.8</v>
      </c>
      <c r="O28" s="9"/>
      <c r="P28" s="8">
        <v>5.73</v>
      </c>
      <c r="Q28" s="9"/>
      <c r="R28" s="8">
        <v>0.7</v>
      </c>
      <c r="S28" s="8">
        <v>2.12</v>
      </c>
      <c r="T28" s="9"/>
      <c r="U28" s="8">
        <v>3.97</v>
      </c>
      <c r="V28" s="9"/>
      <c r="W28" s="8">
        <v>1.6</v>
      </c>
      <c r="X28" s="8">
        <v>19.05</v>
      </c>
      <c r="Y28" s="8">
        <v>7.3</v>
      </c>
      <c r="Z28" s="9"/>
    </row>
    <row r="29" spans="1:26" x14ac:dyDescent="0.25">
      <c r="A29" s="11">
        <v>1987</v>
      </c>
      <c r="B29" s="12">
        <v>1.53</v>
      </c>
      <c r="C29" s="12">
        <v>3.77</v>
      </c>
      <c r="D29" s="13"/>
      <c r="E29" s="12">
        <v>5.97</v>
      </c>
      <c r="F29" s="13"/>
      <c r="G29" s="12">
        <v>4.03</v>
      </c>
      <c r="H29" s="12">
        <v>6.05</v>
      </c>
      <c r="I29" s="14" t="s">
        <v>30</v>
      </c>
      <c r="J29" s="12">
        <v>7.23</v>
      </c>
      <c r="K29" s="13"/>
      <c r="L29" s="12">
        <v>2.86</v>
      </c>
      <c r="M29" s="13"/>
      <c r="N29" s="12">
        <v>5.63</v>
      </c>
      <c r="O29" s="13"/>
      <c r="P29" s="12">
        <v>6.04</v>
      </c>
      <c r="Q29" s="13"/>
      <c r="R29" s="12">
        <v>0.71</v>
      </c>
      <c r="S29" s="12">
        <v>2.0699999999999998</v>
      </c>
      <c r="T29" s="13"/>
      <c r="U29" s="12">
        <v>4</v>
      </c>
      <c r="V29" s="13"/>
      <c r="W29" s="12">
        <v>1.57</v>
      </c>
      <c r="X29" s="12">
        <v>18.739999999999998</v>
      </c>
      <c r="Y29" s="12">
        <v>7.34</v>
      </c>
      <c r="Z29" s="13"/>
    </row>
    <row r="30" spans="1:26" x14ac:dyDescent="0.25">
      <c r="A30" s="7">
        <v>1988</v>
      </c>
      <c r="B30" s="8">
        <v>1.5</v>
      </c>
      <c r="C30" s="8">
        <v>3.78</v>
      </c>
      <c r="D30" s="9"/>
      <c r="E30" s="8">
        <v>5.83</v>
      </c>
      <c r="F30" s="9"/>
      <c r="G30" s="8">
        <v>3.8</v>
      </c>
      <c r="H30" s="8">
        <v>5.86</v>
      </c>
      <c r="I30" s="10" t="s">
        <v>30</v>
      </c>
      <c r="J30" s="8">
        <v>7.33</v>
      </c>
      <c r="K30" s="9"/>
      <c r="L30" s="8">
        <v>2.35</v>
      </c>
      <c r="M30" s="9"/>
      <c r="N30" s="8">
        <v>5.26</v>
      </c>
      <c r="O30" s="9"/>
      <c r="P30" s="8">
        <v>5.91</v>
      </c>
      <c r="Q30" s="9"/>
      <c r="R30" s="8">
        <v>0.73</v>
      </c>
      <c r="S30" s="8">
        <v>2.09</v>
      </c>
      <c r="T30" s="9"/>
      <c r="U30" s="8">
        <v>3.89</v>
      </c>
      <c r="V30" s="9"/>
      <c r="W30" s="8">
        <v>1.49</v>
      </c>
      <c r="X30" s="8">
        <v>18.68</v>
      </c>
      <c r="Y30" s="8">
        <v>7.26</v>
      </c>
      <c r="Z30" s="9"/>
    </row>
    <row r="31" spans="1:26" x14ac:dyDescent="0.25">
      <c r="A31" s="7">
        <v>1989</v>
      </c>
      <c r="B31" s="8">
        <v>1.48</v>
      </c>
      <c r="C31" s="8">
        <v>3.82</v>
      </c>
      <c r="D31" s="9"/>
      <c r="E31" s="8">
        <v>6.43</v>
      </c>
      <c r="F31" s="9"/>
      <c r="G31" s="8">
        <v>4.3899999999999997</v>
      </c>
      <c r="H31" s="8">
        <v>5.51</v>
      </c>
      <c r="I31" s="10" t="s">
        <v>30</v>
      </c>
      <c r="J31" s="8">
        <v>8.02</v>
      </c>
      <c r="K31" s="9"/>
      <c r="L31" s="8">
        <v>2.72</v>
      </c>
      <c r="M31" s="9"/>
      <c r="N31" s="8">
        <v>5.5</v>
      </c>
      <c r="O31" s="9"/>
      <c r="P31" s="8">
        <v>6.43</v>
      </c>
      <c r="Q31" s="9"/>
      <c r="R31" s="8">
        <v>0.7</v>
      </c>
      <c r="S31" s="8">
        <v>1.42</v>
      </c>
      <c r="T31" s="9"/>
      <c r="U31" s="8">
        <v>4.07</v>
      </c>
      <c r="V31" s="9"/>
      <c r="W31" s="8">
        <v>1.51</v>
      </c>
      <c r="X31" s="8">
        <v>18.98</v>
      </c>
      <c r="Y31" s="8">
        <v>7.55</v>
      </c>
      <c r="Z31" s="9"/>
    </row>
    <row r="32" spans="1:26" x14ac:dyDescent="0.25">
      <c r="A32" s="11">
        <v>1990</v>
      </c>
      <c r="B32" s="12">
        <v>1.49</v>
      </c>
      <c r="C32" s="12">
        <v>3.82</v>
      </c>
      <c r="D32" s="13"/>
      <c r="E32" s="12">
        <v>7.68</v>
      </c>
      <c r="F32" s="13"/>
      <c r="G32" s="12">
        <v>5.68</v>
      </c>
      <c r="H32" s="12">
        <v>6.72</v>
      </c>
      <c r="I32" s="14" t="s">
        <v>30</v>
      </c>
      <c r="J32" s="12">
        <v>9.1199999999999992</v>
      </c>
      <c r="K32" s="13"/>
      <c r="L32" s="12">
        <v>3.17</v>
      </c>
      <c r="M32" s="13"/>
      <c r="N32" s="12">
        <v>5.82</v>
      </c>
      <c r="O32" s="13"/>
      <c r="P32" s="12">
        <v>7.47</v>
      </c>
      <c r="Q32" s="13"/>
      <c r="R32" s="12">
        <v>0.67</v>
      </c>
      <c r="S32" s="12">
        <v>1.32</v>
      </c>
      <c r="T32" s="13"/>
      <c r="U32" s="12">
        <v>4.45</v>
      </c>
      <c r="V32" s="14" t="s">
        <v>30</v>
      </c>
      <c r="W32" s="12">
        <v>1.48</v>
      </c>
      <c r="X32" s="12">
        <v>19.32</v>
      </c>
      <c r="Y32" s="12">
        <v>8.24</v>
      </c>
      <c r="Z32" s="14" t="s">
        <v>30</v>
      </c>
    </row>
    <row r="33" spans="1:26" x14ac:dyDescent="0.25">
      <c r="A33" s="7">
        <v>1991</v>
      </c>
      <c r="B33" s="8">
        <v>1.48</v>
      </c>
      <c r="C33" s="8">
        <v>3.74</v>
      </c>
      <c r="D33" s="9"/>
      <c r="E33" s="8">
        <v>7.29</v>
      </c>
      <c r="F33" s="9"/>
      <c r="G33" s="8">
        <v>4.83</v>
      </c>
      <c r="H33" s="8">
        <v>6.77</v>
      </c>
      <c r="I33" s="10" t="s">
        <v>30</v>
      </c>
      <c r="J33" s="8">
        <v>8.93</v>
      </c>
      <c r="K33" s="9"/>
      <c r="L33" s="8">
        <v>2.62</v>
      </c>
      <c r="M33" s="9"/>
      <c r="N33" s="8">
        <v>5.73</v>
      </c>
      <c r="O33" s="10" t="s">
        <v>30</v>
      </c>
      <c r="P33" s="8">
        <v>7.19</v>
      </c>
      <c r="Q33" s="10" t="s">
        <v>30</v>
      </c>
      <c r="R33" s="8">
        <v>0.63</v>
      </c>
      <c r="S33" s="8">
        <v>1.39</v>
      </c>
      <c r="T33" s="9"/>
      <c r="U33" s="8">
        <v>4.28</v>
      </c>
      <c r="V33" s="10" t="s">
        <v>30</v>
      </c>
      <c r="W33" s="8">
        <v>1.4</v>
      </c>
      <c r="X33" s="8">
        <v>19.84</v>
      </c>
      <c r="Y33" s="8">
        <v>8.1999999999999993</v>
      </c>
      <c r="Z33" s="9"/>
    </row>
    <row r="34" spans="1:26" x14ac:dyDescent="0.25">
      <c r="A34" s="7">
        <v>1992</v>
      </c>
      <c r="B34" s="8">
        <v>1.45</v>
      </c>
      <c r="C34" s="8">
        <v>3.83</v>
      </c>
      <c r="D34" s="9"/>
      <c r="E34" s="8">
        <v>7.09</v>
      </c>
      <c r="F34" s="9"/>
      <c r="G34" s="8">
        <v>4.5199999999999996</v>
      </c>
      <c r="H34" s="8">
        <v>6.16</v>
      </c>
      <c r="I34" s="10" t="s">
        <v>30</v>
      </c>
      <c r="J34" s="8">
        <v>8.9600000000000009</v>
      </c>
      <c r="K34" s="9"/>
      <c r="L34" s="8">
        <v>2.2799999999999998</v>
      </c>
      <c r="M34" s="9"/>
      <c r="N34" s="8">
        <v>5.51</v>
      </c>
      <c r="O34" s="10" t="s">
        <v>30</v>
      </c>
      <c r="P34" s="8">
        <v>7.07</v>
      </c>
      <c r="Q34" s="9"/>
      <c r="R34" s="8">
        <v>0.59</v>
      </c>
      <c r="S34" s="8">
        <v>1.32</v>
      </c>
      <c r="T34" s="9"/>
      <c r="U34" s="8">
        <v>4.24</v>
      </c>
      <c r="V34" s="9"/>
      <c r="W34" s="8">
        <v>1.38</v>
      </c>
      <c r="X34" s="8">
        <v>20.059999999999999</v>
      </c>
      <c r="Y34" s="8">
        <v>8.1300000000000008</v>
      </c>
      <c r="Z34" s="9"/>
    </row>
    <row r="35" spans="1:26" x14ac:dyDescent="0.25">
      <c r="A35" s="11">
        <v>1993</v>
      </c>
      <c r="B35" s="12">
        <v>1.42</v>
      </c>
      <c r="C35" s="12">
        <v>4.0999999999999996</v>
      </c>
      <c r="D35" s="13"/>
      <c r="E35" s="12">
        <v>7.08</v>
      </c>
      <c r="F35" s="13"/>
      <c r="G35" s="12">
        <v>4.29</v>
      </c>
      <c r="H35" s="12">
        <v>6.17</v>
      </c>
      <c r="I35" s="14" t="s">
        <v>30</v>
      </c>
      <c r="J35" s="12">
        <v>8.83</v>
      </c>
      <c r="K35" s="13"/>
      <c r="L35" s="12">
        <v>2.2599999999999998</v>
      </c>
      <c r="M35" s="13"/>
      <c r="N35" s="12">
        <v>5.49</v>
      </c>
      <c r="O35" s="14" t="s">
        <v>30</v>
      </c>
      <c r="P35" s="12">
        <v>7</v>
      </c>
      <c r="Q35" s="14" t="s">
        <v>30</v>
      </c>
      <c r="R35" s="12">
        <v>0.56000000000000005</v>
      </c>
      <c r="S35" s="12">
        <v>1.28</v>
      </c>
      <c r="T35" s="13"/>
      <c r="U35" s="12">
        <v>4.25</v>
      </c>
      <c r="V35" s="14" t="s">
        <v>30</v>
      </c>
      <c r="W35" s="12">
        <v>1.4</v>
      </c>
      <c r="X35" s="12">
        <v>20.38</v>
      </c>
      <c r="Y35" s="12">
        <v>8.25</v>
      </c>
      <c r="Z35" s="13"/>
    </row>
    <row r="36" spans="1:26" x14ac:dyDescent="0.25">
      <c r="A36" s="7">
        <v>1994</v>
      </c>
      <c r="B36" s="8">
        <v>1.39</v>
      </c>
      <c r="C36" s="8">
        <v>4.08</v>
      </c>
      <c r="D36" s="9"/>
      <c r="E36" s="8">
        <v>6.99</v>
      </c>
      <c r="F36" s="9"/>
      <c r="G36" s="8">
        <v>3.95</v>
      </c>
      <c r="H36" s="8">
        <v>6.61</v>
      </c>
      <c r="I36" s="10" t="s">
        <v>30</v>
      </c>
      <c r="J36" s="8">
        <v>8.9600000000000009</v>
      </c>
      <c r="K36" s="9"/>
      <c r="L36" s="8">
        <v>2.3199999999999998</v>
      </c>
      <c r="M36" s="9"/>
      <c r="N36" s="8">
        <v>5.47</v>
      </c>
      <c r="O36" s="9"/>
      <c r="P36" s="8">
        <v>7.06</v>
      </c>
      <c r="Q36" s="9"/>
      <c r="R36" s="8">
        <v>0.56000000000000005</v>
      </c>
      <c r="S36" s="8">
        <v>1.39</v>
      </c>
      <c r="T36" s="9"/>
      <c r="U36" s="8">
        <v>4.2699999999999996</v>
      </c>
      <c r="V36" s="9"/>
      <c r="W36" s="8">
        <v>1.36</v>
      </c>
      <c r="X36" s="8">
        <v>20.329999999999998</v>
      </c>
      <c r="Y36" s="8">
        <v>8.3000000000000007</v>
      </c>
      <c r="Z36" s="9"/>
    </row>
    <row r="37" spans="1:26" x14ac:dyDescent="0.25">
      <c r="A37" s="7">
        <v>1995</v>
      </c>
      <c r="B37" s="8">
        <v>1.37</v>
      </c>
      <c r="C37" s="8">
        <v>3.73</v>
      </c>
      <c r="D37" s="9"/>
      <c r="E37" s="8">
        <v>6.98</v>
      </c>
      <c r="F37" s="9"/>
      <c r="G37" s="8">
        <v>4</v>
      </c>
      <c r="H37" s="8">
        <v>6.51</v>
      </c>
      <c r="I37" s="10" t="s">
        <v>30</v>
      </c>
      <c r="J37" s="8">
        <v>9.2200000000000006</v>
      </c>
      <c r="K37" s="9"/>
      <c r="L37" s="8">
        <v>2.46</v>
      </c>
      <c r="M37" s="9"/>
      <c r="N37" s="8">
        <v>5.74</v>
      </c>
      <c r="O37" s="9"/>
      <c r="P37" s="8">
        <v>7.28</v>
      </c>
      <c r="Q37" s="10" t="s">
        <v>30</v>
      </c>
      <c r="R37" s="8">
        <v>0.54</v>
      </c>
      <c r="S37" s="8">
        <v>1.4</v>
      </c>
      <c r="T37" s="9"/>
      <c r="U37" s="8">
        <v>4.2300000000000004</v>
      </c>
      <c r="V37" s="9"/>
      <c r="W37" s="8">
        <v>1.29</v>
      </c>
      <c r="X37" s="8">
        <v>20.29</v>
      </c>
      <c r="Y37" s="8">
        <v>8.2799999999999994</v>
      </c>
      <c r="Z37" s="9"/>
    </row>
    <row r="38" spans="1:26" x14ac:dyDescent="0.25">
      <c r="A38" s="11">
        <v>1996</v>
      </c>
      <c r="B38" s="12">
        <v>1.33</v>
      </c>
      <c r="C38" s="12">
        <v>4.25</v>
      </c>
      <c r="D38" s="13"/>
      <c r="E38" s="12">
        <v>7.87</v>
      </c>
      <c r="F38" s="13"/>
      <c r="G38" s="12">
        <v>4.82</v>
      </c>
      <c r="H38" s="12">
        <v>7.98</v>
      </c>
      <c r="I38" s="14" t="s">
        <v>30</v>
      </c>
      <c r="J38" s="12">
        <v>9.85</v>
      </c>
      <c r="K38" s="13"/>
      <c r="L38" s="12">
        <v>2.8</v>
      </c>
      <c r="M38" s="13"/>
      <c r="N38" s="12">
        <v>6.2</v>
      </c>
      <c r="O38" s="14" t="s">
        <v>30</v>
      </c>
      <c r="P38" s="12">
        <v>8.01</v>
      </c>
      <c r="Q38" s="14" t="s">
        <v>30</v>
      </c>
      <c r="R38" s="12">
        <v>0.51</v>
      </c>
      <c r="S38" s="12">
        <v>1.25</v>
      </c>
      <c r="T38" s="13"/>
      <c r="U38" s="12">
        <v>4.63</v>
      </c>
      <c r="V38" s="13"/>
      <c r="W38" s="12">
        <v>1.35</v>
      </c>
      <c r="X38" s="12">
        <v>20.16</v>
      </c>
      <c r="Y38" s="12">
        <v>8.75</v>
      </c>
      <c r="Z38" s="13"/>
    </row>
    <row r="39" spans="1:26" x14ac:dyDescent="0.25">
      <c r="A39" s="7">
        <v>1997</v>
      </c>
      <c r="B39" s="8">
        <v>1.32</v>
      </c>
      <c r="C39" s="8">
        <v>4.53</v>
      </c>
      <c r="D39" s="9"/>
      <c r="E39" s="8">
        <v>7.66</v>
      </c>
      <c r="F39" s="9"/>
      <c r="G39" s="8">
        <v>4.53</v>
      </c>
      <c r="H39" s="8">
        <v>7.39</v>
      </c>
      <c r="I39" s="10" t="s">
        <v>30</v>
      </c>
      <c r="J39" s="8">
        <v>9.81</v>
      </c>
      <c r="K39" s="9"/>
      <c r="L39" s="8">
        <v>2.93</v>
      </c>
      <c r="M39" s="9"/>
      <c r="N39" s="8">
        <v>5.89</v>
      </c>
      <c r="O39" s="10" t="s">
        <v>30</v>
      </c>
      <c r="P39" s="8">
        <v>7.86</v>
      </c>
      <c r="Q39" s="9"/>
      <c r="R39" s="8">
        <v>0.51</v>
      </c>
      <c r="S39" s="8">
        <v>1.1499999999999999</v>
      </c>
      <c r="T39" s="9"/>
      <c r="U39" s="8">
        <v>4.66</v>
      </c>
      <c r="V39" s="9"/>
      <c r="W39" s="8">
        <v>1.38</v>
      </c>
      <c r="X39" s="8">
        <v>20.13</v>
      </c>
      <c r="Y39" s="8">
        <v>8.8000000000000007</v>
      </c>
      <c r="Z39" s="9"/>
    </row>
    <row r="40" spans="1:26" x14ac:dyDescent="0.25">
      <c r="A40" s="7">
        <v>1998</v>
      </c>
      <c r="B40" s="8">
        <v>1.29</v>
      </c>
      <c r="C40" s="8">
        <v>4.13</v>
      </c>
      <c r="D40" s="9"/>
      <c r="E40" s="8">
        <v>6.57</v>
      </c>
      <c r="F40" s="9"/>
      <c r="G40" s="8">
        <v>3.35</v>
      </c>
      <c r="H40" s="8">
        <v>5.95</v>
      </c>
      <c r="I40" s="10" t="s">
        <v>30</v>
      </c>
      <c r="J40" s="8">
        <v>8.4499999999999993</v>
      </c>
      <c r="K40" s="9"/>
      <c r="L40" s="8">
        <v>2.15</v>
      </c>
      <c r="M40" s="9"/>
      <c r="N40" s="8">
        <v>5.0199999999999996</v>
      </c>
      <c r="O40" s="10" t="s">
        <v>30</v>
      </c>
      <c r="P40" s="8">
        <v>6.63</v>
      </c>
      <c r="Q40" s="10" t="s">
        <v>30</v>
      </c>
      <c r="R40" s="8">
        <v>0.5</v>
      </c>
      <c r="S40" s="8">
        <v>1.27</v>
      </c>
      <c r="T40" s="9"/>
      <c r="U40" s="8">
        <v>4.08</v>
      </c>
      <c r="V40" s="9"/>
      <c r="W40" s="8">
        <v>1.32</v>
      </c>
      <c r="X40" s="8">
        <v>19.8</v>
      </c>
      <c r="Y40" s="8">
        <v>8.1999999999999993</v>
      </c>
      <c r="Z40" s="9"/>
    </row>
    <row r="41" spans="1:26" x14ac:dyDescent="0.25">
      <c r="A41" s="11">
        <v>1999</v>
      </c>
      <c r="B41" s="12">
        <v>1.27</v>
      </c>
      <c r="C41" s="12">
        <v>4.16</v>
      </c>
      <c r="D41" s="13"/>
      <c r="E41" s="12">
        <v>7.19</v>
      </c>
      <c r="F41" s="13"/>
      <c r="G41" s="12">
        <v>4.01</v>
      </c>
      <c r="H41" s="12">
        <v>6.6</v>
      </c>
      <c r="I41" s="14" t="s">
        <v>30</v>
      </c>
      <c r="J41" s="12">
        <v>9.31</v>
      </c>
      <c r="K41" s="13"/>
      <c r="L41" s="12">
        <v>2.5099999999999998</v>
      </c>
      <c r="M41" s="13"/>
      <c r="N41" s="12">
        <v>5.3</v>
      </c>
      <c r="O41" s="13"/>
      <c r="P41" s="12">
        <v>7.33</v>
      </c>
      <c r="Q41" s="13"/>
      <c r="R41" s="12">
        <v>0.48</v>
      </c>
      <c r="S41" s="12">
        <v>1.34</v>
      </c>
      <c r="T41" s="13"/>
      <c r="U41" s="12">
        <v>4.37</v>
      </c>
      <c r="V41" s="13"/>
      <c r="W41" s="12">
        <v>1.33</v>
      </c>
      <c r="X41" s="12">
        <v>19.52</v>
      </c>
      <c r="Y41" s="12">
        <v>8.5299999999999994</v>
      </c>
      <c r="Z41" s="13"/>
    </row>
    <row r="42" spans="1:26" x14ac:dyDescent="0.25">
      <c r="A42" s="7">
        <v>2000</v>
      </c>
      <c r="B42" s="8">
        <v>1.24</v>
      </c>
      <c r="C42" s="8">
        <v>5.62</v>
      </c>
      <c r="D42" s="9"/>
      <c r="E42" s="8">
        <v>9.86</v>
      </c>
      <c r="F42" s="9"/>
      <c r="G42" s="8">
        <v>6.64</v>
      </c>
      <c r="H42" s="8">
        <v>9.5500000000000007</v>
      </c>
      <c r="I42" s="10" t="s">
        <v>30</v>
      </c>
      <c r="J42" s="8">
        <v>11.89</v>
      </c>
      <c r="K42" s="10" t="s">
        <v>30</v>
      </c>
      <c r="L42" s="8">
        <v>4.32</v>
      </c>
      <c r="M42" s="9"/>
      <c r="N42" s="8">
        <v>7.04</v>
      </c>
      <c r="O42" s="10" t="s">
        <v>30</v>
      </c>
      <c r="P42" s="8">
        <v>9.82</v>
      </c>
      <c r="Q42" s="10" t="s">
        <v>30</v>
      </c>
      <c r="R42" s="8">
        <v>0.46</v>
      </c>
      <c r="S42" s="8">
        <v>1.58</v>
      </c>
      <c r="T42" s="9"/>
      <c r="U42" s="8">
        <v>5.7</v>
      </c>
      <c r="V42" s="10" t="s">
        <v>30</v>
      </c>
      <c r="W42" s="8">
        <v>1.71</v>
      </c>
      <c r="X42" s="8">
        <v>20.03</v>
      </c>
      <c r="Y42" s="8">
        <v>10.28</v>
      </c>
      <c r="Z42" s="10" t="s">
        <v>30</v>
      </c>
    </row>
    <row r="43" spans="1:26" x14ac:dyDescent="0.25">
      <c r="A43" s="7">
        <v>2001</v>
      </c>
      <c r="B43" s="8">
        <v>1.29</v>
      </c>
      <c r="C43" s="8">
        <v>6.87</v>
      </c>
      <c r="D43" s="9"/>
      <c r="E43" s="8">
        <v>9.18</v>
      </c>
      <c r="F43" s="10" t="s">
        <v>30</v>
      </c>
      <c r="G43" s="8">
        <v>5.72</v>
      </c>
      <c r="H43" s="8">
        <v>9.5399999999999991</v>
      </c>
      <c r="I43" s="10" t="s">
        <v>30</v>
      </c>
      <c r="J43" s="8">
        <v>11.34</v>
      </c>
      <c r="K43" s="10" t="s">
        <v>30</v>
      </c>
      <c r="L43" s="8">
        <v>3.99</v>
      </c>
      <c r="M43" s="9"/>
      <c r="N43" s="8">
        <v>6.41</v>
      </c>
      <c r="O43" s="10" t="s">
        <v>30</v>
      </c>
      <c r="P43" s="8">
        <v>9.32</v>
      </c>
      <c r="Q43" s="9"/>
      <c r="R43" s="8">
        <v>0.44</v>
      </c>
      <c r="S43" s="8">
        <v>2.08</v>
      </c>
      <c r="T43" s="9"/>
      <c r="U43" s="8">
        <v>5.83</v>
      </c>
      <c r="V43" s="9"/>
      <c r="W43" s="8">
        <v>1.85</v>
      </c>
      <c r="X43" s="8">
        <v>21.41</v>
      </c>
      <c r="Y43" s="8">
        <v>10.73</v>
      </c>
      <c r="Z43" s="9"/>
    </row>
    <row r="44" spans="1:26" x14ac:dyDescent="0.25">
      <c r="A44" s="11">
        <v>2002</v>
      </c>
      <c r="B44" s="12">
        <v>1.3</v>
      </c>
      <c r="C44" s="12">
        <v>5.31</v>
      </c>
      <c r="D44" s="14" t="s">
        <v>30</v>
      </c>
      <c r="E44" s="12">
        <v>8.64</v>
      </c>
      <c r="F44" s="14" t="s">
        <v>30</v>
      </c>
      <c r="G44" s="12">
        <v>5.33</v>
      </c>
      <c r="H44" s="12">
        <v>8.09</v>
      </c>
      <c r="I44" s="14" t="s">
        <v>30</v>
      </c>
      <c r="J44" s="12">
        <v>10.69</v>
      </c>
      <c r="K44" s="14" t="s">
        <v>30</v>
      </c>
      <c r="L44" s="12">
        <v>3.91</v>
      </c>
      <c r="M44" s="13"/>
      <c r="N44" s="12">
        <v>6.59</v>
      </c>
      <c r="O44" s="14" t="s">
        <v>30</v>
      </c>
      <c r="P44" s="12">
        <v>8.83</v>
      </c>
      <c r="Q44" s="14" t="s">
        <v>30</v>
      </c>
      <c r="R44" s="12">
        <v>0.43</v>
      </c>
      <c r="S44" s="12">
        <v>2.19</v>
      </c>
      <c r="T44" s="13"/>
      <c r="U44" s="12">
        <v>5.25</v>
      </c>
      <c r="V44" s="14" t="s">
        <v>30</v>
      </c>
      <c r="W44" s="12">
        <v>1.54</v>
      </c>
      <c r="X44" s="12">
        <v>21.15</v>
      </c>
      <c r="Y44" s="12">
        <v>10.06</v>
      </c>
      <c r="Z44" s="14" t="s">
        <v>30</v>
      </c>
    </row>
    <row r="45" spans="1:26" x14ac:dyDescent="0.25">
      <c r="A45" s="7">
        <v>2003</v>
      </c>
      <c r="B45" s="8">
        <v>1.32</v>
      </c>
      <c r="C45" s="8">
        <v>7.08</v>
      </c>
      <c r="D45" s="10" t="s">
        <v>30</v>
      </c>
      <c r="E45" s="8">
        <v>10.050000000000001</v>
      </c>
      <c r="F45" s="10" t="s">
        <v>30</v>
      </c>
      <c r="G45" s="8">
        <v>6.46</v>
      </c>
      <c r="H45" s="8">
        <v>10.32</v>
      </c>
      <c r="I45" s="10" t="s">
        <v>30</v>
      </c>
      <c r="J45" s="8">
        <v>12.34</v>
      </c>
      <c r="K45" s="9"/>
      <c r="L45" s="8">
        <v>4.75</v>
      </c>
      <c r="M45" s="9"/>
      <c r="N45" s="8">
        <v>7.62</v>
      </c>
      <c r="O45" s="10" t="s">
        <v>30</v>
      </c>
      <c r="P45" s="8">
        <v>10.31</v>
      </c>
      <c r="Q45" s="9"/>
      <c r="R45" s="8">
        <v>0.42</v>
      </c>
      <c r="S45" s="8">
        <v>1.98</v>
      </c>
      <c r="T45" s="9"/>
      <c r="U45" s="8">
        <v>6.28</v>
      </c>
      <c r="V45" s="10" t="s">
        <v>30</v>
      </c>
      <c r="W45" s="8">
        <v>1.84</v>
      </c>
      <c r="X45" s="8">
        <v>21.85</v>
      </c>
      <c r="Y45" s="8">
        <v>11.42</v>
      </c>
      <c r="Z45" s="10" t="s">
        <v>30</v>
      </c>
    </row>
    <row r="46" spans="1:26" x14ac:dyDescent="0.25">
      <c r="A46" s="7">
        <v>2004</v>
      </c>
      <c r="B46" s="8">
        <v>1.41</v>
      </c>
      <c r="C46" s="8">
        <v>7.91</v>
      </c>
      <c r="D46" s="10" t="s">
        <v>30</v>
      </c>
      <c r="E46" s="8">
        <v>12.23</v>
      </c>
      <c r="F46" s="10" t="s">
        <v>30</v>
      </c>
      <c r="G46" s="8">
        <v>8.93</v>
      </c>
      <c r="H46" s="8">
        <v>12.24</v>
      </c>
      <c r="I46" s="10" t="s">
        <v>30</v>
      </c>
      <c r="J46" s="8">
        <v>14.67</v>
      </c>
      <c r="K46" s="10" t="s">
        <v>30</v>
      </c>
      <c r="L46" s="8">
        <v>4.92</v>
      </c>
      <c r="M46" s="9"/>
      <c r="N46" s="8">
        <v>8.56</v>
      </c>
      <c r="O46" s="10" t="s">
        <v>30</v>
      </c>
      <c r="P46" s="8">
        <v>12.27</v>
      </c>
      <c r="Q46" s="10" t="s">
        <v>30</v>
      </c>
      <c r="R46" s="8">
        <v>0.42</v>
      </c>
      <c r="S46" s="8">
        <v>2.17</v>
      </c>
      <c r="T46" s="9"/>
      <c r="U46" s="8">
        <v>7.37</v>
      </c>
      <c r="V46" s="10" t="s">
        <v>30</v>
      </c>
      <c r="W46" s="8">
        <v>2</v>
      </c>
      <c r="X46" s="8">
        <v>22.38</v>
      </c>
      <c r="Y46" s="8">
        <v>12.87</v>
      </c>
      <c r="Z46" s="9"/>
    </row>
    <row r="47" spans="1:26" x14ac:dyDescent="0.25">
      <c r="A47" s="11">
        <v>2005</v>
      </c>
      <c r="B47" s="12">
        <v>1.62</v>
      </c>
      <c r="C47" s="12">
        <v>9.92</v>
      </c>
      <c r="D47" s="13"/>
      <c r="E47" s="12">
        <v>16.41</v>
      </c>
      <c r="F47" s="14" t="s">
        <v>30</v>
      </c>
      <c r="G47" s="12">
        <v>12.86</v>
      </c>
      <c r="H47" s="12">
        <v>14.58</v>
      </c>
      <c r="I47" s="14" t="s">
        <v>30</v>
      </c>
      <c r="J47" s="12">
        <v>17.89</v>
      </c>
      <c r="K47" s="14" t="s">
        <v>30</v>
      </c>
      <c r="L47" s="12">
        <v>6.65</v>
      </c>
      <c r="M47" s="13"/>
      <c r="N47" s="12">
        <v>10.98</v>
      </c>
      <c r="O47" s="14" t="s">
        <v>30</v>
      </c>
      <c r="P47" s="12">
        <v>15.53</v>
      </c>
      <c r="Q47" s="14" t="s">
        <v>30</v>
      </c>
      <c r="R47" s="12">
        <v>0.43</v>
      </c>
      <c r="S47" s="12">
        <v>3.1</v>
      </c>
      <c r="T47" s="13"/>
      <c r="U47" s="12">
        <v>9.24</v>
      </c>
      <c r="V47" s="14" t="s">
        <v>30</v>
      </c>
      <c r="W47" s="12">
        <v>2.61</v>
      </c>
      <c r="X47" s="12">
        <v>23.92</v>
      </c>
      <c r="Y47" s="12">
        <v>15.55</v>
      </c>
      <c r="Z47" s="14" t="s">
        <v>30</v>
      </c>
    </row>
    <row r="48" spans="1:26" x14ac:dyDescent="0.25">
      <c r="A48" s="7">
        <v>2006</v>
      </c>
      <c r="B48" s="8">
        <v>1.78</v>
      </c>
      <c r="C48" s="8">
        <v>9.6199999999999992</v>
      </c>
      <c r="D48" s="9"/>
      <c r="E48" s="8">
        <v>18.55</v>
      </c>
      <c r="F48" s="10" t="s">
        <v>30</v>
      </c>
      <c r="G48" s="8">
        <v>14.8</v>
      </c>
      <c r="H48" s="8">
        <v>16.850000000000001</v>
      </c>
      <c r="I48" s="10" t="s">
        <v>30</v>
      </c>
      <c r="J48" s="8">
        <v>20.27</v>
      </c>
      <c r="K48" s="9"/>
      <c r="L48" s="8">
        <v>7.93</v>
      </c>
      <c r="M48" s="9"/>
      <c r="N48" s="8">
        <v>13.37</v>
      </c>
      <c r="O48" s="10" t="s">
        <v>30</v>
      </c>
      <c r="P48" s="8">
        <v>17.920000000000002</v>
      </c>
      <c r="Q48" s="10" t="s">
        <v>30</v>
      </c>
      <c r="R48" s="8">
        <v>0.44</v>
      </c>
      <c r="S48" s="8">
        <v>3.15</v>
      </c>
      <c r="T48" s="10" t="s">
        <v>30</v>
      </c>
      <c r="U48" s="8">
        <v>10.210000000000001</v>
      </c>
      <c r="V48" s="10" t="s">
        <v>30</v>
      </c>
      <c r="W48" s="8">
        <v>2.48</v>
      </c>
      <c r="X48" s="8">
        <v>26.15</v>
      </c>
      <c r="Y48" s="8">
        <v>17.36</v>
      </c>
      <c r="Z48" s="10" t="s">
        <v>30</v>
      </c>
    </row>
    <row r="49" spans="1:26" x14ac:dyDescent="0.25">
      <c r="A49" s="7">
        <v>2007</v>
      </c>
      <c r="B49" s="8">
        <v>1.88</v>
      </c>
      <c r="C49" s="8">
        <v>9.31</v>
      </c>
      <c r="D49" s="10" t="s">
        <v>30</v>
      </c>
      <c r="E49" s="8">
        <v>19.87</v>
      </c>
      <c r="F49" s="10" t="s">
        <v>30</v>
      </c>
      <c r="G49" s="8">
        <v>16.010000000000002</v>
      </c>
      <c r="H49" s="8">
        <v>18.760000000000002</v>
      </c>
      <c r="I49" s="10" t="s">
        <v>30</v>
      </c>
      <c r="J49" s="8">
        <v>22.01</v>
      </c>
      <c r="K49" s="10" t="s">
        <v>30</v>
      </c>
      <c r="L49" s="8">
        <v>8.57</v>
      </c>
      <c r="M49" s="10" t="s">
        <v>30</v>
      </c>
      <c r="N49" s="8">
        <v>14.94</v>
      </c>
      <c r="O49" s="10" t="s">
        <v>30</v>
      </c>
      <c r="P49" s="8">
        <v>19.47</v>
      </c>
      <c r="Q49" s="10" t="s">
        <v>30</v>
      </c>
      <c r="R49" s="8">
        <v>0.46</v>
      </c>
      <c r="S49" s="8">
        <v>3.36</v>
      </c>
      <c r="T49" s="10" t="s">
        <v>30</v>
      </c>
      <c r="U49" s="8">
        <v>10.75</v>
      </c>
      <c r="V49" s="10" t="s">
        <v>30</v>
      </c>
      <c r="W49" s="8">
        <v>2.68</v>
      </c>
      <c r="X49" s="8">
        <v>26.84</v>
      </c>
      <c r="Y49" s="8">
        <v>18.239999999999998</v>
      </c>
      <c r="Z49" s="10" t="s">
        <v>30</v>
      </c>
    </row>
    <row r="50" spans="1:26" x14ac:dyDescent="0.25">
      <c r="A50" s="11">
        <v>2008</v>
      </c>
      <c r="B50" s="12">
        <v>2.21</v>
      </c>
      <c r="C50" s="12">
        <v>10.83</v>
      </c>
      <c r="D50" s="13"/>
      <c r="E50" s="12">
        <v>26.33</v>
      </c>
      <c r="F50" s="13"/>
      <c r="G50" s="12">
        <v>22.56</v>
      </c>
      <c r="H50" s="12">
        <v>23.35</v>
      </c>
      <c r="I50" s="13"/>
      <c r="J50" s="12">
        <v>25.53</v>
      </c>
      <c r="K50" s="13"/>
      <c r="L50" s="12">
        <v>12.64</v>
      </c>
      <c r="M50" s="13"/>
      <c r="N50" s="12">
        <v>18.829999999999998</v>
      </c>
      <c r="O50" s="13"/>
      <c r="P50" s="12">
        <v>24.18</v>
      </c>
      <c r="Q50" s="13"/>
      <c r="R50" s="12">
        <v>0.47</v>
      </c>
      <c r="S50" s="12">
        <v>3.71</v>
      </c>
      <c r="T50" s="13"/>
      <c r="U50" s="12">
        <v>12.93</v>
      </c>
      <c r="V50" s="13"/>
      <c r="W50" s="12">
        <v>3.21</v>
      </c>
      <c r="X50" s="12">
        <v>28.64</v>
      </c>
      <c r="Y50" s="12">
        <v>21.37</v>
      </c>
      <c r="Z50" s="13"/>
    </row>
    <row r="51" spans="1:26" x14ac:dyDescent="0.25">
      <c r="A51" s="7">
        <v>2009</v>
      </c>
      <c r="B51" s="8">
        <v>2.33</v>
      </c>
      <c r="C51" s="8">
        <v>7.66</v>
      </c>
      <c r="D51" s="9"/>
      <c r="E51" s="8">
        <v>16.98</v>
      </c>
      <c r="F51" s="9"/>
      <c r="G51" s="8">
        <v>12.61</v>
      </c>
      <c r="H51" s="8">
        <v>16.38</v>
      </c>
      <c r="I51" s="9"/>
      <c r="J51" s="8">
        <v>18.510000000000002</v>
      </c>
      <c r="K51" s="9"/>
      <c r="L51" s="8">
        <v>9.69</v>
      </c>
      <c r="M51" s="9"/>
      <c r="N51" s="8">
        <v>14.29</v>
      </c>
      <c r="O51" s="9"/>
      <c r="P51" s="8">
        <v>16.86</v>
      </c>
      <c r="Q51" s="9"/>
      <c r="R51" s="8">
        <v>0.55000000000000004</v>
      </c>
      <c r="S51" s="8">
        <v>3.3</v>
      </c>
      <c r="T51" s="9"/>
      <c r="U51" s="8">
        <v>9.3699999999999992</v>
      </c>
      <c r="V51" s="9"/>
      <c r="W51" s="8">
        <v>2.44</v>
      </c>
      <c r="X51" s="8">
        <v>28.9</v>
      </c>
      <c r="Y51" s="8">
        <v>17.03</v>
      </c>
      <c r="Z51" s="9"/>
    </row>
    <row r="52" spans="1:26" x14ac:dyDescent="0.25">
      <c r="A52" s="7">
        <v>2010</v>
      </c>
      <c r="B52" s="12"/>
      <c r="C52" s="12"/>
      <c r="D52" s="13"/>
      <c r="E52" s="12"/>
      <c r="F52" s="13"/>
      <c r="G52" s="12"/>
      <c r="H52" s="142">
        <f>(1.481/1.22)*H51</f>
        <v>19.884245901639343</v>
      </c>
      <c r="I52" s="13"/>
      <c r="J52" s="12"/>
      <c r="K52" s="13"/>
      <c r="L52" s="12"/>
      <c r="M52" s="13"/>
      <c r="N52" s="12"/>
      <c r="O52" s="13"/>
      <c r="P52" s="12"/>
      <c r="Q52" s="13"/>
      <c r="R52" s="12"/>
      <c r="S52" s="12"/>
      <c r="T52" s="13"/>
      <c r="U52" s="12"/>
      <c r="V52" s="13"/>
      <c r="W52" s="12"/>
      <c r="X52" s="12"/>
      <c r="Y52" s="12"/>
      <c r="Z52" s="13"/>
    </row>
    <row r="53" spans="1:26" x14ac:dyDescent="0.25">
      <c r="A53" s="11">
        <v>2011</v>
      </c>
      <c r="B53" s="12"/>
      <c r="C53" s="12"/>
      <c r="D53" s="13"/>
      <c r="E53" s="12"/>
      <c r="F53" s="13"/>
      <c r="G53" s="12"/>
      <c r="H53" s="142">
        <f>(1.709/1.481)*H52</f>
        <v>22.945426229508193</v>
      </c>
      <c r="I53" s="13"/>
      <c r="J53" s="12"/>
      <c r="K53" s="13"/>
      <c r="L53" s="12"/>
      <c r="M53" s="13"/>
      <c r="N53" s="12"/>
      <c r="O53" s="13"/>
      <c r="P53" s="12"/>
      <c r="Q53" s="13"/>
      <c r="R53" s="12"/>
      <c r="S53" s="12"/>
      <c r="T53" s="13"/>
      <c r="U53" s="12"/>
      <c r="V53" s="13"/>
      <c r="W53" s="12"/>
      <c r="X53" s="12"/>
      <c r="Y53" s="12"/>
      <c r="Z53" s="13"/>
    </row>
    <row r="54" spans="1:26" x14ac:dyDescent="0.25">
      <c r="A54" s="11">
        <v>2012</v>
      </c>
      <c r="B54" s="12"/>
      <c r="C54" s="12"/>
      <c r="D54" s="13"/>
      <c r="E54" s="12"/>
      <c r="F54" s="13"/>
      <c r="G54" s="12"/>
      <c r="H54" s="142">
        <f>(1.139/1.709)*H53</f>
        <v>15.292475409836063</v>
      </c>
      <c r="I54" s="13"/>
      <c r="J54" s="12"/>
      <c r="K54" s="13"/>
      <c r="L54" s="12"/>
      <c r="M54" s="13"/>
      <c r="N54" s="12"/>
      <c r="O54" s="13"/>
      <c r="P54" s="12"/>
      <c r="Q54" s="13"/>
      <c r="R54" s="12"/>
      <c r="S54" s="12"/>
      <c r="T54" s="13"/>
      <c r="U54" s="12"/>
      <c r="V54" s="13"/>
      <c r="W54" s="12"/>
      <c r="X54" s="12"/>
      <c r="Y54" s="12"/>
      <c r="Z54" s="13"/>
    </row>
    <row r="55" spans="1:26" x14ac:dyDescent="0.25">
      <c r="A55" s="11">
        <v>2013</v>
      </c>
      <c r="B55" s="12"/>
      <c r="C55" s="12"/>
      <c r="D55" s="13"/>
      <c r="E55" s="12"/>
      <c r="F55" s="13"/>
      <c r="G55" s="12"/>
      <c r="H55" s="142">
        <f>(1.028/1.139)*H54</f>
        <v>13.802163934426227</v>
      </c>
      <c r="I55" s="13"/>
      <c r="J55" s="12"/>
      <c r="K55" s="13"/>
      <c r="L55" s="12"/>
      <c r="M55" s="13"/>
      <c r="N55" s="12"/>
      <c r="O55" s="13"/>
      <c r="P55" s="12"/>
      <c r="Q55" s="13"/>
      <c r="R55" s="12"/>
      <c r="S55" s="12"/>
      <c r="T55" s="13"/>
      <c r="U55" s="12"/>
      <c r="V55" s="13"/>
      <c r="W55" s="12"/>
      <c r="X55" s="12"/>
      <c r="Y55" s="12"/>
      <c r="Z55" s="13"/>
    </row>
    <row r="56" spans="1:26" x14ac:dyDescent="0.25">
      <c r="A56" s="11">
        <v>2014</v>
      </c>
      <c r="B56" s="12"/>
      <c r="C56" s="12"/>
      <c r="D56" s="13"/>
      <c r="E56" s="12"/>
      <c r="F56" s="13"/>
      <c r="G56" s="12"/>
      <c r="H56" s="142">
        <f>(1.097/1.028)*H55</f>
        <v>14.728573770491801</v>
      </c>
      <c r="I56" s="13"/>
      <c r="J56" s="12"/>
      <c r="K56" s="13"/>
      <c r="L56" s="12"/>
      <c r="M56" s="13"/>
      <c r="N56" s="12"/>
      <c r="O56" s="13"/>
      <c r="P56" s="12"/>
      <c r="Q56" s="13"/>
      <c r="R56" s="12"/>
      <c r="S56" s="12"/>
      <c r="T56" s="13"/>
      <c r="U56" s="12"/>
      <c r="V56" s="13"/>
      <c r="W56" s="12"/>
      <c r="X56" s="12"/>
      <c r="Y56" s="12"/>
      <c r="Z56" s="13"/>
    </row>
    <row r="57" spans="1:26" x14ac:dyDescent="0.25">
      <c r="A57" s="11">
        <v>2015</v>
      </c>
      <c r="B57" s="12"/>
      <c r="C57" s="12"/>
      <c r="D57" s="13"/>
      <c r="E57" s="12"/>
      <c r="F57" s="13"/>
      <c r="G57" s="12"/>
      <c r="H57" s="142">
        <f>(0.481/1.097)*H56</f>
        <v>6.4580163934426214</v>
      </c>
      <c r="I57" s="13"/>
      <c r="J57" s="12"/>
      <c r="K57" s="13"/>
      <c r="L57" s="12"/>
      <c r="M57" s="13"/>
      <c r="N57" s="12"/>
      <c r="O57" s="13"/>
      <c r="P57" s="12"/>
      <c r="Q57" s="13"/>
      <c r="R57" s="12"/>
      <c r="S57" s="12"/>
      <c r="T57" s="13"/>
      <c r="U57" s="12"/>
      <c r="V57" s="13"/>
      <c r="W57" s="12"/>
      <c r="X57" s="12"/>
      <c r="Y57" s="12"/>
      <c r="Z57" s="13"/>
    </row>
    <row r="58" spans="1:26" ht="19.5" customHeight="1" x14ac:dyDescent="0.25">
      <c r="A58" s="11">
        <v>2016</v>
      </c>
      <c r="B58" s="12"/>
      <c r="C58" s="12"/>
      <c r="D58" s="13"/>
      <c r="E58" s="12"/>
      <c r="F58" s="13"/>
      <c r="G58" s="12"/>
      <c r="H58" s="142">
        <f>(0.498/0.481)*H57</f>
        <v>6.6862622950819652</v>
      </c>
      <c r="I58" s="13"/>
      <c r="J58" s="12"/>
      <c r="K58" s="13"/>
      <c r="L58" s="12"/>
      <c r="M58" s="13"/>
      <c r="N58" s="12"/>
      <c r="O58" s="13"/>
      <c r="P58" s="12"/>
      <c r="Q58" s="13"/>
      <c r="R58" s="12"/>
      <c r="S58" s="12"/>
      <c r="T58" s="13"/>
      <c r="U58" s="12"/>
      <c r="V58" s="13"/>
      <c r="W58" s="12"/>
      <c r="X58" s="12"/>
      <c r="Y58" s="12"/>
      <c r="Z58" s="13"/>
    </row>
    <row r="59" spans="1:26" x14ac:dyDescent="0.25">
      <c r="A59" s="11">
        <v>2017</v>
      </c>
      <c r="B59" s="12"/>
      <c r="C59" s="12"/>
      <c r="D59" s="13"/>
      <c r="E59" s="12"/>
      <c r="F59" s="13"/>
      <c r="G59" s="12"/>
      <c r="H59" s="142">
        <f>(0.772/0.498)*H58</f>
        <v>10.365049180327865</v>
      </c>
      <c r="I59" s="13"/>
      <c r="J59" s="12"/>
      <c r="K59" s="13"/>
      <c r="L59" s="12"/>
      <c r="M59" s="13"/>
      <c r="N59" s="12"/>
      <c r="O59" s="13"/>
      <c r="P59" s="12"/>
      <c r="Q59" s="13"/>
      <c r="R59" s="12"/>
      <c r="S59" s="12"/>
      <c r="T59" s="13"/>
      <c r="U59" s="12"/>
      <c r="V59" s="13"/>
      <c r="W59" s="12"/>
      <c r="X59" s="12"/>
      <c r="Y59" s="12"/>
      <c r="Z59" s="13"/>
    </row>
    <row r="60" spans="1:26" x14ac:dyDescent="0.25">
      <c r="A60" s="11"/>
      <c r="B60" s="12"/>
      <c r="C60" s="12"/>
      <c r="D60" s="13"/>
      <c r="E60" s="12"/>
      <c r="F60" s="13"/>
      <c r="G60" s="12"/>
      <c r="H60" s="142">
        <f>(0.925/0.772)*H59</f>
        <v>12.419262295081964</v>
      </c>
      <c r="I60" s="13"/>
      <c r="J60" s="12"/>
      <c r="K60" s="13"/>
      <c r="L60" s="12"/>
      <c r="M60" s="13"/>
      <c r="N60" s="12"/>
      <c r="O60" s="13"/>
      <c r="P60" s="12"/>
      <c r="Q60" s="13"/>
      <c r="R60" s="12"/>
      <c r="S60" s="12"/>
      <c r="T60" s="13"/>
      <c r="U60" s="12"/>
      <c r="V60" s="13"/>
      <c r="W60" s="12"/>
      <c r="X60" s="12"/>
      <c r="Y60" s="12"/>
      <c r="Z60" s="13"/>
    </row>
    <row r="62" spans="1:26" x14ac:dyDescent="0.25">
      <c r="A62" s="174" t="s">
        <v>31</v>
      </c>
      <c r="B62" s="175"/>
      <c r="C62" s="175"/>
      <c r="D62" s="175"/>
      <c r="E62" s="175"/>
      <c r="F62" s="175"/>
      <c r="G62" s="175"/>
      <c r="H62" s="175"/>
      <c r="I62" s="175"/>
      <c r="J62" s="175"/>
      <c r="K62" s="175"/>
      <c r="L62" s="175"/>
      <c r="M62" s="175"/>
      <c r="N62" s="175" t="s">
        <v>160</v>
      </c>
      <c r="O62" s="175"/>
      <c r="P62" s="175"/>
      <c r="Q62" s="175"/>
      <c r="R62" s="175"/>
      <c r="S62" s="175"/>
      <c r="T62" s="175"/>
      <c r="U62" s="175"/>
      <c r="V62" s="175"/>
      <c r="W62" s="175"/>
      <c r="X62" s="175"/>
      <c r="Y62" s="175"/>
      <c r="Z62" s="176"/>
    </row>
    <row r="63" spans="1:26" x14ac:dyDescent="0.25">
      <c r="A63" s="166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4" t="s">
        <v>161</v>
      </c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5"/>
    </row>
    <row r="64" spans="1:26" x14ac:dyDescent="0.25">
      <c r="A64" s="166" t="s">
        <v>162</v>
      </c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70" t="s">
        <v>163</v>
      </c>
      <c r="O64" s="170"/>
      <c r="P64" s="170"/>
      <c r="Q64" s="170"/>
      <c r="R64" s="170"/>
      <c r="S64" s="170"/>
      <c r="T64" s="170"/>
      <c r="U64" s="170"/>
      <c r="V64" s="170"/>
      <c r="W64" s="170"/>
      <c r="X64" s="170"/>
      <c r="Y64" s="170"/>
      <c r="Z64" s="171"/>
    </row>
    <row r="65" spans="1:26" x14ac:dyDescent="0.25">
      <c r="A65" s="166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4" t="s">
        <v>164</v>
      </c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5"/>
    </row>
    <row r="66" spans="1:26" x14ac:dyDescent="0.25">
      <c r="A66" s="166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4" t="s">
        <v>165</v>
      </c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5"/>
    </row>
    <row r="67" spans="1:26" x14ac:dyDescent="0.25">
      <c r="A67" s="166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4" t="s">
        <v>166</v>
      </c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5"/>
    </row>
    <row r="68" spans="1:26" x14ac:dyDescent="0.25">
      <c r="A68" s="166" t="s">
        <v>167</v>
      </c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70" t="s">
        <v>168</v>
      </c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1"/>
    </row>
    <row r="69" spans="1:26" x14ac:dyDescent="0.25">
      <c r="A69" s="166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4" t="s">
        <v>169</v>
      </c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5"/>
    </row>
    <row r="70" spans="1:26" x14ac:dyDescent="0.25">
      <c r="A70" s="166" t="s">
        <v>170</v>
      </c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70" t="s">
        <v>171</v>
      </c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1"/>
    </row>
    <row r="71" spans="1:26" x14ac:dyDescent="0.25">
      <c r="A71" s="162" t="s">
        <v>172</v>
      </c>
      <c r="B71" s="163"/>
      <c r="C71" s="163"/>
      <c r="D71" s="163"/>
      <c r="E71" s="163"/>
      <c r="F71" s="163"/>
      <c r="G71" s="163"/>
      <c r="H71" s="163"/>
      <c r="I71" s="163"/>
      <c r="J71" s="163"/>
      <c r="K71" s="163"/>
      <c r="L71" s="163"/>
      <c r="M71" s="163"/>
      <c r="N71" s="164" t="s">
        <v>38</v>
      </c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5"/>
    </row>
    <row r="72" spans="1:26" x14ac:dyDescent="0.25">
      <c r="A72" s="166" t="s">
        <v>173</v>
      </c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70" t="s">
        <v>174</v>
      </c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1"/>
    </row>
    <row r="73" spans="1:26" x14ac:dyDescent="0.25">
      <c r="A73" s="166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4" t="s">
        <v>175</v>
      </c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5"/>
    </row>
    <row r="74" spans="1:26" x14ac:dyDescent="0.25">
      <c r="A74" s="166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4" t="s">
        <v>176</v>
      </c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5"/>
    </row>
    <row r="75" spans="1:26" x14ac:dyDescent="0.25">
      <c r="A75" s="166" t="s">
        <v>177</v>
      </c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4" t="s">
        <v>40</v>
      </c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5"/>
    </row>
    <row r="76" spans="1:26" x14ac:dyDescent="0.25">
      <c r="A76" s="166" t="s">
        <v>178</v>
      </c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4" t="s">
        <v>42</v>
      </c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5"/>
    </row>
    <row r="77" spans="1:26" x14ac:dyDescent="0.25">
      <c r="A77" s="162" t="s">
        <v>179</v>
      </c>
      <c r="B77" s="163"/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4" t="s">
        <v>43</v>
      </c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5"/>
    </row>
    <row r="78" spans="1:26" x14ac:dyDescent="0.25">
      <c r="A78" s="162" t="s">
        <v>180</v>
      </c>
      <c r="B78" s="163"/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5"/>
    </row>
    <row r="79" spans="1:26" x14ac:dyDescent="0.25">
      <c r="A79" s="166" t="s">
        <v>32</v>
      </c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8" t="s">
        <v>45</v>
      </c>
      <c r="O79" s="168"/>
      <c r="P79" s="168"/>
      <c r="Q79" s="168"/>
      <c r="R79" s="168"/>
      <c r="S79" s="168"/>
      <c r="T79" s="168"/>
      <c r="U79" s="168"/>
      <c r="V79" s="168"/>
      <c r="W79" s="168"/>
      <c r="X79" s="168"/>
      <c r="Y79" s="168"/>
      <c r="Z79" s="169"/>
    </row>
    <row r="80" spans="1:26" x14ac:dyDescent="0.25">
      <c r="A80" s="162" t="s">
        <v>33</v>
      </c>
      <c r="B80" s="163"/>
      <c r="C80" s="163"/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Z80" s="169"/>
    </row>
    <row r="81" spans="1:26" x14ac:dyDescent="0.25">
      <c r="A81" s="166" t="s">
        <v>181</v>
      </c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4" t="s">
        <v>48</v>
      </c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5"/>
    </row>
    <row r="82" spans="1:26" x14ac:dyDescent="0.25">
      <c r="A82" s="159" t="s">
        <v>182</v>
      </c>
      <c r="B82" s="160"/>
      <c r="C82" s="160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 t="s">
        <v>183</v>
      </c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1"/>
    </row>
  </sheetData>
  <mergeCells count="65">
    <mergeCell ref="A1:Z1"/>
    <mergeCell ref="A2:Z2"/>
    <mergeCell ref="A3:A11"/>
    <mergeCell ref="B3:V6"/>
    <mergeCell ref="Y3:Z3"/>
    <mergeCell ref="Y4:Z4"/>
    <mergeCell ref="Y5:Z5"/>
    <mergeCell ref="Y6:Z6"/>
    <mergeCell ref="B7:B11"/>
    <mergeCell ref="C7:D7"/>
    <mergeCell ref="C8:D8"/>
    <mergeCell ref="Y8:Z8"/>
    <mergeCell ref="C9:D9"/>
    <mergeCell ref="Y9:Z9"/>
    <mergeCell ref="C10:D10"/>
    <mergeCell ref="E10:F10"/>
    <mergeCell ref="Y10:Z10"/>
    <mergeCell ref="E7:Q9"/>
    <mergeCell ref="S7:T11"/>
    <mergeCell ref="U7:V11"/>
    <mergeCell ref="Y7:Z7"/>
    <mergeCell ref="A68:M69"/>
    <mergeCell ref="N68:Z68"/>
    <mergeCell ref="N69:Z69"/>
    <mergeCell ref="C11:D11"/>
    <mergeCell ref="E11:F11"/>
    <mergeCell ref="J11:K11"/>
    <mergeCell ref="L11:M11"/>
    <mergeCell ref="Y11:Z11"/>
    <mergeCell ref="A62:M63"/>
    <mergeCell ref="N62:Z62"/>
    <mergeCell ref="N63:Z63"/>
    <mergeCell ref="H10:I11"/>
    <mergeCell ref="J10:K10"/>
    <mergeCell ref="L10:M10"/>
    <mergeCell ref="N10:O11"/>
    <mergeCell ref="P10:Q11"/>
    <mergeCell ref="A64:M67"/>
    <mergeCell ref="N64:Z64"/>
    <mergeCell ref="N65:Z65"/>
    <mergeCell ref="N66:Z66"/>
    <mergeCell ref="N67:Z67"/>
    <mergeCell ref="A70:M70"/>
    <mergeCell ref="N70:Z70"/>
    <mergeCell ref="A71:M71"/>
    <mergeCell ref="N71:Z71"/>
    <mergeCell ref="A72:M74"/>
    <mergeCell ref="N72:Z72"/>
    <mergeCell ref="N73:Z73"/>
    <mergeCell ref="N74:Z74"/>
    <mergeCell ref="A75:M75"/>
    <mergeCell ref="N75:Z75"/>
    <mergeCell ref="A76:M76"/>
    <mergeCell ref="N76:Z76"/>
    <mergeCell ref="A77:M77"/>
    <mergeCell ref="N77:Z77"/>
    <mergeCell ref="A82:M82"/>
    <mergeCell ref="N82:Z82"/>
    <mergeCell ref="A78:M78"/>
    <mergeCell ref="N78:Z78"/>
    <mergeCell ref="A79:M79"/>
    <mergeCell ref="N79:Z80"/>
    <mergeCell ref="A80:M80"/>
    <mergeCell ref="A81:M81"/>
    <mergeCell ref="N81:Z81"/>
  </mergeCells>
  <hyperlinks>
    <hyperlink ref="N79" r:id="rId1" display="http://www.eia.gov/state/seds/seds-data-complete.cfm" xr:uid="{00000000-0004-0000-0500-000000000000}"/>
  </hyperlinks>
  <pageMargins left="0.75" right="0.75" top="1" bottom="1" header="0.5" footer="0.5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68"/>
  <sheetViews>
    <sheetView showGridLines="0" topLeftCell="A29" workbookViewId="0">
      <selection activeCell="B46" sqref="B46"/>
    </sheetView>
  </sheetViews>
  <sheetFormatPr defaultColWidth="9.140625" defaultRowHeight="15" x14ac:dyDescent="0.25"/>
  <cols>
    <col min="1" max="2" width="4.5703125" style="3" customWidth="1"/>
    <col min="3" max="3" width="2.28515625" style="3" customWidth="1"/>
    <col min="4" max="4" width="5.7109375" style="3" customWidth="1"/>
    <col min="5" max="5" width="2.85546875" style="3" customWidth="1"/>
    <col min="6" max="6" width="9.42578125" style="3" customWidth="1"/>
    <col min="7" max="7" width="4.5703125" style="3" customWidth="1"/>
    <col min="8" max="8" width="2.28515625" style="3" customWidth="1"/>
    <col min="9" max="9" width="4.5703125" style="3" customWidth="1"/>
    <col min="10" max="10" width="2.28515625" style="3" customWidth="1"/>
    <col min="11" max="11" width="6.28515625" style="3" customWidth="1"/>
    <col min="12" max="12" width="3.140625" style="3" customWidth="1"/>
    <col min="13" max="13" width="9.42578125" style="3" customWidth="1"/>
    <col min="14" max="14" width="4.5703125" style="3" customWidth="1"/>
    <col min="15" max="15" width="2.28515625" style="3" customWidth="1"/>
    <col min="16" max="16" width="5.42578125" style="3" customWidth="1"/>
    <col min="17" max="17" width="3.140625" style="3" customWidth="1"/>
    <col min="18" max="18" width="6.42578125" style="3" customWidth="1"/>
    <col min="19" max="19" width="3.140625" style="3" customWidth="1"/>
    <col min="20" max="20" width="8.85546875" style="3" customWidth="1"/>
    <col min="21" max="21" width="4.42578125" style="3" customWidth="1"/>
    <col min="22" max="22" width="7.42578125" style="3" customWidth="1"/>
    <col min="23" max="23" width="4.140625" style="3" customWidth="1"/>
    <col min="24" max="24" width="13.28515625" style="3" customWidth="1"/>
    <col min="25" max="25" width="6.42578125" style="3" customWidth="1"/>
    <col min="26" max="26" width="3.140625" style="3" customWidth="1"/>
    <col min="27" max="27" width="8.85546875" style="3" customWidth="1"/>
    <col min="28" max="28" width="4.42578125" style="3" customWidth="1"/>
    <col min="29" max="29" width="6.42578125" style="3" customWidth="1"/>
    <col min="30" max="30" width="3.140625" style="3" customWidth="1"/>
    <col min="31" max="16384" width="9.140625" style="3"/>
  </cols>
  <sheetData>
    <row r="1" spans="1:33" ht="15.75" customHeight="1" x14ac:dyDescent="0.25">
      <c r="A1" s="184" t="s">
        <v>11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6"/>
    </row>
    <row r="2" spans="1:33" x14ac:dyDescent="0.25">
      <c r="A2" s="187" t="s">
        <v>12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9"/>
    </row>
    <row r="3" spans="1:33" x14ac:dyDescent="0.25">
      <c r="A3" s="190" t="s">
        <v>13</v>
      </c>
      <c r="B3" s="197" t="s">
        <v>14</v>
      </c>
      <c r="C3" s="198"/>
      <c r="D3" s="198"/>
      <c r="E3" s="198"/>
      <c r="F3" s="198"/>
      <c r="G3" s="198"/>
      <c r="H3" s="199"/>
      <c r="I3" s="197" t="s">
        <v>15</v>
      </c>
      <c r="J3" s="198"/>
      <c r="K3" s="198"/>
      <c r="L3" s="198"/>
      <c r="M3" s="198"/>
      <c r="N3" s="198"/>
      <c r="O3" s="199"/>
      <c r="P3" s="197" t="s">
        <v>16</v>
      </c>
      <c r="Q3" s="198"/>
      <c r="R3" s="198"/>
      <c r="S3" s="198"/>
      <c r="T3" s="198"/>
      <c r="U3" s="198"/>
      <c r="V3" s="198"/>
      <c r="W3" s="198"/>
      <c r="X3" s="198"/>
      <c r="Y3" s="198"/>
      <c r="Z3" s="199"/>
      <c r="AA3" s="197" t="s">
        <v>17</v>
      </c>
      <c r="AB3" s="198"/>
      <c r="AC3" s="198"/>
      <c r="AD3" s="199"/>
    </row>
    <row r="4" spans="1:33" x14ac:dyDescent="0.25">
      <c r="A4" s="191"/>
      <c r="B4" s="193"/>
      <c r="C4" s="194"/>
      <c r="D4" s="177" t="s">
        <v>18</v>
      </c>
      <c r="E4" s="178"/>
      <c r="F4" s="4"/>
      <c r="G4" s="177" t="s">
        <v>19</v>
      </c>
      <c r="H4" s="178"/>
      <c r="I4" s="193"/>
      <c r="J4" s="194"/>
      <c r="K4" s="177" t="s">
        <v>20</v>
      </c>
      <c r="L4" s="178"/>
      <c r="M4" s="4"/>
      <c r="N4" s="177" t="s">
        <v>21</v>
      </c>
      <c r="O4" s="178"/>
      <c r="P4" s="177" t="s">
        <v>22</v>
      </c>
      <c r="Q4" s="178"/>
      <c r="R4" s="193"/>
      <c r="S4" s="194"/>
      <c r="T4" s="177" t="s">
        <v>20</v>
      </c>
      <c r="U4" s="178"/>
      <c r="V4" s="177" t="s">
        <v>23</v>
      </c>
      <c r="W4" s="178"/>
      <c r="X4" s="4"/>
      <c r="Y4" s="177" t="s">
        <v>24</v>
      </c>
      <c r="Z4" s="178"/>
      <c r="AA4" s="177" t="s">
        <v>20</v>
      </c>
      <c r="AB4" s="178"/>
      <c r="AC4" s="177" t="s">
        <v>25</v>
      </c>
      <c r="AD4" s="178"/>
    </row>
    <row r="5" spans="1:33" x14ac:dyDescent="0.25">
      <c r="A5" s="191"/>
      <c r="B5" s="179" t="s">
        <v>26</v>
      </c>
      <c r="C5" s="180"/>
      <c r="D5" s="179"/>
      <c r="E5" s="180"/>
      <c r="F5" s="5" t="s">
        <v>27</v>
      </c>
      <c r="G5" s="179"/>
      <c r="H5" s="180"/>
      <c r="I5" s="179" t="s">
        <v>26</v>
      </c>
      <c r="J5" s="180"/>
      <c r="K5" s="179"/>
      <c r="L5" s="180"/>
      <c r="M5" s="5" t="s">
        <v>27</v>
      </c>
      <c r="N5" s="179"/>
      <c r="O5" s="180"/>
      <c r="P5" s="179"/>
      <c r="Q5" s="180"/>
      <c r="R5" s="179" t="s">
        <v>26</v>
      </c>
      <c r="S5" s="180"/>
      <c r="T5" s="179"/>
      <c r="U5" s="180"/>
      <c r="V5" s="179"/>
      <c r="W5" s="180"/>
      <c r="X5" s="5" t="s">
        <v>27</v>
      </c>
      <c r="Y5" s="179"/>
      <c r="Z5" s="180"/>
      <c r="AA5" s="179"/>
      <c r="AB5" s="180"/>
      <c r="AC5" s="179"/>
      <c r="AD5" s="180"/>
    </row>
    <row r="6" spans="1:33" x14ac:dyDescent="0.25">
      <c r="A6" s="192"/>
      <c r="B6" s="172" t="s">
        <v>28</v>
      </c>
      <c r="C6" s="173"/>
      <c r="D6" s="172"/>
      <c r="E6" s="173"/>
      <c r="F6" s="6" t="s">
        <v>29</v>
      </c>
      <c r="G6" s="172"/>
      <c r="H6" s="173"/>
      <c r="I6" s="172" t="s">
        <v>28</v>
      </c>
      <c r="J6" s="173"/>
      <c r="K6" s="172"/>
      <c r="L6" s="173"/>
      <c r="M6" s="6" t="s">
        <v>29</v>
      </c>
      <c r="N6" s="172"/>
      <c r="O6" s="173"/>
      <c r="P6" s="172"/>
      <c r="Q6" s="173"/>
      <c r="R6" s="172" t="s">
        <v>28</v>
      </c>
      <c r="S6" s="173"/>
      <c r="T6" s="172"/>
      <c r="U6" s="173"/>
      <c r="V6" s="172"/>
      <c r="W6" s="173"/>
      <c r="X6" s="6" t="s">
        <v>29</v>
      </c>
      <c r="Y6" s="172"/>
      <c r="Z6" s="173"/>
      <c r="AA6" s="172"/>
      <c r="AB6" s="173"/>
      <c r="AC6" s="172"/>
      <c r="AD6" s="173"/>
      <c r="AG6" s="3" t="s">
        <v>51</v>
      </c>
    </row>
    <row r="7" spans="1:33" x14ac:dyDescent="0.25">
      <c r="A7" s="7">
        <v>1970</v>
      </c>
      <c r="B7" s="8">
        <v>1.06</v>
      </c>
      <c r="C7" s="9"/>
      <c r="D7" s="8">
        <v>1.54</v>
      </c>
      <c r="E7" s="10" t="s">
        <v>30</v>
      </c>
      <c r="F7" s="8">
        <v>6.51</v>
      </c>
      <c r="G7" s="8">
        <v>2.1</v>
      </c>
      <c r="H7" s="9"/>
      <c r="I7" s="8">
        <v>0.75</v>
      </c>
      <c r="J7" s="9"/>
      <c r="K7" s="8">
        <v>0.91</v>
      </c>
      <c r="L7" s="10" t="s">
        <v>30</v>
      </c>
      <c r="M7" s="8">
        <v>6.09</v>
      </c>
      <c r="N7" s="8">
        <v>1.97</v>
      </c>
      <c r="O7" s="10" t="s">
        <v>30</v>
      </c>
      <c r="P7" s="8">
        <v>0.45</v>
      </c>
      <c r="Q7" s="9"/>
      <c r="R7" s="8">
        <v>0.38</v>
      </c>
      <c r="S7" s="9"/>
      <c r="T7" s="8">
        <v>0.98</v>
      </c>
      <c r="U7" s="9"/>
      <c r="V7" s="8">
        <v>1.59</v>
      </c>
      <c r="W7" s="9"/>
      <c r="X7" s="8">
        <v>2.99</v>
      </c>
      <c r="Y7" s="8">
        <v>0.84</v>
      </c>
      <c r="Z7" s="9"/>
      <c r="AA7" s="8">
        <v>2.31</v>
      </c>
      <c r="AB7" s="9"/>
      <c r="AC7" s="8">
        <v>2.31</v>
      </c>
      <c r="AD7" s="9"/>
      <c r="AF7" s="3">
        <f>1000000/3412</f>
        <v>293.08323563892145</v>
      </c>
      <c r="AG7" s="3">
        <f>M7/$AF$7</f>
        <v>2.0779079999999998E-2</v>
      </c>
    </row>
    <row r="8" spans="1:33" x14ac:dyDescent="0.25">
      <c r="A8" s="7">
        <v>1971</v>
      </c>
      <c r="B8" s="8">
        <v>1.1200000000000001</v>
      </c>
      <c r="C8" s="9"/>
      <c r="D8" s="8">
        <v>1.59</v>
      </c>
      <c r="E8" s="10" t="s">
        <v>30</v>
      </c>
      <c r="F8" s="8">
        <v>6.8</v>
      </c>
      <c r="G8" s="8">
        <v>2.2400000000000002</v>
      </c>
      <c r="H8" s="9"/>
      <c r="I8" s="8">
        <v>0.8</v>
      </c>
      <c r="J8" s="9"/>
      <c r="K8" s="8">
        <v>1.02</v>
      </c>
      <c r="L8" s="10" t="s">
        <v>30</v>
      </c>
      <c r="M8" s="8">
        <v>6.44</v>
      </c>
      <c r="N8" s="8">
        <v>2.15</v>
      </c>
      <c r="O8" s="10" t="s">
        <v>30</v>
      </c>
      <c r="P8" s="8">
        <v>0.5</v>
      </c>
      <c r="Q8" s="9"/>
      <c r="R8" s="8">
        <v>0.41</v>
      </c>
      <c r="S8" s="9"/>
      <c r="T8" s="8">
        <v>1.05</v>
      </c>
      <c r="U8" s="9"/>
      <c r="V8" s="8">
        <v>1.59</v>
      </c>
      <c r="W8" s="9"/>
      <c r="X8" s="8">
        <v>3.22</v>
      </c>
      <c r="Y8" s="8">
        <v>0.92</v>
      </c>
      <c r="Z8" s="9"/>
      <c r="AA8" s="8">
        <v>2.37</v>
      </c>
      <c r="AB8" s="9"/>
      <c r="AC8" s="8">
        <v>2.37</v>
      </c>
      <c r="AD8" s="9"/>
      <c r="AG8" s="3">
        <f t="shared" ref="AG8:AG46" si="0">M8/$AF$7</f>
        <v>2.1973280000000001E-2</v>
      </c>
    </row>
    <row r="9" spans="1:33" x14ac:dyDescent="0.25">
      <c r="A9" s="11">
        <v>1972</v>
      </c>
      <c r="B9" s="12">
        <v>1.18</v>
      </c>
      <c r="C9" s="13"/>
      <c r="D9" s="12">
        <v>1.62</v>
      </c>
      <c r="E9" s="14" t="s">
        <v>30</v>
      </c>
      <c r="F9" s="12">
        <v>7.09</v>
      </c>
      <c r="G9" s="12">
        <v>2.37</v>
      </c>
      <c r="H9" s="13"/>
      <c r="I9" s="12">
        <v>0.86</v>
      </c>
      <c r="J9" s="13"/>
      <c r="K9" s="12">
        <v>1.05</v>
      </c>
      <c r="L9" s="14" t="s">
        <v>30</v>
      </c>
      <c r="M9" s="12">
        <v>6.71</v>
      </c>
      <c r="N9" s="12">
        <v>2.3199999999999998</v>
      </c>
      <c r="O9" s="14" t="s">
        <v>30</v>
      </c>
      <c r="P9" s="12">
        <v>0.55000000000000004</v>
      </c>
      <c r="Q9" s="13"/>
      <c r="R9" s="12">
        <v>0.46</v>
      </c>
      <c r="S9" s="13"/>
      <c r="T9" s="12">
        <v>1.05</v>
      </c>
      <c r="U9" s="13"/>
      <c r="V9" s="12">
        <v>1.59</v>
      </c>
      <c r="W9" s="13"/>
      <c r="X9" s="12">
        <v>3.4</v>
      </c>
      <c r="Y9" s="12">
        <v>0.99</v>
      </c>
      <c r="Z9" s="13"/>
      <c r="AA9" s="12">
        <v>2.38</v>
      </c>
      <c r="AB9" s="13"/>
      <c r="AC9" s="12">
        <v>2.38</v>
      </c>
      <c r="AD9" s="13"/>
      <c r="AG9" s="3">
        <f t="shared" si="0"/>
        <v>2.2894520000000002E-2</v>
      </c>
    </row>
    <row r="10" spans="1:33" x14ac:dyDescent="0.25">
      <c r="A10" s="7">
        <v>1973</v>
      </c>
      <c r="B10" s="8">
        <v>1.26</v>
      </c>
      <c r="C10" s="9"/>
      <c r="D10" s="8">
        <v>2.08</v>
      </c>
      <c r="E10" s="10" t="s">
        <v>30</v>
      </c>
      <c r="F10" s="8">
        <v>7.44</v>
      </c>
      <c r="G10" s="8">
        <v>2.71</v>
      </c>
      <c r="H10" s="10" t="s">
        <v>30</v>
      </c>
      <c r="I10" s="8">
        <v>0.91</v>
      </c>
      <c r="J10" s="9"/>
      <c r="K10" s="8">
        <v>1.21</v>
      </c>
      <c r="L10" s="10" t="s">
        <v>30</v>
      </c>
      <c r="M10" s="8">
        <v>7.06</v>
      </c>
      <c r="N10" s="8">
        <v>2.5499999999999998</v>
      </c>
      <c r="O10" s="10" t="s">
        <v>30</v>
      </c>
      <c r="P10" s="8">
        <v>0.63</v>
      </c>
      <c r="Q10" s="9"/>
      <c r="R10" s="8">
        <v>0.5</v>
      </c>
      <c r="S10" s="9"/>
      <c r="T10" s="8">
        <v>1.18</v>
      </c>
      <c r="U10" s="9"/>
      <c r="V10" s="8">
        <v>1.6</v>
      </c>
      <c r="W10" s="9"/>
      <c r="X10" s="8">
        <v>3.66</v>
      </c>
      <c r="Y10" s="8">
        <v>1.1000000000000001</v>
      </c>
      <c r="Z10" s="9"/>
      <c r="AA10" s="8">
        <v>2.57</v>
      </c>
      <c r="AB10" s="9"/>
      <c r="AC10" s="8">
        <v>2.57</v>
      </c>
      <c r="AD10" s="9"/>
      <c r="AG10" s="3">
        <f t="shared" si="0"/>
        <v>2.4088719999999997E-2</v>
      </c>
    </row>
    <row r="11" spans="1:33" x14ac:dyDescent="0.25">
      <c r="A11" s="7">
        <v>1974</v>
      </c>
      <c r="B11" s="8">
        <v>1.42</v>
      </c>
      <c r="C11" s="9"/>
      <c r="D11" s="8">
        <v>2.85</v>
      </c>
      <c r="E11" s="10" t="s">
        <v>30</v>
      </c>
      <c r="F11" s="8">
        <v>9.09</v>
      </c>
      <c r="G11" s="8">
        <v>3.38</v>
      </c>
      <c r="H11" s="9"/>
      <c r="I11" s="8">
        <v>1.05</v>
      </c>
      <c r="J11" s="9"/>
      <c r="K11" s="8">
        <v>2.2599999999999998</v>
      </c>
      <c r="L11" s="10" t="s">
        <v>30</v>
      </c>
      <c r="M11" s="8">
        <v>8.91</v>
      </c>
      <c r="N11" s="8">
        <v>3.41</v>
      </c>
      <c r="O11" s="9"/>
      <c r="P11" s="8">
        <v>1.22</v>
      </c>
      <c r="Q11" s="9"/>
      <c r="R11" s="8">
        <v>0.67</v>
      </c>
      <c r="S11" s="9"/>
      <c r="T11" s="8">
        <v>2.2400000000000002</v>
      </c>
      <c r="U11" s="9"/>
      <c r="V11" s="8">
        <v>1.6</v>
      </c>
      <c r="W11" s="9"/>
      <c r="X11" s="8">
        <v>4.95</v>
      </c>
      <c r="Y11" s="8">
        <v>1.78</v>
      </c>
      <c r="Z11" s="9"/>
      <c r="AA11" s="8">
        <v>3.7</v>
      </c>
      <c r="AB11" s="9"/>
      <c r="AC11" s="8">
        <v>3.7</v>
      </c>
      <c r="AD11" s="9"/>
      <c r="AG11" s="3">
        <f t="shared" si="0"/>
        <v>3.0400920000000001E-2</v>
      </c>
    </row>
    <row r="12" spans="1:33" x14ac:dyDescent="0.25">
      <c r="A12" s="11">
        <v>1975</v>
      </c>
      <c r="B12" s="12">
        <v>1.67</v>
      </c>
      <c r="C12" s="13"/>
      <c r="D12" s="12">
        <v>3.01</v>
      </c>
      <c r="E12" s="14" t="s">
        <v>30</v>
      </c>
      <c r="F12" s="12">
        <v>10.29</v>
      </c>
      <c r="G12" s="12">
        <v>3.8</v>
      </c>
      <c r="H12" s="14" t="s">
        <v>30</v>
      </c>
      <c r="I12" s="12">
        <v>1.32</v>
      </c>
      <c r="J12" s="13"/>
      <c r="K12" s="12">
        <v>2.4</v>
      </c>
      <c r="L12" s="14" t="s">
        <v>30</v>
      </c>
      <c r="M12" s="12">
        <v>10.11</v>
      </c>
      <c r="N12" s="12">
        <v>4.07</v>
      </c>
      <c r="O12" s="14" t="s">
        <v>30</v>
      </c>
      <c r="P12" s="12">
        <v>1.5</v>
      </c>
      <c r="Q12" s="13"/>
      <c r="R12" s="12">
        <v>0.95</v>
      </c>
      <c r="S12" s="13"/>
      <c r="T12" s="12">
        <v>2.46</v>
      </c>
      <c r="U12" s="13"/>
      <c r="V12" s="12">
        <v>1.6</v>
      </c>
      <c r="W12" s="13"/>
      <c r="X12" s="12">
        <v>6.07</v>
      </c>
      <c r="Y12" s="12">
        <v>2.2000000000000002</v>
      </c>
      <c r="Z12" s="13"/>
      <c r="AA12" s="12">
        <v>4.0199999999999996</v>
      </c>
      <c r="AB12" s="13"/>
      <c r="AC12" s="12">
        <v>4.0199999999999996</v>
      </c>
      <c r="AD12" s="13"/>
      <c r="AG12" s="3">
        <f t="shared" si="0"/>
        <v>3.4495319999999996E-2</v>
      </c>
    </row>
    <row r="13" spans="1:33" x14ac:dyDescent="0.25">
      <c r="A13" s="7">
        <v>1976</v>
      </c>
      <c r="B13" s="8">
        <v>1.94</v>
      </c>
      <c r="C13" s="9"/>
      <c r="D13" s="8">
        <v>3.23</v>
      </c>
      <c r="E13" s="10" t="s">
        <v>30</v>
      </c>
      <c r="F13" s="8">
        <v>10.93</v>
      </c>
      <c r="G13" s="8">
        <v>4.12</v>
      </c>
      <c r="H13" s="10" t="s">
        <v>30</v>
      </c>
      <c r="I13" s="8">
        <v>1.61</v>
      </c>
      <c r="J13" s="9"/>
      <c r="K13" s="8">
        <v>2.5</v>
      </c>
      <c r="L13" s="10" t="s">
        <v>30</v>
      </c>
      <c r="M13" s="8">
        <v>10.82</v>
      </c>
      <c r="N13" s="8">
        <v>4.38</v>
      </c>
      <c r="O13" s="10" t="s">
        <v>30</v>
      </c>
      <c r="P13" s="8">
        <v>1.5</v>
      </c>
      <c r="Q13" s="9"/>
      <c r="R13" s="8">
        <v>1.21</v>
      </c>
      <c r="S13" s="9"/>
      <c r="T13" s="8">
        <v>2.57</v>
      </c>
      <c r="U13" s="9"/>
      <c r="V13" s="8">
        <v>1.6</v>
      </c>
      <c r="W13" s="9"/>
      <c r="X13" s="8">
        <v>6.48</v>
      </c>
      <c r="Y13" s="8">
        <v>2.4300000000000002</v>
      </c>
      <c r="Z13" s="9"/>
      <c r="AA13" s="8">
        <v>4.2</v>
      </c>
      <c r="AB13" s="9"/>
      <c r="AC13" s="8">
        <v>4.21</v>
      </c>
      <c r="AD13" s="9"/>
      <c r="AG13" s="3">
        <f t="shared" si="0"/>
        <v>3.691784E-2</v>
      </c>
    </row>
    <row r="14" spans="1:33" x14ac:dyDescent="0.25">
      <c r="A14" s="7">
        <v>1977</v>
      </c>
      <c r="B14" s="8">
        <v>2.2999999999999998</v>
      </c>
      <c r="C14" s="9"/>
      <c r="D14" s="8">
        <v>3.64</v>
      </c>
      <c r="E14" s="10" t="s">
        <v>30</v>
      </c>
      <c r="F14" s="8">
        <v>11.87</v>
      </c>
      <c r="G14" s="8">
        <v>4.76</v>
      </c>
      <c r="H14" s="10" t="s">
        <v>30</v>
      </c>
      <c r="I14" s="8">
        <v>2</v>
      </c>
      <c r="J14" s="9"/>
      <c r="K14" s="8">
        <v>2.85</v>
      </c>
      <c r="L14" s="10" t="s">
        <v>30</v>
      </c>
      <c r="M14" s="8">
        <v>11.99</v>
      </c>
      <c r="N14" s="8">
        <v>5.12</v>
      </c>
      <c r="O14" s="10" t="s">
        <v>30</v>
      </c>
      <c r="P14" s="8">
        <v>1.56</v>
      </c>
      <c r="Q14" s="9"/>
      <c r="R14" s="8">
        <v>1.48</v>
      </c>
      <c r="S14" s="9"/>
      <c r="T14" s="8">
        <v>2.84</v>
      </c>
      <c r="U14" s="9"/>
      <c r="V14" s="8">
        <v>1.59</v>
      </c>
      <c r="W14" s="9"/>
      <c r="X14" s="8">
        <v>7.33</v>
      </c>
      <c r="Y14" s="8">
        <v>2.78</v>
      </c>
      <c r="Z14" s="9"/>
      <c r="AA14" s="8">
        <v>4.47</v>
      </c>
      <c r="AB14" s="9"/>
      <c r="AC14" s="8">
        <v>4.4800000000000004</v>
      </c>
      <c r="AD14" s="9"/>
      <c r="AG14" s="3">
        <f t="shared" si="0"/>
        <v>4.0909880000000003E-2</v>
      </c>
    </row>
    <row r="15" spans="1:33" x14ac:dyDescent="0.25">
      <c r="A15" s="11">
        <v>1978</v>
      </c>
      <c r="B15" s="12">
        <v>2.52</v>
      </c>
      <c r="C15" s="13"/>
      <c r="D15" s="12">
        <v>3.76</v>
      </c>
      <c r="E15" s="14" t="s">
        <v>30</v>
      </c>
      <c r="F15" s="12">
        <v>12.63</v>
      </c>
      <c r="G15" s="12">
        <v>5.13</v>
      </c>
      <c r="H15" s="13"/>
      <c r="I15" s="12">
        <v>2.2000000000000002</v>
      </c>
      <c r="J15" s="13"/>
      <c r="K15" s="12">
        <v>2.93</v>
      </c>
      <c r="L15" s="14" t="s">
        <v>30</v>
      </c>
      <c r="M15" s="12">
        <v>12.78</v>
      </c>
      <c r="N15" s="12">
        <v>5.5</v>
      </c>
      <c r="O15" s="14" t="s">
        <v>30</v>
      </c>
      <c r="P15" s="12">
        <v>1.73</v>
      </c>
      <c r="Q15" s="13"/>
      <c r="R15" s="12">
        <v>1.66</v>
      </c>
      <c r="S15" s="13"/>
      <c r="T15" s="12">
        <v>2.96</v>
      </c>
      <c r="U15" s="13"/>
      <c r="V15" s="12">
        <v>1.6</v>
      </c>
      <c r="W15" s="13"/>
      <c r="X15" s="12">
        <v>8.18</v>
      </c>
      <c r="Y15" s="12">
        <v>3.03</v>
      </c>
      <c r="Z15" s="13"/>
      <c r="AA15" s="12">
        <v>4.59</v>
      </c>
      <c r="AB15" s="13"/>
      <c r="AC15" s="12">
        <v>4.59</v>
      </c>
      <c r="AD15" s="13"/>
      <c r="AG15" s="3">
        <f t="shared" si="0"/>
        <v>4.3605359999999996E-2</v>
      </c>
    </row>
    <row r="16" spans="1:33" x14ac:dyDescent="0.25">
      <c r="A16" s="7">
        <v>1979</v>
      </c>
      <c r="B16" s="8">
        <v>2.92</v>
      </c>
      <c r="C16" s="9"/>
      <c r="D16" s="8">
        <v>5.31</v>
      </c>
      <c r="E16" s="10" t="s">
        <v>30</v>
      </c>
      <c r="F16" s="8">
        <v>13.6</v>
      </c>
      <c r="G16" s="8">
        <v>5.99</v>
      </c>
      <c r="H16" s="10" t="s">
        <v>30</v>
      </c>
      <c r="I16" s="8">
        <v>2.69</v>
      </c>
      <c r="J16" s="9"/>
      <c r="K16" s="8">
        <v>4.1500000000000004</v>
      </c>
      <c r="L16" s="9"/>
      <c r="M16" s="8">
        <v>13.72</v>
      </c>
      <c r="N16" s="8">
        <v>6.28</v>
      </c>
      <c r="O16" s="9"/>
      <c r="P16" s="8">
        <v>1.75</v>
      </c>
      <c r="Q16" s="9"/>
      <c r="R16" s="8">
        <v>1.96</v>
      </c>
      <c r="S16" s="9"/>
      <c r="T16" s="8">
        <v>3.99</v>
      </c>
      <c r="U16" s="9"/>
      <c r="V16" s="8">
        <v>1.6</v>
      </c>
      <c r="W16" s="9"/>
      <c r="X16" s="8">
        <v>8.94</v>
      </c>
      <c r="Y16" s="8">
        <v>3.63</v>
      </c>
      <c r="Z16" s="9"/>
      <c r="AA16" s="8">
        <v>6.19</v>
      </c>
      <c r="AB16" s="9"/>
      <c r="AC16" s="8">
        <v>6.19</v>
      </c>
      <c r="AD16" s="9"/>
      <c r="AG16" s="3">
        <f t="shared" si="0"/>
        <v>4.6812640000000003E-2</v>
      </c>
    </row>
    <row r="17" spans="1:33" x14ac:dyDescent="0.25">
      <c r="A17" s="7">
        <v>1980</v>
      </c>
      <c r="B17" s="8">
        <v>3.6</v>
      </c>
      <c r="C17" s="9"/>
      <c r="D17" s="8">
        <v>7.24</v>
      </c>
      <c r="E17" s="10" t="s">
        <v>30</v>
      </c>
      <c r="F17" s="8">
        <v>15.71</v>
      </c>
      <c r="G17" s="8">
        <v>7.46</v>
      </c>
      <c r="H17" s="9"/>
      <c r="I17" s="8">
        <v>3.32</v>
      </c>
      <c r="J17" s="9"/>
      <c r="K17" s="8">
        <v>5.64</v>
      </c>
      <c r="L17" s="9"/>
      <c r="M17" s="8">
        <v>16.059999999999999</v>
      </c>
      <c r="N17" s="8">
        <v>7.83</v>
      </c>
      <c r="O17" s="10" t="s">
        <v>30</v>
      </c>
      <c r="P17" s="8">
        <v>1.87</v>
      </c>
      <c r="Q17" s="9"/>
      <c r="R17" s="8">
        <v>2.52</v>
      </c>
      <c r="S17" s="9"/>
      <c r="T17" s="8">
        <v>5.75</v>
      </c>
      <c r="U17" s="9"/>
      <c r="V17" s="8">
        <v>1.67</v>
      </c>
      <c r="W17" s="9"/>
      <c r="X17" s="8">
        <v>10.81</v>
      </c>
      <c r="Y17" s="8">
        <v>4.71</v>
      </c>
      <c r="Z17" s="9"/>
      <c r="AA17" s="8">
        <v>8.6</v>
      </c>
      <c r="AB17" s="9"/>
      <c r="AC17" s="8">
        <v>8.61</v>
      </c>
      <c r="AD17" s="9"/>
      <c r="AG17" s="3">
        <f t="shared" si="0"/>
        <v>5.4796719999999993E-2</v>
      </c>
    </row>
    <row r="18" spans="1:33" x14ac:dyDescent="0.25">
      <c r="A18" s="11">
        <v>1981</v>
      </c>
      <c r="B18" s="12">
        <v>4.1900000000000004</v>
      </c>
      <c r="C18" s="13"/>
      <c r="D18" s="12">
        <v>8.66</v>
      </c>
      <c r="E18" s="14" t="s">
        <v>30</v>
      </c>
      <c r="F18" s="12">
        <v>18.170000000000002</v>
      </c>
      <c r="G18" s="12">
        <v>8.82</v>
      </c>
      <c r="H18" s="13"/>
      <c r="I18" s="12">
        <v>3.91</v>
      </c>
      <c r="J18" s="13"/>
      <c r="K18" s="12">
        <v>6.97</v>
      </c>
      <c r="L18" s="14" t="s">
        <v>30</v>
      </c>
      <c r="M18" s="12">
        <v>18.440000000000001</v>
      </c>
      <c r="N18" s="12">
        <v>9.48</v>
      </c>
      <c r="O18" s="14" t="s">
        <v>30</v>
      </c>
      <c r="P18" s="12">
        <v>2.06</v>
      </c>
      <c r="Q18" s="13"/>
      <c r="R18" s="12">
        <v>3.07</v>
      </c>
      <c r="S18" s="13"/>
      <c r="T18" s="12">
        <v>6.84</v>
      </c>
      <c r="U18" s="13"/>
      <c r="V18" s="12">
        <v>1.67</v>
      </c>
      <c r="W18" s="13"/>
      <c r="X18" s="12">
        <v>12.57</v>
      </c>
      <c r="Y18" s="12">
        <v>5.52</v>
      </c>
      <c r="Z18" s="13"/>
      <c r="AA18" s="12">
        <v>9.83</v>
      </c>
      <c r="AB18" s="13"/>
      <c r="AC18" s="12">
        <v>9.84</v>
      </c>
      <c r="AD18" s="13"/>
      <c r="AG18" s="3">
        <f t="shared" si="0"/>
        <v>6.2917280000000006E-2</v>
      </c>
    </row>
    <row r="19" spans="1:33" x14ac:dyDescent="0.25">
      <c r="A19" s="7">
        <v>1982</v>
      </c>
      <c r="B19" s="8">
        <v>5.05</v>
      </c>
      <c r="C19" s="9"/>
      <c r="D19" s="8">
        <v>8.65</v>
      </c>
      <c r="E19" s="10" t="s">
        <v>30</v>
      </c>
      <c r="F19" s="8">
        <v>20.11</v>
      </c>
      <c r="G19" s="8">
        <v>9.7799999999999994</v>
      </c>
      <c r="H19" s="9"/>
      <c r="I19" s="8">
        <v>4.7</v>
      </c>
      <c r="J19" s="9"/>
      <c r="K19" s="8">
        <v>6.65</v>
      </c>
      <c r="L19" s="9"/>
      <c r="M19" s="8">
        <v>20.11</v>
      </c>
      <c r="N19" s="8">
        <v>10.35</v>
      </c>
      <c r="O19" s="10" t="s">
        <v>30</v>
      </c>
      <c r="P19" s="8">
        <v>2.09</v>
      </c>
      <c r="Q19" s="9"/>
      <c r="R19" s="8">
        <v>3.8</v>
      </c>
      <c r="S19" s="9"/>
      <c r="T19" s="8">
        <v>6.51</v>
      </c>
      <c r="U19" s="9"/>
      <c r="V19" s="8">
        <v>1.67</v>
      </c>
      <c r="W19" s="9"/>
      <c r="X19" s="8">
        <v>14.51</v>
      </c>
      <c r="Y19" s="8">
        <v>6.05</v>
      </c>
      <c r="Z19" s="9"/>
      <c r="AA19" s="8">
        <v>9.42</v>
      </c>
      <c r="AB19" s="9"/>
      <c r="AC19" s="8">
        <v>9.43</v>
      </c>
      <c r="AD19" s="9"/>
      <c r="AG19" s="3">
        <f t="shared" si="0"/>
        <v>6.8615319999999994E-2</v>
      </c>
    </row>
    <row r="20" spans="1:33" x14ac:dyDescent="0.25">
      <c r="A20" s="7">
        <v>1983</v>
      </c>
      <c r="B20" s="8">
        <v>5.88</v>
      </c>
      <c r="C20" s="9"/>
      <c r="D20" s="8">
        <v>8.3699999999999992</v>
      </c>
      <c r="E20" s="10" t="s">
        <v>30</v>
      </c>
      <c r="F20" s="8">
        <v>21.04</v>
      </c>
      <c r="G20" s="8">
        <v>10.66</v>
      </c>
      <c r="H20" s="9"/>
      <c r="I20" s="8">
        <v>5.43</v>
      </c>
      <c r="J20" s="9"/>
      <c r="K20" s="8">
        <v>6.52</v>
      </c>
      <c r="L20" s="10" t="s">
        <v>30</v>
      </c>
      <c r="M20" s="8">
        <v>20.57</v>
      </c>
      <c r="N20" s="8">
        <v>10.92</v>
      </c>
      <c r="O20" s="10" t="s">
        <v>30</v>
      </c>
      <c r="P20" s="8">
        <v>1.91</v>
      </c>
      <c r="Q20" s="9"/>
      <c r="R20" s="8">
        <v>4.0999999999999996</v>
      </c>
      <c r="S20" s="9"/>
      <c r="T20" s="8">
        <v>6.57</v>
      </c>
      <c r="U20" s="9"/>
      <c r="V20" s="8">
        <v>1.67</v>
      </c>
      <c r="W20" s="9"/>
      <c r="X20" s="8">
        <v>14.54</v>
      </c>
      <c r="Y20" s="8">
        <v>6.21</v>
      </c>
      <c r="Z20" s="9"/>
      <c r="AA20" s="8">
        <v>8.44</v>
      </c>
      <c r="AB20" s="9"/>
      <c r="AC20" s="8">
        <v>8.4499999999999993</v>
      </c>
      <c r="AD20" s="9"/>
      <c r="AG20" s="3">
        <f t="shared" si="0"/>
        <v>7.0184839999999998E-2</v>
      </c>
    </row>
    <row r="21" spans="1:33" x14ac:dyDescent="0.25">
      <c r="A21" s="11">
        <v>1984</v>
      </c>
      <c r="B21" s="12">
        <v>5.95</v>
      </c>
      <c r="C21" s="13"/>
      <c r="D21" s="12">
        <v>8.43</v>
      </c>
      <c r="E21" s="14" t="s">
        <v>30</v>
      </c>
      <c r="F21" s="12">
        <v>20.96</v>
      </c>
      <c r="G21" s="12">
        <v>10.66</v>
      </c>
      <c r="H21" s="13"/>
      <c r="I21" s="12">
        <v>5.4</v>
      </c>
      <c r="J21" s="13"/>
      <c r="K21" s="12">
        <v>6.5</v>
      </c>
      <c r="L21" s="14" t="s">
        <v>30</v>
      </c>
      <c r="M21" s="12">
        <v>20.89</v>
      </c>
      <c r="N21" s="12">
        <v>11.13</v>
      </c>
      <c r="O21" s="14" t="s">
        <v>30</v>
      </c>
      <c r="P21" s="12">
        <v>1.91</v>
      </c>
      <c r="Q21" s="13"/>
      <c r="R21" s="12">
        <v>4.13</v>
      </c>
      <c r="S21" s="13"/>
      <c r="T21" s="12">
        <v>6.56</v>
      </c>
      <c r="U21" s="13"/>
      <c r="V21" s="12">
        <v>1.67</v>
      </c>
      <c r="W21" s="13"/>
      <c r="X21" s="12">
        <v>14.16</v>
      </c>
      <c r="Y21" s="12">
        <v>6.12</v>
      </c>
      <c r="Z21" s="13"/>
      <c r="AA21" s="12">
        <v>8.25</v>
      </c>
      <c r="AB21" s="13"/>
      <c r="AC21" s="12">
        <v>8.26</v>
      </c>
      <c r="AD21" s="13"/>
      <c r="AG21" s="3">
        <f t="shared" si="0"/>
        <v>7.1276680000000009E-2</v>
      </c>
    </row>
    <row r="22" spans="1:33" x14ac:dyDescent="0.25">
      <c r="A22" s="7">
        <v>1985</v>
      </c>
      <c r="B22" s="8">
        <v>5.94</v>
      </c>
      <c r="C22" s="9"/>
      <c r="D22" s="8">
        <v>8.1300000000000008</v>
      </c>
      <c r="E22" s="10" t="s">
        <v>30</v>
      </c>
      <c r="F22" s="8">
        <v>21.66</v>
      </c>
      <c r="G22" s="8">
        <v>10.91</v>
      </c>
      <c r="H22" s="9"/>
      <c r="I22" s="8">
        <v>5.34</v>
      </c>
      <c r="J22" s="9"/>
      <c r="K22" s="8">
        <v>6.5</v>
      </c>
      <c r="L22" s="10" t="s">
        <v>30</v>
      </c>
      <c r="M22" s="8">
        <v>21.3</v>
      </c>
      <c r="N22" s="8">
        <v>11.64</v>
      </c>
      <c r="O22" s="10" t="s">
        <v>30</v>
      </c>
      <c r="P22" s="8">
        <v>1.9</v>
      </c>
      <c r="Q22" s="9"/>
      <c r="R22" s="8">
        <v>3.87</v>
      </c>
      <c r="S22" s="9"/>
      <c r="T22" s="8">
        <v>6.29</v>
      </c>
      <c r="U22" s="9"/>
      <c r="V22" s="8">
        <v>1.67</v>
      </c>
      <c r="W22" s="9"/>
      <c r="X22" s="8">
        <v>14.57</v>
      </c>
      <c r="Y22" s="8">
        <v>6.03</v>
      </c>
      <c r="Z22" s="9"/>
      <c r="AA22" s="8">
        <v>8.26</v>
      </c>
      <c r="AB22" s="9"/>
      <c r="AC22" s="8">
        <v>8.27</v>
      </c>
      <c r="AD22" s="9"/>
      <c r="AG22" s="3">
        <f t="shared" si="0"/>
        <v>7.2675600000000007E-2</v>
      </c>
    </row>
    <row r="23" spans="1:33" x14ac:dyDescent="0.25">
      <c r="A23" s="7">
        <v>1986</v>
      </c>
      <c r="B23" s="8">
        <v>5.67</v>
      </c>
      <c r="C23" s="9"/>
      <c r="D23" s="8">
        <v>6.76</v>
      </c>
      <c r="E23" s="10" t="s">
        <v>30</v>
      </c>
      <c r="F23" s="8">
        <v>21.75</v>
      </c>
      <c r="G23" s="8">
        <v>10.75</v>
      </c>
      <c r="H23" s="9"/>
      <c r="I23" s="8">
        <v>4.9400000000000004</v>
      </c>
      <c r="J23" s="9"/>
      <c r="K23" s="8">
        <v>4.46</v>
      </c>
      <c r="L23" s="10" t="s">
        <v>30</v>
      </c>
      <c r="M23" s="8">
        <v>21.1</v>
      </c>
      <c r="N23" s="8">
        <v>11.21</v>
      </c>
      <c r="O23" s="10" t="s">
        <v>30</v>
      </c>
      <c r="P23" s="8">
        <v>1.8</v>
      </c>
      <c r="Q23" s="9"/>
      <c r="R23" s="8">
        <v>3.2</v>
      </c>
      <c r="S23" s="9"/>
      <c r="T23" s="8">
        <v>4.92</v>
      </c>
      <c r="U23" s="9"/>
      <c r="V23" s="8">
        <v>1.65</v>
      </c>
      <c r="W23" s="9"/>
      <c r="X23" s="8">
        <v>14.45</v>
      </c>
      <c r="Y23" s="8">
        <v>5.36</v>
      </c>
      <c r="Z23" s="9"/>
      <c r="AA23" s="8">
        <v>6.21</v>
      </c>
      <c r="AB23" s="9"/>
      <c r="AC23" s="8">
        <v>6.22</v>
      </c>
      <c r="AD23" s="9"/>
      <c r="AG23" s="3">
        <f t="shared" si="0"/>
        <v>7.1993200000000007E-2</v>
      </c>
    </row>
    <row r="24" spans="1:33" x14ac:dyDescent="0.25">
      <c r="A24" s="11">
        <v>1987</v>
      </c>
      <c r="B24" s="12">
        <v>5.39</v>
      </c>
      <c r="C24" s="13"/>
      <c r="D24" s="12">
        <v>6.57</v>
      </c>
      <c r="E24" s="14" t="s">
        <v>30</v>
      </c>
      <c r="F24" s="12">
        <v>21.82</v>
      </c>
      <c r="G24" s="12">
        <v>10.71</v>
      </c>
      <c r="H24" s="13"/>
      <c r="I24" s="12">
        <v>4.6399999999999997</v>
      </c>
      <c r="J24" s="13"/>
      <c r="K24" s="12">
        <v>4.7699999999999996</v>
      </c>
      <c r="L24" s="14" t="s">
        <v>30</v>
      </c>
      <c r="M24" s="12">
        <v>20.440000000000001</v>
      </c>
      <c r="N24" s="12">
        <v>10.97</v>
      </c>
      <c r="O24" s="14" t="s">
        <v>30</v>
      </c>
      <c r="P24" s="12">
        <v>1.67</v>
      </c>
      <c r="Q24" s="13"/>
      <c r="R24" s="12">
        <v>2.88</v>
      </c>
      <c r="S24" s="13"/>
      <c r="T24" s="12">
        <v>4.96</v>
      </c>
      <c r="U24" s="13"/>
      <c r="V24" s="12">
        <v>1.65</v>
      </c>
      <c r="W24" s="13"/>
      <c r="X24" s="12">
        <v>13.98</v>
      </c>
      <c r="Y24" s="12">
        <v>5.17</v>
      </c>
      <c r="Z24" s="13"/>
      <c r="AA24" s="12">
        <v>6.57</v>
      </c>
      <c r="AB24" s="13"/>
      <c r="AC24" s="12">
        <v>6.59</v>
      </c>
      <c r="AD24" s="13"/>
      <c r="AG24" s="3">
        <f t="shared" si="0"/>
        <v>6.9741280000000003E-2</v>
      </c>
    </row>
    <row r="25" spans="1:33" x14ac:dyDescent="0.25">
      <c r="A25" s="7">
        <v>1988</v>
      </c>
      <c r="B25" s="8">
        <v>5.32</v>
      </c>
      <c r="C25" s="9"/>
      <c r="D25" s="8">
        <v>6.56</v>
      </c>
      <c r="E25" s="10" t="s">
        <v>30</v>
      </c>
      <c r="F25" s="8">
        <v>21.92</v>
      </c>
      <c r="G25" s="8">
        <v>10.66</v>
      </c>
      <c r="H25" s="9"/>
      <c r="I25" s="8">
        <v>4.51</v>
      </c>
      <c r="J25" s="9"/>
      <c r="K25" s="8">
        <v>4.5199999999999996</v>
      </c>
      <c r="L25" s="10" t="s">
        <v>30</v>
      </c>
      <c r="M25" s="8">
        <v>20.34</v>
      </c>
      <c r="N25" s="8">
        <v>10.82</v>
      </c>
      <c r="O25" s="9"/>
      <c r="P25" s="8">
        <v>1.68</v>
      </c>
      <c r="Q25" s="9"/>
      <c r="R25" s="8">
        <v>2.9</v>
      </c>
      <c r="S25" s="9"/>
      <c r="T25" s="8">
        <v>4.62</v>
      </c>
      <c r="U25" s="9"/>
      <c r="V25" s="8">
        <v>1.65</v>
      </c>
      <c r="W25" s="9"/>
      <c r="X25" s="8">
        <v>13.78</v>
      </c>
      <c r="Y25" s="8">
        <v>5</v>
      </c>
      <c r="Z25" s="9"/>
      <c r="AA25" s="8">
        <v>6.56</v>
      </c>
      <c r="AB25" s="9"/>
      <c r="AC25" s="8">
        <v>6.57</v>
      </c>
      <c r="AD25" s="9"/>
      <c r="AG25" s="3">
        <f t="shared" si="0"/>
        <v>6.9400080000000003E-2</v>
      </c>
    </row>
    <row r="26" spans="1:33" x14ac:dyDescent="0.25">
      <c r="A26" s="7">
        <v>1989</v>
      </c>
      <c r="B26" s="8">
        <v>5.47</v>
      </c>
      <c r="C26" s="9"/>
      <c r="D26" s="8">
        <v>7.52</v>
      </c>
      <c r="E26" s="10" t="s">
        <v>30</v>
      </c>
      <c r="F26" s="8">
        <v>22.41</v>
      </c>
      <c r="G26" s="8">
        <v>11.02</v>
      </c>
      <c r="H26" s="9"/>
      <c r="I26" s="8">
        <v>4.6100000000000003</v>
      </c>
      <c r="J26" s="9"/>
      <c r="K26" s="8">
        <v>5.1100000000000003</v>
      </c>
      <c r="L26" s="10" t="s">
        <v>30</v>
      </c>
      <c r="M26" s="8">
        <v>20.77</v>
      </c>
      <c r="N26" s="8">
        <v>11.26</v>
      </c>
      <c r="O26" s="10" t="s">
        <v>30</v>
      </c>
      <c r="P26" s="8">
        <v>1.68</v>
      </c>
      <c r="Q26" s="9"/>
      <c r="R26" s="8">
        <v>2.93</v>
      </c>
      <c r="S26" s="9"/>
      <c r="T26" s="8">
        <v>4.6900000000000004</v>
      </c>
      <c r="U26" s="9"/>
      <c r="V26" s="8">
        <v>1.2</v>
      </c>
      <c r="W26" s="9"/>
      <c r="X26" s="8">
        <v>13.85</v>
      </c>
      <c r="Y26" s="8">
        <v>4.92</v>
      </c>
      <c r="Z26" s="9"/>
      <c r="AA26" s="8">
        <v>7.17</v>
      </c>
      <c r="AB26" s="9"/>
      <c r="AC26" s="8">
        <v>7.18</v>
      </c>
      <c r="AD26" s="9"/>
      <c r="AG26" s="3">
        <f t="shared" si="0"/>
        <v>7.0867239999999998E-2</v>
      </c>
    </row>
    <row r="27" spans="1:33" x14ac:dyDescent="0.25">
      <c r="A27" s="11">
        <v>1990</v>
      </c>
      <c r="B27" s="12">
        <v>5.63</v>
      </c>
      <c r="C27" s="13"/>
      <c r="D27" s="12">
        <v>8.66</v>
      </c>
      <c r="E27" s="14" t="s">
        <v>30</v>
      </c>
      <c r="F27" s="12">
        <v>22.96</v>
      </c>
      <c r="G27" s="12">
        <v>11.87</v>
      </c>
      <c r="H27" s="14" t="s">
        <v>30</v>
      </c>
      <c r="I27" s="12">
        <v>4.7</v>
      </c>
      <c r="J27" s="13"/>
      <c r="K27" s="12">
        <v>6.07</v>
      </c>
      <c r="L27" s="14" t="s">
        <v>30</v>
      </c>
      <c r="M27" s="12">
        <v>21.2</v>
      </c>
      <c r="N27" s="12">
        <v>11.88</v>
      </c>
      <c r="O27" s="14" t="s">
        <v>30</v>
      </c>
      <c r="P27" s="12">
        <v>1.69</v>
      </c>
      <c r="Q27" s="13"/>
      <c r="R27" s="12">
        <v>2.95</v>
      </c>
      <c r="S27" s="13"/>
      <c r="T27" s="12">
        <v>5.48</v>
      </c>
      <c r="U27" s="13"/>
      <c r="V27" s="12">
        <v>0.99</v>
      </c>
      <c r="W27" s="13"/>
      <c r="X27" s="12">
        <v>13.92</v>
      </c>
      <c r="Y27" s="12">
        <v>5.23</v>
      </c>
      <c r="Z27" s="13"/>
      <c r="AA27" s="12">
        <v>8.27</v>
      </c>
      <c r="AB27" s="13"/>
      <c r="AC27" s="12">
        <v>8.2799999999999994</v>
      </c>
      <c r="AD27" s="13"/>
      <c r="AG27" s="3">
        <f t="shared" si="0"/>
        <v>7.2334399999999993E-2</v>
      </c>
    </row>
    <row r="28" spans="1:33" x14ac:dyDescent="0.25">
      <c r="A28" s="7">
        <v>1991</v>
      </c>
      <c r="B28" s="8">
        <v>5.66</v>
      </c>
      <c r="C28" s="9"/>
      <c r="D28" s="8">
        <v>8.44</v>
      </c>
      <c r="E28" s="10" t="s">
        <v>30</v>
      </c>
      <c r="F28" s="8">
        <v>23.57</v>
      </c>
      <c r="G28" s="8">
        <v>12.08</v>
      </c>
      <c r="H28" s="9"/>
      <c r="I28" s="8">
        <v>4.6900000000000004</v>
      </c>
      <c r="J28" s="9"/>
      <c r="K28" s="8">
        <v>5.63</v>
      </c>
      <c r="L28" s="10" t="s">
        <v>30</v>
      </c>
      <c r="M28" s="8">
        <v>21.73</v>
      </c>
      <c r="N28" s="8">
        <v>12.07</v>
      </c>
      <c r="O28" s="9"/>
      <c r="P28" s="8">
        <v>1.67</v>
      </c>
      <c r="Q28" s="9"/>
      <c r="R28" s="8">
        <v>2.8</v>
      </c>
      <c r="S28" s="9"/>
      <c r="T28" s="8">
        <v>5.31</v>
      </c>
      <c r="U28" s="9"/>
      <c r="V28" s="8">
        <v>1.1399999999999999</v>
      </c>
      <c r="W28" s="9"/>
      <c r="X28" s="8">
        <v>14.18</v>
      </c>
      <c r="Y28" s="8">
        <v>5.18</v>
      </c>
      <c r="Z28" s="9"/>
      <c r="AA28" s="8">
        <v>7.98</v>
      </c>
      <c r="AB28" s="9"/>
      <c r="AC28" s="8">
        <v>7.99</v>
      </c>
      <c r="AD28" s="9"/>
      <c r="AG28" s="3">
        <f t="shared" si="0"/>
        <v>7.4142760000000002E-2</v>
      </c>
    </row>
    <row r="29" spans="1:33" x14ac:dyDescent="0.25">
      <c r="A29" s="7">
        <v>1992</v>
      </c>
      <c r="B29" s="8">
        <v>5.73</v>
      </c>
      <c r="C29" s="9"/>
      <c r="D29" s="8">
        <v>7.76</v>
      </c>
      <c r="E29" s="10" t="s">
        <v>30</v>
      </c>
      <c r="F29" s="8">
        <v>24.06</v>
      </c>
      <c r="G29" s="8">
        <v>11.98</v>
      </c>
      <c r="H29" s="9"/>
      <c r="I29" s="8">
        <v>4.75</v>
      </c>
      <c r="J29" s="9"/>
      <c r="K29" s="8">
        <v>5.4</v>
      </c>
      <c r="L29" s="10" t="s">
        <v>30</v>
      </c>
      <c r="M29" s="8">
        <v>22.15</v>
      </c>
      <c r="N29" s="8">
        <v>12.16</v>
      </c>
      <c r="O29" s="10" t="s">
        <v>30</v>
      </c>
      <c r="P29" s="8">
        <v>1.69</v>
      </c>
      <c r="Q29" s="9"/>
      <c r="R29" s="8">
        <v>2.91</v>
      </c>
      <c r="S29" s="9"/>
      <c r="T29" s="8">
        <v>5</v>
      </c>
      <c r="U29" s="9"/>
      <c r="V29" s="8">
        <v>1.1299999999999999</v>
      </c>
      <c r="W29" s="9"/>
      <c r="X29" s="8">
        <v>14.18</v>
      </c>
      <c r="Y29" s="8">
        <v>5.13</v>
      </c>
      <c r="Z29" s="9"/>
      <c r="AA29" s="8">
        <v>7.91</v>
      </c>
      <c r="AB29" s="9"/>
      <c r="AC29" s="8">
        <v>7.93</v>
      </c>
      <c r="AD29" s="9"/>
      <c r="AG29" s="3">
        <f t="shared" si="0"/>
        <v>7.5575799999999999E-2</v>
      </c>
    </row>
    <row r="30" spans="1:33" x14ac:dyDescent="0.25">
      <c r="A30" s="11">
        <v>1993</v>
      </c>
      <c r="B30" s="12">
        <v>5.99</v>
      </c>
      <c r="C30" s="13"/>
      <c r="D30" s="12">
        <v>7.6</v>
      </c>
      <c r="E30" s="14" t="s">
        <v>30</v>
      </c>
      <c r="F30" s="12">
        <v>24.4</v>
      </c>
      <c r="G30" s="12">
        <v>12.28</v>
      </c>
      <c r="H30" s="13"/>
      <c r="I30" s="12">
        <v>5.08</v>
      </c>
      <c r="J30" s="13"/>
      <c r="K30" s="12">
        <v>5.18</v>
      </c>
      <c r="L30" s="14" t="s">
        <v>30</v>
      </c>
      <c r="M30" s="12">
        <v>22.4</v>
      </c>
      <c r="N30" s="12">
        <v>12.56</v>
      </c>
      <c r="O30" s="14" t="s">
        <v>30</v>
      </c>
      <c r="P30" s="12">
        <v>1.63</v>
      </c>
      <c r="Q30" s="13"/>
      <c r="R30" s="12">
        <v>3.12</v>
      </c>
      <c r="S30" s="13"/>
      <c r="T30" s="12">
        <v>4.92</v>
      </c>
      <c r="U30" s="14" t="s">
        <v>30</v>
      </c>
      <c r="V30" s="12">
        <v>1.1200000000000001</v>
      </c>
      <c r="W30" s="13"/>
      <c r="X30" s="12">
        <v>14.22</v>
      </c>
      <c r="Y30" s="12">
        <v>5.16</v>
      </c>
      <c r="Z30" s="13"/>
      <c r="AA30" s="12">
        <v>7.87</v>
      </c>
      <c r="AB30" s="13"/>
      <c r="AC30" s="12">
        <v>7.88</v>
      </c>
      <c r="AD30" s="13"/>
      <c r="AG30" s="3">
        <f t="shared" si="0"/>
        <v>7.6428799999999991E-2</v>
      </c>
    </row>
    <row r="31" spans="1:33" x14ac:dyDescent="0.25">
      <c r="A31" s="7">
        <v>1994</v>
      </c>
      <c r="B31" s="8">
        <v>6.23</v>
      </c>
      <c r="C31" s="9"/>
      <c r="D31" s="8">
        <v>7.68</v>
      </c>
      <c r="E31" s="10" t="s">
        <v>30</v>
      </c>
      <c r="F31" s="8">
        <v>24.57</v>
      </c>
      <c r="G31" s="8">
        <v>12.62</v>
      </c>
      <c r="H31" s="10" t="s">
        <v>30</v>
      </c>
      <c r="I31" s="8">
        <v>5.35</v>
      </c>
      <c r="J31" s="9"/>
      <c r="K31" s="8">
        <v>5.08</v>
      </c>
      <c r="L31" s="10" t="s">
        <v>30</v>
      </c>
      <c r="M31" s="8">
        <v>22.35</v>
      </c>
      <c r="N31" s="8">
        <v>12.73</v>
      </c>
      <c r="O31" s="10" t="s">
        <v>30</v>
      </c>
      <c r="P31" s="8">
        <v>1.62</v>
      </c>
      <c r="Q31" s="9"/>
      <c r="R31" s="8">
        <v>3.09</v>
      </c>
      <c r="S31" s="9"/>
      <c r="T31" s="8">
        <v>5.04</v>
      </c>
      <c r="U31" s="9"/>
      <c r="V31" s="8">
        <v>1.1499999999999999</v>
      </c>
      <c r="W31" s="9"/>
      <c r="X31" s="8">
        <v>14</v>
      </c>
      <c r="Y31" s="8">
        <v>5.15</v>
      </c>
      <c r="Z31" s="9"/>
      <c r="AA31" s="8">
        <v>7.91</v>
      </c>
      <c r="AB31" s="9"/>
      <c r="AC31" s="8">
        <v>7.92</v>
      </c>
      <c r="AD31" s="9"/>
      <c r="AG31" s="3">
        <f t="shared" si="0"/>
        <v>7.6258200000000012E-2</v>
      </c>
    </row>
    <row r="32" spans="1:33" x14ac:dyDescent="0.25">
      <c r="A32" s="7">
        <v>1995</v>
      </c>
      <c r="B32" s="8">
        <v>5.89</v>
      </c>
      <c r="C32" s="9"/>
      <c r="D32" s="8">
        <v>7.61</v>
      </c>
      <c r="E32" s="10" t="s">
        <v>30</v>
      </c>
      <c r="F32" s="8">
        <v>24.63</v>
      </c>
      <c r="G32" s="8">
        <v>12.62</v>
      </c>
      <c r="H32" s="10" t="s">
        <v>30</v>
      </c>
      <c r="I32" s="8">
        <v>4.9400000000000004</v>
      </c>
      <c r="J32" s="9"/>
      <c r="K32" s="8">
        <v>5.18</v>
      </c>
      <c r="L32" s="10" t="s">
        <v>30</v>
      </c>
      <c r="M32" s="8">
        <v>22.29</v>
      </c>
      <c r="N32" s="8">
        <v>12.63</v>
      </c>
      <c r="O32" s="10" t="s">
        <v>30</v>
      </c>
      <c r="P32" s="8">
        <v>1.63</v>
      </c>
      <c r="Q32" s="9"/>
      <c r="R32" s="8">
        <v>2.8</v>
      </c>
      <c r="S32" s="9"/>
      <c r="T32" s="8">
        <v>5.2</v>
      </c>
      <c r="U32" s="9"/>
      <c r="V32" s="8">
        <v>1.21</v>
      </c>
      <c r="W32" s="9"/>
      <c r="X32" s="8">
        <v>13.68</v>
      </c>
      <c r="Y32" s="8">
        <v>4.97</v>
      </c>
      <c r="Z32" s="9"/>
      <c r="AA32" s="8">
        <v>8.08</v>
      </c>
      <c r="AB32" s="9"/>
      <c r="AC32" s="8">
        <v>8.09</v>
      </c>
      <c r="AD32" s="9"/>
      <c r="AG32" s="3">
        <f t="shared" si="0"/>
        <v>7.6053479999999993E-2</v>
      </c>
    </row>
    <row r="33" spans="1:33" x14ac:dyDescent="0.25">
      <c r="A33" s="11">
        <v>1996</v>
      </c>
      <c r="B33" s="12">
        <v>6.16</v>
      </c>
      <c r="C33" s="13"/>
      <c r="D33" s="12">
        <v>8.7899999999999991</v>
      </c>
      <c r="E33" s="14" t="s">
        <v>30</v>
      </c>
      <c r="F33" s="12">
        <v>24.5</v>
      </c>
      <c r="G33" s="12">
        <v>12.72</v>
      </c>
      <c r="H33" s="14" t="s">
        <v>30</v>
      </c>
      <c r="I33" s="12">
        <v>5.26</v>
      </c>
      <c r="J33" s="13"/>
      <c r="K33" s="12">
        <v>6.23</v>
      </c>
      <c r="L33" s="14" t="s">
        <v>30</v>
      </c>
      <c r="M33" s="12">
        <v>22.17</v>
      </c>
      <c r="N33" s="12">
        <v>12.77</v>
      </c>
      <c r="O33" s="14" t="s">
        <v>30</v>
      </c>
      <c r="P33" s="12">
        <v>1.62</v>
      </c>
      <c r="Q33" s="13"/>
      <c r="R33" s="12">
        <v>3.3</v>
      </c>
      <c r="S33" s="13"/>
      <c r="T33" s="12">
        <v>6.05</v>
      </c>
      <c r="U33" s="14" t="s">
        <v>30</v>
      </c>
      <c r="V33" s="12">
        <v>1.01</v>
      </c>
      <c r="W33" s="13"/>
      <c r="X33" s="12">
        <v>13.49</v>
      </c>
      <c r="Y33" s="12">
        <v>5.4</v>
      </c>
      <c r="Z33" s="13"/>
      <c r="AA33" s="12">
        <v>8.76</v>
      </c>
      <c r="AB33" s="13"/>
      <c r="AC33" s="12">
        <v>8.77</v>
      </c>
      <c r="AD33" s="13"/>
      <c r="AG33" s="3">
        <f t="shared" si="0"/>
        <v>7.564404000000001E-2</v>
      </c>
    </row>
    <row r="34" spans="1:33" x14ac:dyDescent="0.25">
      <c r="A34" s="7">
        <v>1997</v>
      </c>
      <c r="B34" s="8">
        <v>6.75</v>
      </c>
      <c r="C34" s="9"/>
      <c r="D34" s="8">
        <v>8.77</v>
      </c>
      <c r="E34" s="10" t="s">
        <v>30</v>
      </c>
      <c r="F34" s="8">
        <v>24.71</v>
      </c>
      <c r="G34" s="8">
        <v>13.29</v>
      </c>
      <c r="H34" s="9"/>
      <c r="I34" s="8">
        <v>5.67</v>
      </c>
      <c r="J34" s="9"/>
      <c r="K34" s="8">
        <v>6.16</v>
      </c>
      <c r="L34" s="10" t="s">
        <v>30</v>
      </c>
      <c r="M34" s="8">
        <v>22.03</v>
      </c>
      <c r="N34" s="8">
        <v>13.04</v>
      </c>
      <c r="O34" s="10" t="s">
        <v>30</v>
      </c>
      <c r="P34" s="8">
        <v>1.62</v>
      </c>
      <c r="Q34" s="9"/>
      <c r="R34" s="8">
        <v>3.53</v>
      </c>
      <c r="S34" s="9"/>
      <c r="T34" s="8">
        <v>5.69</v>
      </c>
      <c r="U34" s="10" t="s">
        <v>30</v>
      </c>
      <c r="V34" s="8">
        <v>1.01</v>
      </c>
      <c r="W34" s="9"/>
      <c r="X34" s="8">
        <v>13.29</v>
      </c>
      <c r="Y34" s="8">
        <v>5.34</v>
      </c>
      <c r="Z34" s="9"/>
      <c r="AA34" s="8">
        <v>8.69</v>
      </c>
      <c r="AB34" s="9"/>
      <c r="AC34" s="8">
        <v>8.6999999999999993</v>
      </c>
      <c r="AD34" s="9"/>
      <c r="AG34" s="3">
        <f t="shared" si="0"/>
        <v>7.5166360000000002E-2</v>
      </c>
    </row>
    <row r="35" spans="1:33" x14ac:dyDescent="0.25">
      <c r="A35" s="7">
        <v>1998</v>
      </c>
      <c r="B35" s="8">
        <v>6.61</v>
      </c>
      <c r="C35" s="9"/>
      <c r="D35" s="8">
        <v>7.7</v>
      </c>
      <c r="E35" s="10" t="s">
        <v>30</v>
      </c>
      <c r="F35" s="8">
        <v>24.21</v>
      </c>
      <c r="G35" s="8">
        <v>13.47</v>
      </c>
      <c r="H35" s="10" t="s">
        <v>30</v>
      </c>
      <c r="I35" s="8">
        <v>5.38</v>
      </c>
      <c r="J35" s="9"/>
      <c r="K35" s="8">
        <v>5.14</v>
      </c>
      <c r="L35" s="10" t="s">
        <v>30</v>
      </c>
      <c r="M35" s="8">
        <v>21.48</v>
      </c>
      <c r="N35" s="8">
        <v>13.06</v>
      </c>
      <c r="O35" s="10" t="s">
        <v>30</v>
      </c>
      <c r="P35" s="8">
        <v>1.58</v>
      </c>
      <c r="Q35" s="9"/>
      <c r="R35" s="8">
        <v>3.16</v>
      </c>
      <c r="S35" s="9"/>
      <c r="T35" s="8">
        <v>4.53</v>
      </c>
      <c r="U35" s="10" t="s">
        <v>30</v>
      </c>
      <c r="V35" s="8">
        <v>1.24</v>
      </c>
      <c r="W35" s="9"/>
      <c r="X35" s="8">
        <v>13.13</v>
      </c>
      <c r="Y35" s="8">
        <v>4.91</v>
      </c>
      <c r="Z35" s="9"/>
      <c r="AA35" s="8">
        <v>7.47</v>
      </c>
      <c r="AB35" s="9"/>
      <c r="AC35" s="8">
        <v>7.48</v>
      </c>
      <c r="AD35" s="9"/>
      <c r="AG35" s="3">
        <f t="shared" si="0"/>
        <v>7.3289759999999995E-2</v>
      </c>
    </row>
    <row r="36" spans="1:33" x14ac:dyDescent="0.25">
      <c r="A36" s="11">
        <v>1999</v>
      </c>
      <c r="B36" s="12">
        <v>6.5</v>
      </c>
      <c r="C36" s="13"/>
      <c r="D36" s="12">
        <v>7.94</v>
      </c>
      <c r="E36" s="14" t="s">
        <v>30</v>
      </c>
      <c r="F36" s="12">
        <v>23.93</v>
      </c>
      <c r="G36" s="12">
        <v>13.18</v>
      </c>
      <c r="H36" s="14" t="s">
        <v>30</v>
      </c>
      <c r="I36" s="12">
        <v>5.22</v>
      </c>
      <c r="J36" s="13"/>
      <c r="K36" s="12">
        <v>5.62</v>
      </c>
      <c r="L36" s="14" t="s">
        <v>30</v>
      </c>
      <c r="M36" s="12">
        <v>21.01</v>
      </c>
      <c r="N36" s="12">
        <v>12.86</v>
      </c>
      <c r="O36" s="14" t="s">
        <v>30</v>
      </c>
      <c r="P36" s="12">
        <v>1.58</v>
      </c>
      <c r="Q36" s="13"/>
      <c r="R36" s="12">
        <v>3.21</v>
      </c>
      <c r="S36" s="13"/>
      <c r="T36" s="12">
        <v>5.08</v>
      </c>
      <c r="U36" s="14" t="s">
        <v>30</v>
      </c>
      <c r="V36" s="12">
        <v>1.38</v>
      </c>
      <c r="W36" s="13"/>
      <c r="X36" s="12">
        <v>12.98</v>
      </c>
      <c r="Y36" s="12">
        <v>5.12</v>
      </c>
      <c r="Z36" s="13"/>
      <c r="AA36" s="12">
        <v>8.23</v>
      </c>
      <c r="AB36" s="13"/>
      <c r="AC36" s="12">
        <v>8.23</v>
      </c>
      <c r="AD36" s="13"/>
      <c r="AG36" s="3">
        <f t="shared" si="0"/>
        <v>7.1686120000000006E-2</v>
      </c>
    </row>
    <row r="37" spans="1:33" x14ac:dyDescent="0.25">
      <c r="A37" s="7">
        <v>2000</v>
      </c>
      <c r="B37" s="8">
        <v>7.64</v>
      </c>
      <c r="C37" s="9"/>
      <c r="D37" s="8">
        <v>11.36</v>
      </c>
      <c r="E37" s="10" t="s">
        <v>30</v>
      </c>
      <c r="F37" s="8">
        <v>24.14</v>
      </c>
      <c r="G37" s="8">
        <v>14.26</v>
      </c>
      <c r="H37" s="10" t="s">
        <v>30</v>
      </c>
      <c r="I37" s="8">
        <v>6.56</v>
      </c>
      <c r="J37" s="9"/>
      <c r="K37" s="8">
        <v>8.36</v>
      </c>
      <c r="L37" s="10" t="s">
        <v>30</v>
      </c>
      <c r="M37" s="8">
        <v>21.52</v>
      </c>
      <c r="N37" s="8">
        <v>13.92</v>
      </c>
      <c r="O37" s="10" t="s">
        <v>30</v>
      </c>
      <c r="P37" s="8">
        <v>1.55</v>
      </c>
      <c r="Q37" s="9"/>
      <c r="R37" s="8">
        <v>4.6100000000000003</v>
      </c>
      <c r="S37" s="9"/>
      <c r="T37" s="8">
        <v>7.3</v>
      </c>
      <c r="U37" s="10" t="s">
        <v>30</v>
      </c>
      <c r="V37" s="8">
        <v>1.43</v>
      </c>
      <c r="W37" s="9"/>
      <c r="X37" s="8">
        <v>13.6</v>
      </c>
      <c r="Y37" s="8">
        <v>6.42</v>
      </c>
      <c r="Z37" s="10" t="s">
        <v>30</v>
      </c>
      <c r="AA37" s="8">
        <v>10.71</v>
      </c>
      <c r="AB37" s="10" t="s">
        <v>30</v>
      </c>
      <c r="AC37" s="8">
        <v>10.72</v>
      </c>
      <c r="AD37" s="10" t="s">
        <v>30</v>
      </c>
      <c r="AG37" s="3">
        <f t="shared" si="0"/>
        <v>7.3426240000000004E-2</v>
      </c>
    </row>
    <row r="38" spans="1:33" x14ac:dyDescent="0.25">
      <c r="A38" s="7">
        <v>2001</v>
      </c>
      <c r="B38" s="8">
        <v>9.42</v>
      </c>
      <c r="C38" s="9"/>
      <c r="D38" s="8">
        <v>11.46</v>
      </c>
      <c r="E38" s="10" t="s">
        <v>30</v>
      </c>
      <c r="F38" s="8">
        <v>25.16</v>
      </c>
      <c r="G38" s="8">
        <v>15.67</v>
      </c>
      <c r="H38" s="10" t="s">
        <v>30</v>
      </c>
      <c r="I38" s="8">
        <v>8.32</v>
      </c>
      <c r="J38" s="9"/>
      <c r="K38" s="8">
        <v>7.96</v>
      </c>
      <c r="L38" s="10" t="s">
        <v>30</v>
      </c>
      <c r="M38" s="8">
        <v>22.99</v>
      </c>
      <c r="N38" s="8">
        <v>15.56</v>
      </c>
      <c r="O38" s="9"/>
      <c r="P38" s="8">
        <v>1.63</v>
      </c>
      <c r="Q38" s="9"/>
      <c r="R38" s="8">
        <v>5.71</v>
      </c>
      <c r="S38" s="9"/>
      <c r="T38" s="8">
        <v>6.77</v>
      </c>
      <c r="U38" s="10" t="s">
        <v>30</v>
      </c>
      <c r="V38" s="8">
        <v>1.95</v>
      </c>
      <c r="W38" s="9"/>
      <c r="X38" s="8">
        <v>14.78</v>
      </c>
      <c r="Y38" s="8">
        <v>6.88</v>
      </c>
      <c r="Z38" s="10" t="s">
        <v>30</v>
      </c>
      <c r="AA38" s="8">
        <v>10.199999999999999</v>
      </c>
      <c r="AB38" s="10" t="s">
        <v>30</v>
      </c>
      <c r="AC38" s="8">
        <v>10.210000000000001</v>
      </c>
      <c r="AD38" s="9"/>
      <c r="AG38" s="3">
        <f t="shared" si="0"/>
        <v>7.8441879999999992E-2</v>
      </c>
    </row>
    <row r="39" spans="1:33" x14ac:dyDescent="0.25">
      <c r="A39" s="11">
        <v>2002</v>
      </c>
      <c r="B39" s="12">
        <v>7.69</v>
      </c>
      <c r="C39" s="14" t="s">
        <v>30</v>
      </c>
      <c r="D39" s="12">
        <v>10.199999999999999</v>
      </c>
      <c r="E39" s="14" t="s">
        <v>30</v>
      </c>
      <c r="F39" s="12">
        <v>24.75</v>
      </c>
      <c r="G39" s="12">
        <v>14.69</v>
      </c>
      <c r="H39" s="14" t="s">
        <v>30</v>
      </c>
      <c r="I39" s="12">
        <v>6.49</v>
      </c>
      <c r="J39" s="13"/>
      <c r="K39" s="12">
        <v>7.23</v>
      </c>
      <c r="L39" s="14" t="s">
        <v>30</v>
      </c>
      <c r="M39" s="12">
        <v>22.81</v>
      </c>
      <c r="N39" s="12">
        <v>14.67</v>
      </c>
      <c r="O39" s="14" t="s">
        <v>30</v>
      </c>
      <c r="P39" s="12">
        <v>1.75</v>
      </c>
      <c r="Q39" s="13"/>
      <c r="R39" s="12">
        <v>4.47</v>
      </c>
      <c r="S39" s="14" t="s">
        <v>30</v>
      </c>
      <c r="T39" s="12">
        <v>6.46</v>
      </c>
      <c r="U39" s="14" t="s">
        <v>30</v>
      </c>
      <c r="V39" s="12">
        <v>2.11</v>
      </c>
      <c r="W39" s="13"/>
      <c r="X39" s="12">
        <v>14.3</v>
      </c>
      <c r="Y39" s="12">
        <v>6.3</v>
      </c>
      <c r="Z39" s="14" t="s">
        <v>30</v>
      </c>
      <c r="AA39" s="12">
        <v>9.64</v>
      </c>
      <c r="AB39" s="14" t="s">
        <v>30</v>
      </c>
      <c r="AC39" s="12">
        <v>9.65</v>
      </c>
      <c r="AD39" s="14" t="s">
        <v>30</v>
      </c>
      <c r="AG39" s="3">
        <f t="shared" si="0"/>
        <v>7.7827720000000003E-2</v>
      </c>
    </row>
    <row r="40" spans="1:33" x14ac:dyDescent="0.25">
      <c r="A40" s="7">
        <v>2003</v>
      </c>
      <c r="B40" s="8">
        <v>9.24</v>
      </c>
      <c r="C40" s="10" t="s">
        <v>30</v>
      </c>
      <c r="D40" s="8">
        <v>12.09</v>
      </c>
      <c r="E40" s="10" t="s">
        <v>30</v>
      </c>
      <c r="F40" s="8">
        <v>25.56</v>
      </c>
      <c r="G40" s="8">
        <v>15.85</v>
      </c>
      <c r="H40" s="9"/>
      <c r="I40" s="8">
        <v>8.07</v>
      </c>
      <c r="J40" s="10" t="s">
        <v>30</v>
      </c>
      <c r="K40" s="8">
        <v>8.7100000000000009</v>
      </c>
      <c r="L40" s="10" t="s">
        <v>30</v>
      </c>
      <c r="M40" s="8">
        <v>23.54</v>
      </c>
      <c r="N40" s="8">
        <v>15.64</v>
      </c>
      <c r="O40" s="10" t="s">
        <v>30</v>
      </c>
      <c r="P40" s="8">
        <v>1.74</v>
      </c>
      <c r="Q40" s="9"/>
      <c r="R40" s="8">
        <v>6.2</v>
      </c>
      <c r="S40" s="10" t="s">
        <v>30</v>
      </c>
      <c r="T40" s="8">
        <v>7.81</v>
      </c>
      <c r="U40" s="10" t="s">
        <v>30</v>
      </c>
      <c r="V40" s="8">
        <v>1.62</v>
      </c>
      <c r="W40" s="9"/>
      <c r="X40" s="8">
        <v>14.97</v>
      </c>
      <c r="Y40" s="8">
        <v>7.48</v>
      </c>
      <c r="Z40" s="10" t="s">
        <v>30</v>
      </c>
      <c r="AA40" s="8">
        <v>11.2</v>
      </c>
      <c r="AB40" s="9"/>
      <c r="AC40" s="8">
        <v>11.21</v>
      </c>
      <c r="AD40" s="9"/>
      <c r="AG40" s="3">
        <f t="shared" si="0"/>
        <v>8.0318479999999998E-2</v>
      </c>
    </row>
    <row r="41" spans="1:33" x14ac:dyDescent="0.25">
      <c r="A41" s="7">
        <v>2004</v>
      </c>
      <c r="B41" s="8">
        <v>10.47</v>
      </c>
      <c r="C41" s="10" t="s">
        <v>30</v>
      </c>
      <c r="D41" s="8">
        <v>13.59</v>
      </c>
      <c r="E41" s="10" t="s">
        <v>30</v>
      </c>
      <c r="F41" s="8">
        <v>26.22</v>
      </c>
      <c r="G41" s="8">
        <v>17.059999999999999</v>
      </c>
      <c r="H41" s="10" t="s">
        <v>30</v>
      </c>
      <c r="I41" s="8">
        <v>9.19</v>
      </c>
      <c r="J41" s="10" t="s">
        <v>30</v>
      </c>
      <c r="K41" s="8">
        <v>10.27</v>
      </c>
      <c r="L41" s="10" t="s">
        <v>30</v>
      </c>
      <c r="M41" s="8">
        <v>23.95</v>
      </c>
      <c r="N41" s="8">
        <v>16.57</v>
      </c>
      <c r="O41" s="10" t="s">
        <v>30</v>
      </c>
      <c r="P41" s="8">
        <v>1.99</v>
      </c>
      <c r="Q41" s="9"/>
      <c r="R41" s="8">
        <v>7.02</v>
      </c>
      <c r="S41" s="10" t="s">
        <v>30</v>
      </c>
      <c r="T41" s="8">
        <v>9.36</v>
      </c>
      <c r="U41" s="10" t="s">
        <v>30</v>
      </c>
      <c r="V41" s="8">
        <v>1.79</v>
      </c>
      <c r="W41" s="9"/>
      <c r="X41" s="8">
        <v>15.38</v>
      </c>
      <c r="Y41" s="8">
        <v>8.4499999999999993</v>
      </c>
      <c r="Z41" s="10" t="s">
        <v>30</v>
      </c>
      <c r="AA41" s="8">
        <v>13.43</v>
      </c>
      <c r="AB41" s="10" t="s">
        <v>30</v>
      </c>
      <c r="AC41" s="8">
        <v>13.43</v>
      </c>
      <c r="AD41" s="10" t="s">
        <v>30</v>
      </c>
      <c r="AG41" s="3">
        <f t="shared" si="0"/>
        <v>8.1717399999999996E-2</v>
      </c>
    </row>
    <row r="42" spans="1:33" x14ac:dyDescent="0.25">
      <c r="A42" s="11">
        <v>2005</v>
      </c>
      <c r="B42" s="12">
        <v>12.34</v>
      </c>
      <c r="C42" s="13"/>
      <c r="D42" s="12">
        <v>17.100000000000001</v>
      </c>
      <c r="E42" s="14" t="s">
        <v>30</v>
      </c>
      <c r="F42" s="12">
        <v>27.68</v>
      </c>
      <c r="G42" s="12">
        <v>19.2</v>
      </c>
      <c r="H42" s="14" t="s">
        <v>30</v>
      </c>
      <c r="I42" s="12">
        <v>10.98</v>
      </c>
      <c r="J42" s="14" t="s">
        <v>30</v>
      </c>
      <c r="K42" s="12">
        <v>13.68</v>
      </c>
      <c r="L42" s="14" t="s">
        <v>30</v>
      </c>
      <c r="M42" s="12">
        <v>25.4</v>
      </c>
      <c r="N42" s="12">
        <v>18.61</v>
      </c>
      <c r="O42" s="14" t="s">
        <v>30</v>
      </c>
      <c r="P42" s="12">
        <v>2.56</v>
      </c>
      <c r="Q42" s="13"/>
      <c r="R42" s="12">
        <v>9.08</v>
      </c>
      <c r="S42" s="14" t="s">
        <v>30</v>
      </c>
      <c r="T42" s="12">
        <v>11.93</v>
      </c>
      <c r="U42" s="14" t="s">
        <v>30</v>
      </c>
      <c r="V42" s="12">
        <v>2.73</v>
      </c>
      <c r="W42" s="13"/>
      <c r="X42" s="12">
        <v>16.77</v>
      </c>
      <c r="Y42" s="12">
        <v>10.39</v>
      </c>
      <c r="Z42" s="14" t="s">
        <v>30</v>
      </c>
      <c r="AA42" s="12">
        <v>16.89</v>
      </c>
      <c r="AB42" s="14" t="s">
        <v>30</v>
      </c>
      <c r="AC42" s="12">
        <v>16.89</v>
      </c>
      <c r="AD42" s="14" t="s">
        <v>30</v>
      </c>
      <c r="AG42" s="3">
        <f t="shared" si="0"/>
        <v>8.66648E-2</v>
      </c>
    </row>
    <row r="43" spans="1:33" x14ac:dyDescent="0.25">
      <c r="A43" s="7">
        <v>2006</v>
      </c>
      <c r="B43" s="8">
        <v>13.35</v>
      </c>
      <c r="C43" s="10" t="s">
        <v>30</v>
      </c>
      <c r="D43" s="8">
        <v>19.66</v>
      </c>
      <c r="E43" s="10" t="s">
        <v>30</v>
      </c>
      <c r="F43" s="8">
        <v>30.49</v>
      </c>
      <c r="G43" s="8">
        <v>21.54</v>
      </c>
      <c r="H43" s="10" t="s">
        <v>30</v>
      </c>
      <c r="I43" s="8">
        <v>11.6</v>
      </c>
      <c r="J43" s="10" t="s">
        <v>30</v>
      </c>
      <c r="K43" s="8">
        <v>16.09</v>
      </c>
      <c r="L43" s="10" t="s">
        <v>30</v>
      </c>
      <c r="M43" s="8">
        <v>27.72</v>
      </c>
      <c r="N43" s="8">
        <v>20.65</v>
      </c>
      <c r="O43" s="10" t="s">
        <v>30</v>
      </c>
      <c r="P43" s="8">
        <v>2.83</v>
      </c>
      <c r="Q43" s="9"/>
      <c r="R43" s="8">
        <v>8.76</v>
      </c>
      <c r="S43" s="10" t="s">
        <v>30</v>
      </c>
      <c r="T43" s="8">
        <v>14.25</v>
      </c>
      <c r="U43" s="10" t="s">
        <v>30</v>
      </c>
      <c r="V43" s="8">
        <v>2.66</v>
      </c>
      <c r="W43" s="10" t="s">
        <v>30</v>
      </c>
      <c r="X43" s="8">
        <v>18.02</v>
      </c>
      <c r="Y43" s="8">
        <v>11.37</v>
      </c>
      <c r="Z43" s="10" t="s">
        <v>30</v>
      </c>
      <c r="AA43" s="8">
        <v>19.13</v>
      </c>
      <c r="AB43" s="10" t="s">
        <v>30</v>
      </c>
      <c r="AC43" s="8">
        <v>19.13</v>
      </c>
      <c r="AD43" s="10" t="s">
        <v>30</v>
      </c>
      <c r="AG43" s="3">
        <f t="shared" si="0"/>
        <v>9.4580639999999994E-2</v>
      </c>
    </row>
    <row r="44" spans="1:33" x14ac:dyDescent="0.25">
      <c r="A44" s="7">
        <v>2007</v>
      </c>
      <c r="B44" s="8">
        <v>12.72</v>
      </c>
      <c r="C44" s="10" t="s">
        <v>30</v>
      </c>
      <c r="D44" s="8">
        <v>21.65</v>
      </c>
      <c r="E44" s="10" t="s">
        <v>30</v>
      </c>
      <c r="F44" s="8">
        <v>31.22</v>
      </c>
      <c r="G44" s="8">
        <v>21.62</v>
      </c>
      <c r="H44" s="10" t="s">
        <v>30</v>
      </c>
      <c r="I44" s="8">
        <v>10.98</v>
      </c>
      <c r="J44" s="10" t="s">
        <v>30</v>
      </c>
      <c r="K44" s="8">
        <v>17.73</v>
      </c>
      <c r="L44" s="10" t="s">
        <v>30</v>
      </c>
      <c r="M44" s="8">
        <v>28.27</v>
      </c>
      <c r="N44" s="8">
        <v>20.75</v>
      </c>
      <c r="O44" s="10" t="s">
        <v>30</v>
      </c>
      <c r="P44" s="8">
        <v>2.92</v>
      </c>
      <c r="Q44" s="10" t="s">
        <v>30</v>
      </c>
      <c r="R44" s="8">
        <v>8.2799999999999994</v>
      </c>
      <c r="S44" s="9"/>
      <c r="T44" s="8">
        <v>15.82</v>
      </c>
      <c r="U44" s="10" t="s">
        <v>30</v>
      </c>
      <c r="V44" s="8">
        <v>2.5299999999999998</v>
      </c>
      <c r="W44" s="10" t="s">
        <v>30</v>
      </c>
      <c r="X44" s="8">
        <v>18.71</v>
      </c>
      <c r="Y44" s="8">
        <v>11.92</v>
      </c>
      <c r="Z44" s="10" t="s">
        <v>30</v>
      </c>
      <c r="AA44" s="8">
        <v>20.61</v>
      </c>
      <c r="AB44" s="10" t="s">
        <v>30</v>
      </c>
      <c r="AC44" s="8">
        <v>20.61</v>
      </c>
      <c r="AD44" s="10" t="s">
        <v>30</v>
      </c>
      <c r="AG44" s="3">
        <f t="shared" si="0"/>
        <v>9.645724E-2</v>
      </c>
    </row>
    <row r="45" spans="1:33" x14ac:dyDescent="0.25">
      <c r="A45" s="11">
        <v>2008</v>
      </c>
      <c r="B45" s="12">
        <v>13.52</v>
      </c>
      <c r="C45" s="13"/>
      <c r="D45" s="12">
        <v>26.53</v>
      </c>
      <c r="E45" s="13"/>
      <c r="F45" s="12">
        <v>33.01</v>
      </c>
      <c r="G45" s="12">
        <v>23.13</v>
      </c>
      <c r="H45" s="13"/>
      <c r="I45" s="12">
        <v>11.89</v>
      </c>
      <c r="J45" s="13"/>
      <c r="K45" s="12">
        <v>23.31</v>
      </c>
      <c r="L45" s="13"/>
      <c r="M45" s="12">
        <v>30.38</v>
      </c>
      <c r="N45" s="12">
        <v>22.47</v>
      </c>
      <c r="O45" s="13"/>
      <c r="P45" s="12">
        <v>3.51</v>
      </c>
      <c r="Q45" s="13"/>
      <c r="R45" s="12">
        <v>10.06</v>
      </c>
      <c r="S45" s="13"/>
      <c r="T45" s="12">
        <v>20.350000000000001</v>
      </c>
      <c r="U45" s="13"/>
      <c r="V45" s="12">
        <v>2.85</v>
      </c>
      <c r="W45" s="13"/>
      <c r="X45" s="12">
        <v>19.96</v>
      </c>
      <c r="Y45" s="12">
        <v>14.29</v>
      </c>
      <c r="Z45" s="13"/>
      <c r="AA45" s="12">
        <v>25.24</v>
      </c>
      <c r="AB45" s="13"/>
      <c r="AC45" s="12">
        <v>25.23</v>
      </c>
      <c r="AD45" s="13"/>
      <c r="AG45" s="3">
        <f t="shared" si="0"/>
        <v>0.10365655999999999</v>
      </c>
    </row>
    <row r="46" spans="1:33" x14ac:dyDescent="0.25">
      <c r="A46" s="7">
        <v>2009</v>
      </c>
      <c r="B46" s="8">
        <v>11.81</v>
      </c>
      <c r="C46" s="9"/>
      <c r="D46" s="8">
        <v>21.49</v>
      </c>
      <c r="E46" s="9"/>
      <c r="F46" s="8">
        <v>33.72</v>
      </c>
      <c r="G46" s="8">
        <v>22.13</v>
      </c>
      <c r="H46" s="9"/>
      <c r="I46" s="8">
        <v>9.69</v>
      </c>
      <c r="J46" s="9"/>
      <c r="K46" s="8">
        <v>15.68</v>
      </c>
      <c r="L46" s="9"/>
      <c r="M46" s="8">
        <v>29.81</v>
      </c>
      <c r="N46" s="8">
        <v>20.69</v>
      </c>
      <c r="O46" s="9"/>
      <c r="P46" s="8">
        <v>3.87</v>
      </c>
      <c r="Q46" s="9"/>
      <c r="R46" s="8">
        <v>6.48</v>
      </c>
      <c r="S46" s="9"/>
      <c r="T46" s="8">
        <v>13.75</v>
      </c>
      <c r="U46" s="9"/>
      <c r="V46" s="8">
        <v>2.64</v>
      </c>
      <c r="W46" s="9"/>
      <c r="X46" s="8">
        <v>20</v>
      </c>
      <c r="Y46" s="8">
        <v>11.04</v>
      </c>
      <c r="Z46" s="9"/>
      <c r="AA46" s="8">
        <v>17.54</v>
      </c>
      <c r="AB46" s="9"/>
      <c r="AC46" s="8">
        <v>17.54</v>
      </c>
      <c r="AD46" s="9"/>
      <c r="AG46" s="3">
        <f t="shared" si="0"/>
        <v>0.10171171999999999</v>
      </c>
    </row>
    <row r="47" spans="1:33" x14ac:dyDescent="0.25">
      <c r="A47" s="7">
        <v>2010</v>
      </c>
      <c r="B47" s="15">
        <f>11.39/12.14*B46</f>
        <v>11.080387149917629</v>
      </c>
      <c r="C47" s="9"/>
      <c r="D47" s="15">
        <f>2.798/2.386*D46</f>
        <v>25.200762782900249</v>
      </c>
      <c r="E47" s="9"/>
      <c r="F47" s="8">
        <v>33.72</v>
      </c>
      <c r="G47" s="15"/>
      <c r="H47" s="9"/>
      <c r="I47" s="15">
        <f>9.47/10.06*I46</f>
        <v>9.1216998011928414</v>
      </c>
      <c r="J47" s="9"/>
      <c r="K47" s="15">
        <f>2.798/2.386*K46</f>
        <v>18.387527242246435</v>
      </c>
      <c r="L47" s="9"/>
      <c r="M47" s="8">
        <v>29.81</v>
      </c>
      <c r="N47" s="8">
        <v>20.69</v>
      </c>
      <c r="O47" s="9"/>
      <c r="P47" s="8">
        <v>3.87</v>
      </c>
      <c r="Q47" s="9"/>
      <c r="R47" s="8">
        <v>6.48</v>
      </c>
      <c r="S47" s="9"/>
      <c r="T47" s="8">
        <v>13.75</v>
      </c>
      <c r="U47" s="9"/>
      <c r="V47" s="8">
        <v>2.64</v>
      </c>
      <c r="W47" s="9"/>
      <c r="X47" s="8">
        <v>20</v>
      </c>
      <c r="Y47" s="8">
        <v>11.04</v>
      </c>
      <c r="Z47" s="9"/>
      <c r="AA47" s="8">
        <v>17.54</v>
      </c>
      <c r="AB47" s="9"/>
      <c r="AC47" s="8">
        <v>17.54</v>
      </c>
      <c r="AD47" s="9"/>
    </row>
    <row r="48" spans="1:33" x14ac:dyDescent="0.25">
      <c r="A48" s="7">
        <v>2011</v>
      </c>
      <c r="B48" s="8"/>
      <c r="C48" s="9"/>
      <c r="D48" s="8"/>
      <c r="E48" s="9"/>
      <c r="F48" s="8"/>
      <c r="G48" s="8"/>
      <c r="H48" s="9"/>
      <c r="I48" s="15">
        <f>(8.91/9.47)*I47</f>
        <v>8.5822962226640129</v>
      </c>
      <c r="J48" s="9"/>
      <c r="K48" s="8"/>
      <c r="L48" s="9"/>
      <c r="M48" s="8"/>
      <c r="N48" s="8"/>
      <c r="O48" s="9"/>
      <c r="P48" s="8"/>
      <c r="Q48" s="9"/>
      <c r="R48" s="8"/>
      <c r="S48" s="9"/>
      <c r="T48" s="8"/>
      <c r="U48" s="9"/>
      <c r="V48" s="8"/>
      <c r="W48" s="9"/>
      <c r="X48" s="8"/>
      <c r="Y48" s="8"/>
      <c r="Z48" s="9"/>
      <c r="AA48" s="8"/>
      <c r="AB48" s="9"/>
      <c r="AC48" s="8"/>
      <c r="AD48" s="9"/>
    </row>
    <row r="49" spans="1:33" x14ac:dyDescent="0.25">
      <c r="A49" s="7">
        <v>2012</v>
      </c>
      <c r="B49" s="8"/>
      <c r="C49" s="9"/>
      <c r="D49" s="8"/>
      <c r="E49" s="9"/>
      <c r="F49" s="8"/>
      <c r="G49" s="8"/>
      <c r="H49" s="9"/>
      <c r="I49" s="15">
        <f>(8.1/8.91)*I48</f>
        <v>7.8020874751491025</v>
      </c>
      <c r="J49" s="9"/>
      <c r="K49" s="8"/>
      <c r="L49" s="9"/>
      <c r="M49" s="8"/>
      <c r="N49" s="8"/>
      <c r="O49" s="9"/>
      <c r="P49" s="8"/>
      <c r="Q49" s="9"/>
      <c r="R49" s="8"/>
      <c r="S49" s="9"/>
      <c r="T49" s="8"/>
      <c r="U49" s="9"/>
      <c r="V49" s="8"/>
      <c r="W49" s="9"/>
      <c r="X49" s="8"/>
      <c r="Y49" s="8"/>
      <c r="Z49" s="9"/>
      <c r="AA49" s="8"/>
      <c r="AB49" s="9"/>
      <c r="AC49" s="8"/>
      <c r="AD49" s="9"/>
    </row>
    <row r="50" spans="1:33" x14ac:dyDescent="0.25">
      <c r="A50" s="7">
        <v>2013</v>
      </c>
      <c r="B50" s="8"/>
      <c r="C50" s="9"/>
      <c r="D50" s="8"/>
      <c r="E50" s="9"/>
      <c r="F50" s="8"/>
      <c r="G50" s="8"/>
      <c r="H50" s="9"/>
      <c r="I50" s="15">
        <f>(8.08/8.1)*I49</f>
        <v>7.7828230616302161</v>
      </c>
      <c r="J50" s="9"/>
      <c r="K50" s="8"/>
      <c r="L50" s="9"/>
      <c r="M50" s="8"/>
      <c r="N50" s="8"/>
      <c r="O50" s="9"/>
      <c r="P50" s="8"/>
      <c r="Q50" s="9"/>
      <c r="R50" s="8"/>
      <c r="S50" s="9"/>
      <c r="T50" s="8"/>
      <c r="U50" s="9"/>
      <c r="V50" s="8"/>
      <c r="W50" s="9"/>
      <c r="X50" s="8"/>
      <c r="Y50" s="8"/>
      <c r="Z50" s="9"/>
      <c r="AA50" s="8"/>
      <c r="AB50" s="9"/>
      <c r="AC50" s="8"/>
      <c r="AD50" s="9"/>
    </row>
    <row r="51" spans="1:33" x14ac:dyDescent="0.25">
      <c r="A51" s="7">
        <v>2014</v>
      </c>
      <c r="B51" s="8"/>
      <c r="C51" s="9"/>
      <c r="D51" s="8"/>
      <c r="E51" s="9"/>
      <c r="F51" s="8"/>
      <c r="G51" s="8"/>
      <c r="H51" s="9"/>
      <c r="I51" s="15">
        <f>(8.9/8.08)*I50</f>
        <v>8.5726640159045697</v>
      </c>
      <c r="J51" s="9"/>
      <c r="K51" s="8"/>
      <c r="L51" s="9"/>
      <c r="M51" s="8"/>
      <c r="N51" s="8"/>
      <c r="O51" s="9"/>
      <c r="P51" s="8"/>
      <c r="Q51" s="9"/>
      <c r="R51" s="8"/>
      <c r="S51" s="9"/>
      <c r="T51" s="8"/>
      <c r="U51" s="9"/>
      <c r="V51" s="8"/>
      <c r="W51" s="9"/>
      <c r="X51" s="8"/>
      <c r="Y51" s="8"/>
      <c r="Z51" s="9"/>
      <c r="AA51" s="8"/>
      <c r="AB51" s="9"/>
      <c r="AC51" s="8"/>
      <c r="AD51" s="9"/>
    </row>
    <row r="52" spans="1:33" x14ac:dyDescent="0.25">
      <c r="A52" s="7">
        <v>2015</v>
      </c>
      <c r="B52" s="8"/>
      <c r="C52" s="9"/>
      <c r="D52" s="8"/>
      <c r="E52" s="9"/>
      <c r="F52" s="8"/>
      <c r="G52" s="8"/>
      <c r="H52" s="9"/>
      <c r="I52" s="15">
        <f>(7.91/8.9)*I51</f>
        <v>7.6190755467196789</v>
      </c>
      <c r="J52" s="9"/>
      <c r="K52" s="8"/>
      <c r="L52" s="9"/>
      <c r="M52" s="8"/>
      <c r="N52" s="8"/>
      <c r="O52" s="9"/>
      <c r="P52" s="8"/>
      <c r="Q52" s="9"/>
      <c r="R52" s="8"/>
      <c r="S52" s="9"/>
      <c r="T52" s="8"/>
      <c r="U52" s="9"/>
      <c r="V52" s="8"/>
      <c r="W52" s="9"/>
      <c r="X52" s="8"/>
      <c r="Y52" s="8"/>
      <c r="Z52" s="9"/>
      <c r="AA52" s="8"/>
      <c r="AB52" s="9"/>
      <c r="AC52" s="8"/>
      <c r="AD52" s="9"/>
    </row>
    <row r="53" spans="1:33" x14ac:dyDescent="0.25">
      <c r="A53" s="7">
        <v>2016</v>
      </c>
      <c r="B53" s="8"/>
      <c r="C53" s="9"/>
      <c r="D53" s="8"/>
      <c r="E53" s="9"/>
      <c r="F53" s="8"/>
      <c r="G53" s="8"/>
      <c r="H53" s="9"/>
      <c r="I53" s="15">
        <f>(7.28/7.91)*I52</f>
        <v>7.0122465208747489</v>
      </c>
      <c r="J53" s="9"/>
      <c r="K53" s="8"/>
      <c r="L53" s="9"/>
      <c r="M53" s="8"/>
      <c r="N53" s="8"/>
      <c r="O53" s="9"/>
      <c r="P53" s="8"/>
      <c r="Q53" s="9"/>
      <c r="R53" s="8"/>
      <c r="S53" s="9"/>
      <c r="T53" s="8"/>
      <c r="U53" s="9"/>
      <c r="V53" s="8"/>
      <c r="W53" s="9"/>
      <c r="X53" s="8"/>
      <c r="Y53" s="8"/>
      <c r="Z53" s="9"/>
      <c r="AA53" s="8"/>
      <c r="AB53" s="9"/>
      <c r="AC53" s="8"/>
      <c r="AD53" s="9"/>
    </row>
    <row r="54" spans="1:33" x14ac:dyDescent="0.25">
      <c r="A54" s="7">
        <v>2017</v>
      </c>
      <c r="B54" s="8"/>
      <c r="C54" s="9"/>
      <c r="D54" s="8"/>
      <c r="E54" s="9"/>
      <c r="F54" s="8"/>
      <c r="G54" s="8"/>
      <c r="H54" s="9"/>
      <c r="I54" s="15">
        <f>(7.88/7.28)*I53</f>
        <v>7.5901789264413484</v>
      </c>
      <c r="J54" s="9"/>
      <c r="K54" s="8"/>
      <c r="L54" s="9"/>
      <c r="M54" s="8"/>
      <c r="N54" s="8"/>
      <c r="O54" s="9"/>
      <c r="P54" s="8"/>
      <c r="Q54" s="9"/>
      <c r="R54" s="8"/>
      <c r="S54" s="9"/>
      <c r="T54" s="8"/>
      <c r="U54" s="9"/>
      <c r="V54" s="8"/>
      <c r="W54" s="9"/>
      <c r="X54" s="8"/>
      <c r="Y54" s="8"/>
      <c r="Z54" s="9"/>
      <c r="AA54" s="8"/>
      <c r="AB54" s="9"/>
      <c r="AC54" s="8"/>
      <c r="AD54" s="9"/>
    </row>
    <row r="55" spans="1:33" x14ac:dyDescent="0.25">
      <c r="A55" s="7">
        <v>2018</v>
      </c>
      <c r="B55" s="8"/>
      <c r="C55" s="9"/>
      <c r="D55" s="8"/>
      <c r="E55" s="9"/>
      <c r="F55" s="8"/>
      <c r="G55" s="8"/>
      <c r="H55" s="9"/>
      <c r="I55" s="3">
        <f>(7.78/7.88)*I54</f>
        <v>7.4938568588469154</v>
      </c>
      <c r="J55" s="9"/>
      <c r="K55" s="8"/>
      <c r="L55" s="9"/>
      <c r="M55" s="8"/>
      <c r="N55" s="8"/>
      <c r="O55" s="9"/>
      <c r="P55" s="8"/>
      <c r="Q55" s="9"/>
      <c r="R55" s="8"/>
      <c r="S55" s="9"/>
      <c r="T55" s="8"/>
      <c r="U55" s="9"/>
      <c r="V55" s="8"/>
      <c r="W55" s="9"/>
      <c r="X55" s="8"/>
      <c r="Y55" s="8"/>
      <c r="Z55" s="9"/>
      <c r="AA55" s="8"/>
      <c r="AB55" s="9"/>
      <c r="AC55" s="8"/>
      <c r="AD55" s="9"/>
    </row>
    <row r="56" spans="1:33" x14ac:dyDescent="0.25">
      <c r="AG56" s="3">
        <f>M47/$AF$7</f>
        <v>0.10171171999999999</v>
      </c>
    </row>
    <row r="57" spans="1:33" x14ac:dyDescent="0.25">
      <c r="A57" s="174" t="s">
        <v>31</v>
      </c>
      <c r="B57" s="175"/>
      <c r="C57" s="175"/>
      <c r="D57" s="175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 t="s">
        <v>32</v>
      </c>
      <c r="Q57" s="175"/>
      <c r="R57" s="175"/>
      <c r="S57" s="175"/>
      <c r="T57" s="175"/>
      <c r="U57" s="175"/>
      <c r="V57" s="175"/>
      <c r="W57" s="175"/>
      <c r="X57" s="175"/>
      <c r="Y57" s="175"/>
      <c r="Z57" s="175"/>
      <c r="AA57" s="175"/>
      <c r="AB57" s="175"/>
      <c r="AC57" s="175"/>
      <c r="AD57" s="176"/>
    </row>
    <row r="58" spans="1:33" x14ac:dyDescent="0.25">
      <c r="A58" s="166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4" t="s">
        <v>33</v>
      </c>
      <c r="Q58" s="164"/>
      <c r="R58" s="164"/>
      <c r="S58" s="164"/>
      <c r="T58" s="164"/>
      <c r="U58" s="164"/>
      <c r="V58" s="164"/>
      <c r="W58" s="164"/>
      <c r="X58" s="164"/>
      <c r="Y58" s="164"/>
      <c r="Z58" s="164"/>
      <c r="AA58" s="164"/>
      <c r="AB58" s="164"/>
      <c r="AC58" s="164"/>
      <c r="AD58" s="165"/>
    </row>
    <row r="59" spans="1:33" x14ac:dyDescent="0.25">
      <c r="A59" s="166" t="s">
        <v>34</v>
      </c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70" t="s">
        <v>35</v>
      </c>
      <c r="Q59" s="170"/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  <c r="AD59" s="171"/>
    </row>
    <row r="60" spans="1:33" x14ac:dyDescent="0.25">
      <c r="A60" s="166" t="s">
        <v>36</v>
      </c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70" t="s">
        <v>37</v>
      </c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1"/>
    </row>
    <row r="61" spans="1:33" x14ac:dyDescent="0.25">
      <c r="A61" s="162" t="s">
        <v>38</v>
      </c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163"/>
      <c r="N61" s="163"/>
      <c r="O61" s="163"/>
      <c r="P61" s="170"/>
      <c r="Q61" s="170"/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  <c r="AD61" s="171"/>
    </row>
    <row r="62" spans="1:33" x14ac:dyDescent="0.25">
      <c r="A62" s="166" t="s">
        <v>39</v>
      </c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4" t="s">
        <v>40</v>
      </c>
      <c r="Q62" s="164"/>
      <c r="R62" s="164"/>
      <c r="S62" s="164"/>
      <c r="T62" s="164"/>
      <c r="U62" s="164"/>
      <c r="V62" s="164"/>
      <c r="W62" s="164"/>
      <c r="X62" s="164"/>
      <c r="Y62" s="164"/>
      <c r="Z62" s="164"/>
      <c r="AA62" s="164"/>
      <c r="AB62" s="164"/>
      <c r="AC62" s="164"/>
      <c r="AD62" s="165"/>
    </row>
    <row r="63" spans="1:33" x14ac:dyDescent="0.25">
      <c r="A63" s="166" t="s">
        <v>41</v>
      </c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4" t="s">
        <v>42</v>
      </c>
      <c r="Q63" s="164"/>
      <c r="R63" s="164"/>
      <c r="S63" s="164"/>
      <c r="T63" s="164"/>
      <c r="U63" s="164"/>
      <c r="V63" s="164"/>
      <c r="W63" s="164"/>
      <c r="X63" s="164"/>
      <c r="Y63" s="164"/>
      <c r="Z63" s="164"/>
      <c r="AA63" s="164"/>
      <c r="AB63" s="164"/>
      <c r="AC63" s="164"/>
      <c r="AD63" s="165"/>
    </row>
    <row r="64" spans="1:33" x14ac:dyDescent="0.25">
      <c r="A64" s="166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4" t="s">
        <v>43</v>
      </c>
      <c r="Q64" s="164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5"/>
    </row>
    <row r="65" spans="1:30" x14ac:dyDescent="0.25">
      <c r="A65" s="166" t="s">
        <v>44</v>
      </c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8" t="s">
        <v>45</v>
      </c>
      <c r="Q65" s="168"/>
      <c r="R65" s="168"/>
      <c r="S65" s="168"/>
      <c r="T65" s="168"/>
      <c r="U65" s="168"/>
      <c r="V65" s="168"/>
      <c r="W65" s="168"/>
      <c r="X65" s="168"/>
      <c r="Y65" s="168"/>
      <c r="Z65" s="168"/>
      <c r="AA65" s="168"/>
      <c r="AB65" s="168"/>
      <c r="AC65" s="168"/>
      <c r="AD65" s="169"/>
    </row>
    <row r="66" spans="1:30" x14ac:dyDescent="0.25">
      <c r="A66" s="162" t="s">
        <v>46</v>
      </c>
      <c r="B66" s="163"/>
      <c r="C66" s="163"/>
      <c r="D66" s="163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/>
      <c r="AB66" s="168"/>
      <c r="AC66" s="168"/>
      <c r="AD66" s="169"/>
    </row>
    <row r="67" spans="1:30" x14ac:dyDescent="0.25">
      <c r="A67" s="166" t="s">
        <v>47</v>
      </c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4" t="s">
        <v>48</v>
      </c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5"/>
    </row>
    <row r="68" spans="1:30" x14ac:dyDescent="0.25">
      <c r="A68" s="159" t="s">
        <v>49</v>
      </c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 t="s">
        <v>50</v>
      </c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1"/>
    </row>
  </sheetData>
  <mergeCells count="46">
    <mergeCell ref="P4:Q6"/>
    <mergeCell ref="R4:S4"/>
    <mergeCell ref="T4:U6"/>
    <mergeCell ref="A1:AD1"/>
    <mergeCell ref="A2:AD2"/>
    <mergeCell ref="A3:A6"/>
    <mergeCell ref="B3:H3"/>
    <mergeCell ref="I3:O3"/>
    <mergeCell ref="P3:Z3"/>
    <mergeCell ref="AA3:AD3"/>
    <mergeCell ref="B4:C4"/>
    <mergeCell ref="D4:E6"/>
    <mergeCell ref="G4:H6"/>
    <mergeCell ref="A60:O60"/>
    <mergeCell ref="P60:AD61"/>
    <mergeCell ref="A61:O61"/>
    <mergeCell ref="V4:W6"/>
    <mergeCell ref="Y4:Z6"/>
    <mergeCell ref="AA4:AB6"/>
    <mergeCell ref="AC4:AD6"/>
    <mergeCell ref="B5:C5"/>
    <mergeCell ref="I5:J5"/>
    <mergeCell ref="R5:S5"/>
    <mergeCell ref="B6:C6"/>
    <mergeCell ref="I6:J6"/>
    <mergeCell ref="R6:S6"/>
    <mergeCell ref="I4:J4"/>
    <mergeCell ref="K4:L6"/>
    <mergeCell ref="N4:O6"/>
    <mergeCell ref="A57:O58"/>
    <mergeCell ref="P57:AD57"/>
    <mergeCell ref="P58:AD58"/>
    <mergeCell ref="A59:O59"/>
    <mergeCell ref="P59:AD59"/>
    <mergeCell ref="A67:O67"/>
    <mergeCell ref="P67:AD67"/>
    <mergeCell ref="A68:O68"/>
    <mergeCell ref="P68:AD68"/>
    <mergeCell ref="A62:O62"/>
    <mergeCell ref="P62:AD62"/>
    <mergeCell ref="A63:O64"/>
    <mergeCell ref="P63:AD63"/>
    <mergeCell ref="P64:AD64"/>
    <mergeCell ref="A65:O65"/>
    <mergeCell ref="P65:AD66"/>
    <mergeCell ref="A66:O66"/>
  </mergeCells>
  <hyperlinks>
    <hyperlink ref="P65" r:id="rId1" display="http://www.eia.gov/state/seds/seds-data-complete.cfm" xr:uid="{00000000-0004-0000-0600-000000000000}"/>
  </hyperlinks>
  <pageMargins left="0.75" right="0.75" top="1" bottom="1" header="0.5" footer="0.5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1"/>
  <sheetViews>
    <sheetView showGridLines="0" topLeftCell="O1" workbookViewId="0">
      <selection activeCell="AH27" sqref="AH27"/>
    </sheetView>
  </sheetViews>
  <sheetFormatPr defaultColWidth="9.140625" defaultRowHeight="15" x14ac:dyDescent="0.25"/>
  <cols>
    <col min="1" max="1" width="22.7109375" style="3" customWidth="1"/>
    <col min="2" max="11" width="4.7109375" style="3" customWidth="1"/>
    <col min="12" max="14" width="7.5703125" style="3" customWidth="1"/>
    <col min="15" max="15" width="7.42578125" style="3" customWidth="1"/>
    <col min="16" max="16" width="3.28515625" style="3" customWidth="1"/>
    <col min="17" max="17" width="7.42578125" style="3" customWidth="1"/>
    <col min="18" max="18" width="3.28515625" style="3" customWidth="1"/>
    <col min="19" max="19" width="7.42578125" style="3" customWidth="1"/>
    <col min="20" max="20" width="5" style="3" customWidth="1"/>
    <col min="21" max="21" width="7.42578125" style="3" customWidth="1"/>
    <col min="22" max="22" width="3.28515625" style="3" customWidth="1"/>
    <col min="23" max="16384" width="9.140625" style="3"/>
  </cols>
  <sheetData>
    <row r="1" spans="1:32" ht="15.75" customHeight="1" x14ac:dyDescent="0.25">
      <c r="A1" s="184" t="s">
        <v>91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6"/>
    </row>
    <row r="2" spans="1:32" x14ac:dyDescent="0.25">
      <c r="A2" s="187" t="s">
        <v>90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9"/>
      <c r="AD2" s="3" t="s">
        <v>97</v>
      </c>
    </row>
    <row r="3" spans="1:32" x14ac:dyDescent="0.25">
      <c r="A3" s="21" t="s">
        <v>89</v>
      </c>
      <c r="B3" s="6">
        <v>1994</v>
      </c>
      <c r="C3" s="6">
        <v>1995</v>
      </c>
      <c r="D3" s="6">
        <v>1996</v>
      </c>
      <c r="E3" s="6">
        <v>1997</v>
      </c>
      <c r="F3" s="6">
        <v>1998</v>
      </c>
      <c r="G3" s="6">
        <v>1999</v>
      </c>
      <c r="H3" s="6">
        <v>2000</v>
      </c>
      <c r="I3" s="6">
        <v>2001</v>
      </c>
      <c r="J3" s="6">
        <v>2002</v>
      </c>
      <c r="K3" s="6">
        <v>2003</v>
      </c>
      <c r="L3" s="6">
        <v>2004</v>
      </c>
      <c r="M3" s="6">
        <v>2005</v>
      </c>
      <c r="N3" s="6">
        <v>2006</v>
      </c>
      <c r="O3" s="197">
        <v>2007</v>
      </c>
      <c r="P3" s="199"/>
      <c r="Q3" s="197">
        <v>2008</v>
      </c>
      <c r="R3" s="199"/>
      <c r="S3" s="197">
        <v>2009</v>
      </c>
      <c r="T3" s="199"/>
      <c r="U3" s="197" t="s">
        <v>88</v>
      </c>
      <c r="V3" s="199"/>
      <c r="Z3" s="3" t="s">
        <v>92</v>
      </c>
      <c r="AA3" s="3" t="s">
        <v>93</v>
      </c>
      <c r="AB3" s="3" t="s">
        <v>154</v>
      </c>
      <c r="AD3" s="3" t="s">
        <v>92</v>
      </c>
      <c r="AE3" s="3" t="s">
        <v>93</v>
      </c>
      <c r="AF3" s="3" t="s">
        <v>154</v>
      </c>
    </row>
    <row r="4" spans="1:32" x14ac:dyDescent="0.25">
      <c r="A4" s="19" t="s">
        <v>87</v>
      </c>
      <c r="B4" s="200">
        <v>0.60199999999999998</v>
      </c>
      <c r="C4" s="200">
        <v>0.63</v>
      </c>
      <c r="D4" s="200">
        <v>0.71499999999999997</v>
      </c>
      <c r="E4" s="200">
        <v>0.70299999999999996</v>
      </c>
      <c r="F4" s="200">
        <v>0.53</v>
      </c>
      <c r="G4" s="200">
        <v>0.64500000000000002</v>
      </c>
      <c r="H4" s="200">
        <v>0.96599999999999997</v>
      </c>
      <c r="I4" s="200">
        <v>0.88800000000000001</v>
      </c>
      <c r="J4" s="200">
        <v>0.83199999999999996</v>
      </c>
      <c r="K4" s="200">
        <v>1.0009999999999999</v>
      </c>
      <c r="L4" s="200">
        <v>1.288</v>
      </c>
      <c r="M4" s="200">
        <v>1.675</v>
      </c>
      <c r="N4" s="200">
        <v>1.9730000000000001</v>
      </c>
      <c r="O4" s="200">
        <v>2.1859999999999999</v>
      </c>
      <c r="P4" s="203"/>
      <c r="Q4" s="200">
        <v>2.5870000000000002</v>
      </c>
      <c r="R4" s="203"/>
      <c r="S4" s="200">
        <v>1.7729999999999999</v>
      </c>
      <c r="T4" s="203"/>
      <c r="U4" s="200">
        <v>2.169</v>
      </c>
      <c r="V4" s="203"/>
      <c r="Y4" s="3">
        <v>1994</v>
      </c>
      <c r="Z4" s="3">
        <f t="array" ref="Z4:Z17">TRANSPOSE(B31:O31)</f>
        <v>0.68500000000000005</v>
      </c>
      <c r="AA4" s="3">
        <f t="array" ref="AA4:AA17">TRANSPOSE(B44:O44)</f>
        <v>0.628</v>
      </c>
      <c r="AB4" s="3">
        <f t="array" ref="AB4:AB17">TRANSPOSE(B48:O48)</f>
        <v>0.35799999999999998</v>
      </c>
      <c r="AD4" s="3">
        <f t="shared" ref="AD4:AD20" si="0">Z4/5.23*42</f>
        <v>5.5009560229445507</v>
      </c>
      <c r="AE4" s="3">
        <f t="shared" ref="AE4:AE20" si="1">AA4/5.825*42</f>
        <v>4.5280686695278973</v>
      </c>
      <c r="AF4" s="3">
        <f>AB4/6.287*42</f>
        <v>2.3916017178304436</v>
      </c>
    </row>
    <row r="5" spans="1:32" x14ac:dyDescent="0.25">
      <c r="A5" s="7" t="s">
        <v>85</v>
      </c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5"/>
      <c r="Q5" s="202"/>
      <c r="R5" s="205"/>
      <c r="S5" s="202"/>
      <c r="T5" s="205"/>
      <c r="U5" s="202"/>
      <c r="V5" s="205"/>
      <c r="Y5" s="3">
        <f>Y4+1</f>
        <v>1995</v>
      </c>
      <c r="Z5" s="3">
        <v>0.71399999999999997</v>
      </c>
      <c r="AA5" s="3">
        <v>0.63600000000000001</v>
      </c>
      <c r="AB5" s="3">
        <v>0.39700000000000002</v>
      </c>
      <c r="AD5" s="3">
        <f t="shared" si="0"/>
        <v>5.7338432122370921</v>
      </c>
      <c r="AE5" s="3">
        <f t="shared" si="1"/>
        <v>4.5857510729613731</v>
      </c>
      <c r="AF5" s="3">
        <f t="shared" ref="AF5:AF20" si="2">AB5/6.287*42</f>
        <v>2.652139335135995</v>
      </c>
    </row>
    <row r="6" spans="1:32" x14ac:dyDescent="0.25">
      <c r="A6" s="7" t="s">
        <v>84</v>
      </c>
      <c r="B6" s="8">
        <v>0.57099999999999995</v>
      </c>
      <c r="C6" s="8">
        <v>0.59899999999999998</v>
      </c>
      <c r="D6" s="8">
        <v>0.68899999999999995</v>
      </c>
      <c r="E6" s="8">
        <v>0.67700000000000005</v>
      </c>
      <c r="F6" s="8">
        <v>0.504</v>
      </c>
      <c r="G6" s="8">
        <v>0.621</v>
      </c>
      <c r="H6" s="8">
        <v>0.94599999999999995</v>
      </c>
      <c r="I6" s="8">
        <v>0.86799999999999999</v>
      </c>
      <c r="J6" s="8">
        <v>0.81299999999999994</v>
      </c>
      <c r="K6" s="8">
        <v>0.98199999999999998</v>
      </c>
      <c r="L6" s="8">
        <v>1.2709999999999999</v>
      </c>
      <c r="M6" s="8">
        <v>1.659</v>
      </c>
      <c r="N6" s="8">
        <v>1.956</v>
      </c>
      <c r="O6" s="8">
        <v>2.165</v>
      </c>
      <c r="P6" s="9"/>
      <c r="Q6" s="8">
        <v>2.57</v>
      </c>
      <c r="R6" s="9"/>
      <c r="S6" s="8">
        <v>1.7529999999999999</v>
      </c>
      <c r="T6" s="9"/>
      <c r="U6" s="8">
        <v>2.1509999999999998</v>
      </c>
      <c r="V6" s="9"/>
      <c r="Y6" s="3">
        <f t="shared" ref="Y6:Y20" si="3">Y5+1</f>
        <v>1996</v>
      </c>
      <c r="Z6" s="3">
        <v>0.80100000000000005</v>
      </c>
      <c r="AA6" s="3">
        <v>0.75700000000000001</v>
      </c>
      <c r="AB6" s="3">
        <v>0.46400000000000002</v>
      </c>
      <c r="AD6" s="3">
        <f t="shared" si="0"/>
        <v>6.4325047801147219</v>
      </c>
      <c r="AE6" s="3">
        <f t="shared" si="1"/>
        <v>5.4581974248927043</v>
      </c>
      <c r="AF6" s="3">
        <f t="shared" si="2"/>
        <v>3.0997296007634803</v>
      </c>
    </row>
    <row r="7" spans="1:32" x14ac:dyDescent="0.25">
      <c r="A7" s="11" t="s">
        <v>81</v>
      </c>
      <c r="B7" s="12">
        <v>0.56499999999999995</v>
      </c>
      <c r="C7" s="12">
        <v>0.58299999999999996</v>
      </c>
      <c r="D7" s="12">
        <v>0.67200000000000004</v>
      </c>
      <c r="E7" s="12">
        <v>0.65800000000000003</v>
      </c>
      <c r="F7" s="12">
        <v>0.48399999999999999</v>
      </c>
      <c r="G7" s="12">
        <v>0.59599999999999997</v>
      </c>
      <c r="H7" s="12">
        <v>0.91800000000000004</v>
      </c>
      <c r="I7" s="12">
        <v>0.83799999999999997</v>
      </c>
      <c r="J7" s="12">
        <v>0.79400000000000004</v>
      </c>
      <c r="K7" s="12">
        <v>0.95</v>
      </c>
      <c r="L7" s="12">
        <v>1.2410000000000001</v>
      </c>
      <c r="M7" s="12">
        <v>1.639</v>
      </c>
      <c r="N7" s="12">
        <v>1.93</v>
      </c>
      <c r="O7" s="12">
        <v>2.145</v>
      </c>
      <c r="P7" s="14" t="s">
        <v>78</v>
      </c>
      <c r="Q7" s="12">
        <v>2.5640000000000001</v>
      </c>
      <c r="R7" s="14" t="s">
        <v>78</v>
      </c>
      <c r="S7" s="12">
        <v>1.732</v>
      </c>
      <c r="T7" s="14" t="s">
        <v>78</v>
      </c>
      <c r="U7" s="12">
        <v>2.133</v>
      </c>
      <c r="V7" s="14" t="s">
        <v>78</v>
      </c>
      <c r="Y7" s="3">
        <f t="shared" si="3"/>
        <v>1997</v>
      </c>
      <c r="Z7" s="3">
        <v>0.78500000000000003</v>
      </c>
      <c r="AA7" s="3">
        <v>0.71399999999999997</v>
      </c>
      <c r="AB7" s="3">
        <v>0.42899999999999999</v>
      </c>
      <c r="AD7" s="3">
        <f t="shared" si="0"/>
        <v>6.3040152963671128</v>
      </c>
      <c r="AE7" s="3">
        <f t="shared" si="1"/>
        <v>5.1481545064377681</v>
      </c>
      <c r="AF7" s="3">
        <f t="shared" si="2"/>
        <v>2.8659137903610628</v>
      </c>
    </row>
    <row r="8" spans="1:32" x14ac:dyDescent="0.25">
      <c r="A8" s="7" t="s">
        <v>79</v>
      </c>
      <c r="B8" s="8">
        <v>0.627</v>
      </c>
      <c r="C8" s="8">
        <v>0.66200000000000003</v>
      </c>
      <c r="D8" s="8">
        <v>0.745</v>
      </c>
      <c r="E8" s="8">
        <v>0.754</v>
      </c>
      <c r="F8" s="8">
        <v>0.57499999999999996</v>
      </c>
      <c r="G8" s="8">
        <v>0.69</v>
      </c>
      <c r="H8" s="8">
        <v>1.016</v>
      </c>
      <c r="I8" s="8">
        <v>0.94699999999999995</v>
      </c>
      <c r="J8" s="8">
        <v>0.85799999999999998</v>
      </c>
      <c r="K8" s="8">
        <v>1.0309999999999999</v>
      </c>
      <c r="L8" s="8">
        <v>1.2889999999999999</v>
      </c>
      <c r="M8" s="8">
        <v>1.667</v>
      </c>
      <c r="N8" s="8">
        <v>1.9510000000000001</v>
      </c>
      <c r="O8" s="18"/>
      <c r="P8" s="10" t="s">
        <v>78</v>
      </c>
      <c r="Q8" s="18"/>
      <c r="R8" s="10" t="s">
        <v>78</v>
      </c>
      <c r="S8" s="18"/>
      <c r="T8" s="10" t="s">
        <v>78</v>
      </c>
      <c r="U8" s="18"/>
      <c r="V8" s="10" t="s">
        <v>78</v>
      </c>
      <c r="Y8" s="3">
        <f t="shared" si="3"/>
        <v>1998</v>
      </c>
      <c r="Z8" s="3">
        <v>0.61</v>
      </c>
      <c r="AA8" s="3">
        <v>0.56200000000000006</v>
      </c>
      <c r="AB8" s="3">
        <v>0.311</v>
      </c>
      <c r="AD8" s="3">
        <f t="shared" si="0"/>
        <v>4.8986615678776291</v>
      </c>
      <c r="AE8" s="3">
        <f t="shared" si="1"/>
        <v>4.0521888412017173</v>
      </c>
      <c r="AF8" s="3">
        <f t="shared" si="2"/>
        <v>2.0776204867186259</v>
      </c>
    </row>
    <row r="9" spans="1:32" x14ac:dyDescent="0.25">
      <c r="A9" s="7" t="s">
        <v>77</v>
      </c>
      <c r="B9" s="8">
        <v>0.63200000000000001</v>
      </c>
      <c r="C9" s="8">
        <v>0.64600000000000002</v>
      </c>
      <c r="D9" s="8">
        <v>0.73299999999999998</v>
      </c>
      <c r="E9" s="8">
        <v>0.72499999999999998</v>
      </c>
      <c r="F9" s="8">
        <v>0.55100000000000005</v>
      </c>
      <c r="G9" s="8">
        <v>0.67600000000000005</v>
      </c>
      <c r="H9" s="8">
        <v>1.006</v>
      </c>
      <c r="I9" s="8">
        <v>0.93</v>
      </c>
      <c r="J9" s="8">
        <v>0.85599999999999998</v>
      </c>
      <c r="K9" s="8">
        <v>1.0580000000000001</v>
      </c>
      <c r="L9" s="8">
        <v>1.339</v>
      </c>
      <c r="M9" s="8">
        <v>1.708</v>
      </c>
      <c r="N9" s="8">
        <v>2.0219999999999998</v>
      </c>
      <c r="O9" s="8">
        <v>2.2149999999999999</v>
      </c>
      <c r="P9" s="9"/>
      <c r="Q9" s="8">
        <v>2.5830000000000002</v>
      </c>
      <c r="R9" s="9"/>
      <c r="S9" s="8">
        <v>1.7989999999999999</v>
      </c>
      <c r="T9" s="9"/>
      <c r="U9" s="8">
        <v>2.1869999999999998</v>
      </c>
      <c r="V9" s="9"/>
      <c r="Y9" s="3">
        <f t="shared" si="3"/>
        <v>1999</v>
      </c>
      <c r="Z9" s="3">
        <v>0.70799999999999996</v>
      </c>
      <c r="AA9" s="3">
        <v>0.65400000000000003</v>
      </c>
      <c r="AB9" s="3">
        <v>0.378</v>
      </c>
      <c r="AD9" s="3">
        <f t="shared" si="0"/>
        <v>5.6856596558317385</v>
      </c>
      <c r="AE9" s="3">
        <f t="shared" si="1"/>
        <v>4.7155364806866951</v>
      </c>
      <c r="AF9" s="3">
        <f t="shared" si="2"/>
        <v>2.5252107523461111</v>
      </c>
    </row>
    <row r="10" spans="1:32" x14ac:dyDescent="0.25">
      <c r="A10" s="11" t="s">
        <v>83</v>
      </c>
      <c r="B10" s="12">
        <v>0.64100000000000001</v>
      </c>
      <c r="C10" s="12">
        <v>0.67300000000000004</v>
      </c>
      <c r="D10" s="12">
        <v>0.76</v>
      </c>
      <c r="E10" s="12">
        <v>0.751</v>
      </c>
      <c r="F10" s="12">
        <v>0.57899999999999996</v>
      </c>
      <c r="G10" s="12">
        <v>0.69399999999999995</v>
      </c>
      <c r="H10" s="12">
        <v>1.014</v>
      </c>
      <c r="I10" s="12">
        <v>0.94499999999999995</v>
      </c>
      <c r="J10" s="12">
        <v>0.88600000000000001</v>
      </c>
      <c r="K10" s="12">
        <v>1.056</v>
      </c>
      <c r="L10" s="12">
        <v>1.3380000000000001</v>
      </c>
      <c r="M10" s="12">
        <v>1.7190000000000001</v>
      </c>
      <c r="N10" s="12">
        <v>2.024</v>
      </c>
      <c r="O10" s="12">
        <v>2.2519999999999998</v>
      </c>
      <c r="P10" s="13"/>
      <c r="Q10" s="12">
        <v>2.6360000000000001</v>
      </c>
      <c r="R10" s="13"/>
      <c r="S10" s="12">
        <v>1.8029999999999999</v>
      </c>
      <c r="T10" s="13"/>
      <c r="U10" s="12">
        <v>2.1960000000000002</v>
      </c>
      <c r="V10" s="13"/>
      <c r="Y10" s="3">
        <f t="shared" si="3"/>
        <v>2000</v>
      </c>
      <c r="Z10" s="3">
        <v>1.044</v>
      </c>
      <c r="AA10" s="3">
        <v>1.006</v>
      </c>
      <c r="AB10" s="3">
        <v>0.60899999999999999</v>
      </c>
      <c r="AD10" s="3">
        <f t="shared" si="0"/>
        <v>8.3839388145315485</v>
      </c>
      <c r="AE10" s="3">
        <f t="shared" si="1"/>
        <v>7.2535622317596564</v>
      </c>
      <c r="AF10" s="3">
        <f t="shared" si="2"/>
        <v>4.0683951010020678</v>
      </c>
    </row>
    <row r="11" spans="1:32" x14ac:dyDescent="0.25">
      <c r="A11" s="7" t="s">
        <v>81</v>
      </c>
      <c r="B11" s="8">
        <v>0.63300000000000001</v>
      </c>
      <c r="C11" s="8">
        <v>0.65100000000000002</v>
      </c>
      <c r="D11" s="8">
        <v>0.73699999999999999</v>
      </c>
      <c r="E11" s="8">
        <v>0.72299999999999998</v>
      </c>
      <c r="F11" s="8">
        <v>0.55000000000000004</v>
      </c>
      <c r="G11" s="8">
        <v>0.65800000000000003</v>
      </c>
      <c r="H11" s="8">
        <v>0.97699999999999998</v>
      </c>
      <c r="I11" s="8">
        <v>0.90100000000000002</v>
      </c>
      <c r="J11" s="8">
        <v>0.85199999999999998</v>
      </c>
      <c r="K11" s="8">
        <v>1.0149999999999999</v>
      </c>
      <c r="L11" s="8">
        <v>1.304</v>
      </c>
      <c r="M11" s="8">
        <v>1.6970000000000001</v>
      </c>
      <c r="N11" s="8">
        <v>1.992</v>
      </c>
      <c r="O11" s="8">
        <v>2.2349999999999999</v>
      </c>
      <c r="P11" s="10" t="s">
        <v>78</v>
      </c>
      <c r="Q11" s="8">
        <v>2.6110000000000002</v>
      </c>
      <c r="R11" s="10" t="s">
        <v>78</v>
      </c>
      <c r="S11" s="8">
        <v>1.7769999999999999</v>
      </c>
      <c r="T11" s="10" t="s">
        <v>78</v>
      </c>
      <c r="U11" s="8">
        <v>2.1760000000000002</v>
      </c>
      <c r="V11" s="10" t="s">
        <v>78</v>
      </c>
      <c r="Y11" s="3">
        <f t="shared" si="3"/>
        <v>2001</v>
      </c>
      <c r="Z11" s="3">
        <v>0.96799999999999997</v>
      </c>
      <c r="AA11" s="3">
        <v>0.91200000000000003</v>
      </c>
      <c r="AB11" s="3">
        <v>0.53300000000000003</v>
      </c>
      <c r="AD11" s="3">
        <f t="shared" si="0"/>
        <v>7.7736137667304002</v>
      </c>
      <c r="AE11" s="3">
        <f t="shared" si="1"/>
        <v>6.575793991416309</v>
      </c>
      <c r="AF11" s="3">
        <f t="shared" si="2"/>
        <v>3.5606807698425329</v>
      </c>
    </row>
    <row r="12" spans="1:32" x14ac:dyDescent="0.25">
      <c r="A12" s="7" t="s">
        <v>79</v>
      </c>
      <c r="B12" s="8">
        <v>0.68899999999999995</v>
      </c>
      <c r="C12" s="8">
        <v>0.71099999999999997</v>
      </c>
      <c r="D12" s="8">
        <v>0.78900000000000003</v>
      </c>
      <c r="E12" s="8">
        <v>0.79100000000000004</v>
      </c>
      <c r="F12" s="8">
        <v>0.59899999999999998</v>
      </c>
      <c r="G12" s="8">
        <v>0.69499999999999995</v>
      </c>
      <c r="H12" s="8">
        <v>1.0209999999999999</v>
      </c>
      <c r="I12" s="8">
        <v>0.96499999999999997</v>
      </c>
      <c r="J12" s="8">
        <v>0.88500000000000001</v>
      </c>
      <c r="K12" s="8">
        <v>1.0429999999999999</v>
      </c>
      <c r="L12" s="8">
        <v>1.3049999999999999</v>
      </c>
      <c r="M12" s="8">
        <v>1.6819999999999999</v>
      </c>
      <c r="N12" s="8">
        <v>1.9990000000000001</v>
      </c>
      <c r="O12" s="18"/>
      <c r="P12" s="10" t="s">
        <v>78</v>
      </c>
      <c r="Q12" s="18"/>
      <c r="R12" s="10" t="s">
        <v>78</v>
      </c>
      <c r="S12" s="18"/>
      <c r="T12" s="10" t="s">
        <v>78</v>
      </c>
      <c r="U12" s="18"/>
      <c r="V12" s="10" t="s">
        <v>78</v>
      </c>
      <c r="Y12" s="3">
        <f t="shared" si="3"/>
        <v>2002</v>
      </c>
      <c r="Z12" s="3">
        <v>0.90100000000000002</v>
      </c>
      <c r="AA12" s="3">
        <v>0.83699999999999997</v>
      </c>
      <c r="AB12" s="3">
        <v>0.56100000000000005</v>
      </c>
      <c r="AD12" s="3">
        <f t="shared" si="0"/>
        <v>7.235564053537284</v>
      </c>
      <c r="AE12" s="3">
        <f t="shared" si="1"/>
        <v>6.035021459227468</v>
      </c>
      <c r="AF12" s="3">
        <f t="shared" si="2"/>
        <v>3.7477334181644668</v>
      </c>
    </row>
    <row r="13" spans="1:32" x14ac:dyDescent="0.25">
      <c r="A13" s="11" t="s">
        <v>77</v>
      </c>
      <c r="B13" s="12">
        <v>0.72199999999999998</v>
      </c>
      <c r="C13" s="12">
        <v>0.71899999999999997</v>
      </c>
      <c r="D13" s="12">
        <v>0.80200000000000005</v>
      </c>
      <c r="E13" s="12">
        <v>0.80100000000000005</v>
      </c>
      <c r="F13" s="12">
        <v>0.63200000000000001</v>
      </c>
      <c r="G13" s="12">
        <v>0.75800000000000001</v>
      </c>
      <c r="H13" s="12">
        <v>1.08</v>
      </c>
      <c r="I13" s="12">
        <v>1.022</v>
      </c>
      <c r="J13" s="12">
        <v>0.95199999999999996</v>
      </c>
      <c r="K13" s="12">
        <v>1.1499999999999999</v>
      </c>
      <c r="L13" s="12">
        <v>1.41</v>
      </c>
      <c r="M13" s="12">
        <v>1.79</v>
      </c>
      <c r="N13" s="12">
        <v>2.1269999999999998</v>
      </c>
      <c r="O13" s="12">
        <v>2.3109999999999999</v>
      </c>
      <c r="P13" s="13"/>
      <c r="Q13" s="12">
        <v>2.73</v>
      </c>
      <c r="R13" s="13"/>
      <c r="S13" s="12">
        <v>1.903</v>
      </c>
      <c r="T13" s="14" t="s">
        <v>30</v>
      </c>
      <c r="U13" s="12">
        <v>2.2749999999999999</v>
      </c>
      <c r="V13" s="13"/>
      <c r="Y13" s="3">
        <f t="shared" si="3"/>
        <v>2003</v>
      </c>
      <c r="Z13" s="3">
        <v>1.0820000000000001</v>
      </c>
      <c r="AA13" s="3">
        <v>1.008</v>
      </c>
      <c r="AB13" s="3">
        <v>0.69599999999999995</v>
      </c>
      <c r="AD13" s="3">
        <f t="shared" si="0"/>
        <v>8.6891013384321223</v>
      </c>
      <c r="AE13" s="3">
        <f t="shared" si="1"/>
        <v>7.267982832618026</v>
      </c>
      <c r="AF13" s="3">
        <f t="shared" si="2"/>
        <v>4.6495944011452197</v>
      </c>
    </row>
    <row r="14" spans="1:32" x14ac:dyDescent="0.25">
      <c r="A14" s="7" t="s">
        <v>82</v>
      </c>
      <c r="B14" s="8">
        <v>0.69599999999999995</v>
      </c>
      <c r="C14" s="8">
        <v>0.72399999999999998</v>
      </c>
      <c r="D14" s="8">
        <v>0.80400000000000005</v>
      </c>
      <c r="E14" s="8">
        <v>0.79400000000000004</v>
      </c>
      <c r="F14" s="8">
        <v>0.61799999999999999</v>
      </c>
      <c r="G14" s="8">
        <v>0.72399999999999998</v>
      </c>
      <c r="H14" s="8">
        <v>1.0549999999999999</v>
      </c>
      <c r="I14" s="8">
        <v>0.98</v>
      </c>
      <c r="J14" s="8">
        <v>0.92900000000000005</v>
      </c>
      <c r="K14" s="8">
        <v>1.105</v>
      </c>
      <c r="L14" s="8">
        <v>1.4</v>
      </c>
      <c r="M14" s="8">
        <v>1.792</v>
      </c>
      <c r="N14" s="8">
        <v>2.1219999999999999</v>
      </c>
      <c r="O14" s="8">
        <v>2.3620000000000001</v>
      </c>
      <c r="P14" s="9"/>
      <c r="Q14" s="8">
        <v>2.7490000000000001</v>
      </c>
      <c r="R14" s="9"/>
      <c r="S14" s="8">
        <v>1.9590000000000001</v>
      </c>
      <c r="T14" s="9"/>
      <c r="U14" s="8">
        <v>2.35</v>
      </c>
      <c r="V14" s="9"/>
      <c r="Y14" s="3">
        <f t="shared" si="3"/>
        <v>2004</v>
      </c>
      <c r="Z14" s="3">
        <v>1.373</v>
      </c>
      <c r="AA14" s="3">
        <v>1.3160000000000001</v>
      </c>
      <c r="AB14" s="3">
        <v>0.72499999999999998</v>
      </c>
      <c r="AD14" s="3">
        <f t="shared" si="0"/>
        <v>11.026003824091777</v>
      </c>
      <c r="AE14" s="3">
        <f t="shared" si="1"/>
        <v>9.4887553648068668</v>
      </c>
      <c r="AF14" s="3">
        <f t="shared" si="2"/>
        <v>4.8433275011929382</v>
      </c>
    </row>
    <row r="15" spans="1:32" x14ac:dyDescent="0.25">
      <c r="A15" s="7" t="s">
        <v>81</v>
      </c>
      <c r="B15" s="8">
        <v>0.68600000000000005</v>
      </c>
      <c r="C15" s="8">
        <v>0.69499999999999995</v>
      </c>
      <c r="D15" s="8">
        <v>0.77700000000000002</v>
      </c>
      <c r="E15" s="8">
        <v>0.76400000000000001</v>
      </c>
      <c r="F15" s="8">
        <v>0.58699999999999997</v>
      </c>
      <c r="G15" s="8">
        <v>0.68799999999999994</v>
      </c>
      <c r="H15" s="8">
        <v>1.0129999999999999</v>
      </c>
      <c r="I15" s="8">
        <v>0.93300000000000005</v>
      </c>
      <c r="J15" s="8">
        <v>0.89700000000000002</v>
      </c>
      <c r="K15" s="8">
        <v>1.0549999999999999</v>
      </c>
      <c r="L15" s="8">
        <v>1.351</v>
      </c>
      <c r="M15" s="8">
        <v>1.756</v>
      </c>
      <c r="N15" s="8">
        <v>2.0830000000000002</v>
      </c>
      <c r="O15" s="8">
        <v>2.33</v>
      </c>
      <c r="P15" s="10" t="s">
        <v>78</v>
      </c>
      <c r="Q15" s="8">
        <v>2.7429999999999999</v>
      </c>
      <c r="R15" s="10" t="s">
        <v>78</v>
      </c>
      <c r="S15" s="8">
        <v>1.9319999999999999</v>
      </c>
      <c r="T15" s="10" t="s">
        <v>78</v>
      </c>
      <c r="U15" s="8">
        <v>2.327</v>
      </c>
      <c r="V15" s="10" t="s">
        <v>78</v>
      </c>
      <c r="Y15" s="3">
        <f t="shared" si="3"/>
        <v>2005</v>
      </c>
      <c r="Z15" s="3">
        <v>1.7889999999999999</v>
      </c>
      <c r="AA15" s="3">
        <v>1.8859999999999999</v>
      </c>
      <c r="AB15" s="3">
        <v>1.0409999999999999</v>
      </c>
      <c r="AD15" s="3">
        <f t="shared" si="0"/>
        <v>14.366730401529635</v>
      </c>
      <c r="AE15" s="3">
        <f t="shared" si="1"/>
        <v>13.598626609442059</v>
      </c>
      <c r="AF15" s="3">
        <f t="shared" si="2"/>
        <v>6.9543502465404803</v>
      </c>
    </row>
    <row r="16" spans="1:32" x14ac:dyDescent="0.25">
      <c r="A16" s="11" t="s">
        <v>79</v>
      </c>
      <c r="B16" s="12">
        <v>0.75700000000000001</v>
      </c>
      <c r="C16" s="12">
        <v>0.78700000000000003</v>
      </c>
      <c r="D16" s="12">
        <v>0.85099999999999998</v>
      </c>
      <c r="E16" s="12">
        <v>0.85599999999999998</v>
      </c>
      <c r="F16" s="12">
        <v>0.67400000000000004</v>
      </c>
      <c r="G16" s="12">
        <v>0.77900000000000003</v>
      </c>
      <c r="H16" s="12">
        <v>1.119</v>
      </c>
      <c r="I16" s="12">
        <v>1.02</v>
      </c>
      <c r="J16" s="12">
        <v>0.95199999999999996</v>
      </c>
      <c r="K16" s="12">
        <v>1.131</v>
      </c>
      <c r="L16" s="12">
        <v>1.39</v>
      </c>
      <c r="M16" s="12">
        <v>1.7609999999999999</v>
      </c>
      <c r="N16" s="12">
        <v>2.0489999999999999</v>
      </c>
      <c r="O16" s="17"/>
      <c r="P16" s="14" t="s">
        <v>78</v>
      </c>
      <c r="Q16" s="17"/>
      <c r="R16" s="14" t="s">
        <v>78</v>
      </c>
      <c r="S16" s="17"/>
      <c r="T16" s="14" t="s">
        <v>78</v>
      </c>
      <c r="U16" s="17"/>
      <c r="V16" s="14" t="s">
        <v>78</v>
      </c>
      <c r="Y16" s="3">
        <f t="shared" si="3"/>
        <v>2006</v>
      </c>
      <c r="Z16" s="3">
        <v>2.073</v>
      </c>
      <c r="AA16" s="3">
        <v>2.165</v>
      </c>
      <c r="AB16" s="3">
        <v>1.212</v>
      </c>
      <c r="AD16" s="3">
        <f t="shared" si="0"/>
        <v>16.647418738049712</v>
      </c>
      <c r="AE16" s="3">
        <f t="shared" si="1"/>
        <v>15.610300429184548</v>
      </c>
      <c r="AF16" s="3">
        <f t="shared" si="2"/>
        <v>8.0967074916494362</v>
      </c>
    </row>
    <row r="17" spans="1:32" x14ac:dyDescent="0.25">
      <c r="A17" s="7" t="s">
        <v>77</v>
      </c>
      <c r="B17" s="8">
        <v>0.76900000000000002</v>
      </c>
      <c r="C17" s="8">
        <v>0.77900000000000003</v>
      </c>
      <c r="D17" s="8">
        <v>0.85099999999999998</v>
      </c>
      <c r="E17" s="8">
        <v>0.84499999999999997</v>
      </c>
      <c r="F17" s="8">
        <v>0.67100000000000004</v>
      </c>
      <c r="G17" s="8">
        <v>0.78700000000000003</v>
      </c>
      <c r="H17" s="8">
        <v>1.117</v>
      </c>
      <c r="I17" s="8">
        <v>1.054</v>
      </c>
      <c r="J17" s="8">
        <v>0.98599999999999999</v>
      </c>
      <c r="K17" s="8">
        <v>1.1890000000000001</v>
      </c>
      <c r="L17" s="8">
        <v>1.4670000000000001</v>
      </c>
      <c r="M17" s="8">
        <v>1.8440000000000001</v>
      </c>
      <c r="N17" s="8">
        <v>2.181</v>
      </c>
      <c r="O17" s="8">
        <v>2.407</v>
      </c>
      <c r="P17" s="9"/>
      <c r="Q17" s="8">
        <v>2.7570000000000001</v>
      </c>
      <c r="R17" s="9"/>
      <c r="S17" s="8">
        <v>1.994</v>
      </c>
      <c r="T17" s="9"/>
      <c r="U17" s="8">
        <v>2.3759999999999999</v>
      </c>
      <c r="V17" s="9"/>
      <c r="Y17" s="3">
        <f t="shared" si="3"/>
        <v>2007</v>
      </c>
      <c r="Z17" s="3">
        <v>2.2970000000000002</v>
      </c>
      <c r="AA17" s="3">
        <v>2.3479999999999999</v>
      </c>
      <c r="AB17" s="3">
        <v>1.3759999999999999</v>
      </c>
      <c r="AD17" s="3">
        <f t="shared" si="0"/>
        <v>18.446271510516254</v>
      </c>
      <c r="AE17" s="3">
        <f t="shared" si="1"/>
        <v>16.929785407725319</v>
      </c>
      <c r="AF17" s="3">
        <f t="shared" si="2"/>
        <v>9.1923015746779058</v>
      </c>
    </row>
    <row r="18" spans="1:32" x14ac:dyDescent="0.25">
      <c r="A18" s="7" t="s">
        <v>76</v>
      </c>
      <c r="B18" s="8">
        <v>0.52900000000000003</v>
      </c>
      <c r="C18" s="8">
        <v>0.53600000000000003</v>
      </c>
      <c r="D18" s="8">
        <v>0.66</v>
      </c>
      <c r="E18" s="8">
        <v>0.61099999999999999</v>
      </c>
      <c r="F18" s="8">
        <v>0.45</v>
      </c>
      <c r="G18" s="8">
        <v>0.53800000000000003</v>
      </c>
      <c r="H18" s="8">
        <v>0.90100000000000002</v>
      </c>
      <c r="I18" s="8">
        <v>0.78500000000000003</v>
      </c>
      <c r="J18" s="8">
        <v>0.72799999999999998</v>
      </c>
      <c r="K18" s="8">
        <v>0.89100000000000001</v>
      </c>
      <c r="L18" s="8">
        <v>1.1779999999999999</v>
      </c>
      <c r="M18" s="8">
        <v>1.7270000000000001</v>
      </c>
      <c r="N18" s="8">
        <v>1.9990000000000001</v>
      </c>
      <c r="O18" s="8">
        <v>2.2080000000000002</v>
      </c>
      <c r="P18" s="9"/>
      <c r="Q18" s="8">
        <v>2.9750000000000001</v>
      </c>
      <c r="R18" s="9"/>
      <c r="S18" s="8">
        <v>1.7270000000000001</v>
      </c>
      <c r="T18" s="9"/>
      <c r="U18" s="8">
        <v>2.2160000000000002</v>
      </c>
      <c r="V18" s="9"/>
      <c r="Y18" s="3">
        <f t="shared" si="3"/>
        <v>2008</v>
      </c>
      <c r="Z18" s="3">
        <f>Q31</f>
        <v>2.7309999999999999</v>
      </c>
      <c r="AA18" s="3">
        <f>Q44</f>
        <v>3.23</v>
      </c>
      <c r="AB18" s="3">
        <f>Q48</f>
        <v>1.944</v>
      </c>
      <c r="AD18" s="3">
        <f t="shared" si="0"/>
        <v>21.931548757170169</v>
      </c>
      <c r="AE18" s="3">
        <f t="shared" si="1"/>
        <v>23.289270386266097</v>
      </c>
      <c r="AF18" s="3">
        <f t="shared" si="2"/>
        <v>12.986798154922855</v>
      </c>
    </row>
    <row r="19" spans="1:32" x14ac:dyDescent="0.25">
      <c r="A19" s="11" t="s">
        <v>74</v>
      </c>
      <c r="B19" s="12">
        <v>0.53800000000000003</v>
      </c>
      <c r="C19" s="12">
        <v>0.54600000000000004</v>
      </c>
      <c r="D19" s="12">
        <v>0.66700000000000004</v>
      </c>
      <c r="E19" s="12">
        <v>0.61599999999999999</v>
      </c>
      <c r="F19" s="12">
        <v>0.45400000000000001</v>
      </c>
      <c r="G19" s="12">
        <v>0.55200000000000005</v>
      </c>
      <c r="H19" s="12">
        <v>0.90400000000000003</v>
      </c>
      <c r="I19" s="12">
        <v>0.79100000000000004</v>
      </c>
      <c r="J19" s="12">
        <v>0.73499999999999999</v>
      </c>
      <c r="K19" s="12">
        <v>0.89100000000000001</v>
      </c>
      <c r="L19" s="12">
        <v>1.1910000000000001</v>
      </c>
      <c r="M19" s="12">
        <v>1.754</v>
      </c>
      <c r="N19" s="12">
        <v>2.0289999999999999</v>
      </c>
      <c r="O19" s="12">
        <v>2.23</v>
      </c>
      <c r="P19" s="13"/>
      <c r="Q19" s="12">
        <v>3.0129999999999999</v>
      </c>
      <c r="R19" s="13"/>
      <c r="S19" s="12">
        <v>1.73</v>
      </c>
      <c r="T19" s="13"/>
      <c r="U19" s="12">
        <v>2.2189999999999999</v>
      </c>
      <c r="V19" s="13"/>
      <c r="Y19" s="3">
        <f t="shared" si="3"/>
        <v>2009</v>
      </c>
      <c r="Z19" s="3">
        <f>S31</f>
        <v>1.8420000000000001</v>
      </c>
      <c r="AA19" s="3">
        <f>S44</f>
        <v>1.9179999999999999</v>
      </c>
      <c r="AB19" s="3">
        <f>S48</f>
        <v>1.34</v>
      </c>
      <c r="AD19" s="3">
        <f t="shared" si="0"/>
        <v>14.792351816443595</v>
      </c>
      <c r="AE19" s="3">
        <f t="shared" si="1"/>
        <v>13.829356223175964</v>
      </c>
      <c r="AF19" s="3">
        <f t="shared" si="2"/>
        <v>8.9518053125497055</v>
      </c>
    </row>
    <row r="20" spans="1:32" x14ac:dyDescent="0.25">
      <c r="A20" s="7" t="s">
        <v>73</v>
      </c>
      <c r="B20" s="8" t="s">
        <v>72</v>
      </c>
      <c r="C20" s="8" t="s">
        <v>72</v>
      </c>
      <c r="D20" s="8" t="s">
        <v>72</v>
      </c>
      <c r="E20" s="8" t="s">
        <v>72</v>
      </c>
      <c r="F20" s="8" t="s">
        <v>72</v>
      </c>
      <c r="G20" s="8" t="s">
        <v>72</v>
      </c>
      <c r="H20" s="8" t="s">
        <v>72</v>
      </c>
      <c r="I20" s="8" t="s">
        <v>72</v>
      </c>
      <c r="J20" s="8" t="s">
        <v>72</v>
      </c>
      <c r="K20" s="8" t="s">
        <v>72</v>
      </c>
      <c r="L20" s="8" t="s">
        <v>72</v>
      </c>
      <c r="M20" s="8" t="s">
        <v>72</v>
      </c>
      <c r="N20" s="8" t="s">
        <v>72</v>
      </c>
      <c r="O20" s="8">
        <v>2.258</v>
      </c>
      <c r="P20" s="9"/>
      <c r="Q20" s="8">
        <v>3.0219999999999998</v>
      </c>
      <c r="R20" s="9"/>
      <c r="S20" s="8">
        <v>1.742</v>
      </c>
      <c r="T20" s="9"/>
      <c r="U20" s="8">
        <v>2.222</v>
      </c>
      <c r="V20" s="9"/>
      <c r="Y20" s="3">
        <f t="shared" si="3"/>
        <v>2010</v>
      </c>
      <c r="Z20" s="3">
        <f>U31</f>
        <v>2.2669999999999999</v>
      </c>
      <c r="AA20" s="3">
        <f>U44</f>
        <v>2.415</v>
      </c>
      <c r="AB20" s="3">
        <f>U48</f>
        <v>1.7290000000000001</v>
      </c>
      <c r="AD20" s="3">
        <f t="shared" si="0"/>
        <v>18.205353728489481</v>
      </c>
      <c r="AE20" s="3">
        <f t="shared" si="1"/>
        <v>17.412875536480687</v>
      </c>
      <c r="AF20" s="3">
        <f t="shared" si="2"/>
        <v>11.550501033879435</v>
      </c>
    </row>
    <row r="21" spans="1:32" x14ac:dyDescent="0.25">
      <c r="A21" s="7" t="s">
        <v>71</v>
      </c>
      <c r="B21" s="8">
        <v>0.54200000000000004</v>
      </c>
      <c r="C21" s="8">
        <v>0.55100000000000005</v>
      </c>
      <c r="D21" s="8">
        <v>0.67300000000000004</v>
      </c>
      <c r="E21" s="8">
        <v>0.61899999999999999</v>
      </c>
      <c r="F21" s="8">
        <v>0.45700000000000002</v>
      </c>
      <c r="G21" s="8">
        <v>0.55700000000000005</v>
      </c>
      <c r="H21" s="8">
        <v>0.90900000000000003</v>
      </c>
      <c r="I21" s="8">
        <v>0.79400000000000004</v>
      </c>
      <c r="J21" s="8">
        <v>0.73799999999999999</v>
      </c>
      <c r="K21" s="8">
        <v>0.89500000000000002</v>
      </c>
      <c r="L21" s="8">
        <v>1.1970000000000001</v>
      </c>
      <c r="M21" s="8">
        <v>1.7609999999999999</v>
      </c>
      <c r="N21" s="8">
        <v>2.0449999999999999</v>
      </c>
      <c r="O21" s="8">
        <v>2.2109999999999999</v>
      </c>
      <c r="P21" s="9"/>
      <c r="Q21" s="8">
        <v>2.9830000000000001</v>
      </c>
      <c r="R21" s="9"/>
      <c r="S21" s="8">
        <v>1.6479999999999999</v>
      </c>
      <c r="T21" s="9"/>
      <c r="U21" s="8">
        <v>2.1800000000000002</v>
      </c>
      <c r="V21" s="9"/>
    </row>
    <row r="22" spans="1:32" x14ac:dyDescent="0.25">
      <c r="A22" s="11" t="s">
        <v>70</v>
      </c>
      <c r="B22" s="12">
        <v>0.51900000000000002</v>
      </c>
      <c r="C22" s="12">
        <v>0.52400000000000002</v>
      </c>
      <c r="D22" s="12">
        <v>0.63900000000000001</v>
      </c>
      <c r="E22" s="12">
        <v>0.60199999999999998</v>
      </c>
      <c r="F22" s="12">
        <v>0.437</v>
      </c>
      <c r="G22" s="12">
        <v>0.51900000000000002</v>
      </c>
      <c r="H22" s="12">
        <v>0.875</v>
      </c>
      <c r="I22" s="12">
        <v>0.77100000000000002</v>
      </c>
      <c r="J22" s="12">
        <v>0.71199999999999997</v>
      </c>
      <c r="K22" s="12">
        <v>0.87</v>
      </c>
      <c r="L22" s="12">
        <v>1.1459999999999999</v>
      </c>
      <c r="M22" s="12">
        <v>1.704</v>
      </c>
      <c r="N22" s="12">
        <v>1.915</v>
      </c>
      <c r="O22" s="12">
        <v>1.9590000000000001</v>
      </c>
      <c r="P22" s="13"/>
      <c r="Q22" s="12">
        <v>2.887</v>
      </c>
      <c r="R22" s="13"/>
      <c r="S22" s="12">
        <v>1.724</v>
      </c>
      <c r="T22" s="14" t="s">
        <v>30</v>
      </c>
      <c r="U22" s="12">
        <v>2.177</v>
      </c>
      <c r="V22" s="13"/>
    </row>
    <row r="23" spans="1:32" x14ac:dyDescent="0.25">
      <c r="A23" s="7" t="s">
        <v>69</v>
      </c>
      <c r="B23" s="8">
        <v>0.32200000000000001</v>
      </c>
      <c r="C23" s="8">
        <v>0.36599999999999999</v>
      </c>
      <c r="D23" s="8">
        <v>0.42699999999999999</v>
      </c>
      <c r="E23" s="8">
        <v>0.39600000000000002</v>
      </c>
      <c r="F23" s="8">
        <v>0.28399999999999997</v>
      </c>
      <c r="G23" s="8">
        <v>0.35499999999999998</v>
      </c>
      <c r="H23" s="8">
        <v>0.57899999999999996</v>
      </c>
      <c r="I23" s="8">
        <v>0.496</v>
      </c>
      <c r="J23" s="8">
        <v>0.52600000000000002</v>
      </c>
      <c r="K23" s="8">
        <v>0.67500000000000004</v>
      </c>
      <c r="L23" s="8">
        <v>0.68200000000000005</v>
      </c>
      <c r="M23" s="8">
        <v>1.006</v>
      </c>
      <c r="N23" s="8">
        <v>1.141</v>
      </c>
      <c r="O23" s="8">
        <v>1.3420000000000001</v>
      </c>
      <c r="P23" s="9"/>
      <c r="Q23" s="8">
        <v>1.851</v>
      </c>
      <c r="R23" s="9"/>
      <c r="S23" s="8">
        <v>1.341</v>
      </c>
      <c r="T23" s="9"/>
      <c r="U23" s="8">
        <v>1.7270000000000001</v>
      </c>
      <c r="V23" s="9"/>
      <c r="Z23" s="3" t="s">
        <v>94</v>
      </c>
      <c r="AD23" s="3" t="s">
        <v>95</v>
      </c>
    </row>
    <row r="24" spans="1:32" x14ac:dyDescent="0.25">
      <c r="A24" s="7" t="s">
        <v>68</v>
      </c>
      <c r="B24" s="8">
        <v>0.35</v>
      </c>
      <c r="C24" s="8">
        <v>0.38300000000000001</v>
      </c>
      <c r="D24" s="8">
        <v>0.46100000000000002</v>
      </c>
      <c r="E24" s="8">
        <v>0.42399999999999999</v>
      </c>
      <c r="F24" s="8">
        <v>0.30499999999999999</v>
      </c>
      <c r="G24" s="8">
        <v>0.38200000000000001</v>
      </c>
      <c r="H24" s="8">
        <v>0.63800000000000001</v>
      </c>
      <c r="I24" s="8">
        <v>0.54200000000000004</v>
      </c>
      <c r="J24" s="8">
        <v>0.54800000000000004</v>
      </c>
      <c r="K24" s="8">
        <v>0.73199999999999998</v>
      </c>
      <c r="L24" s="8">
        <v>0.74</v>
      </c>
      <c r="M24" s="8">
        <v>1.107</v>
      </c>
      <c r="N24" s="8">
        <v>1.2050000000000001</v>
      </c>
      <c r="O24" s="8">
        <v>1.377</v>
      </c>
      <c r="P24" s="9"/>
      <c r="Q24" s="8">
        <v>1.8979999999999999</v>
      </c>
      <c r="R24" s="9"/>
      <c r="S24" s="8">
        <v>1.349</v>
      </c>
      <c r="T24" s="9"/>
      <c r="U24" s="8">
        <v>1.8120000000000001</v>
      </c>
      <c r="V24" s="9"/>
      <c r="Z24" s="3" t="s">
        <v>96</v>
      </c>
      <c r="AD24" s="3" t="s">
        <v>95</v>
      </c>
    </row>
    <row r="25" spans="1:32" x14ac:dyDescent="0.25">
      <c r="A25" s="11" t="s">
        <v>67</v>
      </c>
      <c r="B25" s="12">
        <v>0.29799999999999999</v>
      </c>
      <c r="C25" s="12">
        <v>0.34399999999999997</v>
      </c>
      <c r="D25" s="12">
        <v>0.39700000000000002</v>
      </c>
      <c r="E25" s="12">
        <v>0.375</v>
      </c>
      <c r="F25" s="12">
        <v>0.27100000000000002</v>
      </c>
      <c r="G25" s="12">
        <v>0.33300000000000002</v>
      </c>
      <c r="H25" s="12">
        <v>0.52300000000000002</v>
      </c>
      <c r="I25" s="12">
        <v>0.438</v>
      </c>
      <c r="J25" s="12">
        <v>0.502</v>
      </c>
      <c r="K25" s="12">
        <v>0.621</v>
      </c>
      <c r="L25" s="12">
        <v>0.63800000000000001</v>
      </c>
      <c r="M25" s="12">
        <v>0.89900000000000002</v>
      </c>
      <c r="N25" s="12">
        <v>1.087</v>
      </c>
      <c r="O25" s="12">
        <v>1.3140000000000001</v>
      </c>
      <c r="P25" s="13"/>
      <c r="Q25" s="12">
        <v>1.821</v>
      </c>
      <c r="R25" s="13"/>
      <c r="S25" s="12">
        <v>1.337</v>
      </c>
      <c r="T25" s="13"/>
      <c r="U25" s="12">
        <v>1.694</v>
      </c>
      <c r="V25" s="13"/>
    </row>
    <row r="26" spans="1:32" x14ac:dyDescent="0.25">
      <c r="A26" s="7" t="s">
        <v>66</v>
      </c>
      <c r="B26" s="8">
        <v>0.33600000000000002</v>
      </c>
      <c r="C26" s="8">
        <v>0.35399999999999998</v>
      </c>
      <c r="D26" s="8">
        <v>0.47099999999999997</v>
      </c>
      <c r="E26" s="8">
        <v>0.42599999999999999</v>
      </c>
      <c r="F26" s="8">
        <v>0.29699999999999999</v>
      </c>
      <c r="G26" s="8">
        <v>0.35399999999999998</v>
      </c>
      <c r="H26" s="8">
        <v>0.60299999999999998</v>
      </c>
      <c r="I26" s="8">
        <v>0.55600000000000005</v>
      </c>
      <c r="J26" s="8">
        <v>0.44</v>
      </c>
      <c r="K26" s="8">
        <v>0.61499999999999999</v>
      </c>
      <c r="L26" s="8">
        <v>0.76100000000000001</v>
      </c>
      <c r="M26" s="8">
        <v>0.93899999999999995</v>
      </c>
      <c r="N26" s="8">
        <v>1.0409999999999999</v>
      </c>
      <c r="O26" s="8">
        <v>1.206</v>
      </c>
      <c r="P26" s="9"/>
      <c r="Q26" s="8">
        <v>1.4550000000000001</v>
      </c>
      <c r="R26" s="9"/>
      <c r="S26" s="8">
        <v>0.95499999999999996</v>
      </c>
      <c r="T26" s="9"/>
      <c r="U26" s="8">
        <v>1.226</v>
      </c>
      <c r="V26" s="9"/>
    </row>
    <row r="27" spans="1:32" x14ac:dyDescent="0.25">
      <c r="A27" s="20"/>
      <c r="B27" s="200">
        <v>0.72899999999999998</v>
      </c>
      <c r="C27" s="200">
        <v>0.76100000000000001</v>
      </c>
      <c r="D27" s="200">
        <v>0.84299999999999997</v>
      </c>
      <c r="E27" s="200">
        <v>0.83099999999999996</v>
      </c>
      <c r="F27" s="200">
        <v>0.66</v>
      </c>
      <c r="G27" s="200">
        <v>0.76200000000000001</v>
      </c>
      <c r="H27" s="200">
        <v>1.091</v>
      </c>
      <c r="I27" s="200">
        <v>1.022</v>
      </c>
      <c r="J27" s="200">
        <v>0.94299999999999995</v>
      </c>
      <c r="K27" s="200">
        <v>1.135</v>
      </c>
      <c r="L27" s="200">
        <v>1.423</v>
      </c>
      <c r="M27" s="200">
        <v>1.8280000000000001</v>
      </c>
      <c r="N27" s="200">
        <v>2.121</v>
      </c>
      <c r="O27" s="200">
        <v>2.3380000000000001</v>
      </c>
      <c r="P27" s="203"/>
      <c r="Q27" s="200">
        <v>2.7719999999999998</v>
      </c>
      <c r="R27" s="203"/>
      <c r="S27" s="200">
        <v>1.893</v>
      </c>
      <c r="T27" s="206" t="s">
        <v>30</v>
      </c>
      <c r="U27" s="200">
        <v>2.3159999999999998</v>
      </c>
      <c r="V27" s="203"/>
    </row>
    <row r="28" spans="1:32" x14ac:dyDescent="0.25">
      <c r="A28" s="19" t="s">
        <v>86</v>
      </c>
      <c r="B28" s="201"/>
      <c r="C28" s="201"/>
      <c r="D28" s="201"/>
      <c r="E28" s="201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4"/>
      <c r="Q28" s="201"/>
      <c r="R28" s="204"/>
      <c r="S28" s="201"/>
      <c r="T28" s="207"/>
      <c r="U28" s="201"/>
      <c r="V28" s="204"/>
    </row>
    <row r="29" spans="1:32" x14ac:dyDescent="0.25">
      <c r="A29" s="7" t="s">
        <v>85</v>
      </c>
      <c r="B29" s="202"/>
      <c r="C29" s="202"/>
      <c r="D29" s="202"/>
      <c r="E29" s="202"/>
      <c r="F29" s="202"/>
      <c r="G29" s="202"/>
      <c r="H29" s="202"/>
      <c r="I29" s="202"/>
      <c r="J29" s="202"/>
      <c r="K29" s="202"/>
      <c r="L29" s="202"/>
      <c r="M29" s="202"/>
      <c r="N29" s="202"/>
      <c r="O29" s="202"/>
      <c r="P29" s="205"/>
      <c r="Q29" s="202"/>
      <c r="R29" s="205"/>
      <c r="S29" s="202"/>
      <c r="T29" s="208"/>
      <c r="U29" s="202"/>
      <c r="V29" s="205"/>
    </row>
    <row r="30" spans="1:32" x14ac:dyDescent="0.25">
      <c r="A30" s="7" t="s">
        <v>84</v>
      </c>
      <c r="B30" s="8">
        <v>0.69</v>
      </c>
      <c r="C30" s="8">
        <v>0.72099999999999997</v>
      </c>
      <c r="D30" s="8">
        <v>0.80900000000000005</v>
      </c>
      <c r="E30" s="8">
        <v>0.79700000000000004</v>
      </c>
      <c r="F30" s="8">
        <v>0.623</v>
      </c>
      <c r="G30" s="8">
        <v>0.72799999999999998</v>
      </c>
      <c r="H30" s="8">
        <v>1.0629999999999999</v>
      </c>
      <c r="I30" s="8">
        <v>0.99299999999999999</v>
      </c>
      <c r="J30" s="8">
        <v>0.91500000000000004</v>
      </c>
      <c r="K30" s="8">
        <v>1.1080000000000001</v>
      </c>
      <c r="L30" s="8">
        <v>1.399</v>
      </c>
      <c r="M30" s="8">
        <v>1.8069999999999999</v>
      </c>
      <c r="N30" s="8">
        <v>2.0979999999999999</v>
      </c>
      <c r="O30" s="8">
        <v>2.3130000000000002</v>
      </c>
      <c r="P30" s="9"/>
      <c r="Q30" s="8">
        <v>2.75</v>
      </c>
      <c r="R30" s="9"/>
      <c r="S30" s="8">
        <v>1.867</v>
      </c>
      <c r="T30" s="10" t="s">
        <v>30</v>
      </c>
      <c r="U30" s="8">
        <v>2.29</v>
      </c>
      <c r="V30" s="9"/>
    </row>
    <row r="31" spans="1:32" x14ac:dyDescent="0.25">
      <c r="A31" s="11" t="s">
        <v>81</v>
      </c>
      <c r="B31" s="12">
        <v>0.68500000000000005</v>
      </c>
      <c r="C31" s="12">
        <v>0.71399999999999997</v>
      </c>
      <c r="D31" s="12">
        <v>0.80100000000000005</v>
      </c>
      <c r="E31" s="12">
        <v>0.78500000000000003</v>
      </c>
      <c r="F31" s="12">
        <v>0.61</v>
      </c>
      <c r="G31" s="12">
        <v>0.70799999999999996</v>
      </c>
      <c r="H31" s="12">
        <v>1.044</v>
      </c>
      <c r="I31" s="12">
        <v>0.96799999999999997</v>
      </c>
      <c r="J31" s="12">
        <v>0.90100000000000002</v>
      </c>
      <c r="K31" s="12">
        <v>1.0820000000000001</v>
      </c>
      <c r="L31" s="12">
        <v>1.373</v>
      </c>
      <c r="M31" s="12">
        <v>1.7889999999999999</v>
      </c>
      <c r="N31" s="12">
        <v>2.073</v>
      </c>
      <c r="O31" s="12">
        <v>2.2970000000000002</v>
      </c>
      <c r="P31" s="14" t="s">
        <v>78</v>
      </c>
      <c r="Q31" s="12">
        <v>2.7309999999999999</v>
      </c>
      <c r="R31" s="14" t="s">
        <v>78</v>
      </c>
      <c r="S31" s="12">
        <v>1.8420000000000001</v>
      </c>
      <c r="T31" s="14" t="s">
        <v>80</v>
      </c>
      <c r="U31" s="12">
        <v>2.2669999999999999</v>
      </c>
      <c r="V31" s="14" t="s">
        <v>78</v>
      </c>
    </row>
    <row r="32" spans="1:32" x14ac:dyDescent="0.25">
      <c r="A32" s="7" t="s">
        <v>79</v>
      </c>
      <c r="B32" s="8">
        <v>0.73699999999999999</v>
      </c>
      <c r="C32" s="8">
        <v>0.77300000000000002</v>
      </c>
      <c r="D32" s="8">
        <v>0.86099999999999999</v>
      </c>
      <c r="E32" s="8">
        <v>0.88700000000000001</v>
      </c>
      <c r="F32" s="8">
        <v>0.69399999999999995</v>
      </c>
      <c r="G32" s="8">
        <v>0.78200000000000003</v>
      </c>
      <c r="H32" s="8">
        <v>1.1180000000000001</v>
      </c>
      <c r="I32" s="8">
        <v>1.0589999999999999</v>
      </c>
      <c r="J32" s="8">
        <v>0.96399999999999997</v>
      </c>
      <c r="K32" s="8">
        <v>1.1419999999999999</v>
      </c>
      <c r="L32" s="8">
        <v>1.4139999999999999</v>
      </c>
      <c r="M32" s="8">
        <v>1.768</v>
      </c>
      <c r="N32" s="8">
        <v>2.0760000000000001</v>
      </c>
      <c r="O32" s="18"/>
      <c r="P32" s="10" t="s">
        <v>78</v>
      </c>
      <c r="Q32" s="18"/>
      <c r="R32" s="10" t="s">
        <v>78</v>
      </c>
      <c r="S32" s="18"/>
      <c r="T32" s="10" t="s">
        <v>78</v>
      </c>
      <c r="U32" s="18"/>
      <c r="V32" s="10" t="s">
        <v>78</v>
      </c>
    </row>
    <row r="33" spans="1:22" x14ac:dyDescent="0.25">
      <c r="A33" s="7" t="s">
        <v>77</v>
      </c>
      <c r="B33" s="8">
        <v>0.74299999999999999</v>
      </c>
      <c r="C33" s="8">
        <v>0.74099999999999999</v>
      </c>
      <c r="D33" s="8">
        <v>0.83299999999999996</v>
      </c>
      <c r="E33" s="8">
        <v>0.82199999999999995</v>
      </c>
      <c r="F33" s="8">
        <v>0.65100000000000002</v>
      </c>
      <c r="G33" s="8">
        <v>0.77700000000000002</v>
      </c>
      <c r="H33" s="8">
        <v>1.109</v>
      </c>
      <c r="I33" s="8">
        <v>1.0509999999999999</v>
      </c>
      <c r="J33" s="8">
        <v>0.94899999999999995</v>
      </c>
      <c r="K33" s="8">
        <v>1.1830000000000001</v>
      </c>
      <c r="L33" s="8">
        <v>1.478</v>
      </c>
      <c r="M33" s="8">
        <v>1.861</v>
      </c>
      <c r="N33" s="8">
        <v>2.1680000000000001</v>
      </c>
      <c r="O33" s="8">
        <v>2.3570000000000002</v>
      </c>
      <c r="P33" s="9"/>
      <c r="Q33" s="8">
        <v>2.8069999999999999</v>
      </c>
      <c r="R33" s="9"/>
      <c r="S33" s="8">
        <v>1.944</v>
      </c>
      <c r="T33" s="9"/>
      <c r="U33" s="8">
        <v>2.3580000000000001</v>
      </c>
      <c r="V33" s="9"/>
    </row>
    <row r="34" spans="1:22" x14ac:dyDescent="0.25">
      <c r="A34" s="11" t="s">
        <v>83</v>
      </c>
      <c r="B34" s="12">
        <v>0.77</v>
      </c>
      <c r="C34" s="12">
        <v>0.80200000000000005</v>
      </c>
      <c r="D34" s="12">
        <v>0.88500000000000001</v>
      </c>
      <c r="E34" s="12">
        <v>0.88</v>
      </c>
      <c r="F34" s="12">
        <v>0.71099999999999997</v>
      </c>
      <c r="G34" s="12">
        <v>0.81200000000000006</v>
      </c>
      <c r="H34" s="12">
        <v>1.1459999999999999</v>
      </c>
      <c r="I34" s="12">
        <v>1.0860000000000001</v>
      </c>
      <c r="J34" s="12">
        <v>1.002</v>
      </c>
      <c r="K34" s="12">
        <v>1.1950000000000001</v>
      </c>
      <c r="L34" s="12">
        <v>1.482</v>
      </c>
      <c r="M34" s="12">
        <v>1.877</v>
      </c>
      <c r="N34" s="12">
        <v>2.1829999999999998</v>
      </c>
      <c r="O34" s="12">
        <v>2.4119999999999999</v>
      </c>
      <c r="P34" s="13"/>
      <c r="Q34" s="12">
        <v>2.8460000000000001</v>
      </c>
      <c r="R34" s="13"/>
      <c r="S34" s="12">
        <v>1.9690000000000001</v>
      </c>
      <c r="T34" s="13"/>
      <c r="U34" s="12">
        <v>2.39</v>
      </c>
      <c r="V34" s="13"/>
    </row>
    <row r="35" spans="1:22" x14ac:dyDescent="0.25">
      <c r="A35" s="7" t="s">
        <v>81</v>
      </c>
      <c r="B35" s="8">
        <v>0.76600000000000001</v>
      </c>
      <c r="C35" s="8">
        <v>0.79300000000000004</v>
      </c>
      <c r="D35" s="8">
        <v>0.874</v>
      </c>
      <c r="E35" s="8">
        <v>0.86499999999999999</v>
      </c>
      <c r="F35" s="8">
        <v>0.69499999999999995</v>
      </c>
      <c r="G35" s="8">
        <v>0.78700000000000003</v>
      </c>
      <c r="H35" s="8">
        <v>1.1220000000000001</v>
      </c>
      <c r="I35" s="8">
        <v>1.052</v>
      </c>
      <c r="J35" s="8">
        <v>0.98499999999999999</v>
      </c>
      <c r="K35" s="8">
        <v>1.1659999999999999</v>
      </c>
      <c r="L35" s="8">
        <v>1.4530000000000001</v>
      </c>
      <c r="M35" s="8">
        <v>1.855</v>
      </c>
      <c r="N35" s="8">
        <v>2.1509999999999998</v>
      </c>
      <c r="O35" s="8">
        <v>2.3889999999999998</v>
      </c>
      <c r="P35" s="10" t="s">
        <v>78</v>
      </c>
      <c r="Q35" s="8">
        <v>2.8159999999999998</v>
      </c>
      <c r="R35" s="10" t="s">
        <v>78</v>
      </c>
      <c r="S35" s="8">
        <v>1.9339999999999999</v>
      </c>
      <c r="T35" s="10" t="s">
        <v>80</v>
      </c>
      <c r="U35" s="8">
        <v>2.3570000000000002</v>
      </c>
      <c r="V35" s="10" t="s">
        <v>78</v>
      </c>
    </row>
    <row r="36" spans="1:22" x14ac:dyDescent="0.25">
      <c r="A36" s="7" t="s">
        <v>79</v>
      </c>
      <c r="B36" s="8">
        <v>0.82099999999999995</v>
      </c>
      <c r="C36" s="8">
        <v>0.83799999999999997</v>
      </c>
      <c r="D36" s="8">
        <v>0.92900000000000005</v>
      </c>
      <c r="E36" s="8">
        <v>0.96399999999999997</v>
      </c>
      <c r="F36" s="8">
        <v>0.76300000000000001</v>
      </c>
      <c r="G36" s="8">
        <v>0.85299999999999998</v>
      </c>
      <c r="H36" s="8">
        <v>1.1850000000000001</v>
      </c>
      <c r="I36" s="8">
        <v>1.1200000000000001</v>
      </c>
      <c r="J36" s="8">
        <v>1.0309999999999999</v>
      </c>
      <c r="K36" s="8">
        <v>1.1930000000000001</v>
      </c>
      <c r="L36" s="8">
        <v>1.4590000000000001</v>
      </c>
      <c r="M36" s="8">
        <v>1.8240000000000001</v>
      </c>
      <c r="N36" s="8">
        <v>2.1379999999999999</v>
      </c>
      <c r="O36" s="18"/>
      <c r="P36" s="10" t="s">
        <v>78</v>
      </c>
      <c r="Q36" s="18"/>
      <c r="R36" s="10" t="s">
        <v>78</v>
      </c>
      <c r="S36" s="18"/>
      <c r="T36" s="10" t="s">
        <v>78</v>
      </c>
      <c r="U36" s="18"/>
      <c r="V36" s="10" t="s">
        <v>78</v>
      </c>
    </row>
    <row r="37" spans="1:22" x14ac:dyDescent="0.25">
      <c r="A37" s="11" t="s">
        <v>77</v>
      </c>
      <c r="B37" s="12">
        <v>0.85099999999999998</v>
      </c>
      <c r="C37" s="12">
        <v>0.82899999999999996</v>
      </c>
      <c r="D37" s="12">
        <v>0.91600000000000004</v>
      </c>
      <c r="E37" s="12">
        <v>0.91500000000000004</v>
      </c>
      <c r="F37" s="12">
        <v>0.748</v>
      </c>
      <c r="G37" s="12">
        <v>0.86899999999999999</v>
      </c>
      <c r="H37" s="12">
        <v>1.1970000000000001</v>
      </c>
      <c r="I37" s="12">
        <v>1.1559999999999999</v>
      </c>
      <c r="J37" s="12">
        <v>1.042</v>
      </c>
      <c r="K37" s="12">
        <v>1.2769999999999999</v>
      </c>
      <c r="L37" s="12">
        <v>1.569</v>
      </c>
      <c r="M37" s="12">
        <v>1.9450000000000001</v>
      </c>
      <c r="N37" s="12">
        <v>2.2730000000000001</v>
      </c>
      <c r="O37" s="12">
        <v>2.476</v>
      </c>
      <c r="P37" s="13"/>
      <c r="Q37" s="12">
        <v>2.9359999999999999</v>
      </c>
      <c r="R37" s="13"/>
      <c r="S37" s="12">
        <v>2.077</v>
      </c>
      <c r="T37" s="13"/>
      <c r="U37" s="12">
        <v>2.4940000000000002</v>
      </c>
      <c r="V37" s="13"/>
    </row>
    <row r="38" spans="1:22" x14ac:dyDescent="0.25">
      <c r="A38" s="7" t="s">
        <v>82</v>
      </c>
      <c r="B38" s="8">
        <v>0.85199999999999998</v>
      </c>
      <c r="C38" s="8">
        <v>0.88300000000000001</v>
      </c>
      <c r="D38" s="8">
        <v>0.96199999999999997</v>
      </c>
      <c r="E38" s="8">
        <v>0.95499999999999996</v>
      </c>
      <c r="F38" s="8">
        <v>0.78600000000000003</v>
      </c>
      <c r="G38" s="8">
        <v>0.88</v>
      </c>
      <c r="H38" s="8">
        <v>1.218</v>
      </c>
      <c r="I38" s="8">
        <v>1.1539999999999999</v>
      </c>
      <c r="J38" s="8">
        <v>1.081</v>
      </c>
      <c r="K38" s="8">
        <v>1.282</v>
      </c>
      <c r="L38" s="8">
        <v>1.58</v>
      </c>
      <c r="M38" s="8">
        <v>1.988</v>
      </c>
      <c r="N38" s="8">
        <v>2.3029999999999999</v>
      </c>
      <c r="O38" s="8">
        <v>2.5289999999999999</v>
      </c>
      <c r="P38" s="9"/>
      <c r="Q38" s="8">
        <v>2.9609999999999999</v>
      </c>
      <c r="R38" s="9"/>
      <c r="S38" s="8">
        <v>2.1240000000000001</v>
      </c>
      <c r="T38" s="10" t="s">
        <v>30</v>
      </c>
      <c r="U38" s="8">
        <v>2.5419999999999998</v>
      </c>
      <c r="V38" s="9"/>
    </row>
    <row r="39" spans="1:22" x14ac:dyDescent="0.25">
      <c r="A39" s="7" t="s">
        <v>81</v>
      </c>
      <c r="B39" s="8">
        <v>0.84599999999999997</v>
      </c>
      <c r="C39" s="8">
        <v>0.871</v>
      </c>
      <c r="D39" s="8">
        <v>0.95</v>
      </c>
      <c r="E39" s="8">
        <v>0.93899999999999995</v>
      </c>
      <c r="F39" s="8">
        <v>0.76900000000000002</v>
      </c>
      <c r="G39" s="8">
        <v>0.85599999999999998</v>
      </c>
      <c r="H39" s="8">
        <v>1.1919999999999999</v>
      </c>
      <c r="I39" s="8">
        <v>1.119</v>
      </c>
      <c r="J39" s="8">
        <v>1.0629999999999999</v>
      </c>
      <c r="K39" s="8">
        <v>1.2450000000000001</v>
      </c>
      <c r="L39" s="8">
        <v>1.538</v>
      </c>
      <c r="M39" s="8">
        <v>1.958</v>
      </c>
      <c r="N39" s="8">
        <v>2.2629999999999999</v>
      </c>
      <c r="O39" s="8">
        <v>2.4969999999999999</v>
      </c>
      <c r="P39" s="10" t="s">
        <v>78</v>
      </c>
      <c r="Q39" s="8">
        <v>2.9350000000000001</v>
      </c>
      <c r="R39" s="10" t="s">
        <v>78</v>
      </c>
      <c r="S39" s="8">
        <v>2.0819999999999999</v>
      </c>
      <c r="T39" s="10" t="s">
        <v>80</v>
      </c>
      <c r="U39" s="8">
        <v>2.504</v>
      </c>
      <c r="V39" s="10" t="s">
        <v>78</v>
      </c>
    </row>
    <row r="40" spans="1:22" x14ac:dyDescent="0.25">
      <c r="A40" s="11" t="s">
        <v>79</v>
      </c>
      <c r="B40" s="12">
        <v>0.90800000000000003</v>
      </c>
      <c r="C40" s="12">
        <v>0.93799999999999994</v>
      </c>
      <c r="D40" s="12">
        <v>1.0189999999999999</v>
      </c>
      <c r="E40" s="12">
        <v>1.054</v>
      </c>
      <c r="F40" s="12">
        <v>0.84499999999999997</v>
      </c>
      <c r="G40" s="12">
        <v>0.94</v>
      </c>
      <c r="H40" s="12">
        <v>1.2789999999999999</v>
      </c>
      <c r="I40" s="12">
        <v>1.218</v>
      </c>
      <c r="J40" s="12">
        <v>1.1279999999999999</v>
      </c>
      <c r="K40" s="12">
        <v>1.3069999999999999</v>
      </c>
      <c r="L40" s="12">
        <v>1.5680000000000001</v>
      </c>
      <c r="M40" s="12">
        <v>1.915</v>
      </c>
      <c r="N40" s="12">
        <v>2.2360000000000002</v>
      </c>
      <c r="O40" s="17"/>
      <c r="P40" s="14" t="s">
        <v>78</v>
      </c>
      <c r="Q40" s="17"/>
      <c r="R40" s="14" t="s">
        <v>78</v>
      </c>
      <c r="S40" s="17"/>
      <c r="T40" s="14" t="s">
        <v>78</v>
      </c>
      <c r="U40" s="17"/>
      <c r="V40" s="14" t="s">
        <v>78</v>
      </c>
    </row>
    <row r="41" spans="1:22" x14ac:dyDescent="0.25">
      <c r="A41" s="7" t="s">
        <v>77</v>
      </c>
      <c r="B41" s="8">
        <v>0.93700000000000006</v>
      </c>
      <c r="C41" s="8">
        <v>0.91400000000000003</v>
      </c>
      <c r="D41" s="8">
        <v>0.99099999999999999</v>
      </c>
      <c r="E41" s="8">
        <v>0.98799999999999999</v>
      </c>
      <c r="F41" s="8">
        <v>0.82199999999999995</v>
      </c>
      <c r="G41" s="8">
        <v>0.93100000000000005</v>
      </c>
      <c r="H41" s="8">
        <v>1.2669999999999999</v>
      </c>
      <c r="I41" s="8">
        <v>1.2170000000000001</v>
      </c>
      <c r="J41" s="8">
        <v>1.1160000000000001</v>
      </c>
      <c r="K41" s="8">
        <v>1.355</v>
      </c>
      <c r="L41" s="8">
        <v>1.66</v>
      </c>
      <c r="M41" s="8">
        <v>2.0430000000000001</v>
      </c>
      <c r="N41" s="8">
        <v>2.3730000000000002</v>
      </c>
      <c r="O41" s="8">
        <v>2.5840000000000001</v>
      </c>
      <c r="P41" s="9"/>
      <c r="Q41" s="8">
        <v>3.004</v>
      </c>
      <c r="R41" s="9"/>
      <c r="S41" s="8">
        <v>2.1960000000000002</v>
      </c>
      <c r="T41" s="10" t="s">
        <v>30</v>
      </c>
      <c r="U41" s="8">
        <v>2.6070000000000002</v>
      </c>
      <c r="V41" s="9"/>
    </row>
    <row r="42" spans="1:22" x14ac:dyDescent="0.25">
      <c r="A42" s="7" t="s">
        <v>76</v>
      </c>
      <c r="B42" s="8">
        <v>0.67500000000000004</v>
      </c>
      <c r="C42" s="8">
        <v>0.67300000000000004</v>
      </c>
      <c r="D42" s="8">
        <v>0.79300000000000004</v>
      </c>
      <c r="E42" s="8">
        <v>0.753</v>
      </c>
      <c r="F42" s="8">
        <v>0.59899999999999998</v>
      </c>
      <c r="G42" s="8">
        <v>0.67800000000000005</v>
      </c>
      <c r="H42" s="8">
        <v>1.044</v>
      </c>
      <c r="I42" s="8">
        <v>0.94799999999999995</v>
      </c>
      <c r="J42" s="8">
        <v>0.874</v>
      </c>
      <c r="K42" s="8">
        <v>1.0580000000000001</v>
      </c>
      <c r="L42" s="8">
        <v>1.339</v>
      </c>
      <c r="M42" s="8">
        <v>1.895</v>
      </c>
      <c r="N42" s="8">
        <v>2.1760000000000002</v>
      </c>
      <c r="O42" s="8">
        <v>2.3650000000000002</v>
      </c>
      <c r="P42" s="9"/>
      <c r="Q42" s="8">
        <v>3.222</v>
      </c>
      <c r="R42" s="9"/>
      <c r="S42" s="8">
        <v>1.964</v>
      </c>
      <c r="T42" s="9"/>
      <c r="U42" s="8">
        <v>2.4489999999999998</v>
      </c>
      <c r="V42" s="9"/>
    </row>
    <row r="43" spans="1:22" x14ac:dyDescent="0.25">
      <c r="A43" s="11" t="s">
        <v>75</v>
      </c>
      <c r="B43" s="12">
        <v>0.88400000000000001</v>
      </c>
      <c r="C43" s="12">
        <v>0.86699999999999999</v>
      </c>
      <c r="D43" s="12">
        <v>0.98899999999999999</v>
      </c>
      <c r="E43" s="12">
        <v>0.98399999999999999</v>
      </c>
      <c r="F43" s="12">
        <v>0.85199999999999998</v>
      </c>
      <c r="G43" s="12">
        <v>0.876</v>
      </c>
      <c r="H43" s="12">
        <v>1.3109999999999999</v>
      </c>
      <c r="I43" s="12">
        <v>1.25</v>
      </c>
      <c r="J43" s="12">
        <v>1.129</v>
      </c>
      <c r="K43" s="12">
        <v>1.355</v>
      </c>
      <c r="L43" s="12">
        <v>1.548</v>
      </c>
      <c r="M43" s="12">
        <v>2.052</v>
      </c>
      <c r="N43" s="12">
        <v>2.3650000000000002</v>
      </c>
      <c r="O43" s="12">
        <v>2.5920000000000001</v>
      </c>
      <c r="P43" s="13"/>
      <c r="Q43" s="12">
        <v>3.2189999999999999</v>
      </c>
      <c r="R43" s="13"/>
      <c r="S43" s="12">
        <v>2.3860000000000001</v>
      </c>
      <c r="T43" s="13"/>
      <c r="U43" s="12">
        <v>2.798</v>
      </c>
      <c r="V43" s="13"/>
    </row>
    <row r="44" spans="1:22" x14ac:dyDescent="0.25">
      <c r="A44" s="7" t="s">
        <v>74</v>
      </c>
      <c r="B44" s="8">
        <v>0.628</v>
      </c>
      <c r="C44" s="8">
        <v>0.63600000000000001</v>
      </c>
      <c r="D44" s="8">
        <v>0.75700000000000001</v>
      </c>
      <c r="E44" s="8">
        <v>0.71399999999999997</v>
      </c>
      <c r="F44" s="8">
        <v>0.56200000000000006</v>
      </c>
      <c r="G44" s="8">
        <v>0.65400000000000003</v>
      </c>
      <c r="H44" s="8">
        <v>1.006</v>
      </c>
      <c r="I44" s="8">
        <v>0.91200000000000003</v>
      </c>
      <c r="J44" s="8">
        <v>0.83699999999999997</v>
      </c>
      <c r="K44" s="8">
        <v>1.008</v>
      </c>
      <c r="L44" s="8">
        <v>1.3160000000000001</v>
      </c>
      <c r="M44" s="8">
        <v>1.8859999999999999</v>
      </c>
      <c r="N44" s="8">
        <v>2.165</v>
      </c>
      <c r="O44" s="8">
        <v>2.3479999999999999</v>
      </c>
      <c r="P44" s="9"/>
      <c r="Q44" s="8">
        <v>3.23</v>
      </c>
      <c r="R44" s="9"/>
      <c r="S44" s="8">
        <v>1.9179999999999999</v>
      </c>
      <c r="T44" s="9"/>
      <c r="U44" s="8">
        <v>2.415</v>
      </c>
      <c r="V44" s="9"/>
    </row>
    <row r="45" spans="1:22" x14ac:dyDescent="0.25">
      <c r="A45" s="7" t="s">
        <v>73</v>
      </c>
      <c r="B45" s="8" t="s">
        <v>72</v>
      </c>
      <c r="C45" s="8" t="s">
        <v>72</v>
      </c>
      <c r="D45" s="8" t="s">
        <v>72</v>
      </c>
      <c r="E45" s="8" t="s">
        <v>72</v>
      </c>
      <c r="F45" s="8" t="s">
        <v>72</v>
      </c>
      <c r="G45" s="8" t="s">
        <v>72</v>
      </c>
      <c r="H45" s="8" t="s">
        <v>72</v>
      </c>
      <c r="I45" s="8" t="s">
        <v>72</v>
      </c>
      <c r="J45" s="8" t="s">
        <v>72</v>
      </c>
      <c r="K45" s="8" t="s">
        <v>72</v>
      </c>
      <c r="L45" s="8" t="s">
        <v>72</v>
      </c>
      <c r="M45" s="8" t="s">
        <v>72</v>
      </c>
      <c r="N45" s="8" t="s">
        <v>72</v>
      </c>
      <c r="O45" s="8">
        <v>2.3860000000000001</v>
      </c>
      <c r="P45" s="9"/>
      <c r="Q45" s="8">
        <v>3.2330000000000001</v>
      </c>
      <c r="R45" s="9"/>
      <c r="S45" s="8">
        <v>1.9219999999999999</v>
      </c>
      <c r="T45" s="9"/>
      <c r="U45" s="8">
        <v>2.423</v>
      </c>
      <c r="V45" s="9"/>
    </row>
    <row r="46" spans="1:22" x14ac:dyDescent="0.25">
      <c r="A46" s="11" t="s">
        <v>71</v>
      </c>
      <c r="B46" s="12">
        <v>0.64200000000000002</v>
      </c>
      <c r="C46" s="12">
        <v>0.64500000000000002</v>
      </c>
      <c r="D46" s="12">
        <v>0.76700000000000002</v>
      </c>
      <c r="E46" s="12">
        <v>0.71899999999999997</v>
      </c>
      <c r="F46" s="12">
        <v>0.56499999999999995</v>
      </c>
      <c r="G46" s="12">
        <v>0.66300000000000003</v>
      </c>
      <c r="H46" s="12">
        <v>1.014</v>
      </c>
      <c r="I46" s="12">
        <v>0.91700000000000004</v>
      </c>
      <c r="J46" s="12">
        <v>0.84099999999999997</v>
      </c>
      <c r="K46" s="12">
        <v>1.014</v>
      </c>
      <c r="L46" s="12">
        <v>1.325</v>
      </c>
      <c r="M46" s="12">
        <v>1.899</v>
      </c>
      <c r="N46" s="12">
        <v>2.1829999999999998</v>
      </c>
      <c r="O46" s="12">
        <v>2.3170000000000002</v>
      </c>
      <c r="P46" s="13"/>
      <c r="Q46" s="12">
        <v>3.2320000000000002</v>
      </c>
      <c r="R46" s="13"/>
      <c r="S46" s="12">
        <v>1.913</v>
      </c>
      <c r="T46" s="13"/>
      <c r="U46" s="12">
        <v>2.3809999999999998</v>
      </c>
      <c r="V46" s="13"/>
    </row>
    <row r="47" spans="1:22" x14ac:dyDescent="0.25">
      <c r="A47" s="7" t="s">
        <v>70</v>
      </c>
      <c r="B47" s="8">
        <v>0.59799999999999998</v>
      </c>
      <c r="C47" s="8">
        <v>0.61399999999999999</v>
      </c>
      <c r="D47" s="8">
        <v>0.73199999999999998</v>
      </c>
      <c r="E47" s="8">
        <v>0.69799999999999995</v>
      </c>
      <c r="F47" s="8">
        <v>0.55500000000000005</v>
      </c>
      <c r="G47" s="8">
        <v>0.62</v>
      </c>
      <c r="H47" s="8">
        <v>0.98099999999999998</v>
      </c>
      <c r="I47" s="8">
        <v>0.89200000000000002</v>
      </c>
      <c r="J47" s="8">
        <v>0.82199999999999995</v>
      </c>
      <c r="K47" s="8">
        <v>0.98599999999999999</v>
      </c>
      <c r="L47" s="8">
        <v>1.2809999999999999</v>
      </c>
      <c r="M47" s="8">
        <v>1.833</v>
      </c>
      <c r="N47" s="8">
        <v>2.0840000000000001</v>
      </c>
      <c r="O47" s="8">
        <v>2.1869999999999998</v>
      </c>
      <c r="P47" s="9"/>
      <c r="Q47" s="8">
        <v>3.1869999999999998</v>
      </c>
      <c r="R47" s="9"/>
      <c r="S47" s="8">
        <v>1.865</v>
      </c>
      <c r="T47" s="9"/>
      <c r="U47" s="8">
        <v>2.3079999999999998</v>
      </c>
      <c r="V47" s="9"/>
    </row>
    <row r="48" spans="1:22" x14ac:dyDescent="0.25">
      <c r="A48" s="7" t="s">
        <v>69</v>
      </c>
      <c r="B48" s="8">
        <v>0.35799999999999998</v>
      </c>
      <c r="C48" s="8">
        <v>0.39700000000000002</v>
      </c>
      <c r="D48" s="8">
        <v>0.46400000000000002</v>
      </c>
      <c r="E48" s="8">
        <v>0.42899999999999999</v>
      </c>
      <c r="F48" s="8">
        <v>0.311</v>
      </c>
      <c r="G48" s="8">
        <v>0.378</v>
      </c>
      <c r="H48" s="8">
        <v>0.60899999999999999</v>
      </c>
      <c r="I48" s="8">
        <v>0.53300000000000003</v>
      </c>
      <c r="J48" s="8">
        <v>0.56100000000000005</v>
      </c>
      <c r="K48" s="8">
        <v>0.69599999999999995</v>
      </c>
      <c r="L48" s="8">
        <v>0.72499999999999998</v>
      </c>
      <c r="M48" s="8">
        <v>1.0409999999999999</v>
      </c>
      <c r="N48" s="8">
        <v>1.212</v>
      </c>
      <c r="O48" s="8">
        <v>1.3759999999999999</v>
      </c>
      <c r="P48" s="9"/>
      <c r="Q48" s="8">
        <v>1.944</v>
      </c>
      <c r="R48" s="9"/>
      <c r="S48" s="8">
        <v>1.34</v>
      </c>
      <c r="T48" s="10" t="s">
        <v>30</v>
      </c>
      <c r="U48" s="8">
        <v>1.7290000000000001</v>
      </c>
      <c r="V48" s="9"/>
    </row>
    <row r="49" spans="1:22" x14ac:dyDescent="0.25">
      <c r="A49" s="11" t="s">
        <v>68</v>
      </c>
      <c r="B49" s="12">
        <v>0.40300000000000002</v>
      </c>
      <c r="C49" s="12">
        <v>0.433</v>
      </c>
      <c r="D49" s="12">
        <v>0.52900000000000003</v>
      </c>
      <c r="E49" s="12">
        <v>0.47199999999999998</v>
      </c>
      <c r="F49" s="12">
        <v>0.35599999999999998</v>
      </c>
      <c r="G49" s="12">
        <v>0.40600000000000003</v>
      </c>
      <c r="H49" s="12">
        <v>0.68300000000000005</v>
      </c>
      <c r="I49" s="12">
        <v>0.62</v>
      </c>
      <c r="J49" s="12">
        <v>0.61199999999999999</v>
      </c>
      <c r="K49" s="12">
        <v>0.78500000000000003</v>
      </c>
      <c r="L49" s="12">
        <v>0.79400000000000004</v>
      </c>
      <c r="M49" s="12">
        <v>1.1479999999999999</v>
      </c>
      <c r="N49" s="12">
        <v>1.3220000000000001</v>
      </c>
      <c r="O49" s="12">
        <v>1.4450000000000001</v>
      </c>
      <c r="P49" s="13"/>
      <c r="Q49" s="12">
        <v>2.0979999999999999</v>
      </c>
      <c r="R49" s="13"/>
      <c r="S49" s="12">
        <v>1.4219999999999999</v>
      </c>
      <c r="T49" s="13"/>
      <c r="U49" s="12">
        <v>1.9530000000000001</v>
      </c>
      <c r="V49" s="13"/>
    </row>
    <row r="50" spans="1:22" x14ac:dyDescent="0.25">
      <c r="A50" s="7" t="s">
        <v>67</v>
      </c>
      <c r="B50" s="8">
        <v>0.32700000000000001</v>
      </c>
      <c r="C50" s="8">
        <v>0.376</v>
      </c>
      <c r="D50" s="8">
        <v>0.43</v>
      </c>
      <c r="E50" s="8">
        <v>0.40699999999999997</v>
      </c>
      <c r="F50" s="8">
        <v>0.29199999999999998</v>
      </c>
      <c r="G50" s="8">
        <v>0.36599999999999999</v>
      </c>
      <c r="H50" s="8">
        <v>0.57599999999999996</v>
      </c>
      <c r="I50" s="8">
        <v>0.498</v>
      </c>
      <c r="J50" s="8">
        <v>0.54</v>
      </c>
      <c r="K50" s="8">
        <v>0.65100000000000002</v>
      </c>
      <c r="L50" s="8">
        <v>0.68700000000000006</v>
      </c>
      <c r="M50" s="8">
        <v>0.98499999999999999</v>
      </c>
      <c r="N50" s="8">
        <v>1.175</v>
      </c>
      <c r="O50" s="8">
        <v>1.3540000000000001</v>
      </c>
      <c r="P50" s="9"/>
      <c r="Q50" s="8">
        <v>1.8959999999999999</v>
      </c>
      <c r="R50" s="9"/>
      <c r="S50" s="8">
        <v>1.3120000000000001</v>
      </c>
      <c r="T50" s="10" t="s">
        <v>30</v>
      </c>
      <c r="U50" s="8">
        <v>1.6619999999999999</v>
      </c>
      <c r="V50" s="9"/>
    </row>
    <row r="51" spans="1:22" x14ac:dyDescent="0.25">
      <c r="A51" s="7" t="s">
        <v>66</v>
      </c>
      <c r="B51" s="8">
        <v>0.77600000000000002</v>
      </c>
      <c r="C51" s="8">
        <v>0.76600000000000001</v>
      </c>
      <c r="D51" s="8">
        <v>0.88600000000000001</v>
      </c>
      <c r="E51" s="8">
        <v>0.878</v>
      </c>
      <c r="F51" s="8">
        <v>0.77400000000000002</v>
      </c>
      <c r="G51" s="8">
        <v>0.78100000000000003</v>
      </c>
      <c r="H51" s="8">
        <v>1.048</v>
      </c>
      <c r="I51" s="8">
        <v>1.0940000000000001</v>
      </c>
      <c r="J51" s="8">
        <v>0.95799999999999996</v>
      </c>
      <c r="K51" s="8">
        <v>1.1499999999999999</v>
      </c>
      <c r="L51" s="8">
        <v>1.3069999999999999</v>
      </c>
      <c r="M51" s="8">
        <v>1.53</v>
      </c>
      <c r="N51" s="8">
        <v>1.7270000000000001</v>
      </c>
      <c r="O51" s="8">
        <v>1.8879999999999999</v>
      </c>
      <c r="P51" s="9"/>
      <c r="Q51" s="8">
        <v>2.2450000000000001</v>
      </c>
      <c r="R51" s="9"/>
      <c r="S51" s="8">
        <v>1.7769999999999999</v>
      </c>
      <c r="T51" s="9"/>
      <c r="U51" s="8">
        <v>1.976</v>
      </c>
      <c r="V51" s="9"/>
    </row>
    <row r="52" spans="1:22" x14ac:dyDescent="0.25">
      <c r="A52" s="174" t="s">
        <v>31</v>
      </c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 t="s">
        <v>65</v>
      </c>
      <c r="M52" s="175"/>
      <c r="N52" s="175"/>
      <c r="O52" s="175"/>
      <c r="P52" s="175"/>
      <c r="Q52" s="175"/>
      <c r="R52" s="175"/>
      <c r="S52" s="175"/>
      <c r="T52" s="175"/>
      <c r="U52" s="175"/>
      <c r="V52" s="176"/>
    </row>
    <row r="53" spans="1:22" x14ac:dyDescent="0.25">
      <c r="A53" s="166" t="s">
        <v>64</v>
      </c>
      <c r="B53" s="167"/>
      <c r="C53" s="167"/>
      <c r="D53" s="167"/>
      <c r="E53" s="167"/>
      <c r="F53" s="167"/>
      <c r="G53" s="167"/>
      <c r="H53" s="167"/>
      <c r="I53" s="167"/>
      <c r="J53" s="167"/>
      <c r="K53" s="167"/>
      <c r="L53" s="164" t="s">
        <v>63</v>
      </c>
      <c r="M53" s="164"/>
      <c r="N53" s="164"/>
      <c r="O53" s="164"/>
      <c r="P53" s="164"/>
      <c r="Q53" s="164"/>
      <c r="R53" s="164"/>
      <c r="S53" s="164"/>
      <c r="T53" s="164"/>
      <c r="U53" s="164"/>
      <c r="V53" s="165"/>
    </row>
    <row r="54" spans="1:22" x14ac:dyDescent="0.25">
      <c r="A54" s="162" t="s">
        <v>62</v>
      </c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5"/>
    </row>
    <row r="55" spans="1:22" x14ac:dyDescent="0.25">
      <c r="A55" s="162" t="s">
        <v>61</v>
      </c>
      <c r="B55" s="163"/>
      <c r="C55" s="163"/>
      <c r="D55" s="163"/>
      <c r="E55" s="163"/>
      <c r="F55" s="163"/>
      <c r="G55" s="163"/>
      <c r="H55" s="163"/>
      <c r="I55" s="163"/>
      <c r="J55" s="163"/>
      <c r="K55" s="163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5"/>
    </row>
    <row r="56" spans="1:22" ht="15" customHeight="1" x14ac:dyDescent="0.25">
      <c r="A56" s="166" t="s">
        <v>60</v>
      </c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8" t="s">
        <v>59</v>
      </c>
      <c r="M56" s="168"/>
      <c r="N56" s="168"/>
      <c r="O56" s="168"/>
      <c r="P56" s="168"/>
      <c r="Q56" s="168"/>
      <c r="R56" s="168"/>
      <c r="S56" s="168"/>
      <c r="T56" s="168"/>
      <c r="U56" s="168"/>
      <c r="V56" s="169"/>
    </row>
    <row r="57" spans="1:22" x14ac:dyDescent="0.25">
      <c r="A57" s="166" t="s">
        <v>58</v>
      </c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4" t="s">
        <v>57</v>
      </c>
      <c r="M57" s="164"/>
      <c r="N57" s="164"/>
      <c r="O57" s="164"/>
      <c r="P57" s="164"/>
      <c r="Q57" s="164"/>
      <c r="R57" s="164"/>
      <c r="S57" s="164"/>
      <c r="T57" s="164"/>
      <c r="U57" s="164"/>
      <c r="V57" s="165"/>
    </row>
    <row r="58" spans="1:22" x14ac:dyDescent="0.25">
      <c r="A58" s="166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4" t="s">
        <v>56</v>
      </c>
      <c r="M58" s="164"/>
      <c r="N58" s="164"/>
      <c r="O58" s="164"/>
      <c r="P58" s="164"/>
      <c r="Q58" s="164"/>
      <c r="R58" s="164"/>
      <c r="S58" s="164"/>
      <c r="T58" s="164"/>
      <c r="U58" s="164"/>
      <c r="V58" s="165"/>
    </row>
    <row r="59" spans="1:22" x14ac:dyDescent="0.25">
      <c r="A59" s="166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4" t="s">
        <v>55</v>
      </c>
      <c r="M59" s="164"/>
      <c r="N59" s="164"/>
      <c r="O59" s="164"/>
      <c r="P59" s="164"/>
      <c r="Q59" s="164"/>
      <c r="R59" s="164"/>
      <c r="S59" s="164"/>
      <c r="T59" s="164"/>
      <c r="U59" s="164"/>
      <c r="V59" s="165"/>
    </row>
    <row r="60" spans="1:22" x14ac:dyDescent="0.25">
      <c r="A60" s="166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4" t="s">
        <v>54</v>
      </c>
      <c r="M60" s="164"/>
      <c r="N60" s="164"/>
      <c r="O60" s="164"/>
      <c r="P60" s="164"/>
      <c r="Q60" s="164"/>
      <c r="R60" s="164"/>
      <c r="S60" s="164"/>
      <c r="T60" s="164"/>
      <c r="U60" s="164"/>
      <c r="V60" s="165"/>
    </row>
    <row r="61" spans="1:22" x14ac:dyDescent="0.25">
      <c r="A61" s="209" t="s">
        <v>53</v>
      </c>
      <c r="B61" s="210"/>
      <c r="C61" s="210"/>
      <c r="D61" s="210"/>
      <c r="E61" s="210"/>
      <c r="F61" s="210"/>
      <c r="G61" s="210"/>
      <c r="H61" s="210"/>
      <c r="I61" s="210"/>
      <c r="J61" s="210"/>
      <c r="K61" s="210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2"/>
    </row>
  </sheetData>
  <mergeCells count="63">
    <mergeCell ref="G4:G5"/>
    <mergeCell ref="A1:V1"/>
    <mergeCell ref="A2:V2"/>
    <mergeCell ref="O3:P3"/>
    <mergeCell ref="Q3:R3"/>
    <mergeCell ref="S3:T3"/>
    <mergeCell ref="U3:V3"/>
    <mergeCell ref="B4:B5"/>
    <mergeCell ref="C4:C5"/>
    <mergeCell ref="D4:D5"/>
    <mergeCell ref="E4:E5"/>
    <mergeCell ref="F4:F5"/>
    <mergeCell ref="I4:I5"/>
    <mergeCell ref="J4:J5"/>
    <mergeCell ref="K4:K5"/>
    <mergeCell ref="A52:K52"/>
    <mergeCell ref="L52:V52"/>
    <mergeCell ref="H4:H5"/>
    <mergeCell ref="K27:K29"/>
    <mergeCell ref="L27:L29"/>
    <mergeCell ref="M27:M29"/>
    <mergeCell ref="N27:N29"/>
    <mergeCell ref="M4:M5"/>
    <mergeCell ref="U4:U5"/>
    <mergeCell ref="V4:V5"/>
    <mergeCell ref="B27:B29"/>
    <mergeCell ref="C27:C29"/>
    <mergeCell ref="N4:N5"/>
    <mergeCell ref="O4:O5"/>
    <mergeCell ref="P4:P5"/>
    <mergeCell ref="Q4:Q5"/>
    <mergeCell ref="H27:H29"/>
    <mergeCell ref="R4:R5"/>
    <mergeCell ref="T4:T5"/>
    <mergeCell ref="U27:U29"/>
    <mergeCell ref="V27:V29"/>
    <mergeCell ref="L4:L5"/>
    <mergeCell ref="S4:S5"/>
    <mergeCell ref="A61:K61"/>
    <mergeCell ref="L61:V61"/>
    <mergeCell ref="A56:K56"/>
    <mergeCell ref="L56:V56"/>
    <mergeCell ref="A57:K60"/>
    <mergeCell ref="L57:V57"/>
    <mergeCell ref="L58:V58"/>
    <mergeCell ref="L59:V59"/>
    <mergeCell ref="L60:V60"/>
    <mergeCell ref="D27:D29"/>
    <mergeCell ref="A53:K53"/>
    <mergeCell ref="L53:V55"/>
    <mergeCell ref="A54:K54"/>
    <mergeCell ref="A55:K55"/>
    <mergeCell ref="O27:O29"/>
    <mergeCell ref="P27:P29"/>
    <mergeCell ref="Q27:Q29"/>
    <mergeCell ref="R27:R29"/>
    <mergeCell ref="S27:S29"/>
    <mergeCell ref="T27:T29"/>
    <mergeCell ref="I27:I29"/>
    <mergeCell ref="J27:J29"/>
    <mergeCell ref="E27:E29"/>
    <mergeCell ref="F27:F29"/>
    <mergeCell ref="G27:G29"/>
  </mergeCells>
  <hyperlinks>
    <hyperlink ref="L56" r:id="rId1" display="http://www.eia.gov/petroleum/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61"/>
  <sheetViews>
    <sheetView showGridLines="0" topLeftCell="M3" workbookViewId="0">
      <selection activeCell="W21" sqref="W21"/>
    </sheetView>
  </sheetViews>
  <sheetFormatPr defaultColWidth="9.140625" defaultRowHeight="15" x14ac:dyDescent="0.25"/>
  <cols>
    <col min="1" max="1" width="22.7109375" style="3" customWidth="1"/>
    <col min="2" max="11" width="4.7109375" style="3" customWidth="1"/>
    <col min="12" max="14" width="7.5703125" style="3" customWidth="1"/>
    <col min="15" max="15" width="7.42578125" style="3" customWidth="1"/>
    <col min="16" max="16" width="3.28515625" style="3" customWidth="1"/>
    <col min="17" max="17" width="7.42578125" style="3" customWidth="1"/>
    <col min="18" max="18" width="3.28515625" style="3" customWidth="1"/>
    <col min="19" max="19" width="7.42578125" style="3" customWidth="1"/>
    <col min="20" max="20" width="5" style="3" customWidth="1"/>
    <col min="21" max="21" width="7.42578125" style="3" customWidth="1"/>
    <col min="22" max="22" width="3.28515625" style="3" customWidth="1"/>
    <col min="23" max="25" width="9.140625" style="3"/>
    <col min="26" max="28" width="9.5703125" style="3" bestFit="1" customWidth="1"/>
    <col min="29" max="16384" width="9.140625" style="3"/>
  </cols>
  <sheetData>
    <row r="1" spans="1:32" ht="15.75" customHeight="1" x14ac:dyDescent="0.25">
      <c r="A1" s="184" t="s">
        <v>91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6"/>
    </row>
    <row r="2" spans="1:32" x14ac:dyDescent="0.25">
      <c r="A2" s="187" t="s">
        <v>90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9"/>
      <c r="AD2" s="3" t="s">
        <v>97</v>
      </c>
    </row>
    <row r="3" spans="1:32" x14ac:dyDescent="0.25">
      <c r="A3" s="138" t="s">
        <v>89</v>
      </c>
      <c r="B3" s="139">
        <v>1994</v>
      </c>
      <c r="C3" s="139">
        <v>1995</v>
      </c>
      <c r="D3" s="139">
        <v>1996</v>
      </c>
      <c r="E3" s="139">
        <v>1997</v>
      </c>
      <c r="F3" s="139">
        <v>1998</v>
      </c>
      <c r="G3" s="139">
        <v>1999</v>
      </c>
      <c r="H3" s="139">
        <v>2000</v>
      </c>
      <c r="I3" s="139">
        <v>2001</v>
      </c>
      <c r="J3" s="139">
        <v>2002</v>
      </c>
      <c r="K3" s="139">
        <v>2003</v>
      </c>
      <c r="L3" s="139">
        <v>2004</v>
      </c>
      <c r="M3" s="139">
        <v>2005</v>
      </c>
      <c r="N3" s="139">
        <v>2006</v>
      </c>
      <c r="O3" s="197">
        <v>2007</v>
      </c>
      <c r="P3" s="199"/>
      <c r="Q3" s="197">
        <v>2008</v>
      </c>
      <c r="R3" s="199"/>
      <c r="S3" s="197">
        <v>2009</v>
      </c>
      <c r="T3" s="199"/>
      <c r="U3" s="197" t="s">
        <v>88</v>
      </c>
      <c r="V3" s="199"/>
      <c r="Z3" s="3" t="s">
        <v>92</v>
      </c>
      <c r="AA3" s="3" t="s">
        <v>93</v>
      </c>
      <c r="AB3" s="3" t="s">
        <v>154</v>
      </c>
      <c r="AD3" s="3" t="s">
        <v>92</v>
      </c>
      <c r="AE3" s="3" t="s">
        <v>93</v>
      </c>
      <c r="AF3" s="3" t="s">
        <v>154</v>
      </c>
    </row>
    <row r="4" spans="1:32" x14ac:dyDescent="0.25">
      <c r="A4" s="19" t="s">
        <v>87</v>
      </c>
      <c r="B4" s="200">
        <v>0.60199999999999998</v>
      </c>
      <c r="C4" s="200">
        <v>0.63</v>
      </c>
      <c r="D4" s="200">
        <v>0.71499999999999997</v>
      </c>
      <c r="E4" s="200">
        <v>0.70299999999999996</v>
      </c>
      <c r="F4" s="200">
        <v>0.53</v>
      </c>
      <c r="G4" s="200">
        <v>0.64500000000000002</v>
      </c>
      <c r="H4" s="200">
        <v>0.96599999999999997</v>
      </c>
      <c r="I4" s="200">
        <v>0.88800000000000001</v>
      </c>
      <c r="J4" s="200">
        <v>0.83199999999999996</v>
      </c>
      <c r="K4" s="200">
        <v>1.0009999999999999</v>
      </c>
      <c r="L4" s="200">
        <v>1.288</v>
      </c>
      <c r="M4" s="200">
        <v>1.675</v>
      </c>
      <c r="N4" s="200">
        <v>1.9730000000000001</v>
      </c>
      <c r="O4" s="200">
        <v>2.1859999999999999</v>
      </c>
      <c r="P4" s="203"/>
      <c r="Q4" s="200">
        <v>2.5870000000000002</v>
      </c>
      <c r="R4" s="203"/>
      <c r="S4" s="200">
        <v>1.7729999999999999</v>
      </c>
      <c r="T4" s="203"/>
      <c r="U4" s="200">
        <v>2.169</v>
      </c>
      <c r="V4" s="203"/>
      <c r="Y4" s="3">
        <v>1994</v>
      </c>
      <c r="Z4" s="3">
        <f t="array" ref="Z4:Z17">TRANSPOSE(B31:O31)</f>
        <v>0.68500000000000005</v>
      </c>
      <c r="AA4" s="3">
        <f t="array" ref="AA4:AA17">TRANSPOSE(B44:O44)</f>
        <v>0.628</v>
      </c>
      <c r="AB4" s="3">
        <f t="array" ref="AB4:AB17">TRANSPOSE(B48:O48)</f>
        <v>0.35799999999999998</v>
      </c>
      <c r="AD4" s="3">
        <f t="shared" ref="AD4:AD24" si="0">Z4/5.23*42</f>
        <v>5.5009560229445507</v>
      </c>
      <c r="AE4" s="3">
        <f t="shared" ref="AE4:AE24" si="1">AA4/5.825*42</f>
        <v>4.5280686695278973</v>
      </c>
      <c r="AF4" s="3">
        <f>AB4/6.287*42</f>
        <v>2.3916017178304436</v>
      </c>
    </row>
    <row r="5" spans="1:32" x14ac:dyDescent="0.25">
      <c r="A5" s="7" t="s">
        <v>85</v>
      </c>
      <c r="B5" s="202"/>
      <c r="C5" s="202"/>
      <c r="D5" s="202"/>
      <c r="E5" s="202"/>
      <c r="F5" s="202"/>
      <c r="G5" s="202"/>
      <c r="H5" s="202"/>
      <c r="I5" s="202"/>
      <c r="J5" s="202"/>
      <c r="K5" s="202"/>
      <c r="L5" s="202"/>
      <c r="M5" s="202"/>
      <c r="N5" s="202"/>
      <c r="O5" s="202"/>
      <c r="P5" s="205"/>
      <c r="Q5" s="202"/>
      <c r="R5" s="205"/>
      <c r="S5" s="202"/>
      <c r="T5" s="205"/>
      <c r="U5" s="202"/>
      <c r="V5" s="205"/>
      <c r="Y5" s="3">
        <f>Y4+1</f>
        <v>1995</v>
      </c>
      <c r="Z5" s="3">
        <v>0.71399999999999997</v>
      </c>
      <c r="AA5" s="3">
        <v>0.63600000000000001</v>
      </c>
      <c r="AB5" s="3">
        <v>0.39700000000000002</v>
      </c>
      <c r="AD5" s="3">
        <f t="shared" si="0"/>
        <v>5.7338432122370921</v>
      </c>
      <c r="AE5" s="3">
        <f t="shared" si="1"/>
        <v>4.5857510729613731</v>
      </c>
      <c r="AF5" s="3">
        <f t="shared" ref="AF5:AF24" si="2">AB5/6.287*42</f>
        <v>2.652139335135995</v>
      </c>
    </row>
    <row r="6" spans="1:32" x14ac:dyDescent="0.25">
      <c r="A6" s="7" t="s">
        <v>84</v>
      </c>
      <c r="B6" s="8">
        <v>0.57099999999999995</v>
      </c>
      <c r="C6" s="8">
        <v>0.59899999999999998</v>
      </c>
      <c r="D6" s="8">
        <v>0.68899999999999995</v>
      </c>
      <c r="E6" s="8">
        <v>0.67700000000000005</v>
      </c>
      <c r="F6" s="8">
        <v>0.504</v>
      </c>
      <c r="G6" s="8">
        <v>0.621</v>
      </c>
      <c r="H6" s="8">
        <v>0.94599999999999995</v>
      </c>
      <c r="I6" s="8">
        <v>0.86799999999999999</v>
      </c>
      <c r="J6" s="8">
        <v>0.81299999999999994</v>
      </c>
      <c r="K6" s="8">
        <v>0.98199999999999998</v>
      </c>
      <c r="L6" s="8">
        <v>1.2709999999999999</v>
      </c>
      <c r="M6" s="8">
        <v>1.659</v>
      </c>
      <c r="N6" s="8">
        <v>1.956</v>
      </c>
      <c r="O6" s="8">
        <v>2.165</v>
      </c>
      <c r="P6" s="9"/>
      <c r="Q6" s="8">
        <v>2.57</v>
      </c>
      <c r="R6" s="9"/>
      <c r="S6" s="8">
        <v>1.7529999999999999</v>
      </c>
      <c r="T6" s="9"/>
      <c r="U6" s="8">
        <v>2.1509999999999998</v>
      </c>
      <c r="V6" s="9"/>
      <c r="Y6" s="3">
        <f t="shared" ref="Y6:Y24" si="3">Y5+1</f>
        <v>1996</v>
      </c>
      <c r="Z6" s="3">
        <v>0.80100000000000005</v>
      </c>
      <c r="AA6" s="3">
        <v>0.75700000000000001</v>
      </c>
      <c r="AB6" s="3">
        <v>0.46400000000000002</v>
      </c>
      <c r="AD6" s="3">
        <f t="shared" si="0"/>
        <v>6.4325047801147219</v>
      </c>
      <c r="AE6" s="3">
        <f t="shared" si="1"/>
        <v>5.4581974248927043</v>
      </c>
      <c r="AF6" s="3">
        <f t="shared" si="2"/>
        <v>3.0997296007634803</v>
      </c>
    </row>
    <row r="7" spans="1:32" x14ac:dyDescent="0.25">
      <c r="A7" s="11" t="s">
        <v>81</v>
      </c>
      <c r="B7" s="12">
        <v>0.56499999999999995</v>
      </c>
      <c r="C7" s="12">
        <v>0.58299999999999996</v>
      </c>
      <c r="D7" s="12">
        <v>0.67200000000000004</v>
      </c>
      <c r="E7" s="12">
        <v>0.65800000000000003</v>
      </c>
      <c r="F7" s="12">
        <v>0.48399999999999999</v>
      </c>
      <c r="G7" s="12">
        <v>0.59599999999999997</v>
      </c>
      <c r="H7" s="12">
        <v>0.91800000000000004</v>
      </c>
      <c r="I7" s="12">
        <v>0.83799999999999997</v>
      </c>
      <c r="J7" s="12">
        <v>0.79400000000000004</v>
      </c>
      <c r="K7" s="12">
        <v>0.95</v>
      </c>
      <c r="L7" s="12">
        <v>1.2410000000000001</v>
      </c>
      <c r="M7" s="12">
        <v>1.639</v>
      </c>
      <c r="N7" s="12">
        <v>1.93</v>
      </c>
      <c r="O7" s="12">
        <v>2.145</v>
      </c>
      <c r="P7" s="14" t="s">
        <v>78</v>
      </c>
      <c r="Q7" s="12">
        <v>2.5640000000000001</v>
      </c>
      <c r="R7" s="14" t="s">
        <v>78</v>
      </c>
      <c r="S7" s="12">
        <v>1.732</v>
      </c>
      <c r="T7" s="14" t="s">
        <v>78</v>
      </c>
      <c r="U7" s="12">
        <v>2.133</v>
      </c>
      <c r="V7" s="14" t="s">
        <v>78</v>
      </c>
      <c r="Y7" s="3">
        <f t="shared" si="3"/>
        <v>1997</v>
      </c>
      <c r="Z7" s="3">
        <v>0.78500000000000003</v>
      </c>
      <c r="AA7" s="3">
        <v>0.71399999999999997</v>
      </c>
      <c r="AB7" s="3">
        <v>0.42899999999999999</v>
      </c>
      <c r="AD7" s="3">
        <f t="shared" si="0"/>
        <v>6.3040152963671128</v>
      </c>
      <c r="AE7" s="3">
        <f t="shared" si="1"/>
        <v>5.1481545064377681</v>
      </c>
      <c r="AF7" s="3">
        <f t="shared" si="2"/>
        <v>2.8659137903610628</v>
      </c>
    </row>
    <row r="8" spans="1:32" x14ac:dyDescent="0.25">
      <c r="A8" s="7" t="s">
        <v>79</v>
      </c>
      <c r="B8" s="8">
        <v>0.627</v>
      </c>
      <c r="C8" s="8">
        <v>0.66200000000000003</v>
      </c>
      <c r="D8" s="8">
        <v>0.745</v>
      </c>
      <c r="E8" s="8">
        <v>0.754</v>
      </c>
      <c r="F8" s="8">
        <v>0.57499999999999996</v>
      </c>
      <c r="G8" s="8">
        <v>0.69</v>
      </c>
      <c r="H8" s="8">
        <v>1.016</v>
      </c>
      <c r="I8" s="8">
        <v>0.94699999999999995</v>
      </c>
      <c r="J8" s="8">
        <v>0.85799999999999998</v>
      </c>
      <c r="K8" s="8">
        <v>1.0309999999999999</v>
      </c>
      <c r="L8" s="8">
        <v>1.2889999999999999</v>
      </c>
      <c r="M8" s="8">
        <v>1.667</v>
      </c>
      <c r="N8" s="8">
        <v>1.9510000000000001</v>
      </c>
      <c r="O8" s="140"/>
      <c r="P8" s="10" t="s">
        <v>78</v>
      </c>
      <c r="Q8" s="140"/>
      <c r="R8" s="10" t="s">
        <v>78</v>
      </c>
      <c r="S8" s="140"/>
      <c r="T8" s="10" t="s">
        <v>78</v>
      </c>
      <c r="U8" s="140"/>
      <c r="V8" s="10" t="s">
        <v>78</v>
      </c>
      <c r="Y8" s="3">
        <f t="shared" si="3"/>
        <v>1998</v>
      </c>
      <c r="Z8" s="3">
        <v>0.61</v>
      </c>
      <c r="AA8" s="3">
        <v>0.56200000000000006</v>
      </c>
      <c r="AB8" s="3">
        <v>0.311</v>
      </c>
      <c r="AD8" s="3">
        <f t="shared" si="0"/>
        <v>4.8986615678776291</v>
      </c>
      <c r="AE8" s="3">
        <f t="shared" si="1"/>
        <v>4.0521888412017173</v>
      </c>
      <c r="AF8" s="3">
        <f t="shared" si="2"/>
        <v>2.0776204867186259</v>
      </c>
    </row>
    <row r="9" spans="1:32" x14ac:dyDescent="0.25">
      <c r="A9" s="7" t="s">
        <v>77</v>
      </c>
      <c r="B9" s="8">
        <v>0.63200000000000001</v>
      </c>
      <c r="C9" s="8">
        <v>0.64600000000000002</v>
      </c>
      <c r="D9" s="8">
        <v>0.73299999999999998</v>
      </c>
      <c r="E9" s="8">
        <v>0.72499999999999998</v>
      </c>
      <c r="F9" s="8">
        <v>0.55100000000000005</v>
      </c>
      <c r="G9" s="8">
        <v>0.67600000000000005</v>
      </c>
      <c r="H9" s="8">
        <v>1.006</v>
      </c>
      <c r="I9" s="8">
        <v>0.93</v>
      </c>
      <c r="J9" s="8">
        <v>0.85599999999999998</v>
      </c>
      <c r="K9" s="8">
        <v>1.0580000000000001</v>
      </c>
      <c r="L9" s="8">
        <v>1.339</v>
      </c>
      <c r="M9" s="8">
        <v>1.708</v>
      </c>
      <c r="N9" s="8">
        <v>2.0219999999999998</v>
      </c>
      <c r="O9" s="8">
        <v>2.2149999999999999</v>
      </c>
      <c r="P9" s="9"/>
      <c r="Q9" s="8">
        <v>2.5830000000000002</v>
      </c>
      <c r="R9" s="9"/>
      <c r="S9" s="8">
        <v>1.7989999999999999</v>
      </c>
      <c r="T9" s="9"/>
      <c r="U9" s="8">
        <v>2.1869999999999998</v>
      </c>
      <c r="V9" s="9"/>
      <c r="Y9" s="3">
        <f t="shared" si="3"/>
        <v>1999</v>
      </c>
      <c r="Z9" s="3">
        <v>0.70799999999999996</v>
      </c>
      <c r="AA9" s="3">
        <v>0.65400000000000003</v>
      </c>
      <c r="AB9" s="3">
        <v>0.378</v>
      </c>
      <c r="AD9" s="3">
        <f t="shared" si="0"/>
        <v>5.6856596558317385</v>
      </c>
      <c r="AE9" s="3">
        <f t="shared" si="1"/>
        <v>4.7155364806866951</v>
      </c>
      <c r="AF9" s="3">
        <f t="shared" si="2"/>
        <v>2.5252107523461111</v>
      </c>
    </row>
    <row r="10" spans="1:32" x14ac:dyDescent="0.25">
      <c r="A10" s="11" t="s">
        <v>83</v>
      </c>
      <c r="B10" s="12">
        <v>0.64100000000000001</v>
      </c>
      <c r="C10" s="12">
        <v>0.67300000000000004</v>
      </c>
      <c r="D10" s="12">
        <v>0.76</v>
      </c>
      <c r="E10" s="12">
        <v>0.751</v>
      </c>
      <c r="F10" s="12">
        <v>0.57899999999999996</v>
      </c>
      <c r="G10" s="12">
        <v>0.69399999999999995</v>
      </c>
      <c r="H10" s="12">
        <v>1.014</v>
      </c>
      <c r="I10" s="12">
        <v>0.94499999999999995</v>
      </c>
      <c r="J10" s="12">
        <v>0.88600000000000001</v>
      </c>
      <c r="K10" s="12">
        <v>1.056</v>
      </c>
      <c r="L10" s="12">
        <v>1.3380000000000001</v>
      </c>
      <c r="M10" s="12">
        <v>1.7190000000000001</v>
      </c>
      <c r="N10" s="12">
        <v>2.024</v>
      </c>
      <c r="O10" s="12">
        <v>2.2519999999999998</v>
      </c>
      <c r="P10" s="13"/>
      <c r="Q10" s="12">
        <v>2.6360000000000001</v>
      </c>
      <c r="R10" s="13"/>
      <c r="S10" s="12">
        <v>1.8029999999999999</v>
      </c>
      <c r="T10" s="13"/>
      <c r="U10" s="12">
        <v>2.1960000000000002</v>
      </c>
      <c r="V10" s="13"/>
      <c r="Y10" s="3">
        <f t="shared" si="3"/>
        <v>2000</v>
      </c>
      <c r="Z10" s="3">
        <v>1.044</v>
      </c>
      <c r="AA10" s="3">
        <v>1.006</v>
      </c>
      <c r="AB10" s="3">
        <v>0.60899999999999999</v>
      </c>
      <c r="AD10" s="3">
        <f t="shared" si="0"/>
        <v>8.3839388145315485</v>
      </c>
      <c r="AE10" s="3">
        <f t="shared" si="1"/>
        <v>7.2535622317596564</v>
      </c>
      <c r="AF10" s="3">
        <f t="shared" si="2"/>
        <v>4.0683951010020678</v>
      </c>
    </row>
    <row r="11" spans="1:32" x14ac:dyDescent="0.25">
      <c r="A11" s="7" t="s">
        <v>81</v>
      </c>
      <c r="B11" s="8">
        <v>0.63300000000000001</v>
      </c>
      <c r="C11" s="8">
        <v>0.65100000000000002</v>
      </c>
      <c r="D11" s="8">
        <v>0.73699999999999999</v>
      </c>
      <c r="E11" s="8">
        <v>0.72299999999999998</v>
      </c>
      <c r="F11" s="8">
        <v>0.55000000000000004</v>
      </c>
      <c r="G11" s="8">
        <v>0.65800000000000003</v>
      </c>
      <c r="H11" s="8">
        <v>0.97699999999999998</v>
      </c>
      <c r="I11" s="8">
        <v>0.90100000000000002</v>
      </c>
      <c r="J11" s="8">
        <v>0.85199999999999998</v>
      </c>
      <c r="K11" s="8">
        <v>1.0149999999999999</v>
      </c>
      <c r="L11" s="8">
        <v>1.304</v>
      </c>
      <c r="M11" s="8">
        <v>1.6970000000000001</v>
      </c>
      <c r="N11" s="8">
        <v>1.992</v>
      </c>
      <c r="O11" s="8">
        <v>2.2349999999999999</v>
      </c>
      <c r="P11" s="10" t="s">
        <v>78</v>
      </c>
      <c r="Q11" s="8">
        <v>2.6110000000000002</v>
      </c>
      <c r="R11" s="10" t="s">
        <v>78</v>
      </c>
      <c r="S11" s="8">
        <v>1.7769999999999999</v>
      </c>
      <c r="T11" s="10" t="s">
        <v>78</v>
      </c>
      <c r="U11" s="8">
        <v>2.1760000000000002</v>
      </c>
      <c r="V11" s="10" t="s">
        <v>78</v>
      </c>
      <c r="Y11" s="3">
        <f t="shared" si="3"/>
        <v>2001</v>
      </c>
      <c r="Z11" s="3">
        <v>0.96799999999999997</v>
      </c>
      <c r="AA11" s="3">
        <v>0.91200000000000003</v>
      </c>
      <c r="AB11" s="3">
        <v>0.53300000000000003</v>
      </c>
      <c r="AD11" s="3">
        <f t="shared" si="0"/>
        <v>7.7736137667304002</v>
      </c>
      <c r="AE11" s="3">
        <f t="shared" si="1"/>
        <v>6.575793991416309</v>
      </c>
      <c r="AF11" s="3">
        <f t="shared" si="2"/>
        <v>3.5606807698425329</v>
      </c>
    </row>
    <row r="12" spans="1:32" x14ac:dyDescent="0.25">
      <c r="A12" s="7" t="s">
        <v>79</v>
      </c>
      <c r="B12" s="8">
        <v>0.68899999999999995</v>
      </c>
      <c r="C12" s="8">
        <v>0.71099999999999997</v>
      </c>
      <c r="D12" s="8">
        <v>0.78900000000000003</v>
      </c>
      <c r="E12" s="8">
        <v>0.79100000000000004</v>
      </c>
      <c r="F12" s="8">
        <v>0.59899999999999998</v>
      </c>
      <c r="G12" s="8">
        <v>0.69499999999999995</v>
      </c>
      <c r="H12" s="8">
        <v>1.0209999999999999</v>
      </c>
      <c r="I12" s="8">
        <v>0.96499999999999997</v>
      </c>
      <c r="J12" s="8">
        <v>0.88500000000000001</v>
      </c>
      <c r="K12" s="8">
        <v>1.0429999999999999</v>
      </c>
      <c r="L12" s="8">
        <v>1.3049999999999999</v>
      </c>
      <c r="M12" s="8">
        <v>1.6819999999999999</v>
      </c>
      <c r="N12" s="8">
        <v>1.9990000000000001</v>
      </c>
      <c r="O12" s="140"/>
      <c r="P12" s="10" t="s">
        <v>78</v>
      </c>
      <c r="Q12" s="140"/>
      <c r="R12" s="10" t="s">
        <v>78</v>
      </c>
      <c r="S12" s="140"/>
      <c r="T12" s="10" t="s">
        <v>78</v>
      </c>
      <c r="U12" s="140"/>
      <c r="V12" s="10" t="s">
        <v>78</v>
      </c>
      <c r="Y12" s="3">
        <f t="shared" si="3"/>
        <v>2002</v>
      </c>
      <c r="Z12" s="3">
        <v>0.90100000000000002</v>
      </c>
      <c r="AA12" s="3">
        <v>0.83699999999999997</v>
      </c>
      <c r="AB12" s="3">
        <v>0.56100000000000005</v>
      </c>
      <c r="AD12" s="3">
        <f t="shared" si="0"/>
        <v>7.235564053537284</v>
      </c>
      <c r="AE12" s="3">
        <f t="shared" si="1"/>
        <v>6.035021459227468</v>
      </c>
      <c r="AF12" s="3">
        <f t="shared" si="2"/>
        <v>3.7477334181644668</v>
      </c>
    </row>
    <row r="13" spans="1:32" x14ac:dyDescent="0.25">
      <c r="A13" s="11" t="s">
        <v>77</v>
      </c>
      <c r="B13" s="12">
        <v>0.72199999999999998</v>
      </c>
      <c r="C13" s="12">
        <v>0.71899999999999997</v>
      </c>
      <c r="D13" s="12">
        <v>0.80200000000000005</v>
      </c>
      <c r="E13" s="12">
        <v>0.80100000000000005</v>
      </c>
      <c r="F13" s="12">
        <v>0.63200000000000001</v>
      </c>
      <c r="G13" s="12">
        <v>0.75800000000000001</v>
      </c>
      <c r="H13" s="12">
        <v>1.08</v>
      </c>
      <c r="I13" s="12">
        <v>1.022</v>
      </c>
      <c r="J13" s="12">
        <v>0.95199999999999996</v>
      </c>
      <c r="K13" s="12">
        <v>1.1499999999999999</v>
      </c>
      <c r="L13" s="12">
        <v>1.41</v>
      </c>
      <c r="M13" s="12">
        <v>1.79</v>
      </c>
      <c r="N13" s="12">
        <v>2.1269999999999998</v>
      </c>
      <c r="O13" s="12">
        <v>2.3109999999999999</v>
      </c>
      <c r="P13" s="13"/>
      <c r="Q13" s="12">
        <v>2.73</v>
      </c>
      <c r="R13" s="13"/>
      <c r="S13" s="12">
        <v>1.903</v>
      </c>
      <c r="T13" s="14" t="s">
        <v>30</v>
      </c>
      <c r="U13" s="12">
        <v>2.2749999999999999</v>
      </c>
      <c r="V13" s="13"/>
      <c r="Y13" s="3">
        <f t="shared" si="3"/>
        <v>2003</v>
      </c>
      <c r="Z13" s="3">
        <v>1.0820000000000001</v>
      </c>
      <c r="AA13" s="3">
        <v>1.008</v>
      </c>
      <c r="AB13" s="3">
        <v>0.69599999999999995</v>
      </c>
      <c r="AD13" s="3">
        <f t="shared" si="0"/>
        <v>8.6891013384321223</v>
      </c>
      <c r="AE13" s="3">
        <f t="shared" si="1"/>
        <v>7.267982832618026</v>
      </c>
      <c r="AF13" s="3">
        <f t="shared" si="2"/>
        <v>4.6495944011452197</v>
      </c>
    </row>
    <row r="14" spans="1:32" x14ac:dyDescent="0.25">
      <c r="A14" s="7" t="s">
        <v>82</v>
      </c>
      <c r="B14" s="8">
        <v>0.69599999999999995</v>
      </c>
      <c r="C14" s="8">
        <v>0.72399999999999998</v>
      </c>
      <c r="D14" s="8">
        <v>0.80400000000000005</v>
      </c>
      <c r="E14" s="8">
        <v>0.79400000000000004</v>
      </c>
      <c r="F14" s="8">
        <v>0.61799999999999999</v>
      </c>
      <c r="G14" s="8">
        <v>0.72399999999999998</v>
      </c>
      <c r="H14" s="8">
        <v>1.0549999999999999</v>
      </c>
      <c r="I14" s="8">
        <v>0.98</v>
      </c>
      <c r="J14" s="8">
        <v>0.92900000000000005</v>
      </c>
      <c r="K14" s="8">
        <v>1.105</v>
      </c>
      <c r="L14" s="8">
        <v>1.4</v>
      </c>
      <c r="M14" s="8">
        <v>1.792</v>
      </c>
      <c r="N14" s="8">
        <v>2.1219999999999999</v>
      </c>
      <c r="O14" s="8">
        <v>2.3620000000000001</v>
      </c>
      <c r="P14" s="9"/>
      <c r="Q14" s="8">
        <v>2.7490000000000001</v>
      </c>
      <c r="R14" s="9"/>
      <c r="S14" s="8">
        <v>1.9590000000000001</v>
      </c>
      <c r="T14" s="9"/>
      <c r="U14" s="8">
        <v>2.35</v>
      </c>
      <c r="V14" s="9"/>
      <c r="Y14" s="3">
        <f t="shared" si="3"/>
        <v>2004</v>
      </c>
      <c r="Z14" s="3">
        <v>1.373</v>
      </c>
      <c r="AA14" s="3">
        <v>1.3160000000000001</v>
      </c>
      <c r="AB14" s="3">
        <v>0.72499999999999998</v>
      </c>
      <c r="AD14" s="3">
        <f t="shared" si="0"/>
        <v>11.026003824091777</v>
      </c>
      <c r="AE14" s="3">
        <f t="shared" si="1"/>
        <v>9.4887553648068668</v>
      </c>
      <c r="AF14" s="3">
        <f t="shared" si="2"/>
        <v>4.8433275011929382</v>
      </c>
    </row>
    <row r="15" spans="1:32" x14ac:dyDescent="0.25">
      <c r="A15" s="7" t="s">
        <v>81</v>
      </c>
      <c r="B15" s="8">
        <v>0.68600000000000005</v>
      </c>
      <c r="C15" s="8">
        <v>0.69499999999999995</v>
      </c>
      <c r="D15" s="8">
        <v>0.77700000000000002</v>
      </c>
      <c r="E15" s="8">
        <v>0.76400000000000001</v>
      </c>
      <c r="F15" s="8">
        <v>0.58699999999999997</v>
      </c>
      <c r="G15" s="8">
        <v>0.68799999999999994</v>
      </c>
      <c r="H15" s="8">
        <v>1.0129999999999999</v>
      </c>
      <c r="I15" s="8">
        <v>0.93300000000000005</v>
      </c>
      <c r="J15" s="8">
        <v>0.89700000000000002</v>
      </c>
      <c r="K15" s="8">
        <v>1.0549999999999999</v>
      </c>
      <c r="L15" s="8">
        <v>1.351</v>
      </c>
      <c r="M15" s="8">
        <v>1.756</v>
      </c>
      <c r="N15" s="8">
        <v>2.0830000000000002</v>
      </c>
      <c r="O15" s="8">
        <v>2.33</v>
      </c>
      <c r="P15" s="10" t="s">
        <v>78</v>
      </c>
      <c r="Q15" s="8">
        <v>2.7429999999999999</v>
      </c>
      <c r="R15" s="10" t="s">
        <v>78</v>
      </c>
      <c r="S15" s="8">
        <v>1.9319999999999999</v>
      </c>
      <c r="T15" s="10" t="s">
        <v>78</v>
      </c>
      <c r="U15" s="8">
        <v>2.327</v>
      </c>
      <c r="V15" s="10" t="s">
        <v>78</v>
      </c>
      <c r="Y15" s="3">
        <f t="shared" si="3"/>
        <v>2005</v>
      </c>
      <c r="Z15" s="3">
        <v>1.7889999999999999</v>
      </c>
      <c r="AA15" s="3">
        <v>1.8859999999999999</v>
      </c>
      <c r="AB15" s="3">
        <v>1.0409999999999999</v>
      </c>
      <c r="AD15" s="3">
        <f t="shared" si="0"/>
        <v>14.366730401529635</v>
      </c>
      <c r="AE15" s="3">
        <f t="shared" si="1"/>
        <v>13.598626609442059</v>
      </c>
      <c r="AF15" s="3">
        <f t="shared" si="2"/>
        <v>6.9543502465404803</v>
      </c>
    </row>
    <row r="16" spans="1:32" x14ac:dyDescent="0.25">
      <c r="A16" s="11" t="s">
        <v>79</v>
      </c>
      <c r="B16" s="12">
        <v>0.75700000000000001</v>
      </c>
      <c r="C16" s="12">
        <v>0.78700000000000003</v>
      </c>
      <c r="D16" s="12">
        <v>0.85099999999999998</v>
      </c>
      <c r="E16" s="12">
        <v>0.85599999999999998</v>
      </c>
      <c r="F16" s="12">
        <v>0.67400000000000004</v>
      </c>
      <c r="G16" s="12">
        <v>0.77900000000000003</v>
      </c>
      <c r="H16" s="12">
        <v>1.119</v>
      </c>
      <c r="I16" s="12">
        <v>1.02</v>
      </c>
      <c r="J16" s="12">
        <v>0.95199999999999996</v>
      </c>
      <c r="K16" s="12">
        <v>1.131</v>
      </c>
      <c r="L16" s="12">
        <v>1.39</v>
      </c>
      <c r="M16" s="12">
        <v>1.7609999999999999</v>
      </c>
      <c r="N16" s="12">
        <v>2.0489999999999999</v>
      </c>
      <c r="O16" s="17"/>
      <c r="P16" s="14" t="s">
        <v>78</v>
      </c>
      <c r="Q16" s="17"/>
      <c r="R16" s="14" t="s">
        <v>78</v>
      </c>
      <c r="S16" s="17"/>
      <c r="T16" s="14" t="s">
        <v>78</v>
      </c>
      <c r="U16" s="17"/>
      <c r="V16" s="14" t="s">
        <v>78</v>
      </c>
      <c r="Y16" s="3">
        <f t="shared" si="3"/>
        <v>2006</v>
      </c>
      <c r="Z16" s="3">
        <v>2.073</v>
      </c>
      <c r="AA16" s="3">
        <v>2.165</v>
      </c>
      <c r="AB16" s="3">
        <v>1.212</v>
      </c>
      <c r="AD16" s="3">
        <f t="shared" si="0"/>
        <v>16.647418738049712</v>
      </c>
      <c r="AE16" s="3">
        <f t="shared" si="1"/>
        <v>15.610300429184548</v>
      </c>
      <c r="AF16" s="3">
        <f t="shared" si="2"/>
        <v>8.0967074916494362</v>
      </c>
    </row>
    <row r="17" spans="1:36" x14ac:dyDescent="0.25">
      <c r="A17" s="7" t="s">
        <v>77</v>
      </c>
      <c r="B17" s="8">
        <v>0.76900000000000002</v>
      </c>
      <c r="C17" s="8">
        <v>0.77900000000000003</v>
      </c>
      <c r="D17" s="8">
        <v>0.85099999999999998</v>
      </c>
      <c r="E17" s="8">
        <v>0.84499999999999997</v>
      </c>
      <c r="F17" s="8">
        <v>0.67100000000000004</v>
      </c>
      <c r="G17" s="8">
        <v>0.78700000000000003</v>
      </c>
      <c r="H17" s="8">
        <v>1.117</v>
      </c>
      <c r="I17" s="8">
        <v>1.054</v>
      </c>
      <c r="J17" s="8">
        <v>0.98599999999999999</v>
      </c>
      <c r="K17" s="8">
        <v>1.1890000000000001</v>
      </c>
      <c r="L17" s="8">
        <v>1.4670000000000001</v>
      </c>
      <c r="M17" s="8">
        <v>1.8440000000000001</v>
      </c>
      <c r="N17" s="8">
        <v>2.181</v>
      </c>
      <c r="O17" s="8">
        <v>2.407</v>
      </c>
      <c r="P17" s="9"/>
      <c r="Q17" s="8">
        <v>2.7570000000000001</v>
      </c>
      <c r="R17" s="9"/>
      <c r="S17" s="8">
        <v>1.994</v>
      </c>
      <c r="T17" s="9"/>
      <c r="U17" s="8">
        <v>2.3759999999999999</v>
      </c>
      <c r="V17" s="9"/>
      <c r="Y17" s="3">
        <f t="shared" si="3"/>
        <v>2007</v>
      </c>
      <c r="Z17" s="3">
        <v>2.2970000000000002</v>
      </c>
      <c r="AA17" s="3">
        <v>2.3479999999999999</v>
      </c>
      <c r="AB17" s="3">
        <v>1.3759999999999999</v>
      </c>
      <c r="AD17" s="3">
        <f t="shared" si="0"/>
        <v>18.446271510516254</v>
      </c>
      <c r="AE17" s="3">
        <f t="shared" si="1"/>
        <v>16.929785407725319</v>
      </c>
      <c r="AF17" s="3">
        <f t="shared" si="2"/>
        <v>9.1923015746779058</v>
      </c>
    </row>
    <row r="18" spans="1:36" x14ac:dyDescent="0.25">
      <c r="A18" s="7" t="s">
        <v>76</v>
      </c>
      <c r="B18" s="8">
        <v>0.52900000000000003</v>
      </c>
      <c r="C18" s="8">
        <v>0.53600000000000003</v>
      </c>
      <c r="D18" s="8">
        <v>0.66</v>
      </c>
      <c r="E18" s="8">
        <v>0.61099999999999999</v>
      </c>
      <c r="F18" s="8">
        <v>0.45</v>
      </c>
      <c r="G18" s="8">
        <v>0.53800000000000003</v>
      </c>
      <c r="H18" s="8">
        <v>0.90100000000000002</v>
      </c>
      <c r="I18" s="8">
        <v>0.78500000000000003</v>
      </c>
      <c r="J18" s="8">
        <v>0.72799999999999998</v>
      </c>
      <c r="K18" s="8">
        <v>0.89100000000000001</v>
      </c>
      <c r="L18" s="8">
        <v>1.1779999999999999</v>
      </c>
      <c r="M18" s="8">
        <v>1.7270000000000001</v>
      </c>
      <c r="N18" s="8">
        <v>1.9990000000000001</v>
      </c>
      <c r="O18" s="8">
        <v>2.2080000000000002</v>
      </c>
      <c r="P18" s="9"/>
      <c r="Q18" s="8">
        <v>2.9750000000000001</v>
      </c>
      <c r="R18" s="9"/>
      <c r="S18" s="8">
        <v>1.7270000000000001</v>
      </c>
      <c r="T18" s="9"/>
      <c r="U18" s="8">
        <v>2.2160000000000002</v>
      </c>
      <c r="V18" s="9"/>
      <c r="Y18" s="3">
        <f t="shared" si="3"/>
        <v>2008</v>
      </c>
      <c r="Z18" s="3">
        <f>Q31</f>
        <v>2.7309999999999999</v>
      </c>
      <c r="AA18" s="3">
        <f>Q44</f>
        <v>3.23</v>
      </c>
      <c r="AB18" s="3">
        <f>Q48</f>
        <v>1.944</v>
      </c>
      <c r="AD18" s="3">
        <f t="shared" si="0"/>
        <v>21.931548757170169</v>
      </c>
      <c r="AE18" s="3">
        <f t="shared" si="1"/>
        <v>23.289270386266097</v>
      </c>
      <c r="AF18" s="3">
        <f t="shared" si="2"/>
        <v>12.986798154922855</v>
      </c>
    </row>
    <row r="19" spans="1:36" x14ac:dyDescent="0.25">
      <c r="A19" s="11" t="s">
        <v>74</v>
      </c>
      <c r="B19" s="12">
        <v>0.53800000000000003</v>
      </c>
      <c r="C19" s="12">
        <v>0.54600000000000004</v>
      </c>
      <c r="D19" s="12">
        <v>0.66700000000000004</v>
      </c>
      <c r="E19" s="12">
        <v>0.61599999999999999</v>
      </c>
      <c r="F19" s="12">
        <v>0.45400000000000001</v>
      </c>
      <c r="G19" s="12">
        <v>0.55200000000000005</v>
      </c>
      <c r="H19" s="12">
        <v>0.90400000000000003</v>
      </c>
      <c r="I19" s="12">
        <v>0.79100000000000004</v>
      </c>
      <c r="J19" s="12">
        <v>0.73499999999999999</v>
      </c>
      <c r="K19" s="12">
        <v>0.89100000000000001</v>
      </c>
      <c r="L19" s="12">
        <v>1.1910000000000001</v>
      </c>
      <c r="M19" s="12">
        <v>1.754</v>
      </c>
      <c r="N19" s="12">
        <v>2.0289999999999999</v>
      </c>
      <c r="O19" s="12">
        <v>2.23</v>
      </c>
      <c r="P19" s="13"/>
      <c r="Q19" s="12">
        <v>3.0129999999999999</v>
      </c>
      <c r="R19" s="13"/>
      <c r="S19" s="12">
        <v>1.73</v>
      </c>
      <c r="T19" s="13"/>
      <c r="U19" s="12">
        <v>2.2189999999999999</v>
      </c>
      <c r="V19" s="13"/>
      <c r="Y19" s="3">
        <f t="shared" si="3"/>
        <v>2009</v>
      </c>
      <c r="Z19" s="3">
        <f>S31</f>
        <v>1.8420000000000001</v>
      </c>
      <c r="AA19" s="3">
        <f>S44</f>
        <v>1.9179999999999999</v>
      </c>
      <c r="AB19" s="3">
        <f>S48</f>
        <v>1.34</v>
      </c>
      <c r="AD19" s="3">
        <f t="shared" si="0"/>
        <v>14.792351816443595</v>
      </c>
      <c r="AE19" s="3">
        <f t="shared" si="1"/>
        <v>13.829356223175964</v>
      </c>
      <c r="AF19" s="3">
        <f t="shared" si="2"/>
        <v>8.9518053125497055</v>
      </c>
    </row>
    <row r="20" spans="1:36" x14ac:dyDescent="0.25">
      <c r="A20" s="7" t="s">
        <v>73</v>
      </c>
      <c r="B20" s="8" t="s">
        <v>72</v>
      </c>
      <c r="C20" s="8" t="s">
        <v>72</v>
      </c>
      <c r="D20" s="8" t="s">
        <v>72</v>
      </c>
      <c r="E20" s="8" t="s">
        <v>72</v>
      </c>
      <c r="F20" s="8" t="s">
        <v>72</v>
      </c>
      <c r="G20" s="8" t="s">
        <v>72</v>
      </c>
      <c r="H20" s="8" t="s">
        <v>72</v>
      </c>
      <c r="I20" s="8" t="s">
        <v>72</v>
      </c>
      <c r="J20" s="8" t="s">
        <v>72</v>
      </c>
      <c r="K20" s="8" t="s">
        <v>72</v>
      </c>
      <c r="L20" s="8" t="s">
        <v>72</v>
      </c>
      <c r="M20" s="8" t="s">
        <v>72</v>
      </c>
      <c r="N20" s="8" t="s">
        <v>72</v>
      </c>
      <c r="O20" s="8">
        <v>2.258</v>
      </c>
      <c r="P20" s="9"/>
      <c r="Q20" s="8">
        <v>3.0219999999999998</v>
      </c>
      <c r="R20" s="9"/>
      <c r="S20" s="8">
        <v>1.742</v>
      </c>
      <c r="T20" s="9"/>
      <c r="U20" s="8">
        <v>2.222</v>
      </c>
      <c r="V20" s="9"/>
      <c r="Y20" s="3">
        <f t="shared" si="3"/>
        <v>2010</v>
      </c>
      <c r="Z20" s="3">
        <f>U31</f>
        <v>2.2669999999999999</v>
      </c>
      <c r="AA20" s="3">
        <f>U44</f>
        <v>2.415</v>
      </c>
      <c r="AB20" s="3">
        <f>U48</f>
        <v>1.7290000000000001</v>
      </c>
      <c r="AD20" s="3">
        <f t="shared" si="0"/>
        <v>18.205353728489481</v>
      </c>
      <c r="AE20" s="3">
        <f t="shared" si="1"/>
        <v>17.412875536480687</v>
      </c>
      <c r="AF20" s="3">
        <f t="shared" si="2"/>
        <v>11.550501033879435</v>
      </c>
      <c r="AH20" s="3" t="s">
        <v>324</v>
      </c>
    </row>
    <row r="21" spans="1:36" x14ac:dyDescent="0.25">
      <c r="A21" s="7" t="s">
        <v>71</v>
      </c>
      <c r="B21" s="8">
        <v>0.54200000000000004</v>
      </c>
      <c r="C21" s="8">
        <v>0.55100000000000005</v>
      </c>
      <c r="D21" s="8">
        <v>0.67300000000000004</v>
      </c>
      <c r="E21" s="8">
        <v>0.61899999999999999</v>
      </c>
      <c r="F21" s="8">
        <v>0.45700000000000002</v>
      </c>
      <c r="G21" s="8">
        <v>0.55700000000000005</v>
      </c>
      <c r="H21" s="8">
        <v>0.90900000000000003</v>
      </c>
      <c r="I21" s="8">
        <v>0.79400000000000004</v>
      </c>
      <c r="J21" s="8">
        <v>0.73799999999999999</v>
      </c>
      <c r="K21" s="8">
        <v>0.89500000000000002</v>
      </c>
      <c r="L21" s="8">
        <v>1.1970000000000001</v>
      </c>
      <c r="M21" s="8">
        <v>1.7609999999999999</v>
      </c>
      <c r="N21" s="8">
        <v>2.0449999999999999</v>
      </c>
      <c r="O21" s="8">
        <v>2.2109999999999999</v>
      </c>
      <c r="P21" s="9"/>
      <c r="Q21" s="8">
        <v>2.9830000000000001</v>
      </c>
      <c r="R21" s="9"/>
      <c r="S21" s="8">
        <v>1.6479999999999999</v>
      </c>
      <c r="T21" s="9"/>
      <c r="U21" s="8">
        <v>2.1800000000000002</v>
      </c>
      <c r="V21" s="9"/>
      <c r="Y21" s="3">
        <f t="shared" si="3"/>
        <v>2011</v>
      </c>
      <c r="Z21" s="141">
        <f>(3.05/2.301)*Z20</f>
        <v>3.0049326379834849</v>
      </c>
      <c r="AA21" s="141">
        <f>(3.117/2.314)*AA20</f>
        <v>3.2530488331892826</v>
      </c>
      <c r="AB21" s="141">
        <f>(2.401/1.713)*AB20</f>
        <v>2.4234261529480441</v>
      </c>
      <c r="AD21" s="3">
        <f t="shared" si="0"/>
        <v>24.1313902094276</v>
      </c>
      <c r="AE21" s="3">
        <f t="shared" si="1"/>
        <v>23.455459398102981</v>
      </c>
      <c r="AF21" s="3">
        <f t="shared" si="2"/>
        <v>16.189581425770296</v>
      </c>
      <c r="AH21" s="3" t="s">
        <v>92</v>
      </c>
      <c r="AI21" s="3" t="s">
        <v>93</v>
      </c>
      <c r="AJ21" s="3" t="s">
        <v>323</v>
      </c>
    </row>
    <row r="22" spans="1:36" x14ac:dyDescent="0.25">
      <c r="A22" s="11" t="s">
        <v>70</v>
      </c>
      <c r="B22" s="12">
        <v>0.51900000000000002</v>
      </c>
      <c r="C22" s="12">
        <v>0.52400000000000002</v>
      </c>
      <c r="D22" s="12">
        <v>0.63900000000000001</v>
      </c>
      <c r="E22" s="12">
        <v>0.60199999999999998</v>
      </c>
      <c r="F22" s="12">
        <v>0.437</v>
      </c>
      <c r="G22" s="12">
        <v>0.51900000000000002</v>
      </c>
      <c r="H22" s="12">
        <v>0.875</v>
      </c>
      <c r="I22" s="12">
        <v>0.77100000000000002</v>
      </c>
      <c r="J22" s="12">
        <v>0.71199999999999997</v>
      </c>
      <c r="K22" s="12">
        <v>0.87</v>
      </c>
      <c r="L22" s="12">
        <v>1.1459999999999999</v>
      </c>
      <c r="M22" s="12">
        <v>1.704</v>
      </c>
      <c r="N22" s="12">
        <v>1.915</v>
      </c>
      <c r="O22" s="12">
        <v>1.9590000000000001</v>
      </c>
      <c r="P22" s="13"/>
      <c r="Q22" s="12">
        <v>2.887</v>
      </c>
      <c r="R22" s="13"/>
      <c r="S22" s="12">
        <v>1.724</v>
      </c>
      <c r="T22" s="14" t="s">
        <v>30</v>
      </c>
      <c r="U22" s="12">
        <v>2.177</v>
      </c>
      <c r="V22" s="13"/>
      <c r="Y22" s="3">
        <f t="shared" si="3"/>
        <v>2012</v>
      </c>
      <c r="Z22" s="141">
        <f>(3.154/3.05)*Z21</f>
        <v>3.1073959148196431</v>
      </c>
      <c r="AA22" s="141">
        <f>(3.202/3.117)*AA21</f>
        <v>3.3417588591184093</v>
      </c>
      <c r="AB22" s="141">
        <f>(2.592/2.401)*AB21</f>
        <v>2.6162101576182133</v>
      </c>
      <c r="AD22" s="3">
        <f t="shared" si="0"/>
        <v>24.954231055913002</v>
      </c>
      <c r="AE22" s="3">
        <f t="shared" si="1"/>
        <v>24.095085336132737</v>
      </c>
      <c r="AF22" s="3">
        <f t="shared" si="2"/>
        <v>17.477465662472557</v>
      </c>
      <c r="AH22" s="3">
        <v>3.1539999999999999</v>
      </c>
      <c r="AI22" s="3">
        <v>3.202</v>
      </c>
      <c r="AJ22" s="3">
        <v>2.5920000000000001</v>
      </c>
    </row>
    <row r="23" spans="1:36" x14ac:dyDescent="0.25">
      <c r="A23" s="7" t="s">
        <v>69</v>
      </c>
      <c r="B23" s="8">
        <v>0.32200000000000001</v>
      </c>
      <c r="C23" s="8">
        <v>0.36599999999999999</v>
      </c>
      <c r="D23" s="8">
        <v>0.42699999999999999</v>
      </c>
      <c r="E23" s="8">
        <v>0.39600000000000002</v>
      </c>
      <c r="F23" s="8">
        <v>0.28399999999999997</v>
      </c>
      <c r="G23" s="8">
        <v>0.35499999999999998</v>
      </c>
      <c r="H23" s="8">
        <v>0.57899999999999996</v>
      </c>
      <c r="I23" s="8">
        <v>0.496</v>
      </c>
      <c r="J23" s="8">
        <v>0.52600000000000002</v>
      </c>
      <c r="K23" s="8">
        <v>0.67500000000000004</v>
      </c>
      <c r="L23" s="8">
        <v>0.68200000000000005</v>
      </c>
      <c r="M23" s="8">
        <v>1.006</v>
      </c>
      <c r="N23" s="8">
        <v>1.141</v>
      </c>
      <c r="O23" s="8">
        <v>1.3420000000000001</v>
      </c>
      <c r="P23" s="9"/>
      <c r="Q23" s="8">
        <v>1.851</v>
      </c>
      <c r="R23" s="9"/>
      <c r="S23" s="8">
        <v>1.341</v>
      </c>
      <c r="T23" s="9"/>
      <c r="U23" s="8">
        <v>1.7270000000000001</v>
      </c>
      <c r="V23" s="9"/>
      <c r="Y23" s="3">
        <f t="shared" si="3"/>
        <v>2013</v>
      </c>
      <c r="Z23" s="141">
        <f>(3.049/3.154)*Z22</f>
        <v>3.0039474141677527</v>
      </c>
      <c r="AA23" s="141">
        <f>(3.122/3.202)*AA22</f>
        <v>3.2582670700086425</v>
      </c>
      <c r="AB23" s="141">
        <f>(2.482/2.592)*AB22</f>
        <v>2.5051827203736132</v>
      </c>
      <c r="AD23" s="3">
        <f t="shared" si="0"/>
        <v>24.123478278211397</v>
      </c>
      <c r="AE23" s="3">
        <f t="shared" si="1"/>
        <v>23.493084453281199</v>
      </c>
      <c r="AF23" s="3">
        <f t="shared" si="2"/>
        <v>16.735752227722564</v>
      </c>
      <c r="AH23" s="3">
        <v>3.0489999999999999</v>
      </c>
      <c r="AI23" s="3">
        <v>3.1219999999999999</v>
      </c>
      <c r="AJ23" s="3">
        <v>2.4820000000000002</v>
      </c>
    </row>
    <row r="24" spans="1:36" x14ac:dyDescent="0.25">
      <c r="A24" s="7" t="s">
        <v>68</v>
      </c>
      <c r="B24" s="8">
        <v>0.35</v>
      </c>
      <c r="C24" s="8">
        <v>0.38300000000000001</v>
      </c>
      <c r="D24" s="8">
        <v>0.46100000000000002</v>
      </c>
      <c r="E24" s="8">
        <v>0.42399999999999999</v>
      </c>
      <c r="F24" s="8">
        <v>0.30499999999999999</v>
      </c>
      <c r="G24" s="8">
        <v>0.38200000000000001</v>
      </c>
      <c r="H24" s="8">
        <v>0.63800000000000001</v>
      </c>
      <c r="I24" s="8">
        <v>0.54200000000000004</v>
      </c>
      <c r="J24" s="8">
        <v>0.54800000000000004</v>
      </c>
      <c r="K24" s="8">
        <v>0.73199999999999998</v>
      </c>
      <c r="L24" s="8">
        <v>0.74</v>
      </c>
      <c r="M24" s="8">
        <v>1.107</v>
      </c>
      <c r="N24" s="8">
        <v>1.2050000000000001</v>
      </c>
      <c r="O24" s="8">
        <v>1.377</v>
      </c>
      <c r="P24" s="9"/>
      <c r="Q24" s="8">
        <v>1.8979999999999999</v>
      </c>
      <c r="R24" s="9"/>
      <c r="S24" s="8">
        <v>1.349</v>
      </c>
      <c r="T24" s="9"/>
      <c r="U24" s="8">
        <v>1.8120000000000001</v>
      </c>
      <c r="V24" s="9"/>
      <c r="Y24" s="3">
        <f t="shared" si="3"/>
        <v>2014</v>
      </c>
      <c r="Z24" s="141">
        <f>(2.855/3.049)*Z23</f>
        <v>2.8128139939156882</v>
      </c>
      <c r="AA24" s="141">
        <f>(2.923/3.122)*AA23</f>
        <v>3.0505812445980984</v>
      </c>
      <c r="AB24" s="141">
        <f>(2.325/2.482)*AB23</f>
        <v>2.3467162872154113</v>
      </c>
      <c r="AD24" s="3">
        <f t="shared" si="0"/>
        <v>22.588563622267475</v>
      </c>
      <c r="AE24" s="3">
        <f t="shared" si="1"/>
        <v>21.995607257188006</v>
      </c>
      <c r="AF24" s="3">
        <f t="shared" si="2"/>
        <v>15.677124870852118</v>
      </c>
      <c r="AH24" s="3">
        <v>2.855</v>
      </c>
      <c r="AI24" s="3">
        <v>2.923</v>
      </c>
      <c r="AJ24" s="3">
        <v>2.3250000000000002</v>
      </c>
    </row>
    <row r="25" spans="1:36" x14ac:dyDescent="0.25">
      <c r="A25" s="11" t="s">
        <v>67</v>
      </c>
      <c r="B25" s="12">
        <v>0.29799999999999999</v>
      </c>
      <c r="C25" s="12">
        <v>0.34399999999999997</v>
      </c>
      <c r="D25" s="12">
        <v>0.39700000000000002</v>
      </c>
      <c r="E25" s="12">
        <v>0.375</v>
      </c>
      <c r="F25" s="12">
        <v>0.27100000000000002</v>
      </c>
      <c r="G25" s="12">
        <v>0.33300000000000002</v>
      </c>
      <c r="H25" s="12">
        <v>0.52300000000000002</v>
      </c>
      <c r="I25" s="12">
        <v>0.438</v>
      </c>
      <c r="J25" s="12">
        <v>0.502</v>
      </c>
      <c r="K25" s="12">
        <v>0.621</v>
      </c>
      <c r="L25" s="12">
        <v>0.63800000000000001</v>
      </c>
      <c r="M25" s="12">
        <v>0.89900000000000002</v>
      </c>
      <c r="N25" s="12">
        <v>1.087</v>
      </c>
      <c r="O25" s="12">
        <v>1.3140000000000001</v>
      </c>
      <c r="P25" s="13"/>
      <c r="Q25" s="12">
        <v>1.821</v>
      </c>
      <c r="R25" s="13"/>
      <c r="S25" s="12">
        <v>1.337</v>
      </c>
      <c r="T25" s="13"/>
      <c r="U25" s="12">
        <v>1.694</v>
      </c>
      <c r="V25" s="13"/>
      <c r="Y25" s="3">
        <v>2015</v>
      </c>
      <c r="Z25" s="147">
        <f>(2.003/2.855)*Z24</f>
        <v>1.973403302911777</v>
      </c>
      <c r="AA25" s="147">
        <f>(AI25/AI24)*AA24</f>
        <v>1.8983945548833185</v>
      </c>
      <c r="AB25" s="147">
        <f>(AJ25/AJ24)*AB24</f>
        <v>1.2970023350846465</v>
      </c>
      <c r="AD25" s="3">
        <f t="shared" ref="AD25:AD27" si="4">Z25/5.23*42</f>
        <v>15.847598226060159</v>
      </c>
      <c r="AE25" s="3">
        <f t="shared" ref="AE25:AE27" si="5">AA25/5.825*42</f>
        <v>13.687995073836804</v>
      </c>
      <c r="AF25" s="3">
        <f t="shared" ref="AF25:AF27" si="6">AB25/6.287*42</f>
        <v>8.6645614877612775</v>
      </c>
      <c r="AH25" s="3">
        <v>2.0030000000000001</v>
      </c>
      <c r="AI25" s="3">
        <v>1.819</v>
      </c>
      <c r="AJ25" s="3">
        <v>1.2849999999999999</v>
      </c>
    </row>
    <row r="26" spans="1:36" x14ac:dyDescent="0.25">
      <c r="A26" s="7" t="s">
        <v>66</v>
      </c>
      <c r="B26" s="8">
        <v>0.33600000000000002</v>
      </c>
      <c r="C26" s="8">
        <v>0.35399999999999998</v>
      </c>
      <c r="D26" s="8">
        <v>0.47099999999999997</v>
      </c>
      <c r="E26" s="8">
        <v>0.42599999999999999</v>
      </c>
      <c r="F26" s="8">
        <v>0.29699999999999999</v>
      </c>
      <c r="G26" s="8">
        <v>0.35399999999999998</v>
      </c>
      <c r="H26" s="8">
        <v>0.60299999999999998</v>
      </c>
      <c r="I26" s="8">
        <v>0.55600000000000005</v>
      </c>
      <c r="J26" s="8">
        <v>0.44</v>
      </c>
      <c r="K26" s="8">
        <v>0.61499999999999999</v>
      </c>
      <c r="L26" s="8">
        <v>0.76100000000000001</v>
      </c>
      <c r="M26" s="8">
        <v>0.93899999999999995</v>
      </c>
      <c r="N26" s="8">
        <v>1.0409999999999999</v>
      </c>
      <c r="O26" s="8">
        <v>1.206</v>
      </c>
      <c r="P26" s="9"/>
      <c r="Q26" s="8">
        <v>1.4550000000000001</v>
      </c>
      <c r="R26" s="9"/>
      <c r="S26" s="8">
        <v>0.95499999999999996</v>
      </c>
      <c r="T26" s="9"/>
      <c r="U26" s="8">
        <v>1.226</v>
      </c>
      <c r="V26" s="9"/>
      <c r="Y26" s="3">
        <v>2016</v>
      </c>
      <c r="Z26" s="147">
        <f>(1.73/2.003)*Z25</f>
        <v>1.7044372012168616</v>
      </c>
      <c r="AA26" s="147">
        <f t="shared" ref="AA26:AB27" si="7">(AI26/AI25)*AA25</f>
        <v>1.576951166810717</v>
      </c>
      <c r="AB26" s="147">
        <f t="shared" si="7"/>
        <v>0.95382661996497353</v>
      </c>
      <c r="AD26" s="3">
        <f t="shared" si="4"/>
        <v>13.687641004035981</v>
      </c>
      <c r="AE26" s="3">
        <f t="shared" si="5"/>
        <v>11.37029167485839</v>
      </c>
      <c r="AF26" s="3">
        <f t="shared" si="6"/>
        <v>6.3719926894431191</v>
      </c>
      <c r="AH26" s="3">
        <v>1.73</v>
      </c>
      <c r="AI26" s="3">
        <v>1.5109999999999999</v>
      </c>
      <c r="AJ26" s="3">
        <v>0.94499999999999995</v>
      </c>
    </row>
    <row r="27" spans="1:36" x14ac:dyDescent="0.25">
      <c r="A27" s="20"/>
      <c r="B27" s="200">
        <v>0.72899999999999998</v>
      </c>
      <c r="C27" s="200">
        <v>0.76100000000000001</v>
      </c>
      <c r="D27" s="200">
        <v>0.84299999999999997</v>
      </c>
      <c r="E27" s="200">
        <v>0.83099999999999996</v>
      </c>
      <c r="F27" s="200">
        <v>0.66</v>
      </c>
      <c r="G27" s="200">
        <v>0.76200000000000001</v>
      </c>
      <c r="H27" s="200">
        <v>1.091</v>
      </c>
      <c r="I27" s="200">
        <v>1.022</v>
      </c>
      <c r="J27" s="200">
        <v>0.94299999999999995</v>
      </c>
      <c r="K27" s="200">
        <v>1.135</v>
      </c>
      <c r="L27" s="200">
        <v>1.423</v>
      </c>
      <c r="M27" s="200">
        <v>1.8280000000000001</v>
      </c>
      <c r="N27" s="200">
        <v>2.121</v>
      </c>
      <c r="O27" s="200">
        <v>2.3380000000000001</v>
      </c>
      <c r="P27" s="203"/>
      <c r="Q27" s="200">
        <v>2.7719999999999998</v>
      </c>
      <c r="R27" s="203"/>
      <c r="S27" s="200">
        <v>1.893</v>
      </c>
      <c r="T27" s="206" t="s">
        <v>30</v>
      </c>
      <c r="U27" s="200">
        <v>2.3159999999999998</v>
      </c>
      <c r="V27" s="203"/>
      <c r="Y27" s="3">
        <v>2017</v>
      </c>
      <c r="Z27" s="147">
        <f>(1.976/1.73)*Z26</f>
        <v>1.9468022598870052</v>
      </c>
      <c r="AA27" s="147">
        <f t="shared" si="7"/>
        <v>1.8900453759723419</v>
      </c>
      <c r="AB27" s="147">
        <f t="shared" si="7"/>
        <v>1.2990210157618212</v>
      </c>
      <c r="AD27" s="3">
        <f t="shared" si="4"/>
        <v>15.633976083222601</v>
      </c>
      <c r="AE27" s="3">
        <f t="shared" si="5"/>
        <v>13.627794985551649</v>
      </c>
      <c r="AF27" s="3">
        <f t="shared" si="6"/>
        <v>8.6780471865749149</v>
      </c>
      <c r="AH27" s="3">
        <v>1.976</v>
      </c>
      <c r="AI27" s="3">
        <v>1.8109999999999999</v>
      </c>
      <c r="AJ27" s="3">
        <v>1.2869999999999999</v>
      </c>
    </row>
    <row r="28" spans="1:36" x14ac:dyDescent="0.25">
      <c r="A28" s="19" t="s">
        <v>86</v>
      </c>
      <c r="B28" s="201"/>
      <c r="C28" s="201"/>
      <c r="D28" s="201"/>
      <c r="E28" s="201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4"/>
      <c r="Q28" s="201"/>
      <c r="R28" s="204"/>
      <c r="S28" s="201"/>
      <c r="T28" s="207"/>
      <c r="U28" s="201"/>
      <c r="V28" s="204"/>
      <c r="Y28" s="3">
        <v>2018</v>
      </c>
      <c r="Z28" s="3">
        <f>(2.303/1.976)*Z27</f>
        <v>2.2689704476314638</v>
      </c>
    </row>
    <row r="29" spans="1:36" x14ac:dyDescent="0.25">
      <c r="A29" s="7" t="s">
        <v>85</v>
      </c>
      <c r="B29" s="202"/>
      <c r="C29" s="202"/>
      <c r="D29" s="202"/>
      <c r="E29" s="202"/>
      <c r="F29" s="202"/>
      <c r="G29" s="202"/>
      <c r="H29" s="202"/>
      <c r="I29" s="202"/>
      <c r="J29" s="202"/>
      <c r="K29" s="202"/>
      <c r="L29" s="202"/>
      <c r="M29" s="202"/>
      <c r="N29" s="202"/>
      <c r="O29" s="202"/>
      <c r="P29" s="205"/>
      <c r="Q29" s="202"/>
      <c r="R29" s="205"/>
      <c r="S29" s="202"/>
      <c r="T29" s="208"/>
      <c r="U29" s="202"/>
      <c r="V29" s="205"/>
    </row>
    <row r="30" spans="1:36" x14ac:dyDescent="0.25">
      <c r="A30" s="7" t="s">
        <v>84</v>
      </c>
      <c r="B30" s="8">
        <v>0.69</v>
      </c>
      <c r="C30" s="8">
        <v>0.72099999999999997</v>
      </c>
      <c r="D30" s="8">
        <v>0.80900000000000005</v>
      </c>
      <c r="E30" s="8">
        <v>0.79700000000000004</v>
      </c>
      <c r="F30" s="8">
        <v>0.623</v>
      </c>
      <c r="G30" s="8">
        <v>0.72799999999999998</v>
      </c>
      <c r="H30" s="8">
        <v>1.0629999999999999</v>
      </c>
      <c r="I30" s="8">
        <v>0.99299999999999999</v>
      </c>
      <c r="J30" s="8">
        <v>0.91500000000000004</v>
      </c>
      <c r="K30" s="8">
        <v>1.1080000000000001</v>
      </c>
      <c r="L30" s="8">
        <v>1.399</v>
      </c>
      <c r="M30" s="8">
        <v>1.8069999999999999</v>
      </c>
      <c r="N30" s="8">
        <v>2.0979999999999999</v>
      </c>
      <c r="O30" s="8">
        <v>2.3130000000000002</v>
      </c>
      <c r="P30" s="9"/>
      <c r="Q30" s="8">
        <v>2.75</v>
      </c>
      <c r="R30" s="9"/>
      <c r="S30" s="8">
        <v>1.867</v>
      </c>
      <c r="T30" s="10" t="s">
        <v>30</v>
      </c>
      <c r="U30" s="8">
        <v>2.29</v>
      </c>
      <c r="V30" s="9"/>
    </row>
    <row r="31" spans="1:36" x14ac:dyDescent="0.25">
      <c r="A31" s="11" t="s">
        <v>81</v>
      </c>
      <c r="B31" s="12">
        <v>0.68500000000000005</v>
      </c>
      <c r="C31" s="12">
        <v>0.71399999999999997</v>
      </c>
      <c r="D31" s="12">
        <v>0.80100000000000005</v>
      </c>
      <c r="E31" s="12">
        <v>0.78500000000000003</v>
      </c>
      <c r="F31" s="12">
        <v>0.61</v>
      </c>
      <c r="G31" s="12">
        <v>0.70799999999999996</v>
      </c>
      <c r="H31" s="12">
        <v>1.044</v>
      </c>
      <c r="I31" s="12">
        <v>0.96799999999999997</v>
      </c>
      <c r="J31" s="12">
        <v>0.90100000000000002</v>
      </c>
      <c r="K31" s="12">
        <v>1.0820000000000001</v>
      </c>
      <c r="L31" s="12">
        <v>1.373</v>
      </c>
      <c r="M31" s="12">
        <v>1.7889999999999999</v>
      </c>
      <c r="N31" s="12">
        <v>2.073</v>
      </c>
      <c r="O31" s="12">
        <v>2.2970000000000002</v>
      </c>
      <c r="P31" s="14" t="s">
        <v>78</v>
      </c>
      <c r="Q31" s="12">
        <v>2.7309999999999999</v>
      </c>
      <c r="R31" s="14" t="s">
        <v>78</v>
      </c>
      <c r="S31" s="12">
        <v>1.8420000000000001</v>
      </c>
      <c r="T31" s="14" t="s">
        <v>80</v>
      </c>
      <c r="U31" s="12">
        <v>2.2669999999999999</v>
      </c>
      <c r="V31" s="14" t="s">
        <v>78</v>
      </c>
      <c r="Z31" s="3" t="s">
        <v>94</v>
      </c>
      <c r="AD31" s="3" t="s">
        <v>95</v>
      </c>
    </row>
    <row r="32" spans="1:36" x14ac:dyDescent="0.25">
      <c r="A32" s="7" t="s">
        <v>79</v>
      </c>
      <c r="B32" s="8">
        <v>0.73699999999999999</v>
      </c>
      <c r="C32" s="8">
        <v>0.77300000000000002</v>
      </c>
      <c r="D32" s="8">
        <v>0.86099999999999999</v>
      </c>
      <c r="E32" s="8">
        <v>0.88700000000000001</v>
      </c>
      <c r="F32" s="8">
        <v>0.69399999999999995</v>
      </c>
      <c r="G32" s="8">
        <v>0.78200000000000003</v>
      </c>
      <c r="H32" s="8">
        <v>1.1180000000000001</v>
      </c>
      <c r="I32" s="8">
        <v>1.0589999999999999</v>
      </c>
      <c r="J32" s="8">
        <v>0.96399999999999997</v>
      </c>
      <c r="K32" s="8">
        <v>1.1419999999999999</v>
      </c>
      <c r="L32" s="8">
        <v>1.4139999999999999</v>
      </c>
      <c r="M32" s="8">
        <v>1.768</v>
      </c>
      <c r="N32" s="8">
        <v>2.0760000000000001</v>
      </c>
      <c r="O32" s="140"/>
      <c r="P32" s="10" t="s">
        <v>78</v>
      </c>
      <c r="Q32" s="140"/>
      <c r="R32" s="10" t="s">
        <v>78</v>
      </c>
      <c r="S32" s="140"/>
      <c r="T32" s="10" t="s">
        <v>78</v>
      </c>
      <c r="U32" s="140"/>
      <c r="V32" s="10" t="s">
        <v>78</v>
      </c>
      <c r="Z32" s="3" t="s">
        <v>96</v>
      </c>
      <c r="AD32" s="3" t="s">
        <v>95</v>
      </c>
    </row>
    <row r="33" spans="1:26" x14ac:dyDescent="0.25">
      <c r="A33" s="7" t="s">
        <v>77</v>
      </c>
      <c r="B33" s="8">
        <v>0.74299999999999999</v>
      </c>
      <c r="C33" s="8">
        <v>0.74099999999999999</v>
      </c>
      <c r="D33" s="8">
        <v>0.83299999999999996</v>
      </c>
      <c r="E33" s="8">
        <v>0.82199999999999995</v>
      </c>
      <c r="F33" s="8">
        <v>0.65100000000000002</v>
      </c>
      <c r="G33" s="8">
        <v>0.77700000000000002</v>
      </c>
      <c r="H33" s="8">
        <v>1.109</v>
      </c>
      <c r="I33" s="8">
        <v>1.0509999999999999</v>
      </c>
      <c r="J33" s="8">
        <v>0.94899999999999995</v>
      </c>
      <c r="K33" s="8">
        <v>1.1830000000000001</v>
      </c>
      <c r="L33" s="8">
        <v>1.478</v>
      </c>
      <c r="M33" s="8">
        <v>1.861</v>
      </c>
      <c r="N33" s="8">
        <v>2.1680000000000001</v>
      </c>
      <c r="O33" s="8">
        <v>2.3570000000000002</v>
      </c>
      <c r="P33" s="9"/>
      <c r="Q33" s="8">
        <v>2.8069999999999999</v>
      </c>
      <c r="R33" s="9"/>
      <c r="S33" s="8">
        <v>1.944</v>
      </c>
      <c r="T33" s="9"/>
      <c r="U33" s="8">
        <v>2.3580000000000001</v>
      </c>
      <c r="V33" s="9"/>
    </row>
    <row r="34" spans="1:26" x14ac:dyDescent="0.25">
      <c r="A34" s="11" t="s">
        <v>83</v>
      </c>
      <c r="B34" s="12">
        <v>0.77</v>
      </c>
      <c r="C34" s="12">
        <v>0.80200000000000005</v>
      </c>
      <c r="D34" s="12">
        <v>0.88500000000000001</v>
      </c>
      <c r="E34" s="12">
        <v>0.88</v>
      </c>
      <c r="F34" s="12">
        <v>0.71099999999999997</v>
      </c>
      <c r="G34" s="12">
        <v>0.81200000000000006</v>
      </c>
      <c r="H34" s="12">
        <v>1.1459999999999999</v>
      </c>
      <c r="I34" s="12">
        <v>1.0860000000000001</v>
      </c>
      <c r="J34" s="12">
        <v>1.002</v>
      </c>
      <c r="K34" s="12">
        <v>1.1950000000000001</v>
      </c>
      <c r="L34" s="12">
        <v>1.482</v>
      </c>
      <c r="M34" s="12">
        <v>1.877</v>
      </c>
      <c r="N34" s="12">
        <v>2.1829999999999998</v>
      </c>
      <c r="O34" s="12">
        <v>2.4119999999999999</v>
      </c>
      <c r="P34" s="13"/>
      <c r="Q34" s="12">
        <v>2.8460000000000001</v>
      </c>
      <c r="R34" s="13"/>
      <c r="S34" s="12">
        <v>1.9690000000000001</v>
      </c>
      <c r="T34" s="13"/>
      <c r="U34" s="12">
        <v>2.39</v>
      </c>
      <c r="V34" s="13"/>
      <c r="Z34" s="3" t="s">
        <v>315</v>
      </c>
    </row>
    <row r="35" spans="1:26" x14ac:dyDescent="0.25">
      <c r="A35" s="7" t="s">
        <v>81</v>
      </c>
      <c r="B35" s="8">
        <v>0.76600000000000001</v>
      </c>
      <c r="C35" s="8">
        <v>0.79300000000000004</v>
      </c>
      <c r="D35" s="8">
        <v>0.874</v>
      </c>
      <c r="E35" s="8">
        <v>0.86499999999999999</v>
      </c>
      <c r="F35" s="8">
        <v>0.69499999999999995</v>
      </c>
      <c r="G35" s="8">
        <v>0.78700000000000003</v>
      </c>
      <c r="H35" s="8">
        <v>1.1220000000000001</v>
      </c>
      <c r="I35" s="8">
        <v>1.052</v>
      </c>
      <c r="J35" s="8">
        <v>0.98499999999999999</v>
      </c>
      <c r="K35" s="8">
        <v>1.1659999999999999</v>
      </c>
      <c r="L35" s="8">
        <v>1.4530000000000001</v>
      </c>
      <c r="M35" s="8">
        <v>1.855</v>
      </c>
      <c r="N35" s="8">
        <v>2.1509999999999998</v>
      </c>
      <c r="O35" s="8">
        <v>2.3889999999999998</v>
      </c>
      <c r="P35" s="10" t="s">
        <v>78</v>
      </c>
      <c r="Q35" s="8">
        <v>2.8159999999999998</v>
      </c>
      <c r="R35" s="10" t="s">
        <v>78</v>
      </c>
      <c r="S35" s="8">
        <v>1.9339999999999999</v>
      </c>
      <c r="T35" s="10" t="s">
        <v>80</v>
      </c>
      <c r="U35" s="8">
        <v>2.3570000000000002</v>
      </c>
      <c r="V35" s="10" t="s">
        <v>78</v>
      </c>
    </row>
    <row r="36" spans="1:26" x14ac:dyDescent="0.25">
      <c r="A36" s="7" t="s">
        <v>79</v>
      </c>
      <c r="B36" s="8">
        <v>0.82099999999999995</v>
      </c>
      <c r="C36" s="8">
        <v>0.83799999999999997</v>
      </c>
      <c r="D36" s="8">
        <v>0.92900000000000005</v>
      </c>
      <c r="E36" s="8">
        <v>0.96399999999999997</v>
      </c>
      <c r="F36" s="8">
        <v>0.76300000000000001</v>
      </c>
      <c r="G36" s="8">
        <v>0.85299999999999998</v>
      </c>
      <c r="H36" s="8">
        <v>1.1850000000000001</v>
      </c>
      <c r="I36" s="8">
        <v>1.1200000000000001</v>
      </c>
      <c r="J36" s="8">
        <v>1.0309999999999999</v>
      </c>
      <c r="K36" s="8">
        <v>1.1930000000000001</v>
      </c>
      <c r="L36" s="8">
        <v>1.4590000000000001</v>
      </c>
      <c r="M36" s="8">
        <v>1.8240000000000001</v>
      </c>
      <c r="N36" s="8">
        <v>2.1379999999999999</v>
      </c>
      <c r="O36" s="140"/>
      <c r="P36" s="10" t="s">
        <v>78</v>
      </c>
      <c r="Q36" s="140"/>
      <c r="R36" s="10" t="s">
        <v>78</v>
      </c>
      <c r="S36" s="140"/>
      <c r="T36" s="10" t="s">
        <v>78</v>
      </c>
      <c r="U36" s="140"/>
      <c r="V36" s="10" t="s">
        <v>78</v>
      </c>
    </row>
    <row r="37" spans="1:26" x14ac:dyDescent="0.25">
      <c r="A37" s="11" t="s">
        <v>77</v>
      </c>
      <c r="B37" s="12">
        <v>0.85099999999999998</v>
      </c>
      <c r="C37" s="12">
        <v>0.82899999999999996</v>
      </c>
      <c r="D37" s="12">
        <v>0.91600000000000004</v>
      </c>
      <c r="E37" s="12">
        <v>0.91500000000000004</v>
      </c>
      <c r="F37" s="12">
        <v>0.748</v>
      </c>
      <c r="G37" s="12">
        <v>0.86899999999999999</v>
      </c>
      <c r="H37" s="12">
        <v>1.1970000000000001</v>
      </c>
      <c r="I37" s="12">
        <v>1.1559999999999999</v>
      </c>
      <c r="J37" s="12">
        <v>1.042</v>
      </c>
      <c r="K37" s="12">
        <v>1.2769999999999999</v>
      </c>
      <c r="L37" s="12">
        <v>1.569</v>
      </c>
      <c r="M37" s="12">
        <v>1.9450000000000001</v>
      </c>
      <c r="N37" s="12">
        <v>2.2730000000000001</v>
      </c>
      <c r="O37" s="12">
        <v>2.476</v>
      </c>
      <c r="P37" s="13"/>
      <c r="Q37" s="12">
        <v>2.9359999999999999</v>
      </c>
      <c r="R37" s="13"/>
      <c r="S37" s="12">
        <v>2.077</v>
      </c>
      <c r="T37" s="13"/>
      <c r="U37" s="12">
        <v>2.4940000000000002</v>
      </c>
      <c r="V37" s="13"/>
    </row>
    <row r="38" spans="1:26" x14ac:dyDescent="0.25">
      <c r="A38" s="7" t="s">
        <v>82</v>
      </c>
      <c r="B38" s="8">
        <v>0.85199999999999998</v>
      </c>
      <c r="C38" s="8">
        <v>0.88300000000000001</v>
      </c>
      <c r="D38" s="8">
        <v>0.96199999999999997</v>
      </c>
      <c r="E38" s="8">
        <v>0.95499999999999996</v>
      </c>
      <c r="F38" s="8">
        <v>0.78600000000000003</v>
      </c>
      <c r="G38" s="8">
        <v>0.88</v>
      </c>
      <c r="H38" s="8">
        <v>1.218</v>
      </c>
      <c r="I38" s="8">
        <v>1.1539999999999999</v>
      </c>
      <c r="J38" s="8">
        <v>1.081</v>
      </c>
      <c r="K38" s="8">
        <v>1.282</v>
      </c>
      <c r="L38" s="8">
        <v>1.58</v>
      </c>
      <c r="M38" s="8">
        <v>1.988</v>
      </c>
      <c r="N38" s="8">
        <v>2.3029999999999999</v>
      </c>
      <c r="O38" s="8">
        <v>2.5289999999999999</v>
      </c>
      <c r="P38" s="9"/>
      <c r="Q38" s="8">
        <v>2.9609999999999999</v>
      </c>
      <c r="R38" s="9"/>
      <c r="S38" s="8">
        <v>2.1240000000000001</v>
      </c>
      <c r="T38" s="10" t="s">
        <v>30</v>
      </c>
      <c r="U38" s="8">
        <v>2.5419999999999998</v>
      </c>
      <c r="V38" s="9"/>
    </row>
    <row r="39" spans="1:26" x14ac:dyDescent="0.25">
      <c r="A39" s="7" t="s">
        <v>81</v>
      </c>
      <c r="B39" s="8">
        <v>0.84599999999999997</v>
      </c>
      <c r="C39" s="8">
        <v>0.871</v>
      </c>
      <c r="D39" s="8">
        <v>0.95</v>
      </c>
      <c r="E39" s="8">
        <v>0.93899999999999995</v>
      </c>
      <c r="F39" s="8">
        <v>0.76900000000000002</v>
      </c>
      <c r="G39" s="8">
        <v>0.85599999999999998</v>
      </c>
      <c r="H39" s="8">
        <v>1.1919999999999999</v>
      </c>
      <c r="I39" s="8">
        <v>1.119</v>
      </c>
      <c r="J39" s="8">
        <v>1.0629999999999999</v>
      </c>
      <c r="K39" s="8">
        <v>1.2450000000000001</v>
      </c>
      <c r="L39" s="8">
        <v>1.538</v>
      </c>
      <c r="M39" s="8">
        <v>1.958</v>
      </c>
      <c r="N39" s="8">
        <v>2.2629999999999999</v>
      </c>
      <c r="O39" s="8">
        <v>2.4969999999999999</v>
      </c>
      <c r="P39" s="10" t="s">
        <v>78</v>
      </c>
      <c r="Q39" s="8">
        <v>2.9350000000000001</v>
      </c>
      <c r="R39" s="10" t="s">
        <v>78</v>
      </c>
      <c r="S39" s="8">
        <v>2.0819999999999999</v>
      </c>
      <c r="T39" s="10" t="s">
        <v>80</v>
      </c>
      <c r="U39" s="8">
        <v>2.504</v>
      </c>
      <c r="V39" s="10" t="s">
        <v>78</v>
      </c>
    </row>
    <row r="40" spans="1:26" x14ac:dyDescent="0.25">
      <c r="A40" s="11" t="s">
        <v>79</v>
      </c>
      <c r="B40" s="12">
        <v>0.90800000000000003</v>
      </c>
      <c r="C40" s="12">
        <v>0.93799999999999994</v>
      </c>
      <c r="D40" s="12">
        <v>1.0189999999999999</v>
      </c>
      <c r="E40" s="12">
        <v>1.054</v>
      </c>
      <c r="F40" s="12">
        <v>0.84499999999999997</v>
      </c>
      <c r="G40" s="12">
        <v>0.94</v>
      </c>
      <c r="H40" s="12">
        <v>1.2789999999999999</v>
      </c>
      <c r="I40" s="12">
        <v>1.218</v>
      </c>
      <c r="J40" s="12">
        <v>1.1279999999999999</v>
      </c>
      <c r="K40" s="12">
        <v>1.3069999999999999</v>
      </c>
      <c r="L40" s="12">
        <v>1.5680000000000001</v>
      </c>
      <c r="M40" s="12">
        <v>1.915</v>
      </c>
      <c r="N40" s="12">
        <v>2.2360000000000002</v>
      </c>
      <c r="O40" s="17"/>
      <c r="P40" s="14" t="s">
        <v>78</v>
      </c>
      <c r="Q40" s="17"/>
      <c r="R40" s="14" t="s">
        <v>78</v>
      </c>
      <c r="S40" s="17"/>
      <c r="T40" s="14" t="s">
        <v>78</v>
      </c>
      <c r="U40" s="17"/>
      <c r="V40" s="14" t="s">
        <v>78</v>
      </c>
    </row>
    <row r="41" spans="1:26" x14ac:dyDescent="0.25">
      <c r="A41" s="7" t="s">
        <v>77</v>
      </c>
      <c r="B41" s="8">
        <v>0.93700000000000006</v>
      </c>
      <c r="C41" s="8">
        <v>0.91400000000000003</v>
      </c>
      <c r="D41" s="8">
        <v>0.99099999999999999</v>
      </c>
      <c r="E41" s="8">
        <v>0.98799999999999999</v>
      </c>
      <c r="F41" s="8">
        <v>0.82199999999999995</v>
      </c>
      <c r="G41" s="8">
        <v>0.93100000000000005</v>
      </c>
      <c r="H41" s="8">
        <v>1.2669999999999999</v>
      </c>
      <c r="I41" s="8">
        <v>1.2170000000000001</v>
      </c>
      <c r="J41" s="8">
        <v>1.1160000000000001</v>
      </c>
      <c r="K41" s="8">
        <v>1.355</v>
      </c>
      <c r="L41" s="8">
        <v>1.66</v>
      </c>
      <c r="M41" s="8">
        <v>2.0430000000000001</v>
      </c>
      <c r="N41" s="8">
        <v>2.3730000000000002</v>
      </c>
      <c r="O41" s="8">
        <v>2.5840000000000001</v>
      </c>
      <c r="P41" s="9"/>
      <c r="Q41" s="8">
        <v>3.004</v>
      </c>
      <c r="R41" s="9"/>
      <c r="S41" s="8">
        <v>2.1960000000000002</v>
      </c>
      <c r="T41" s="10" t="s">
        <v>30</v>
      </c>
      <c r="U41" s="8">
        <v>2.6070000000000002</v>
      </c>
      <c r="V41" s="9"/>
    </row>
    <row r="42" spans="1:26" x14ac:dyDescent="0.25">
      <c r="A42" s="7" t="s">
        <v>76</v>
      </c>
      <c r="B42" s="8">
        <v>0.67500000000000004</v>
      </c>
      <c r="C42" s="8">
        <v>0.67300000000000004</v>
      </c>
      <c r="D42" s="8">
        <v>0.79300000000000004</v>
      </c>
      <c r="E42" s="8">
        <v>0.753</v>
      </c>
      <c r="F42" s="8">
        <v>0.59899999999999998</v>
      </c>
      <c r="G42" s="8">
        <v>0.67800000000000005</v>
      </c>
      <c r="H42" s="8">
        <v>1.044</v>
      </c>
      <c r="I42" s="8">
        <v>0.94799999999999995</v>
      </c>
      <c r="J42" s="8">
        <v>0.874</v>
      </c>
      <c r="K42" s="8">
        <v>1.0580000000000001</v>
      </c>
      <c r="L42" s="8">
        <v>1.339</v>
      </c>
      <c r="M42" s="8">
        <v>1.895</v>
      </c>
      <c r="N42" s="8">
        <v>2.1760000000000002</v>
      </c>
      <c r="O42" s="8">
        <v>2.3650000000000002</v>
      </c>
      <c r="P42" s="9"/>
      <c r="Q42" s="8">
        <v>3.222</v>
      </c>
      <c r="R42" s="9"/>
      <c r="S42" s="8">
        <v>1.964</v>
      </c>
      <c r="T42" s="9"/>
      <c r="U42" s="8">
        <v>2.4489999999999998</v>
      </c>
      <c r="V42" s="9"/>
    </row>
    <row r="43" spans="1:26" x14ac:dyDescent="0.25">
      <c r="A43" s="11" t="s">
        <v>75</v>
      </c>
      <c r="B43" s="12">
        <v>0.88400000000000001</v>
      </c>
      <c r="C43" s="12">
        <v>0.86699999999999999</v>
      </c>
      <c r="D43" s="12">
        <v>0.98899999999999999</v>
      </c>
      <c r="E43" s="12">
        <v>0.98399999999999999</v>
      </c>
      <c r="F43" s="12">
        <v>0.85199999999999998</v>
      </c>
      <c r="G43" s="12">
        <v>0.876</v>
      </c>
      <c r="H43" s="12">
        <v>1.3109999999999999</v>
      </c>
      <c r="I43" s="12">
        <v>1.25</v>
      </c>
      <c r="J43" s="12">
        <v>1.129</v>
      </c>
      <c r="K43" s="12">
        <v>1.355</v>
      </c>
      <c r="L43" s="12">
        <v>1.548</v>
      </c>
      <c r="M43" s="12">
        <v>2.052</v>
      </c>
      <c r="N43" s="12">
        <v>2.3650000000000002</v>
      </c>
      <c r="O43" s="12">
        <v>2.5920000000000001</v>
      </c>
      <c r="P43" s="13"/>
      <c r="Q43" s="12">
        <v>3.2189999999999999</v>
      </c>
      <c r="R43" s="13"/>
      <c r="S43" s="12">
        <v>2.3860000000000001</v>
      </c>
      <c r="T43" s="13"/>
      <c r="U43" s="12">
        <v>2.798</v>
      </c>
      <c r="V43" s="13"/>
    </row>
    <row r="44" spans="1:26" x14ac:dyDescent="0.25">
      <c r="A44" s="7" t="s">
        <v>74</v>
      </c>
      <c r="B44" s="8">
        <v>0.628</v>
      </c>
      <c r="C44" s="8">
        <v>0.63600000000000001</v>
      </c>
      <c r="D44" s="8">
        <v>0.75700000000000001</v>
      </c>
      <c r="E44" s="8">
        <v>0.71399999999999997</v>
      </c>
      <c r="F44" s="8">
        <v>0.56200000000000006</v>
      </c>
      <c r="G44" s="8">
        <v>0.65400000000000003</v>
      </c>
      <c r="H44" s="8">
        <v>1.006</v>
      </c>
      <c r="I44" s="8">
        <v>0.91200000000000003</v>
      </c>
      <c r="J44" s="8">
        <v>0.83699999999999997</v>
      </c>
      <c r="K44" s="8">
        <v>1.008</v>
      </c>
      <c r="L44" s="8">
        <v>1.3160000000000001</v>
      </c>
      <c r="M44" s="8">
        <v>1.8859999999999999</v>
      </c>
      <c r="N44" s="8">
        <v>2.165</v>
      </c>
      <c r="O44" s="8">
        <v>2.3479999999999999</v>
      </c>
      <c r="P44" s="9"/>
      <c r="Q44" s="8">
        <v>3.23</v>
      </c>
      <c r="R44" s="9"/>
      <c r="S44" s="8">
        <v>1.9179999999999999</v>
      </c>
      <c r="T44" s="9"/>
      <c r="U44" s="8">
        <v>2.415</v>
      </c>
      <c r="V44" s="9"/>
    </row>
    <row r="45" spans="1:26" x14ac:dyDescent="0.25">
      <c r="A45" s="7" t="s">
        <v>73</v>
      </c>
      <c r="B45" s="8" t="s">
        <v>72</v>
      </c>
      <c r="C45" s="8" t="s">
        <v>72</v>
      </c>
      <c r="D45" s="8" t="s">
        <v>72</v>
      </c>
      <c r="E45" s="8" t="s">
        <v>72</v>
      </c>
      <c r="F45" s="8" t="s">
        <v>72</v>
      </c>
      <c r="G45" s="8" t="s">
        <v>72</v>
      </c>
      <c r="H45" s="8" t="s">
        <v>72</v>
      </c>
      <c r="I45" s="8" t="s">
        <v>72</v>
      </c>
      <c r="J45" s="8" t="s">
        <v>72</v>
      </c>
      <c r="K45" s="8" t="s">
        <v>72</v>
      </c>
      <c r="L45" s="8" t="s">
        <v>72</v>
      </c>
      <c r="M45" s="8" t="s">
        <v>72</v>
      </c>
      <c r="N45" s="8" t="s">
        <v>72</v>
      </c>
      <c r="O45" s="8">
        <v>2.3860000000000001</v>
      </c>
      <c r="P45" s="9"/>
      <c r="Q45" s="8">
        <v>3.2330000000000001</v>
      </c>
      <c r="R45" s="9"/>
      <c r="S45" s="8">
        <v>1.9219999999999999</v>
      </c>
      <c r="T45" s="9"/>
      <c r="U45" s="8">
        <v>2.423</v>
      </c>
      <c r="V45" s="9"/>
    </row>
    <row r="46" spans="1:26" x14ac:dyDescent="0.25">
      <c r="A46" s="11" t="s">
        <v>71</v>
      </c>
      <c r="B46" s="12">
        <v>0.64200000000000002</v>
      </c>
      <c r="C46" s="12">
        <v>0.64500000000000002</v>
      </c>
      <c r="D46" s="12">
        <v>0.76700000000000002</v>
      </c>
      <c r="E46" s="12">
        <v>0.71899999999999997</v>
      </c>
      <c r="F46" s="12">
        <v>0.56499999999999995</v>
      </c>
      <c r="G46" s="12">
        <v>0.66300000000000003</v>
      </c>
      <c r="H46" s="12">
        <v>1.014</v>
      </c>
      <c r="I46" s="12">
        <v>0.91700000000000004</v>
      </c>
      <c r="J46" s="12">
        <v>0.84099999999999997</v>
      </c>
      <c r="K46" s="12">
        <v>1.014</v>
      </c>
      <c r="L46" s="12">
        <v>1.325</v>
      </c>
      <c r="M46" s="12">
        <v>1.899</v>
      </c>
      <c r="N46" s="12">
        <v>2.1829999999999998</v>
      </c>
      <c r="O46" s="12">
        <v>2.3170000000000002</v>
      </c>
      <c r="P46" s="13"/>
      <c r="Q46" s="12">
        <v>3.2320000000000002</v>
      </c>
      <c r="R46" s="13"/>
      <c r="S46" s="12">
        <v>1.913</v>
      </c>
      <c r="T46" s="13"/>
      <c r="U46" s="12">
        <v>2.3809999999999998</v>
      </c>
      <c r="V46" s="13"/>
    </row>
    <row r="47" spans="1:26" x14ac:dyDescent="0.25">
      <c r="A47" s="7" t="s">
        <v>70</v>
      </c>
      <c r="B47" s="8">
        <v>0.59799999999999998</v>
      </c>
      <c r="C47" s="8">
        <v>0.61399999999999999</v>
      </c>
      <c r="D47" s="8">
        <v>0.73199999999999998</v>
      </c>
      <c r="E47" s="8">
        <v>0.69799999999999995</v>
      </c>
      <c r="F47" s="8">
        <v>0.55500000000000005</v>
      </c>
      <c r="G47" s="8">
        <v>0.62</v>
      </c>
      <c r="H47" s="8">
        <v>0.98099999999999998</v>
      </c>
      <c r="I47" s="8">
        <v>0.89200000000000002</v>
      </c>
      <c r="J47" s="8">
        <v>0.82199999999999995</v>
      </c>
      <c r="K47" s="8">
        <v>0.98599999999999999</v>
      </c>
      <c r="L47" s="8">
        <v>1.2809999999999999</v>
      </c>
      <c r="M47" s="8">
        <v>1.833</v>
      </c>
      <c r="N47" s="8">
        <v>2.0840000000000001</v>
      </c>
      <c r="O47" s="8">
        <v>2.1869999999999998</v>
      </c>
      <c r="P47" s="9"/>
      <c r="Q47" s="8">
        <v>3.1869999999999998</v>
      </c>
      <c r="R47" s="9"/>
      <c r="S47" s="8">
        <v>1.865</v>
      </c>
      <c r="T47" s="9"/>
      <c r="U47" s="8">
        <v>2.3079999999999998</v>
      </c>
      <c r="V47" s="9"/>
    </row>
    <row r="48" spans="1:26" x14ac:dyDescent="0.25">
      <c r="A48" s="7" t="s">
        <v>69</v>
      </c>
      <c r="B48" s="8">
        <v>0.35799999999999998</v>
      </c>
      <c r="C48" s="8">
        <v>0.39700000000000002</v>
      </c>
      <c r="D48" s="8">
        <v>0.46400000000000002</v>
      </c>
      <c r="E48" s="8">
        <v>0.42899999999999999</v>
      </c>
      <c r="F48" s="8">
        <v>0.311</v>
      </c>
      <c r="G48" s="8">
        <v>0.378</v>
      </c>
      <c r="H48" s="8">
        <v>0.60899999999999999</v>
      </c>
      <c r="I48" s="8">
        <v>0.53300000000000003</v>
      </c>
      <c r="J48" s="8">
        <v>0.56100000000000005</v>
      </c>
      <c r="K48" s="8">
        <v>0.69599999999999995</v>
      </c>
      <c r="L48" s="8">
        <v>0.72499999999999998</v>
      </c>
      <c r="M48" s="8">
        <v>1.0409999999999999</v>
      </c>
      <c r="N48" s="8">
        <v>1.212</v>
      </c>
      <c r="O48" s="8">
        <v>1.3759999999999999</v>
      </c>
      <c r="P48" s="9"/>
      <c r="Q48" s="8">
        <v>1.944</v>
      </c>
      <c r="R48" s="9"/>
      <c r="S48" s="8">
        <v>1.34</v>
      </c>
      <c r="T48" s="10" t="s">
        <v>30</v>
      </c>
      <c r="U48" s="8">
        <v>1.7290000000000001</v>
      </c>
      <c r="V48" s="9"/>
    </row>
    <row r="49" spans="1:22" x14ac:dyDescent="0.25">
      <c r="A49" s="11" t="s">
        <v>68</v>
      </c>
      <c r="B49" s="12">
        <v>0.40300000000000002</v>
      </c>
      <c r="C49" s="12">
        <v>0.433</v>
      </c>
      <c r="D49" s="12">
        <v>0.52900000000000003</v>
      </c>
      <c r="E49" s="12">
        <v>0.47199999999999998</v>
      </c>
      <c r="F49" s="12">
        <v>0.35599999999999998</v>
      </c>
      <c r="G49" s="12">
        <v>0.40600000000000003</v>
      </c>
      <c r="H49" s="12">
        <v>0.68300000000000005</v>
      </c>
      <c r="I49" s="12">
        <v>0.62</v>
      </c>
      <c r="J49" s="12">
        <v>0.61199999999999999</v>
      </c>
      <c r="K49" s="12">
        <v>0.78500000000000003</v>
      </c>
      <c r="L49" s="12">
        <v>0.79400000000000004</v>
      </c>
      <c r="M49" s="12">
        <v>1.1479999999999999</v>
      </c>
      <c r="N49" s="12">
        <v>1.3220000000000001</v>
      </c>
      <c r="O49" s="12">
        <v>1.4450000000000001</v>
      </c>
      <c r="P49" s="13"/>
      <c r="Q49" s="12">
        <v>2.0979999999999999</v>
      </c>
      <c r="R49" s="13"/>
      <c r="S49" s="12">
        <v>1.4219999999999999</v>
      </c>
      <c r="T49" s="13"/>
      <c r="U49" s="12">
        <v>1.9530000000000001</v>
      </c>
      <c r="V49" s="13"/>
    </row>
    <row r="50" spans="1:22" x14ac:dyDescent="0.25">
      <c r="A50" s="7" t="s">
        <v>67</v>
      </c>
      <c r="B50" s="8">
        <v>0.32700000000000001</v>
      </c>
      <c r="C50" s="8">
        <v>0.376</v>
      </c>
      <c r="D50" s="8">
        <v>0.43</v>
      </c>
      <c r="E50" s="8">
        <v>0.40699999999999997</v>
      </c>
      <c r="F50" s="8">
        <v>0.29199999999999998</v>
      </c>
      <c r="G50" s="8">
        <v>0.36599999999999999</v>
      </c>
      <c r="H50" s="8">
        <v>0.57599999999999996</v>
      </c>
      <c r="I50" s="8">
        <v>0.498</v>
      </c>
      <c r="J50" s="8">
        <v>0.54</v>
      </c>
      <c r="K50" s="8">
        <v>0.65100000000000002</v>
      </c>
      <c r="L50" s="8">
        <v>0.68700000000000006</v>
      </c>
      <c r="M50" s="8">
        <v>0.98499999999999999</v>
      </c>
      <c r="N50" s="8">
        <v>1.175</v>
      </c>
      <c r="O50" s="8">
        <v>1.3540000000000001</v>
      </c>
      <c r="P50" s="9"/>
      <c r="Q50" s="8">
        <v>1.8959999999999999</v>
      </c>
      <c r="R50" s="9"/>
      <c r="S50" s="8">
        <v>1.3120000000000001</v>
      </c>
      <c r="T50" s="10" t="s">
        <v>30</v>
      </c>
      <c r="U50" s="8">
        <v>1.6619999999999999</v>
      </c>
      <c r="V50" s="9"/>
    </row>
    <row r="51" spans="1:22" x14ac:dyDescent="0.25">
      <c r="A51" s="7" t="s">
        <v>66</v>
      </c>
      <c r="B51" s="8">
        <v>0.77600000000000002</v>
      </c>
      <c r="C51" s="8">
        <v>0.76600000000000001</v>
      </c>
      <c r="D51" s="8">
        <v>0.88600000000000001</v>
      </c>
      <c r="E51" s="8">
        <v>0.878</v>
      </c>
      <c r="F51" s="8">
        <v>0.77400000000000002</v>
      </c>
      <c r="G51" s="8">
        <v>0.78100000000000003</v>
      </c>
      <c r="H51" s="8">
        <v>1.048</v>
      </c>
      <c r="I51" s="8">
        <v>1.0940000000000001</v>
      </c>
      <c r="J51" s="8">
        <v>0.95799999999999996</v>
      </c>
      <c r="K51" s="8">
        <v>1.1499999999999999</v>
      </c>
      <c r="L51" s="8">
        <v>1.3069999999999999</v>
      </c>
      <c r="M51" s="8">
        <v>1.53</v>
      </c>
      <c r="N51" s="8">
        <v>1.7270000000000001</v>
      </c>
      <c r="O51" s="8">
        <v>1.8879999999999999</v>
      </c>
      <c r="P51" s="9"/>
      <c r="Q51" s="8">
        <v>2.2450000000000001</v>
      </c>
      <c r="R51" s="9"/>
      <c r="S51" s="8">
        <v>1.7769999999999999</v>
      </c>
      <c r="T51" s="9"/>
      <c r="U51" s="8">
        <v>1.976</v>
      </c>
      <c r="V51" s="9"/>
    </row>
    <row r="52" spans="1:22" x14ac:dyDescent="0.25">
      <c r="A52" s="174" t="s">
        <v>31</v>
      </c>
      <c r="B52" s="175"/>
      <c r="C52" s="175"/>
      <c r="D52" s="175"/>
      <c r="E52" s="175"/>
      <c r="F52" s="175"/>
      <c r="G52" s="175"/>
      <c r="H52" s="175"/>
      <c r="I52" s="175"/>
      <c r="J52" s="175"/>
      <c r="K52" s="175"/>
      <c r="L52" s="175" t="s">
        <v>65</v>
      </c>
      <c r="M52" s="175"/>
      <c r="N52" s="175"/>
      <c r="O52" s="175"/>
      <c r="P52" s="175"/>
      <c r="Q52" s="175"/>
      <c r="R52" s="175"/>
      <c r="S52" s="175"/>
      <c r="T52" s="175"/>
      <c r="U52" s="175"/>
      <c r="V52" s="176"/>
    </row>
    <row r="53" spans="1:22" x14ac:dyDescent="0.25">
      <c r="A53" s="166" t="s">
        <v>64</v>
      </c>
      <c r="B53" s="167"/>
      <c r="C53" s="167"/>
      <c r="D53" s="167"/>
      <c r="E53" s="167"/>
      <c r="F53" s="167"/>
      <c r="G53" s="167"/>
      <c r="H53" s="167"/>
      <c r="I53" s="167"/>
      <c r="J53" s="167"/>
      <c r="K53" s="167"/>
      <c r="L53" s="164" t="s">
        <v>63</v>
      </c>
      <c r="M53" s="164"/>
      <c r="N53" s="164"/>
      <c r="O53" s="164"/>
      <c r="P53" s="164"/>
      <c r="Q53" s="164"/>
      <c r="R53" s="164"/>
      <c r="S53" s="164"/>
      <c r="T53" s="164"/>
      <c r="U53" s="164"/>
      <c r="V53" s="165"/>
    </row>
    <row r="54" spans="1:22" x14ac:dyDescent="0.25">
      <c r="A54" s="162" t="s">
        <v>62</v>
      </c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5"/>
    </row>
    <row r="55" spans="1:22" x14ac:dyDescent="0.25">
      <c r="A55" s="162" t="s">
        <v>61</v>
      </c>
      <c r="B55" s="163"/>
      <c r="C55" s="163"/>
      <c r="D55" s="163"/>
      <c r="E55" s="163"/>
      <c r="F55" s="163"/>
      <c r="G55" s="163"/>
      <c r="H55" s="163"/>
      <c r="I55" s="163"/>
      <c r="J55" s="163"/>
      <c r="K55" s="163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5"/>
    </row>
    <row r="56" spans="1:22" ht="15" customHeight="1" x14ac:dyDescent="0.25">
      <c r="A56" s="166" t="s">
        <v>60</v>
      </c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8" t="s">
        <v>59</v>
      </c>
      <c r="M56" s="168"/>
      <c r="N56" s="168"/>
      <c r="O56" s="168"/>
      <c r="P56" s="168"/>
      <c r="Q56" s="168"/>
      <c r="R56" s="168"/>
      <c r="S56" s="168"/>
      <c r="T56" s="168"/>
      <c r="U56" s="168"/>
      <c r="V56" s="169"/>
    </row>
    <row r="57" spans="1:22" x14ac:dyDescent="0.25">
      <c r="A57" s="166" t="s">
        <v>58</v>
      </c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4" t="s">
        <v>57</v>
      </c>
      <c r="M57" s="164"/>
      <c r="N57" s="164"/>
      <c r="O57" s="164"/>
      <c r="P57" s="164"/>
      <c r="Q57" s="164"/>
      <c r="R57" s="164"/>
      <c r="S57" s="164"/>
      <c r="T57" s="164"/>
      <c r="U57" s="164"/>
      <c r="V57" s="165"/>
    </row>
    <row r="58" spans="1:22" x14ac:dyDescent="0.25">
      <c r="A58" s="166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4" t="s">
        <v>56</v>
      </c>
      <c r="M58" s="164"/>
      <c r="N58" s="164"/>
      <c r="O58" s="164"/>
      <c r="P58" s="164"/>
      <c r="Q58" s="164"/>
      <c r="R58" s="164"/>
      <c r="S58" s="164"/>
      <c r="T58" s="164"/>
      <c r="U58" s="164"/>
      <c r="V58" s="165"/>
    </row>
    <row r="59" spans="1:22" x14ac:dyDescent="0.25">
      <c r="A59" s="166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4" t="s">
        <v>55</v>
      </c>
      <c r="M59" s="164"/>
      <c r="N59" s="164"/>
      <c r="O59" s="164"/>
      <c r="P59" s="164"/>
      <c r="Q59" s="164"/>
      <c r="R59" s="164"/>
      <c r="S59" s="164"/>
      <c r="T59" s="164"/>
      <c r="U59" s="164"/>
      <c r="V59" s="165"/>
    </row>
    <row r="60" spans="1:22" x14ac:dyDescent="0.25">
      <c r="A60" s="166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4" t="s">
        <v>54</v>
      </c>
      <c r="M60" s="164"/>
      <c r="N60" s="164"/>
      <c r="O60" s="164"/>
      <c r="P60" s="164"/>
      <c r="Q60" s="164"/>
      <c r="R60" s="164"/>
      <c r="S60" s="164"/>
      <c r="T60" s="164"/>
      <c r="U60" s="164"/>
      <c r="V60" s="165"/>
    </row>
    <row r="61" spans="1:22" x14ac:dyDescent="0.25">
      <c r="A61" s="209" t="s">
        <v>53</v>
      </c>
      <c r="B61" s="210"/>
      <c r="C61" s="210"/>
      <c r="D61" s="210"/>
      <c r="E61" s="210"/>
      <c r="F61" s="210"/>
      <c r="G61" s="210"/>
      <c r="H61" s="210"/>
      <c r="I61" s="210"/>
      <c r="J61" s="210"/>
      <c r="K61" s="210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2"/>
    </row>
  </sheetData>
  <mergeCells count="63">
    <mergeCell ref="D27:D29"/>
    <mergeCell ref="A53:K53"/>
    <mergeCell ref="L53:V55"/>
    <mergeCell ref="A54:K54"/>
    <mergeCell ref="A55:K55"/>
    <mergeCell ref="O27:O29"/>
    <mergeCell ref="P27:P29"/>
    <mergeCell ref="Q27:Q29"/>
    <mergeCell ref="R27:R29"/>
    <mergeCell ref="S27:S29"/>
    <mergeCell ref="T27:T29"/>
    <mergeCell ref="I27:I29"/>
    <mergeCell ref="J27:J29"/>
    <mergeCell ref="E27:E29"/>
    <mergeCell ref="F27:F29"/>
    <mergeCell ref="G27:G29"/>
    <mergeCell ref="A61:K61"/>
    <mergeCell ref="L61:V61"/>
    <mergeCell ref="A56:K56"/>
    <mergeCell ref="L56:V56"/>
    <mergeCell ref="A57:K60"/>
    <mergeCell ref="L57:V57"/>
    <mergeCell ref="L58:V58"/>
    <mergeCell ref="L59:V59"/>
    <mergeCell ref="L60:V60"/>
    <mergeCell ref="H27:H29"/>
    <mergeCell ref="R4:R5"/>
    <mergeCell ref="T4:T5"/>
    <mergeCell ref="U27:U29"/>
    <mergeCell ref="V27:V29"/>
    <mergeCell ref="L4:L5"/>
    <mergeCell ref="S4:S5"/>
    <mergeCell ref="A52:K52"/>
    <mergeCell ref="L52:V52"/>
    <mergeCell ref="H4:H5"/>
    <mergeCell ref="K27:K29"/>
    <mergeCell ref="L27:L29"/>
    <mergeCell ref="M27:M29"/>
    <mergeCell ref="N27:N29"/>
    <mergeCell ref="M4:M5"/>
    <mergeCell ref="U4:U5"/>
    <mergeCell ref="V4:V5"/>
    <mergeCell ref="B27:B29"/>
    <mergeCell ref="C27:C29"/>
    <mergeCell ref="N4:N5"/>
    <mergeCell ref="O4:O5"/>
    <mergeCell ref="P4:P5"/>
    <mergeCell ref="Q4:Q5"/>
    <mergeCell ref="G4:G5"/>
    <mergeCell ref="A1:V1"/>
    <mergeCell ref="A2:V2"/>
    <mergeCell ref="O3:P3"/>
    <mergeCell ref="Q3:R3"/>
    <mergeCell ref="S3:T3"/>
    <mergeCell ref="U3:V3"/>
    <mergeCell ref="B4:B5"/>
    <mergeCell ref="C4:C5"/>
    <mergeCell ref="D4:D5"/>
    <mergeCell ref="E4:E5"/>
    <mergeCell ref="F4:F5"/>
    <mergeCell ref="I4:I5"/>
    <mergeCell ref="J4:J5"/>
    <mergeCell ref="K4:K5"/>
  </mergeCells>
  <hyperlinks>
    <hyperlink ref="L56" r:id="rId1" display="http://www.eia.gov/petroleum/" xr:uid="{00000000-0004-0000-0800-000000000000}"/>
  </hyperlinks>
  <pageMargins left="0.75" right="0.75" top="1" bottom="1" header="0.5" footer="0.5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92"/>
  <sheetViews>
    <sheetView showGridLines="0" topLeftCell="E1" workbookViewId="0">
      <selection activeCell="V24" sqref="V24"/>
    </sheetView>
  </sheetViews>
  <sheetFormatPr defaultRowHeight="15" x14ac:dyDescent="0.25"/>
  <cols>
    <col min="1" max="1" width="4.85546875" style="22" customWidth="1"/>
    <col min="2" max="2" width="8.85546875" style="22" customWidth="1"/>
    <col min="3" max="3" width="5.85546875" style="22" customWidth="1"/>
    <col min="4" max="4" width="9" style="22" customWidth="1"/>
    <col min="5" max="5" width="5.85546875" style="22" customWidth="1"/>
    <col min="6" max="6" width="8.85546875" style="22" customWidth="1"/>
    <col min="7" max="7" width="4.85546875" style="22" customWidth="1"/>
    <col min="8" max="8" width="2.42578125" style="22" customWidth="1"/>
    <col min="9" max="9" width="8.85546875" style="22" customWidth="1"/>
    <col min="10" max="10" width="5.7109375" style="22" customWidth="1"/>
    <col min="11" max="11" width="2.7109375" style="22" customWidth="1"/>
    <col min="12" max="12" width="12" style="22" customWidth="1"/>
    <col min="13" max="13" width="5.5703125" style="22" customWidth="1"/>
    <col min="14" max="14" width="10.42578125" style="22" customWidth="1"/>
    <col min="15" max="15" width="7" style="22" customWidth="1"/>
    <col min="16" max="16" width="7.7109375" style="22" customWidth="1"/>
    <col min="17" max="17" width="3.7109375" style="22" customWidth="1"/>
    <col min="18" max="18" width="12.5703125" style="22" customWidth="1"/>
    <col min="19" max="256" width="9.140625" style="22"/>
    <col min="257" max="257" width="4.85546875" style="22" customWidth="1"/>
    <col min="258" max="258" width="8.85546875" style="22" customWidth="1"/>
    <col min="259" max="259" width="5.85546875" style="22" customWidth="1"/>
    <col min="260" max="260" width="9" style="22" customWidth="1"/>
    <col min="261" max="261" width="5.85546875" style="22" customWidth="1"/>
    <col min="262" max="262" width="8.85546875" style="22" customWidth="1"/>
    <col min="263" max="263" width="4.85546875" style="22" customWidth="1"/>
    <col min="264" max="264" width="2.42578125" style="22" customWidth="1"/>
    <col min="265" max="265" width="8.85546875" style="22" customWidth="1"/>
    <col min="266" max="266" width="5.7109375" style="22" customWidth="1"/>
    <col min="267" max="267" width="2.7109375" style="22" customWidth="1"/>
    <col min="268" max="268" width="12" style="22" customWidth="1"/>
    <col min="269" max="269" width="5.5703125" style="22" customWidth="1"/>
    <col min="270" max="270" width="10.42578125" style="22" customWidth="1"/>
    <col min="271" max="271" width="7" style="22" customWidth="1"/>
    <col min="272" max="272" width="7.7109375" style="22" customWidth="1"/>
    <col min="273" max="273" width="3.7109375" style="22" customWidth="1"/>
    <col min="274" max="274" width="12.5703125" style="22" customWidth="1"/>
    <col min="275" max="512" width="9.140625" style="22"/>
    <col min="513" max="513" width="4.85546875" style="22" customWidth="1"/>
    <col min="514" max="514" width="8.85546875" style="22" customWidth="1"/>
    <col min="515" max="515" width="5.85546875" style="22" customWidth="1"/>
    <col min="516" max="516" width="9" style="22" customWidth="1"/>
    <col min="517" max="517" width="5.85546875" style="22" customWidth="1"/>
    <col min="518" max="518" width="8.85546875" style="22" customWidth="1"/>
    <col min="519" max="519" width="4.85546875" style="22" customWidth="1"/>
    <col min="520" max="520" width="2.42578125" style="22" customWidth="1"/>
    <col min="521" max="521" width="8.85546875" style="22" customWidth="1"/>
    <col min="522" max="522" width="5.7109375" style="22" customWidth="1"/>
    <col min="523" max="523" width="2.7109375" style="22" customWidth="1"/>
    <col min="524" max="524" width="12" style="22" customWidth="1"/>
    <col min="525" max="525" width="5.5703125" style="22" customWidth="1"/>
    <col min="526" max="526" width="10.42578125" style="22" customWidth="1"/>
    <col min="527" max="527" width="7" style="22" customWidth="1"/>
    <col min="528" max="528" width="7.7109375" style="22" customWidth="1"/>
    <col min="529" max="529" width="3.7109375" style="22" customWidth="1"/>
    <col min="530" max="530" width="12.5703125" style="22" customWidth="1"/>
    <col min="531" max="768" width="9.140625" style="22"/>
    <col min="769" max="769" width="4.85546875" style="22" customWidth="1"/>
    <col min="770" max="770" width="8.85546875" style="22" customWidth="1"/>
    <col min="771" max="771" width="5.85546875" style="22" customWidth="1"/>
    <col min="772" max="772" width="9" style="22" customWidth="1"/>
    <col min="773" max="773" width="5.85546875" style="22" customWidth="1"/>
    <col min="774" max="774" width="8.85546875" style="22" customWidth="1"/>
    <col min="775" max="775" width="4.85546875" style="22" customWidth="1"/>
    <col min="776" max="776" width="2.42578125" style="22" customWidth="1"/>
    <col min="777" max="777" width="8.85546875" style="22" customWidth="1"/>
    <col min="778" max="778" width="5.7109375" style="22" customWidth="1"/>
    <col min="779" max="779" width="2.7109375" style="22" customWidth="1"/>
    <col min="780" max="780" width="12" style="22" customWidth="1"/>
    <col min="781" max="781" width="5.5703125" style="22" customWidth="1"/>
    <col min="782" max="782" width="10.42578125" style="22" customWidth="1"/>
    <col min="783" max="783" width="7" style="22" customWidth="1"/>
    <col min="784" max="784" width="7.7109375" style="22" customWidth="1"/>
    <col min="785" max="785" width="3.7109375" style="22" customWidth="1"/>
    <col min="786" max="786" width="12.5703125" style="22" customWidth="1"/>
    <col min="787" max="1024" width="9.140625" style="22"/>
    <col min="1025" max="1025" width="4.85546875" style="22" customWidth="1"/>
    <col min="1026" max="1026" width="8.85546875" style="22" customWidth="1"/>
    <col min="1027" max="1027" width="5.85546875" style="22" customWidth="1"/>
    <col min="1028" max="1028" width="9" style="22" customWidth="1"/>
    <col min="1029" max="1029" width="5.85546875" style="22" customWidth="1"/>
    <col min="1030" max="1030" width="8.85546875" style="22" customWidth="1"/>
    <col min="1031" max="1031" width="4.85546875" style="22" customWidth="1"/>
    <col min="1032" max="1032" width="2.42578125" style="22" customWidth="1"/>
    <col min="1033" max="1033" width="8.85546875" style="22" customWidth="1"/>
    <col min="1034" max="1034" width="5.7109375" style="22" customWidth="1"/>
    <col min="1035" max="1035" width="2.7109375" style="22" customWidth="1"/>
    <col min="1036" max="1036" width="12" style="22" customWidth="1"/>
    <col min="1037" max="1037" width="5.5703125" style="22" customWidth="1"/>
    <col min="1038" max="1038" width="10.42578125" style="22" customWidth="1"/>
    <col min="1039" max="1039" width="7" style="22" customWidth="1"/>
    <col min="1040" max="1040" width="7.7109375" style="22" customWidth="1"/>
    <col min="1041" max="1041" width="3.7109375" style="22" customWidth="1"/>
    <col min="1042" max="1042" width="12.5703125" style="22" customWidth="1"/>
    <col min="1043" max="1280" width="9.140625" style="22"/>
    <col min="1281" max="1281" width="4.85546875" style="22" customWidth="1"/>
    <col min="1282" max="1282" width="8.85546875" style="22" customWidth="1"/>
    <col min="1283" max="1283" width="5.85546875" style="22" customWidth="1"/>
    <col min="1284" max="1284" width="9" style="22" customWidth="1"/>
    <col min="1285" max="1285" width="5.85546875" style="22" customWidth="1"/>
    <col min="1286" max="1286" width="8.85546875" style="22" customWidth="1"/>
    <col min="1287" max="1287" width="4.85546875" style="22" customWidth="1"/>
    <col min="1288" max="1288" width="2.42578125" style="22" customWidth="1"/>
    <col min="1289" max="1289" width="8.85546875" style="22" customWidth="1"/>
    <col min="1290" max="1290" width="5.7109375" style="22" customWidth="1"/>
    <col min="1291" max="1291" width="2.7109375" style="22" customWidth="1"/>
    <col min="1292" max="1292" width="12" style="22" customWidth="1"/>
    <col min="1293" max="1293" width="5.5703125" style="22" customWidth="1"/>
    <col min="1294" max="1294" width="10.42578125" style="22" customWidth="1"/>
    <col min="1295" max="1295" width="7" style="22" customWidth="1"/>
    <col min="1296" max="1296" width="7.7109375" style="22" customWidth="1"/>
    <col min="1297" max="1297" width="3.7109375" style="22" customWidth="1"/>
    <col min="1298" max="1298" width="12.5703125" style="22" customWidth="1"/>
    <col min="1299" max="1536" width="9.140625" style="22"/>
    <col min="1537" max="1537" width="4.85546875" style="22" customWidth="1"/>
    <col min="1538" max="1538" width="8.85546875" style="22" customWidth="1"/>
    <col min="1539" max="1539" width="5.85546875" style="22" customWidth="1"/>
    <col min="1540" max="1540" width="9" style="22" customWidth="1"/>
    <col min="1541" max="1541" width="5.85546875" style="22" customWidth="1"/>
    <col min="1542" max="1542" width="8.85546875" style="22" customWidth="1"/>
    <col min="1543" max="1543" width="4.85546875" style="22" customWidth="1"/>
    <col min="1544" max="1544" width="2.42578125" style="22" customWidth="1"/>
    <col min="1545" max="1545" width="8.85546875" style="22" customWidth="1"/>
    <col min="1546" max="1546" width="5.7109375" style="22" customWidth="1"/>
    <col min="1547" max="1547" width="2.7109375" style="22" customWidth="1"/>
    <col min="1548" max="1548" width="12" style="22" customWidth="1"/>
    <col min="1549" max="1549" width="5.5703125" style="22" customWidth="1"/>
    <col min="1550" max="1550" width="10.42578125" style="22" customWidth="1"/>
    <col min="1551" max="1551" width="7" style="22" customWidth="1"/>
    <col min="1552" max="1552" width="7.7109375" style="22" customWidth="1"/>
    <col min="1553" max="1553" width="3.7109375" style="22" customWidth="1"/>
    <col min="1554" max="1554" width="12.5703125" style="22" customWidth="1"/>
    <col min="1555" max="1792" width="9.140625" style="22"/>
    <col min="1793" max="1793" width="4.85546875" style="22" customWidth="1"/>
    <col min="1794" max="1794" width="8.85546875" style="22" customWidth="1"/>
    <col min="1795" max="1795" width="5.85546875" style="22" customWidth="1"/>
    <col min="1796" max="1796" width="9" style="22" customWidth="1"/>
    <col min="1797" max="1797" width="5.85546875" style="22" customWidth="1"/>
    <col min="1798" max="1798" width="8.85546875" style="22" customWidth="1"/>
    <col min="1799" max="1799" width="4.85546875" style="22" customWidth="1"/>
    <col min="1800" max="1800" width="2.42578125" style="22" customWidth="1"/>
    <col min="1801" max="1801" width="8.85546875" style="22" customWidth="1"/>
    <col min="1802" max="1802" width="5.7109375" style="22" customWidth="1"/>
    <col min="1803" max="1803" width="2.7109375" style="22" customWidth="1"/>
    <col min="1804" max="1804" width="12" style="22" customWidth="1"/>
    <col min="1805" max="1805" width="5.5703125" style="22" customWidth="1"/>
    <col min="1806" max="1806" width="10.42578125" style="22" customWidth="1"/>
    <col min="1807" max="1807" width="7" style="22" customWidth="1"/>
    <col min="1808" max="1808" width="7.7109375" style="22" customWidth="1"/>
    <col min="1809" max="1809" width="3.7109375" style="22" customWidth="1"/>
    <col min="1810" max="1810" width="12.5703125" style="22" customWidth="1"/>
    <col min="1811" max="2048" width="9.140625" style="22"/>
    <col min="2049" max="2049" width="4.85546875" style="22" customWidth="1"/>
    <col min="2050" max="2050" width="8.85546875" style="22" customWidth="1"/>
    <col min="2051" max="2051" width="5.85546875" style="22" customWidth="1"/>
    <col min="2052" max="2052" width="9" style="22" customWidth="1"/>
    <col min="2053" max="2053" width="5.85546875" style="22" customWidth="1"/>
    <col min="2054" max="2054" width="8.85546875" style="22" customWidth="1"/>
    <col min="2055" max="2055" width="4.85546875" style="22" customWidth="1"/>
    <col min="2056" max="2056" width="2.42578125" style="22" customWidth="1"/>
    <col min="2057" max="2057" width="8.85546875" style="22" customWidth="1"/>
    <col min="2058" max="2058" width="5.7109375" style="22" customWidth="1"/>
    <col min="2059" max="2059" width="2.7109375" style="22" customWidth="1"/>
    <col min="2060" max="2060" width="12" style="22" customWidth="1"/>
    <col min="2061" max="2061" width="5.5703125" style="22" customWidth="1"/>
    <col min="2062" max="2062" width="10.42578125" style="22" customWidth="1"/>
    <col min="2063" max="2063" width="7" style="22" customWidth="1"/>
    <col min="2064" max="2064" width="7.7109375" style="22" customWidth="1"/>
    <col min="2065" max="2065" width="3.7109375" style="22" customWidth="1"/>
    <col min="2066" max="2066" width="12.5703125" style="22" customWidth="1"/>
    <col min="2067" max="2304" width="9.140625" style="22"/>
    <col min="2305" max="2305" width="4.85546875" style="22" customWidth="1"/>
    <col min="2306" max="2306" width="8.85546875" style="22" customWidth="1"/>
    <col min="2307" max="2307" width="5.85546875" style="22" customWidth="1"/>
    <col min="2308" max="2308" width="9" style="22" customWidth="1"/>
    <col min="2309" max="2309" width="5.85546875" style="22" customWidth="1"/>
    <col min="2310" max="2310" width="8.85546875" style="22" customWidth="1"/>
    <col min="2311" max="2311" width="4.85546875" style="22" customWidth="1"/>
    <col min="2312" max="2312" width="2.42578125" style="22" customWidth="1"/>
    <col min="2313" max="2313" width="8.85546875" style="22" customWidth="1"/>
    <col min="2314" max="2314" width="5.7109375" style="22" customWidth="1"/>
    <col min="2315" max="2315" width="2.7109375" style="22" customWidth="1"/>
    <col min="2316" max="2316" width="12" style="22" customWidth="1"/>
    <col min="2317" max="2317" width="5.5703125" style="22" customWidth="1"/>
    <col min="2318" max="2318" width="10.42578125" style="22" customWidth="1"/>
    <col min="2319" max="2319" width="7" style="22" customWidth="1"/>
    <col min="2320" max="2320" width="7.7109375" style="22" customWidth="1"/>
    <col min="2321" max="2321" width="3.7109375" style="22" customWidth="1"/>
    <col min="2322" max="2322" width="12.5703125" style="22" customWidth="1"/>
    <col min="2323" max="2560" width="9.140625" style="22"/>
    <col min="2561" max="2561" width="4.85546875" style="22" customWidth="1"/>
    <col min="2562" max="2562" width="8.85546875" style="22" customWidth="1"/>
    <col min="2563" max="2563" width="5.85546875" style="22" customWidth="1"/>
    <col min="2564" max="2564" width="9" style="22" customWidth="1"/>
    <col min="2565" max="2565" width="5.85546875" style="22" customWidth="1"/>
    <col min="2566" max="2566" width="8.85546875" style="22" customWidth="1"/>
    <col min="2567" max="2567" width="4.85546875" style="22" customWidth="1"/>
    <col min="2568" max="2568" width="2.42578125" style="22" customWidth="1"/>
    <col min="2569" max="2569" width="8.85546875" style="22" customWidth="1"/>
    <col min="2570" max="2570" width="5.7109375" style="22" customWidth="1"/>
    <col min="2571" max="2571" width="2.7109375" style="22" customWidth="1"/>
    <col min="2572" max="2572" width="12" style="22" customWidth="1"/>
    <col min="2573" max="2573" width="5.5703125" style="22" customWidth="1"/>
    <col min="2574" max="2574" width="10.42578125" style="22" customWidth="1"/>
    <col min="2575" max="2575" width="7" style="22" customWidth="1"/>
    <col min="2576" max="2576" width="7.7109375" style="22" customWidth="1"/>
    <col min="2577" max="2577" width="3.7109375" style="22" customWidth="1"/>
    <col min="2578" max="2578" width="12.5703125" style="22" customWidth="1"/>
    <col min="2579" max="2816" width="9.140625" style="22"/>
    <col min="2817" max="2817" width="4.85546875" style="22" customWidth="1"/>
    <col min="2818" max="2818" width="8.85546875" style="22" customWidth="1"/>
    <col min="2819" max="2819" width="5.85546875" style="22" customWidth="1"/>
    <col min="2820" max="2820" width="9" style="22" customWidth="1"/>
    <col min="2821" max="2821" width="5.85546875" style="22" customWidth="1"/>
    <col min="2822" max="2822" width="8.85546875" style="22" customWidth="1"/>
    <col min="2823" max="2823" width="4.85546875" style="22" customWidth="1"/>
    <col min="2824" max="2824" width="2.42578125" style="22" customWidth="1"/>
    <col min="2825" max="2825" width="8.85546875" style="22" customWidth="1"/>
    <col min="2826" max="2826" width="5.7109375" style="22" customWidth="1"/>
    <col min="2827" max="2827" width="2.7109375" style="22" customWidth="1"/>
    <col min="2828" max="2828" width="12" style="22" customWidth="1"/>
    <col min="2829" max="2829" width="5.5703125" style="22" customWidth="1"/>
    <col min="2830" max="2830" width="10.42578125" style="22" customWidth="1"/>
    <col min="2831" max="2831" width="7" style="22" customWidth="1"/>
    <col min="2832" max="2832" width="7.7109375" style="22" customWidth="1"/>
    <col min="2833" max="2833" width="3.7109375" style="22" customWidth="1"/>
    <col min="2834" max="2834" width="12.5703125" style="22" customWidth="1"/>
    <col min="2835" max="3072" width="9.140625" style="22"/>
    <col min="3073" max="3073" width="4.85546875" style="22" customWidth="1"/>
    <col min="3074" max="3074" width="8.85546875" style="22" customWidth="1"/>
    <col min="3075" max="3075" width="5.85546875" style="22" customWidth="1"/>
    <col min="3076" max="3076" width="9" style="22" customWidth="1"/>
    <col min="3077" max="3077" width="5.85546875" style="22" customWidth="1"/>
    <col min="3078" max="3078" width="8.85546875" style="22" customWidth="1"/>
    <col min="3079" max="3079" width="4.85546875" style="22" customWidth="1"/>
    <col min="3080" max="3080" width="2.42578125" style="22" customWidth="1"/>
    <col min="3081" max="3081" width="8.85546875" style="22" customWidth="1"/>
    <col min="3082" max="3082" width="5.7109375" style="22" customWidth="1"/>
    <col min="3083" max="3083" width="2.7109375" style="22" customWidth="1"/>
    <col min="3084" max="3084" width="12" style="22" customWidth="1"/>
    <col min="3085" max="3085" width="5.5703125" style="22" customWidth="1"/>
    <col min="3086" max="3086" width="10.42578125" style="22" customWidth="1"/>
    <col min="3087" max="3087" width="7" style="22" customWidth="1"/>
    <col min="3088" max="3088" width="7.7109375" style="22" customWidth="1"/>
    <col min="3089" max="3089" width="3.7109375" style="22" customWidth="1"/>
    <col min="3090" max="3090" width="12.5703125" style="22" customWidth="1"/>
    <col min="3091" max="3328" width="9.140625" style="22"/>
    <col min="3329" max="3329" width="4.85546875" style="22" customWidth="1"/>
    <col min="3330" max="3330" width="8.85546875" style="22" customWidth="1"/>
    <col min="3331" max="3331" width="5.85546875" style="22" customWidth="1"/>
    <col min="3332" max="3332" width="9" style="22" customWidth="1"/>
    <col min="3333" max="3333" width="5.85546875" style="22" customWidth="1"/>
    <col min="3334" max="3334" width="8.85546875" style="22" customWidth="1"/>
    <col min="3335" max="3335" width="4.85546875" style="22" customWidth="1"/>
    <col min="3336" max="3336" width="2.42578125" style="22" customWidth="1"/>
    <col min="3337" max="3337" width="8.85546875" style="22" customWidth="1"/>
    <col min="3338" max="3338" width="5.7109375" style="22" customWidth="1"/>
    <col min="3339" max="3339" width="2.7109375" style="22" customWidth="1"/>
    <col min="3340" max="3340" width="12" style="22" customWidth="1"/>
    <col min="3341" max="3341" width="5.5703125" style="22" customWidth="1"/>
    <col min="3342" max="3342" width="10.42578125" style="22" customWidth="1"/>
    <col min="3343" max="3343" width="7" style="22" customWidth="1"/>
    <col min="3344" max="3344" width="7.7109375" style="22" customWidth="1"/>
    <col min="3345" max="3345" width="3.7109375" style="22" customWidth="1"/>
    <col min="3346" max="3346" width="12.5703125" style="22" customWidth="1"/>
    <col min="3347" max="3584" width="9.140625" style="22"/>
    <col min="3585" max="3585" width="4.85546875" style="22" customWidth="1"/>
    <col min="3586" max="3586" width="8.85546875" style="22" customWidth="1"/>
    <col min="3587" max="3587" width="5.85546875" style="22" customWidth="1"/>
    <col min="3588" max="3588" width="9" style="22" customWidth="1"/>
    <col min="3589" max="3589" width="5.85546875" style="22" customWidth="1"/>
    <col min="3590" max="3590" width="8.85546875" style="22" customWidth="1"/>
    <col min="3591" max="3591" width="4.85546875" style="22" customWidth="1"/>
    <col min="3592" max="3592" width="2.42578125" style="22" customWidth="1"/>
    <col min="3593" max="3593" width="8.85546875" style="22" customWidth="1"/>
    <col min="3594" max="3594" width="5.7109375" style="22" customWidth="1"/>
    <col min="3595" max="3595" width="2.7109375" style="22" customWidth="1"/>
    <col min="3596" max="3596" width="12" style="22" customWidth="1"/>
    <col min="3597" max="3597" width="5.5703125" style="22" customWidth="1"/>
    <col min="3598" max="3598" width="10.42578125" style="22" customWidth="1"/>
    <col min="3599" max="3599" width="7" style="22" customWidth="1"/>
    <col min="3600" max="3600" width="7.7109375" style="22" customWidth="1"/>
    <col min="3601" max="3601" width="3.7109375" style="22" customWidth="1"/>
    <col min="3602" max="3602" width="12.5703125" style="22" customWidth="1"/>
    <col min="3603" max="3840" width="9.140625" style="22"/>
    <col min="3841" max="3841" width="4.85546875" style="22" customWidth="1"/>
    <col min="3842" max="3842" width="8.85546875" style="22" customWidth="1"/>
    <col min="3843" max="3843" width="5.85546875" style="22" customWidth="1"/>
    <col min="3844" max="3844" width="9" style="22" customWidth="1"/>
    <col min="3845" max="3845" width="5.85546875" style="22" customWidth="1"/>
    <col min="3846" max="3846" width="8.85546875" style="22" customWidth="1"/>
    <col min="3847" max="3847" width="4.85546875" style="22" customWidth="1"/>
    <col min="3848" max="3848" width="2.42578125" style="22" customWidth="1"/>
    <col min="3849" max="3849" width="8.85546875" style="22" customWidth="1"/>
    <col min="3850" max="3850" width="5.7109375" style="22" customWidth="1"/>
    <col min="3851" max="3851" width="2.7109375" style="22" customWidth="1"/>
    <col min="3852" max="3852" width="12" style="22" customWidth="1"/>
    <col min="3853" max="3853" width="5.5703125" style="22" customWidth="1"/>
    <col min="3854" max="3854" width="10.42578125" style="22" customWidth="1"/>
    <col min="3855" max="3855" width="7" style="22" customWidth="1"/>
    <col min="3856" max="3856" width="7.7109375" style="22" customWidth="1"/>
    <col min="3857" max="3857" width="3.7109375" style="22" customWidth="1"/>
    <col min="3858" max="3858" width="12.5703125" style="22" customWidth="1"/>
    <col min="3859" max="4096" width="9.140625" style="22"/>
    <col min="4097" max="4097" width="4.85546875" style="22" customWidth="1"/>
    <col min="4098" max="4098" width="8.85546875" style="22" customWidth="1"/>
    <col min="4099" max="4099" width="5.85546875" style="22" customWidth="1"/>
    <col min="4100" max="4100" width="9" style="22" customWidth="1"/>
    <col min="4101" max="4101" width="5.85546875" style="22" customWidth="1"/>
    <col min="4102" max="4102" width="8.85546875" style="22" customWidth="1"/>
    <col min="4103" max="4103" width="4.85546875" style="22" customWidth="1"/>
    <col min="4104" max="4104" width="2.42578125" style="22" customWidth="1"/>
    <col min="4105" max="4105" width="8.85546875" style="22" customWidth="1"/>
    <col min="4106" max="4106" width="5.7109375" style="22" customWidth="1"/>
    <col min="4107" max="4107" width="2.7109375" style="22" customWidth="1"/>
    <col min="4108" max="4108" width="12" style="22" customWidth="1"/>
    <col min="4109" max="4109" width="5.5703125" style="22" customWidth="1"/>
    <col min="4110" max="4110" width="10.42578125" style="22" customWidth="1"/>
    <col min="4111" max="4111" width="7" style="22" customWidth="1"/>
    <col min="4112" max="4112" width="7.7109375" style="22" customWidth="1"/>
    <col min="4113" max="4113" width="3.7109375" style="22" customWidth="1"/>
    <col min="4114" max="4114" width="12.5703125" style="22" customWidth="1"/>
    <col min="4115" max="4352" width="9.140625" style="22"/>
    <col min="4353" max="4353" width="4.85546875" style="22" customWidth="1"/>
    <col min="4354" max="4354" width="8.85546875" style="22" customWidth="1"/>
    <col min="4355" max="4355" width="5.85546875" style="22" customWidth="1"/>
    <col min="4356" max="4356" width="9" style="22" customWidth="1"/>
    <col min="4357" max="4357" width="5.85546875" style="22" customWidth="1"/>
    <col min="4358" max="4358" width="8.85546875" style="22" customWidth="1"/>
    <col min="4359" max="4359" width="4.85546875" style="22" customWidth="1"/>
    <col min="4360" max="4360" width="2.42578125" style="22" customWidth="1"/>
    <col min="4361" max="4361" width="8.85546875" style="22" customWidth="1"/>
    <col min="4362" max="4362" width="5.7109375" style="22" customWidth="1"/>
    <col min="4363" max="4363" width="2.7109375" style="22" customWidth="1"/>
    <col min="4364" max="4364" width="12" style="22" customWidth="1"/>
    <col min="4365" max="4365" width="5.5703125" style="22" customWidth="1"/>
    <col min="4366" max="4366" width="10.42578125" style="22" customWidth="1"/>
    <col min="4367" max="4367" width="7" style="22" customWidth="1"/>
    <col min="4368" max="4368" width="7.7109375" style="22" customWidth="1"/>
    <col min="4369" max="4369" width="3.7109375" style="22" customWidth="1"/>
    <col min="4370" max="4370" width="12.5703125" style="22" customWidth="1"/>
    <col min="4371" max="4608" width="9.140625" style="22"/>
    <col min="4609" max="4609" width="4.85546875" style="22" customWidth="1"/>
    <col min="4610" max="4610" width="8.85546875" style="22" customWidth="1"/>
    <col min="4611" max="4611" width="5.85546875" style="22" customWidth="1"/>
    <col min="4612" max="4612" width="9" style="22" customWidth="1"/>
    <col min="4613" max="4613" width="5.85546875" style="22" customWidth="1"/>
    <col min="4614" max="4614" width="8.85546875" style="22" customWidth="1"/>
    <col min="4615" max="4615" width="4.85546875" style="22" customWidth="1"/>
    <col min="4616" max="4616" width="2.42578125" style="22" customWidth="1"/>
    <col min="4617" max="4617" width="8.85546875" style="22" customWidth="1"/>
    <col min="4618" max="4618" width="5.7109375" style="22" customWidth="1"/>
    <col min="4619" max="4619" width="2.7109375" style="22" customWidth="1"/>
    <col min="4620" max="4620" width="12" style="22" customWidth="1"/>
    <col min="4621" max="4621" width="5.5703125" style="22" customWidth="1"/>
    <col min="4622" max="4622" width="10.42578125" style="22" customWidth="1"/>
    <col min="4623" max="4623" width="7" style="22" customWidth="1"/>
    <col min="4624" max="4624" width="7.7109375" style="22" customWidth="1"/>
    <col min="4625" max="4625" width="3.7109375" style="22" customWidth="1"/>
    <col min="4626" max="4626" width="12.5703125" style="22" customWidth="1"/>
    <col min="4627" max="4864" width="9.140625" style="22"/>
    <col min="4865" max="4865" width="4.85546875" style="22" customWidth="1"/>
    <col min="4866" max="4866" width="8.85546875" style="22" customWidth="1"/>
    <col min="4867" max="4867" width="5.85546875" style="22" customWidth="1"/>
    <col min="4868" max="4868" width="9" style="22" customWidth="1"/>
    <col min="4869" max="4869" width="5.85546875" style="22" customWidth="1"/>
    <col min="4870" max="4870" width="8.85546875" style="22" customWidth="1"/>
    <col min="4871" max="4871" width="4.85546875" style="22" customWidth="1"/>
    <col min="4872" max="4872" width="2.42578125" style="22" customWidth="1"/>
    <col min="4873" max="4873" width="8.85546875" style="22" customWidth="1"/>
    <col min="4874" max="4874" width="5.7109375" style="22" customWidth="1"/>
    <col min="4875" max="4875" width="2.7109375" style="22" customWidth="1"/>
    <col min="4876" max="4876" width="12" style="22" customWidth="1"/>
    <col min="4877" max="4877" width="5.5703125" style="22" customWidth="1"/>
    <col min="4878" max="4878" width="10.42578125" style="22" customWidth="1"/>
    <col min="4879" max="4879" width="7" style="22" customWidth="1"/>
    <col min="4880" max="4880" width="7.7109375" style="22" customWidth="1"/>
    <col min="4881" max="4881" width="3.7109375" style="22" customWidth="1"/>
    <col min="4882" max="4882" width="12.5703125" style="22" customWidth="1"/>
    <col min="4883" max="5120" width="9.140625" style="22"/>
    <col min="5121" max="5121" width="4.85546875" style="22" customWidth="1"/>
    <col min="5122" max="5122" width="8.85546875" style="22" customWidth="1"/>
    <col min="5123" max="5123" width="5.85546875" style="22" customWidth="1"/>
    <col min="5124" max="5124" width="9" style="22" customWidth="1"/>
    <col min="5125" max="5125" width="5.85546875" style="22" customWidth="1"/>
    <col min="5126" max="5126" width="8.85546875" style="22" customWidth="1"/>
    <col min="5127" max="5127" width="4.85546875" style="22" customWidth="1"/>
    <col min="5128" max="5128" width="2.42578125" style="22" customWidth="1"/>
    <col min="5129" max="5129" width="8.85546875" style="22" customWidth="1"/>
    <col min="5130" max="5130" width="5.7109375" style="22" customWidth="1"/>
    <col min="5131" max="5131" width="2.7109375" style="22" customWidth="1"/>
    <col min="5132" max="5132" width="12" style="22" customWidth="1"/>
    <col min="5133" max="5133" width="5.5703125" style="22" customWidth="1"/>
    <col min="5134" max="5134" width="10.42578125" style="22" customWidth="1"/>
    <col min="5135" max="5135" width="7" style="22" customWidth="1"/>
    <col min="5136" max="5136" width="7.7109375" style="22" customWidth="1"/>
    <col min="5137" max="5137" width="3.7109375" style="22" customWidth="1"/>
    <col min="5138" max="5138" width="12.5703125" style="22" customWidth="1"/>
    <col min="5139" max="5376" width="9.140625" style="22"/>
    <col min="5377" max="5377" width="4.85546875" style="22" customWidth="1"/>
    <col min="5378" max="5378" width="8.85546875" style="22" customWidth="1"/>
    <col min="5379" max="5379" width="5.85546875" style="22" customWidth="1"/>
    <col min="5380" max="5380" width="9" style="22" customWidth="1"/>
    <col min="5381" max="5381" width="5.85546875" style="22" customWidth="1"/>
    <col min="5382" max="5382" width="8.85546875" style="22" customWidth="1"/>
    <col min="5383" max="5383" width="4.85546875" style="22" customWidth="1"/>
    <col min="5384" max="5384" width="2.42578125" style="22" customWidth="1"/>
    <col min="5385" max="5385" width="8.85546875" style="22" customWidth="1"/>
    <col min="5386" max="5386" width="5.7109375" style="22" customWidth="1"/>
    <col min="5387" max="5387" width="2.7109375" style="22" customWidth="1"/>
    <col min="5388" max="5388" width="12" style="22" customWidth="1"/>
    <col min="5389" max="5389" width="5.5703125" style="22" customWidth="1"/>
    <col min="5390" max="5390" width="10.42578125" style="22" customWidth="1"/>
    <col min="5391" max="5391" width="7" style="22" customWidth="1"/>
    <col min="5392" max="5392" width="7.7109375" style="22" customWidth="1"/>
    <col min="5393" max="5393" width="3.7109375" style="22" customWidth="1"/>
    <col min="5394" max="5394" width="12.5703125" style="22" customWidth="1"/>
    <col min="5395" max="5632" width="9.140625" style="22"/>
    <col min="5633" max="5633" width="4.85546875" style="22" customWidth="1"/>
    <col min="5634" max="5634" width="8.85546875" style="22" customWidth="1"/>
    <col min="5635" max="5635" width="5.85546875" style="22" customWidth="1"/>
    <col min="5636" max="5636" width="9" style="22" customWidth="1"/>
    <col min="5637" max="5637" width="5.85546875" style="22" customWidth="1"/>
    <col min="5638" max="5638" width="8.85546875" style="22" customWidth="1"/>
    <col min="5639" max="5639" width="4.85546875" style="22" customWidth="1"/>
    <col min="5640" max="5640" width="2.42578125" style="22" customWidth="1"/>
    <col min="5641" max="5641" width="8.85546875" style="22" customWidth="1"/>
    <col min="5642" max="5642" width="5.7109375" style="22" customWidth="1"/>
    <col min="5643" max="5643" width="2.7109375" style="22" customWidth="1"/>
    <col min="5644" max="5644" width="12" style="22" customWidth="1"/>
    <col min="5645" max="5645" width="5.5703125" style="22" customWidth="1"/>
    <col min="5646" max="5646" width="10.42578125" style="22" customWidth="1"/>
    <col min="5647" max="5647" width="7" style="22" customWidth="1"/>
    <col min="5648" max="5648" width="7.7109375" style="22" customWidth="1"/>
    <col min="5649" max="5649" width="3.7109375" style="22" customWidth="1"/>
    <col min="5650" max="5650" width="12.5703125" style="22" customWidth="1"/>
    <col min="5651" max="5888" width="9.140625" style="22"/>
    <col min="5889" max="5889" width="4.85546875" style="22" customWidth="1"/>
    <col min="5890" max="5890" width="8.85546875" style="22" customWidth="1"/>
    <col min="5891" max="5891" width="5.85546875" style="22" customWidth="1"/>
    <col min="5892" max="5892" width="9" style="22" customWidth="1"/>
    <col min="5893" max="5893" width="5.85546875" style="22" customWidth="1"/>
    <col min="5894" max="5894" width="8.85546875" style="22" customWidth="1"/>
    <col min="5895" max="5895" width="4.85546875" style="22" customWidth="1"/>
    <col min="5896" max="5896" width="2.42578125" style="22" customWidth="1"/>
    <col min="5897" max="5897" width="8.85546875" style="22" customWidth="1"/>
    <col min="5898" max="5898" width="5.7109375" style="22" customWidth="1"/>
    <col min="5899" max="5899" width="2.7109375" style="22" customWidth="1"/>
    <col min="5900" max="5900" width="12" style="22" customWidth="1"/>
    <col min="5901" max="5901" width="5.5703125" style="22" customWidth="1"/>
    <col min="5902" max="5902" width="10.42578125" style="22" customWidth="1"/>
    <col min="5903" max="5903" width="7" style="22" customWidth="1"/>
    <col min="5904" max="5904" width="7.7109375" style="22" customWidth="1"/>
    <col min="5905" max="5905" width="3.7109375" style="22" customWidth="1"/>
    <col min="5906" max="5906" width="12.5703125" style="22" customWidth="1"/>
    <col min="5907" max="6144" width="9.140625" style="22"/>
    <col min="6145" max="6145" width="4.85546875" style="22" customWidth="1"/>
    <col min="6146" max="6146" width="8.85546875" style="22" customWidth="1"/>
    <col min="6147" max="6147" width="5.85546875" style="22" customWidth="1"/>
    <col min="6148" max="6148" width="9" style="22" customWidth="1"/>
    <col min="6149" max="6149" width="5.85546875" style="22" customWidth="1"/>
    <col min="6150" max="6150" width="8.85546875" style="22" customWidth="1"/>
    <col min="6151" max="6151" width="4.85546875" style="22" customWidth="1"/>
    <col min="6152" max="6152" width="2.42578125" style="22" customWidth="1"/>
    <col min="6153" max="6153" width="8.85546875" style="22" customWidth="1"/>
    <col min="6154" max="6154" width="5.7109375" style="22" customWidth="1"/>
    <col min="6155" max="6155" width="2.7109375" style="22" customWidth="1"/>
    <col min="6156" max="6156" width="12" style="22" customWidth="1"/>
    <col min="6157" max="6157" width="5.5703125" style="22" customWidth="1"/>
    <col min="6158" max="6158" width="10.42578125" style="22" customWidth="1"/>
    <col min="6159" max="6159" width="7" style="22" customWidth="1"/>
    <col min="6160" max="6160" width="7.7109375" style="22" customWidth="1"/>
    <col min="6161" max="6161" width="3.7109375" style="22" customWidth="1"/>
    <col min="6162" max="6162" width="12.5703125" style="22" customWidth="1"/>
    <col min="6163" max="6400" width="9.140625" style="22"/>
    <col min="6401" max="6401" width="4.85546875" style="22" customWidth="1"/>
    <col min="6402" max="6402" width="8.85546875" style="22" customWidth="1"/>
    <col min="6403" max="6403" width="5.85546875" style="22" customWidth="1"/>
    <col min="6404" max="6404" width="9" style="22" customWidth="1"/>
    <col min="6405" max="6405" width="5.85546875" style="22" customWidth="1"/>
    <col min="6406" max="6406" width="8.85546875" style="22" customWidth="1"/>
    <col min="6407" max="6407" width="4.85546875" style="22" customWidth="1"/>
    <col min="6408" max="6408" width="2.42578125" style="22" customWidth="1"/>
    <col min="6409" max="6409" width="8.85546875" style="22" customWidth="1"/>
    <col min="6410" max="6410" width="5.7109375" style="22" customWidth="1"/>
    <col min="6411" max="6411" width="2.7109375" style="22" customWidth="1"/>
    <col min="6412" max="6412" width="12" style="22" customWidth="1"/>
    <col min="6413" max="6413" width="5.5703125" style="22" customWidth="1"/>
    <col min="6414" max="6414" width="10.42578125" style="22" customWidth="1"/>
    <col min="6415" max="6415" width="7" style="22" customWidth="1"/>
    <col min="6416" max="6416" width="7.7109375" style="22" customWidth="1"/>
    <col min="6417" max="6417" width="3.7109375" style="22" customWidth="1"/>
    <col min="6418" max="6418" width="12.5703125" style="22" customWidth="1"/>
    <col min="6419" max="6656" width="9.140625" style="22"/>
    <col min="6657" max="6657" width="4.85546875" style="22" customWidth="1"/>
    <col min="6658" max="6658" width="8.85546875" style="22" customWidth="1"/>
    <col min="6659" max="6659" width="5.85546875" style="22" customWidth="1"/>
    <col min="6660" max="6660" width="9" style="22" customWidth="1"/>
    <col min="6661" max="6661" width="5.85546875" style="22" customWidth="1"/>
    <col min="6662" max="6662" width="8.85546875" style="22" customWidth="1"/>
    <col min="6663" max="6663" width="4.85546875" style="22" customWidth="1"/>
    <col min="6664" max="6664" width="2.42578125" style="22" customWidth="1"/>
    <col min="6665" max="6665" width="8.85546875" style="22" customWidth="1"/>
    <col min="6666" max="6666" width="5.7109375" style="22" customWidth="1"/>
    <col min="6667" max="6667" width="2.7109375" style="22" customWidth="1"/>
    <col min="6668" max="6668" width="12" style="22" customWidth="1"/>
    <col min="6669" max="6669" width="5.5703125" style="22" customWidth="1"/>
    <col min="6670" max="6670" width="10.42578125" style="22" customWidth="1"/>
    <col min="6671" max="6671" width="7" style="22" customWidth="1"/>
    <col min="6672" max="6672" width="7.7109375" style="22" customWidth="1"/>
    <col min="6673" max="6673" width="3.7109375" style="22" customWidth="1"/>
    <col min="6674" max="6674" width="12.5703125" style="22" customWidth="1"/>
    <col min="6675" max="6912" width="9.140625" style="22"/>
    <col min="6913" max="6913" width="4.85546875" style="22" customWidth="1"/>
    <col min="6914" max="6914" width="8.85546875" style="22" customWidth="1"/>
    <col min="6915" max="6915" width="5.85546875" style="22" customWidth="1"/>
    <col min="6916" max="6916" width="9" style="22" customWidth="1"/>
    <col min="6917" max="6917" width="5.85546875" style="22" customWidth="1"/>
    <col min="6918" max="6918" width="8.85546875" style="22" customWidth="1"/>
    <col min="6919" max="6919" width="4.85546875" style="22" customWidth="1"/>
    <col min="6920" max="6920" width="2.42578125" style="22" customWidth="1"/>
    <col min="6921" max="6921" width="8.85546875" style="22" customWidth="1"/>
    <col min="6922" max="6922" width="5.7109375" style="22" customWidth="1"/>
    <col min="6923" max="6923" width="2.7109375" style="22" customWidth="1"/>
    <col min="6924" max="6924" width="12" style="22" customWidth="1"/>
    <col min="6925" max="6925" width="5.5703125" style="22" customWidth="1"/>
    <col min="6926" max="6926" width="10.42578125" style="22" customWidth="1"/>
    <col min="6927" max="6927" width="7" style="22" customWidth="1"/>
    <col min="6928" max="6928" width="7.7109375" style="22" customWidth="1"/>
    <col min="6929" max="6929" width="3.7109375" style="22" customWidth="1"/>
    <col min="6930" max="6930" width="12.5703125" style="22" customWidth="1"/>
    <col min="6931" max="7168" width="9.140625" style="22"/>
    <col min="7169" max="7169" width="4.85546875" style="22" customWidth="1"/>
    <col min="7170" max="7170" width="8.85546875" style="22" customWidth="1"/>
    <col min="7171" max="7171" width="5.85546875" style="22" customWidth="1"/>
    <col min="7172" max="7172" width="9" style="22" customWidth="1"/>
    <col min="7173" max="7173" width="5.85546875" style="22" customWidth="1"/>
    <col min="7174" max="7174" width="8.85546875" style="22" customWidth="1"/>
    <col min="7175" max="7175" width="4.85546875" style="22" customWidth="1"/>
    <col min="7176" max="7176" width="2.42578125" style="22" customWidth="1"/>
    <col min="7177" max="7177" width="8.85546875" style="22" customWidth="1"/>
    <col min="7178" max="7178" width="5.7109375" style="22" customWidth="1"/>
    <col min="7179" max="7179" width="2.7109375" style="22" customWidth="1"/>
    <col min="7180" max="7180" width="12" style="22" customWidth="1"/>
    <col min="7181" max="7181" width="5.5703125" style="22" customWidth="1"/>
    <col min="7182" max="7182" width="10.42578125" style="22" customWidth="1"/>
    <col min="7183" max="7183" width="7" style="22" customWidth="1"/>
    <col min="7184" max="7184" width="7.7109375" style="22" customWidth="1"/>
    <col min="7185" max="7185" width="3.7109375" style="22" customWidth="1"/>
    <col min="7186" max="7186" width="12.5703125" style="22" customWidth="1"/>
    <col min="7187" max="7424" width="9.140625" style="22"/>
    <col min="7425" max="7425" width="4.85546875" style="22" customWidth="1"/>
    <col min="7426" max="7426" width="8.85546875" style="22" customWidth="1"/>
    <col min="7427" max="7427" width="5.85546875" style="22" customWidth="1"/>
    <col min="7428" max="7428" width="9" style="22" customWidth="1"/>
    <col min="7429" max="7429" width="5.85546875" style="22" customWidth="1"/>
    <col min="7430" max="7430" width="8.85546875" style="22" customWidth="1"/>
    <col min="7431" max="7431" width="4.85546875" style="22" customWidth="1"/>
    <col min="7432" max="7432" width="2.42578125" style="22" customWidth="1"/>
    <col min="7433" max="7433" width="8.85546875" style="22" customWidth="1"/>
    <col min="7434" max="7434" width="5.7109375" style="22" customWidth="1"/>
    <col min="7435" max="7435" width="2.7109375" style="22" customWidth="1"/>
    <col min="7436" max="7436" width="12" style="22" customWidth="1"/>
    <col min="7437" max="7437" width="5.5703125" style="22" customWidth="1"/>
    <col min="7438" max="7438" width="10.42578125" style="22" customWidth="1"/>
    <col min="7439" max="7439" width="7" style="22" customWidth="1"/>
    <col min="7440" max="7440" width="7.7109375" style="22" customWidth="1"/>
    <col min="7441" max="7441" width="3.7109375" style="22" customWidth="1"/>
    <col min="7442" max="7442" width="12.5703125" style="22" customWidth="1"/>
    <col min="7443" max="7680" width="9.140625" style="22"/>
    <col min="7681" max="7681" width="4.85546875" style="22" customWidth="1"/>
    <col min="7682" max="7682" width="8.85546875" style="22" customWidth="1"/>
    <col min="7683" max="7683" width="5.85546875" style="22" customWidth="1"/>
    <col min="7684" max="7684" width="9" style="22" customWidth="1"/>
    <col min="7685" max="7685" width="5.85546875" style="22" customWidth="1"/>
    <col min="7686" max="7686" width="8.85546875" style="22" customWidth="1"/>
    <col min="7687" max="7687" width="4.85546875" style="22" customWidth="1"/>
    <col min="7688" max="7688" width="2.42578125" style="22" customWidth="1"/>
    <col min="7689" max="7689" width="8.85546875" style="22" customWidth="1"/>
    <col min="7690" max="7690" width="5.7109375" style="22" customWidth="1"/>
    <col min="7691" max="7691" width="2.7109375" style="22" customWidth="1"/>
    <col min="7692" max="7692" width="12" style="22" customWidth="1"/>
    <col min="7693" max="7693" width="5.5703125" style="22" customWidth="1"/>
    <col min="7694" max="7694" width="10.42578125" style="22" customWidth="1"/>
    <col min="7695" max="7695" width="7" style="22" customWidth="1"/>
    <col min="7696" max="7696" width="7.7109375" style="22" customWidth="1"/>
    <col min="7697" max="7697" width="3.7109375" style="22" customWidth="1"/>
    <col min="7698" max="7698" width="12.5703125" style="22" customWidth="1"/>
    <col min="7699" max="7936" width="9.140625" style="22"/>
    <col min="7937" max="7937" width="4.85546875" style="22" customWidth="1"/>
    <col min="7938" max="7938" width="8.85546875" style="22" customWidth="1"/>
    <col min="7939" max="7939" width="5.85546875" style="22" customWidth="1"/>
    <col min="7940" max="7940" width="9" style="22" customWidth="1"/>
    <col min="7941" max="7941" width="5.85546875" style="22" customWidth="1"/>
    <col min="7942" max="7942" width="8.85546875" style="22" customWidth="1"/>
    <col min="7943" max="7943" width="4.85546875" style="22" customWidth="1"/>
    <col min="7944" max="7944" width="2.42578125" style="22" customWidth="1"/>
    <col min="7945" max="7945" width="8.85546875" style="22" customWidth="1"/>
    <col min="7946" max="7946" width="5.7109375" style="22" customWidth="1"/>
    <col min="7947" max="7947" width="2.7109375" style="22" customWidth="1"/>
    <col min="7948" max="7948" width="12" style="22" customWidth="1"/>
    <col min="7949" max="7949" width="5.5703125" style="22" customWidth="1"/>
    <col min="7950" max="7950" width="10.42578125" style="22" customWidth="1"/>
    <col min="7951" max="7951" width="7" style="22" customWidth="1"/>
    <col min="7952" max="7952" width="7.7109375" style="22" customWidth="1"/>
    <col min="7953" max="7953" width="3.7109375" style="22" customWidth="1"/>
    <col min="7954" max="7954" width="12.5703125" style="22" customWidth="1"/>
    <col min="7955" max="8192" width="9.140625" style="22"/>
    <col min="8193" max="8193" width="4.85546875" style="22" customWidth="1"/>
    <col min="8194" max="8194" width="8.85546875" style="22" customWidth="1"/>
    <col min="8195" max="8195" width="5.85546875" style="22" customWidth="1"/>
    <col min="8196" max="8196" width="9" style="22" customWidth="1"/>
    <col min="8197" max="8197" width="5.85546875" style="22" customWidth="1"/>
    <col min="8198" max="8198" width="8.85546875" style="22" customWidth="1"/>
    <col min="8199" max="8199" width="4.85546875" style="22" customWidth="1"/>
    <col min="8200" max="8200" width="2.42578125" style="22" customWidth="1"/>
    <col min="8201" max="8201" width="8.85546875" style="22" customWidth="1"/>
    <col min="8202" max="8202" width="5.7109375" style="22" customWidth="1"/>
    <col min="8203" max="8203" width="2.7109375" style="22" customWidth="1"/>
    <col min="8204" max="8204" width="12" style="22" customWidth="1"/>
    <col min="8205" max="8205" width="5.5703125" style="22" customWidth="1"/>
    <col min="8206" max="8206" width="10.42578125" style="22" customWidth="1"/>
    <col min="8207" max="8207" width="7" style="22" customWidth="1"/>
    <col min="8208" max="8208" width="7.7109375" style="22" customWidth="1"/>
    <col min="8209" max="8209" width="3.7109375" style="22" customWidth="1"/>
    <col min="8210" max="8210" width="12.5703125" style="22" customWidth="1"/>
    <col min="8211" max="8448" width="9.140625" style="22"/>
    <col min="8449" max="8449" width="4.85546875" style="22" customWidth="1"/>
    <col min="8450" max="8450" width="8.85546875" style="22" customWidth="1"/>
    <col min="8451" max="8451" width="5.85546875" style="22" customWidth="1"/>
    <col min="8452" max="8452" width="9" style="22" customWidth="1"/>
    <col min="8453" max="8453" width="5.85546875" style="22" customWidth="1"/>
    <col min="8454" max="8454" width="8.85546875" style="22" customWidth="1"/>
    <col min="8455" max="8455" width="4.85546875" style="22" customWidth="1"/>
    <col min="8456" max="8456" width="2.42578125" style="22" customWidth="1"/>
    <col min="8457" max="8457" width="8.85546875" style="22" customWidth="1"/>
    <col min="8458" max="8458" width="5.7109375" style="22" customWidth="1"/>
    <col min="8459" max="8459" width="2.7109375" style="22" customWidth="1"/>
    <col min="8460" max="8460" width="12" style="22" customWidth="1"/>
    <col min="8461" max="8461" width="5.5703125" style="22" customWidth="1"/>
    <col min="8462" max="8462" width="10.42578125" style="22" customWidth="1"/>
    <col min="8463" max="8463" width="7" style="22" customWidth="1"/>
    <col min="8464" max="8464" width="7.7109375" style="22" customWidth="1"/>
    <col min="8465" max="8465" width="3.7109375" style="22" customWidth="1"/>
    <col min="8466" max="8466" width="12.5703125" style="22" customWidth="1"/>
    <col min="8467" max="8704" width="9.140625" style="22"/>
    <col min="8705" max="8705" width="4.85546875" style="22" customWidth="1"/>
    <col min="8706" max="8706" width="8.85546875" style="22" customWidth="1"/>
    <col min="8707" max="8707" width="5.85546875" style="22" customWidth="1"/>
    <col min="8708" max="8708" width="9" style="22" customWidth="1"/>
    <col min="8709" max="8709" width="5.85546875" style="22" customWidth="1"/>
    <col min="8710" max="8710" width="8.85546875" style="22" customWidth="1"/>
    <col min="8711" max="8711" width="4.85546875" style="22" customWidth="1"/>
    <col min="8712" max="8712" width="2.42578125" style="22" customWidth="1"/>
    <col min="8713" max="8713" width="8.85546875" style="22" customWidth="1"/>
    <col min="8714" max="8714" width="5.7109375" style="22" customWidth="1"/>
    <col min="8715" max="8715" width="2.7109375" style="22" customWidth="1"/>
    <col min="8716" max="8716" width="12" style="22" customWidth="1"/>
    <col min="8717" max="8717" width="5.5703125" style="22" customWidth="1"/>
    <col min="8718" max="8718" width="10.42578125" style="22" customWidth="1"/>
    <col min="8719" max="8719" width="7" style="22" customWidth="1"/>
    <col min="8720" max="8720" width="7.7109375" style="22" customWidth="1"/>
    <col min="8721" max="8721" width="3.7109375" style="22" customWidth="1"/>
    <col min="8722" max="8722" width="12.5703125" style="22" customWidth="1"/>
    <col min="8723" max="8960" width="9.140625" style="22"/>
    <col min="8961" max="8961" width="4.85546875" style="22" customWidth="1"/>
    <col min="8962" max="8962" width="8.85546875" style="22" customWidth="1"/>
    <col min="8963" max="8963" width="5.85546875" style="22" customWidth="1"/>
    <col min="8964" max="8964" width="9" style="22" customWidth="1"/>
    <col min="8965" max="8965" width="5.85546875" style="22" customWidth="1"/>
    <col min="8966" max="8966" width="8.85546875" style="22" customWidth="1"/>
    <col min="8967" max="8967" width="4.85546875" style="22" customWidth="1"/>
    <col min="8968" max="8968" width="2.42578125" style="22" customWidth="1"/>
    <col min="8969" max="8969" width="8.85546875" style="22" customWidth="1"/>
    <col min="8970" max="8970" width="5.7109375" style="22" customWidth="1"/>
    <col min="8971" max="8971" width="2.7109375" style="22" customWidth="1"/>
    <col min="8972" max="8972" width="12" style="22" customWidth="1"/>
    <col min="8973" max="8973" width="5.5703125" style="22" customWidth="1"/>
    <col min="8974" max="8974" width="10.42578125" style="22" customWidth="1"/>
    <col min="8975" max="8975" width="7" style="22" customWidth="1"/>
    <col min="8976" max="8976" width="7.7109375" style="22" customWidth="1"/>
    <col min="8977" max="8977" width="3.7109375" style="22" customWidth="1"/>
    <col min="8978" max="8978" width="12.5703125" style="22" customWidth="1"/>
    <col min="8979" max="9216" width="9.140625" style="22"/>
    <col min="9217" max="9217" width="4.85546875" style="22" customWidth="1"/>
    <col min="9218" max="9218" width="8.85546875" style="22" customWidth="1"/>
    <col min="9219" max="9219" width="5.85546875" style="22" customWidth="1"/>
    <col min="9220" max="9220" width="9" style="22" customWidth="1"/>
    <col min="9221" max="9221" width="5.85546875" style="22" customWidth="1"/>
    <col min="9222" max="9222" width="8.85546875" style="22" customWidth="1"/>
    <col min="9223" max="9223" width="4.85546875" style="22" customWidth="1"/>
    <col min="9224" max="9224" width="2.42578125" style="22" customWidth="1"/>
    <col min="9225" max="9225" width="8.85546875" style="22" customWidth="1"/>
    <col min="9226" max="9226" width="5.7109375" style="22" customWidth="1"/>
    <col min="9227" max="9227" width="2.7109375" style="22" customWidth="1"/>
    <col min="9228" max="9228" width="12" style="22" customWidth="1"/>
    <col min="9229" max="9229" width="5.5703125" style="22" customWidth="1"/>
    <col min="9230" max="9230" width="10.42578125" style="22" customWidth="1"/>
    <col min="9231" max="9231" width="7" style="22" customWidth="1"/>
    <col min="9232" max="9232" width="7.7109375" style="22" customWidth="1"/>
    <col min="9233" max="9233" width="3.7109375" style="22" customWidth="1"/>
    <col min="9234" max="9234" width="12.5703125" style="22" customWidth="1"/>
    <col min="9235" max="9472" width="9.140625" style="22"/>
    <col min="9473" max="9473" width="4.85546875" style="22" customWidth="1"/>
    <col min="9474" max="9474" width="8.85546875" style="22" customWidth="1"/>
    <col min="9475" max="9475" width="5.85546875" style="22" customWidth="1"/>
    <col min="9476" max="9476" width="9" style="22" customWidth="1"/>
    <col min="9477" max="9477" width="5.85546875" style="22" customWidth="1"/>
    <col min="9478" max="9478" width="8.85546875" style="22" customWidth="1"/>
    <col min="9479" max="9479" width="4.85546875" style="22" customWidth="1"/>
    <col min="9480" max="9480" width="2.42578125" style="22" customWidth="1"/>
    <col min="9481" max="9481" width="8.85546875" style="22" customWidth="1"/>
    <col min="9482" max="9482" width="5.7109375" style="22" customWidth="1"/>
    <col min="9483" max="9483" width="2.7109375" style="22" customWidth="1"/>
    <col min="9484" max="9484" width="12" style="22" customWidth="1"/>
    <col min="9485" max="9485" width="5.5703125" style="22" customWidth="1"/>
    <col min="9486" max="9486" width="10.42578125" style="22" customWidth="1"/>
    <col min="9487" max="9487" width="7" style="22" customWidth="1"/>
    <col min="9488" max="9488" width="7.7109375" style="22" customWidth="1"/>
    <col min="9489" max="9489" width="3.7109375" style="22" customWidth="1"/>
    <col min="9490" max="9490" width="12.5703125" style="22" customWidth="1"/>
    <col min="9491" max="9728" width="9.140625" style="22"/>
    <col min="9729" max="9729" width="4.85546875" style="22" customWidth="1"/>
    <col min="9730" max="9730" width="8.85546875" style="22" customWidth="1"/>
    <col min="9731" max="9731" width="5.85546875" style="22" customWidth="1"/>
    <col min="9732" max="9732" width="9" style="22" customWidth="1"/>
    <col min="9733" max="9733" width="5.85546875" style="22" customWidth="1"/>
    <col min="9734" max="9734" width="8.85546875" style="22" customWidth="1"/>
    <col min="9735" max="9735" width="4.85546875" style="22" customWidth="1"/>
    <col min="9736" max="9736" width="2.42578125" style="22" customWidth="1"/>
    <col min="9737" max="9737" width="8.85546875" style="22" customWidth="1"/>
    <col min="9738" max="9738" width="5.7109375" style="22" customWidth="1"/>
    <col min="9739" max="9739" width="2.7109375" style="22" customWidth="1"/>
    <col min="9740" max="9740" width="12" style="22" customWidth="1"/>
    <col min="9741" max="9741" width="5.5703125" style="22" customWidth="1"/>
    <col min="9742" max="9742" width="10.42578125" style="22" customWidth="1"/>
    <col min="9743" max="9743" width="7" style="22" customWidth="1"/>
    <col min="9744" max="9744" width="7.7109375" style="22" customWidth="1"/>
    <col min="9745" max="9745" width="3.7109375" style="22" customWidth="1"/>
    <col min="9746" max="9746" width="12.5703125" style="22" customWidth="1"/>
    <col min="9747" max="9984" width="9.140625" style="22"/>
    <col min="9985" max="9985" width="4.85546875" style="22" customWidth="1"/>
    <col min="9986" max="9986" width="8.85546875" style="22" customWidth="1"/>
    <col min="9987" max="9987" width="5.85546875" style="22" customWidth="1"/>
    <col min="9988" max="9988" width="9" style="22" customWidth="1"/>
    <col min="9989" max="9989" width="5.85546875" style="22" customWidth="1"/>
    <col min="9990" max="9990" width="8.85546875" style="22" customWidth="1"/>
    <col min="9991" max="9991" width="4.85546875" style="22" customWidth="1"/>
    <col min="9992" max="9992" width="2.42578125" style="22" customWidth="1"/>
    <col min="9993" max="9993" width="8.85546875" style="22" customWidth="1"/>
    <col min="9994" max="9994" width="5.7109375" style="22" customWidth="1"/>
    <col min="9995" max="9995" width="2.7109375" style="22" customWidth="1"/>
    <col min="9996" max="9996" width="12" style="22" customWidth="1"/>
    <col min="9997" max="9997" width="5.5703125" style="22" customWidth="1"/>
    <col min="9998" max="9998" width="10.42578125" style="22" customWidth="1"/>
    <col min="9999" max="9999" width="7" style="22" customWidth="1"/>
    <col min="10000" max="10000" width="7.7109375" style="22" customWidth="1"/>
    <col min="10001" max="10001" width="3.7109375" style="22" customWidth="1"/>
    <col min="10002" max="10002" width="12.5703125" style="22" customWidth="1"/>
    <col min="10003" max="10240" width="9.140625" style="22"/>
    <col min="10241" max="10241" width="4.85546875" style="22" customWidth="1"/>
    <col min="10242" max="10242" width="8.85546875" style="22" customWidth="1"/>
    <col min="10243" max="10243" width="5.85546875" style="22" customWidth="1"/>
    <col min="10244" max="10244" width="9" style="22" customWidth="1"/>
    <col min="10245" max="10245" width="5.85546875" style="22" customWidth="1"/>
    <col min="10246" max="10246" width="8.85546875" style="22" customWidth="1"/>
    <col min="10247" max="10247" width="4.85546875" style="22" customWidth="1"/>
    <col min="10248" max="10248" width="2.42578125" style="22" customWidth="1"/>
    <col min="10249" max="10249" width="8.85546875" style="22" customWidth="1"/>
    <col min="10250" max="10250" width="5.7109375" style="22" customWidth="1"/>
    <col min="10251" max="10251" width="2.7109375" style="22" customWidth="1"/>
    <col min="10252" max="10252" width="12" style="22" customWidth="1"/>
    <col min="10253" max="10253" width="5.5703125" style="22" customWidth="1"/>
    <col min="10254" max="10254" width="10.42578125" style="22" customWidth="1"/>
    <col min="10255" max="10255" width="7" style="22" customWidth="1"/>
    <col min="10256" max="10256" width="7.7109375" style="22" customWidth="1"/>
    <col min="10257" max="10257" width="3.7109375" style="22" customWidth="1"/>
    <col min="10258" max="10258" width="12.5703125" style="22" customWidth="1"/>
    <col min="10259" max="10496" width="9.140625" style="22"/>
    <col min="10497" max="10497" width="4.85546875" style="22" customWidth="1"/>
    <col min="10498" max="10498" width="8.85546875" style="22" customWidth="1"/>
    <col min="10499" max="10499" width="5.85546875" style="22" customWidth="1"/>
    <col min="10500" max="10500" width="9" style="22" customWidth="1"/>
    <col min="10501" max="10501" width="5.85546875" style="22" customWidth="1"/>
    <col min="10502" max="10502" width="8.85546875" style="22" customWidth="1"/>
    <col min="10503" max="10503" width="4.85546875" style="22" customWidth="1"/>
    <col min="10504" max="10504" width="2.42578125" style="22" customWidth="1"/>
    <col min="10505" max="10505" width="8.85546875" style="22" customWidth="1"/>
    <col min="10506" max="10506" width="5.7109375" style="22" customWidth="1"/>
    <col min="10507" max="10507" width="2.7109375" style="22" customWidth="1"/>
    <col min="10508" max="10508" width="12" style="22" customWidth="1"/>
    <col min="10509" max="10509" width="5.5703125" style="22" customWidth="1"/>
    <col min="10510" max="10510" width="10.42578125" style="22" customWidth="1"/>
    <col min="10511" max="10511" width="7" style="22" customWidth="1"/>
    <col min="10512" max="10512" width="7.7109375" style="22" customWidth="1"/>
    <col min="10513" max="10513" width="3.7109375" style="22" customWidth="1"/>
    <col min="10514" max="10514" width="12.5703125" style="22" customWidth="1"/>
    <col min="10515" max="10752" width="9.140625" style="22"/>
    <col min="10753" max="10753" width="4.85546875" style="22" customWidth="1"/>
    <col min="10754" max="10754" width="8.85546875" style="22" customWidth="1"/>
    <col min="10755" max="10755" width="5.85546875" style="22" customWidth="1"/>
    <col min="10756" max="10756" width="9" style="22" customWidth="1"/>
    <col min="10757" max="10757" width="5.85546875" style="22" customWidth="1"/>
    <col min="10758" max="10758" width="8.85546875" style="22" customWidth="1"/>
    <col min="10759" max="10759" width="4.85546875" style="22" customWidth="1"/>
    <col min="10760" max="10760" width="2.42578125" style="22" customWidth="1"/>
    <col min="10761" max="10761" width="8.85546875" style="22" customWidth="1"/>
    <col min="10762" max="10762" width="5.7109375" style="22" customWidth="1"/>
    <col min="10763" max="10763" width="2.7109375" style="22" customWidth="1"/>
    <col min="10764" max="10764" width="12" style="22" customWidth="1"/>
    <col min="10765" max="10765" width="5.5703125" style="22" customWidth="1"/>
    <col min="10766" max="10766" width="10.42578125" style="22" customWidth="1"/>
    <col min="10767" max="10767" width="7" style="22" customWidth="1"/>
    <col min="10768" max="10768" width="7.7109375" style="22" customWidth="1"/>
    <col min="10769" max="10769" width="3.7109375" style="22" customWidth="1"/>
    <col min="10770" max="10770" width="12.5703125" style="22" customWidth="1"/>
    <col min="10771" max="11008" width="9.140625" style="22"/>
    <col min="11009" max="11009" width="4.85546875" style="22" customWidth="1"/>
    <col min="11010" max="11010" width="8.85546875" style="22" customWidth="1"/>
    <col min="11011" max="11011" width="5.85546875" style="22" customWidth="1"/>
    <col min="11012" max="11012" width="9" style="22" customWidth="1"/>
    <col min="11013" max="11013" width="5.85546875" style="22" customWidth="1"/>
    <col min="11014" max="11014" width="8.85546875" style="22" customWidth="1"/>
    <col min="11015" max="11015" width="4.85546875" style="22" customWidth="1"/>
    <col min="11016" max="11016" width="2.42578125" style="22" customWidth="1"/>
    <col min="11017" max="11017" width="8.85546875" style="22" customWidth="1"/>
    <col min="11018" max="11018" width="5.7109375" style="22" customWidth="1"/>
    <col min="11019" max="11019" width="2.7109375" style="22" customWidth="1"/>
    <col min="11020" max="11020" width="12" style="22" customWidth="1"/>
    <col min="11021" max="11021" width="5.5703125" style="22" customWidth="1"/>
    <col min="11022" max="11022" width="10.42578125" style="22" customWidth="1"/>
    <col min="11023" max="11023" width="7" style="22" customWidth="1"/>
    <col min="11024" max="11024" width="7.7109375" style="22" customWidth="1"/>
    <col min="11025" max="11025" width="3.7109375" style="22" customWidth="1"/>
    <col min="11026" max="11026" width="12.5703125" style="22" customWidth="1"/>
    <col min="11027" max="11264" width="9.140625" style="22"/>
    <col min="11265" max="11265" width="4.85546875" style="22" customWidth="1"/>
    <col min="11266" max="11266" width="8.85546875" style="22" customWidth="1"/>
    <col min="11267" max="11267" width="5.85546875" style="22" customWidth="1"/>
    <col min="11268" max="11268" width="9" style="22" customWidth="1"/>
    <col min="11269" max="11269" width="5.85546875" style="22" customWidth="1"/>
    <col min="11270" max="11270" width="8.85546875" style="22" customWidth="1"/>
    <col min="11271" max="11271" width="4.85546875" style="22" customWidth="1"/>
    <col min="11272" max="11272" width="2.42578125" style="22" customWidth="1"/>
    <col min="11273" max="11273" width="8.85546875" style="22" customWidth="1"/>
    <col min="11274" max="11274" width="5.7109375" style="22" customWidth="1"/>
    <col min="11275" max="11275" width="2.7109375" style="22" customWidth="1"/>
    <col min="11276" max="11276" width="12" style="22" customWidth="1"/>
    <col min="11277" max="11277" width="5.5703125" style="22" customWidth="1"/>
    <col min="11278" max="11278" width="10.42578125" style="22" customWidth="1"/>
    <col min="11279" max="11279" width="7" style="22" customWidth="1"/>
    <col min="11280" max="11280" width="7.7109375" style="22" customWidth="1"/>
    <col min="11281" max="11281" width="3.7109375" style="22" customWidth="1"/>
    <col min="11282" max="11282" width="12.5703125" style="22" customWidth="1"/>
    <col min="11283" max="11520" width="9.140625" style="22"/>
    <col min="11521" max="11521" width="4.85546875" style="22" customWidth="1"/>
    <col min="11522" max="11522" width="8.85546875" style="22" customWidth="1"/>
    <col min="11523" max="11523" width="5.85546875" style="22" customWidth="1"/>
    <col min="11524" max="11524" width="9" style="22" customWidth="1"/>
    <col min="11525" max="11525" width="5.85546875" style="22" customWidth="1"/>
    <col min="11526" max="11526" width="8.85546875" style="22" customWidth="1"/>
    <col min="11527" max="11527" width="4.85546875" style="22" customWidth="1"/>
    <col min="11528" max="11528" width="2.42578125" style="22" customWidth="1"/>
    <col min="11529" max="11529" width="8.85546875" style="22" customWidth="1"/>
    <col min="11530" max="11530" width="5.7109375" style="22" customWidth="1"/>
    <col min="11531" max="11531" width="2.7109375" style="22" customWidth="1"/>
    <col min="11532" max="11532" width="12" style="22" customWidth="1"/>
    <col min="11533" max="11533" width="5.5703125" style="22" customWidth="1"/>
    <col min="11534" max="11534" width="10.42578125" style="22" customWidth="1"/>
    <col min="11535" max="11535" width="7" style="22" customWidth="1"/>
    <col min="11536" max="11536" width="7.7109375" style="22" customWidth="1"/>
    <col min="11537" max="11537" width="3.7109375" style="22" customWidth="1"/>
    <col min="11538" max="11538" width="12.5703125" style="22" customWidth="1"/>
    <col min="11539" max="11776" width="9.140625" style="22"/>
    <col min="11777" max="11777" width="4.85546875" style="22" customWidth="1"/>
    <col min="11778" max="11778" width="8.85546875" style="22" customWidth="1"/>
    <col min="11779" max="11779" width="5.85546875" style="22" customWidth="1"/>
    <col min="11780" max="11780" width="9" style="22" customWidth="1"/>
    <col min="11781" max="11781" width="5.85546875" style="22" customWidth="1"/>
    <col min="11782" max="11782" width="8.85546875" style="22" customWidth="1"/>
    <col min="11783" max="11783" width="4.85546875" style="22" customWidth="1"/>
    <col min="11784" max="11784" width="2.42578125" style="22" customWidth="1"/>
    <col min="11785" max="11785" width="8.85546875" style="22" customWidth="1"/>
    <col min="11786" max="11786" width="5.7109375" style="22" customWidth="1"/>
    <col min="11787" max="11787" width="2.7109375" style="22" customWidth="1"/>
    <col min="11788" max="11788" width="12" style="22" customWidth="1"/>
    <col min="11789" max="11789" width="5.5703125" style="22" customWidth="1"/>
    <col min="11790" max="11790" width="10.42578125" style="22" customWidth="1"/>
    <col min="11791" max="11791" width="7" style="22" customWidth="1"/>
    <col min="11792" max="11792" width="7.7109375" style="22" customWidth="1"/>
    <col min="11793" max="11793" width="3.7109375" style="22" customWidth="1"/>
    <col min="11794" max="11794" width="12.5703125" style="22" customWidth="1"/>
    <col min="11795" max="12032" width="9.140625" style="22"/>
    <col min="12033" max="12033" width="4.85546875" style="22" customWidth="1"/>
    <col min="12034" max="12034" width="8.85546875" style="22" customWidth="1"/>
    <col min="12035" max="12035" width="5.85546875" style="22" customWidth="1"/>
    <col min="12036" max="12036" width="9" style="22" customWidth="1"/>
    <col min="12037" max="12037" width="5.85546875" style="22" customWidth="1"/>
    <col min="12038" max="12038" width="8.85546875" style="22" customWidth="1"/>
    <col min="12039" max="12039" width="4.85546875" style="22" customWidth="1"/>
    <col min="12040" max="12040" width="2.42578125" style="22" customWidth="1"/>
    <col min="12041" max="12041" width="8.85546875" style="22" customWidth="1"/>
    <col min="12042" max="12042" width="5.7109375" style="22" customWidth="1"/>
    <col min="12043" max="12043" width="2.7109375" style="22" customWidth="1"/>
    <col min="12044" max="12044" width="12" style="22" customWidth="1"/>
    <col min="12045" max="12045" width="5.5703125" style="22" customWidth="1"/>
    <col min="12046" max="12046" width="10.42578125" style="22" customWidth="1"/>
    <col min="12047" max="12047" width="7" style="22" customWidth="1"/>
    <col min="12048" max="12048" width="7.7109375" style="22" customWidth="1"/>
    <col min="12049" max="12049" width="3.7109375" style="22" customWidth="1"/>
    <col min="12050" max="12050" width="12.5703125" style="22" customWidth="1"/>
    <col min="12051" max="12288" width="9.140625" style="22"/>
    <col min="12289" max="12289" width="4.85546875" style="22" customWidth="1"/>
    <col min="12290" max="12290" width="8.85546875" style="22" customWidth="1"/>
    <col min="12291" max="12291" width="5.85546875" style="22" customWidth="1"/>
    <col min="12292" max="12292" width="9" style="22" customWidth="1"/>
    <col min="12293" max="12293" width="5.85546875" style="22" customWidth="1"/>
    <col min="12294" max="12294" width="8.85546875" style="22" customWidth="1"/>
    <col min="12295" max="12295" width="4.85546875" style="22" customWidth="1"/>
    <col min="12296" max="12296" width="2.42578125" style="22" customWidth="1"/>
    <col min="12297" max="12297" width="8.85546875" style="22" customWidth="1"/>
    <col min="12298" max="12298" width="5.7109375" style="22" customWidth="1"/>
    <col min="12299" max="12299" width="2.7109375" style="22" customWidth="1"/>
    <col min="12300" max="12300" width="12" style="22" customWidth="1"/>
    <col min="12301" max="12301" width="5.5703125" style="22" customWidth="1"/>
    <col min="12302" max="12302" width="10.42578125" style="22" customWidth="1"/>
    <col min="12303" max="12303" width="7" style="22" customWidth="1"/>
    <col min="12304" max="12304" width="7.7109375" style="22" customWidth="1"/>
    <col min="12305" max="12305" width="3.7109375" style="22" customWidth="1"/>
    <col min="12306" max="12306" width="12.5703125" style="22" customWidth="1"/>
    <col min="12307" max="12544" width="9.140625" style="22"/>
    <col min="12545" max="12545" width="4.85546875" style="22" customWidth="1"/>
    <col min="12546" max="12546" width="8.85546875" style="22" customWidth="1"/>
    <col min="12547" max="12547" width="5.85546875" style="22" customWidth="1"/>
    <col min="12548" max="12548" width="9" style="22" customWidth="1"/>
    <col min="12549" max="12549" width="5.85546875" style="22" customWidth="1"/>
    <col min="12550" max="12550" width="8.85546875" style="22" customWidth="1"/>
    <col min="12551" max="12551" width="4.85546875" style="22" customWidth="1"/>
    <col min="12552" max="12552" width="2.42578125" style="22" customWidth="1"/>
    <col min="12553" max="12553" width="8.85546875" style="22" customWidth="1"/>
    <col min="12554" max="12554" width="5.7109375" style="22" customWidth="1"/>
    <col min="12555" max="12555" width="2.7109375" style="22" customWidth="1"/>
    <col min="12556" max="12556" width="12" style="22" customWidth="1"/>
    <col min="12557" max="12557" width="5.5703125" style="22" customWidth="1"/>
    <col min="12558" max="12558" width="10.42578125" style="22" customWidth="1"/>
    <col min="12559" max="12559" width="7" style="22" customWidth="1"/>
    <col min="12560" max="12560" width="7.7109375" style="22" customWidth="1"/>
    <col min="12561" max="12561" width="3.7109375" style="22" customWidth="1"/>
    <col min="12562" max="12562" width="12.5703125" style="22" customWidth="1"/>
    <col min="12563" max="12800" width="9.140625" style="22"/>
    <col min="12801" max="12801" width="4.85546875" style="22" customWidth="1"/>
    <col min="12802" max="12802" width="8.85546875" style="22" customWidth="1"/>
    <col min="12803" max="12803" width="5.85546875" style="22" customWidth="1"/>
    <col min="12804" max="12804" width="9" style="22" customWidth="1"/>
    <col min="12805" max="12805" width="5.85546875" style="22" customWidth="1"/>
    <col min="12806" max="12806" width="8.85546875" style="22" customWidth="1"/>
    <col min="12807" max="12807" width="4.85546875" style="22" customWidth="1"/>
    <col min="12808" max="12808" width="2.42578125" style="22" customWidth="1"/>
    <col min="12809" max="12809" width="8.85546875" style="22" customWidth="1"/>
    <col min="12810" max="12810" width="5.7109375" style="22" customWidth="1"/>
    <col min="12811" max="12811" width="2.7109375" style="22" customWidth="1"/>
    <col min="12812" max="12812" width="12" style="22" customWidth="1"/>
    <col min="12813" max="12813" width="5.5703125" style="22" customWidth="1"/>
    <col min="12814" max="12814" width="10.42578125" style="22" customWidth="1"/>
    <col min="12815" max="12815" width="7" style="22" customWidth="1"/>
    <col min="12816" max="12816" width="7.7109375" style="22" customWidth="1"/>
    <col min="12817" max="12817" width="3.7109375" style="22" customWidth="1"/>
    <col min="12818" max="12818" width="12.5703125" style="22" customWidth="1"/>
    <col min="12819" max="13056" width="9.140625" style="22"/>
    <col min="13057" max="13057" width="4.85546875" style="22" customWidth="1"/>
    <col min="13058" max="13058" width="8.85546875" style="22" customWidth="1"/>
    <col min="13059" max="13059" width="5.85546875" style="22" customWidth="1"/>
    <col min="13060" max="13060" width="9" style="22" customWidth="1"/>
    <col min="13061" max="13061" width="5.85546875" style="22" customWidth="1"/>
    <col min="13062" max="13062" width="8.85546875" style="22" customWidth="1"/>
    <col min="13063" max="13063" width="4.85546875" style="22" customWidth="1"/>
    <col min="13064" max="13064" width="2.42578125" style="22" customWidth="1"/>
    <col min="13065" max="13065" width="8.85546875" style="22" customWidth="1"/>
    <col min="13066" max="13066" width="5.7109375" style="22" customWidth="1"/>
    <col min="13067" max="13067" width="2.7109375" style="22" customWidth="1"/>
    <col min="13068" max="13068" width="12" style="22" customWidth="1"/>
    <col min="13069" max="13069" width="5.5703125" style="22" customWidth="1"/>
    <col min="13070" max="13070" width="10.42578125" style="22" customWidth="1"/>
    <col min="13071" max="13071" width="7" style="22" customWidth="1"/>
    <col min="13072" max="13072" width="7.7109375" style="22" customWidth="1"/>
    <col min="13073" max="13073" width="3.7109375" style="22" customWidth="1"/>
    <col min="13074" max="13074" width="12.5703125" style="22" customWidth="1"/>
    <col min="13075" max="13312" width="9.140625" style="22"/>
    <col min="13313" max="13313" width="4.85546875" style="22" customWidth="1"/>
    <col min="13314" max="13314" width="8.85546875" style="22" customWidth="1"/>
    <col min="13315" max="13315" width="5.85546875" style="22" customWidth="1"/>
    <col min="13316" max="13316" width="9" style="22" customWidth="1"/>
    <col min="13317" max="13317" width="5.85546875" style="22" customWidth="1"/>
    <col min="13318" max="13318" width="8.85546875" style="22" customWidth="1"/>
    <col min="13319" max="13319" width="4.85546875" style="22" customWidth="1"/>
    <col min="13320" max="13320" width="2.42578125" style="22" customWidth="1"/>
    <col min="13321" max="13321" width="8.85546875" style="22" customWidth="1"/>
    <col min="13322" max="13322" width="5.7109375" style="22" customWidth="1"/>
    <col min="13323" max="13323" width="2.7109375" style="22" customWidth="1"/>
    <col min="13324" max="13324" width="12" style="22" customWidth="1"/>
    <col min="13325" max="13325" width="5.5703125" style="22" customWidth="1"/>
    <col min="13326" max="13326" width="10.42578125" style="22" customWidth="1"/>
    <col min="13327" max="13327" width="7" style="22" customWidth="1"/>
    <col min="13328" max="13328" width="7.7109375" style="22" customWidth="1"/>
    <col min="13329" max="13329" width="3.7109375" style="22" customWidth="1"/>
    <col min="13330" max="13330" width="12.5703125" style="22" customWidth="1"/>
    <col min="13331" max="13568" width="9.140625" style="22"/>
    <col min="13569" max="13569" width="4.85546875" style="22" customWidth="1"/>
    <col min="13570" max="13570" width="8.85546875" style="22" customWidth="1"/>
    <col min="13571" max="13571" width="5.85546875" style="22" customWidth="1"/>
    <col min="13572" max="13572" width="9" style="22" customWidth="1"/>
    <col min="13573" max="13573" width="5.85546875" style="22" customWidth="1"/>
    <col min="13574" max="13574" width="8.85546875" style="22" customWidth="1"/>
    <col min="13575" max="13575" width="4.85546875" style="22" customWidth="1"/>
    <col min="13576" max="13576" width="2.42578125" style="22" customWidth="1"/>
    <col min="13577" max="13577" width="8.85546875" style="22" customWidth="1"/>
    <col min="13578" max="13578" width="5.7109375" style="22" customWidth="1"/>
    <col min="13579" max="13579" width="2.7109375" style="22" customWidth="1"/>
    <col min="13580" max="13580" width="12" style="22" customWidth="1"/>
    <col min="13581" max="13581" width="5.5703125" style="22" customWidth="1"/>
    <col min="13582" max="13582" width="10.42578125" style="22" customWidth="1"/>
    <col min="13583" max="13583" width="7" style="22" customWidth="1"/>
    <col min="13584" max="13584" width="7.7109375" style="22" customWidth="1"/>
    <col min="13585" max="13585" width="3.7109375" style="22" customWidth="1"/>
    <col min="13586" max="13586" width="12.5703125" style="22" customWidth="1"/>
    <col min="13587" max="13824" width="9.140625" style="22"/>
    <col min="13825" max="13825" width="4.85546875" style="22" customWidth="1"/>
    <col min="13826" max="13826" width="8.85546875" style="22" customWidth="1"/>
    <col min="13827" max="13827" width="5.85546875" style="22" customWidth="1"/>
    <col min="13828" max="13828" width="9" style="22" customWidth="1"/>
    <col min="13829" max="13829" width="5.85546875" style="22" customWidth="1"/>
    <col min="13830" max="13830" width="8.85546875" style="22" customWidth="1"/>
    <col min="13831" max="13831" width="4.85546875" style="22" customWidth="1"/>
    <col min="13832" max="13832" width="2.42578125" style="22" customWidth="1"/>
    <col min="13833" max="13833" width="8.85546875" style="22" customWidth="1"/>
    <col min="13834" max="13834" width="5.7109375" style="22" customWidth="1"/>
    <col min="13835" max="13835" width="2.7109375" style="22" customWidth="1"/>
    <col min="13836" max="13836" width="12" style="22" customWidth="1"/>
    <col min="13837" max="13837" width="5.5703125" style="22" customWidth="1"/>
    <col min="13838" max="13838" width="10.42578125" style="22" customWidth="1"/>
    <col min="13839" max="13839" width="7" style="22" customWidth="1"/>
    <col min="13840" max="13840" width="7.7109375" style="22" customWidth="1"/>
    <col min="13841" max="13841" width="3.7109375" style="22" customWidth="1"/>
    <col min="13842" max="13842" width="12.5703125" style="22" customWidth="1"/>
    <col min="13843" max="14080" width="9.140625" style="22"/>
    <col min="14081" max="14081" width="4.85546875" style="22" customWidth="1"/>
    <col min="14082" max="14082" width="8.85546875" style="22" customWidth="1"/>
    <col min="14083" max="14083" width="5.85546875" style="22" customWidth="1"/>
    <col min="14084" max="14084" width="9" style="22" customWidth="1"/>
    <col min="14085" max="14085" width="5.85546875" style="22" customWidth="1"/>
    <col min="14086" max="14086" width="8.85546875" style="22" customWidth="1"/>
    <col min="14087" max="14087" width="4.85546875" style="22" customWidth="1"/>
    <col min="14088" max="14088" width="2.42578125" style="22" customWidth="1"/>
    <col min="14089" max="14089" width="8.85546875" style="22" customWidth="1"/>
    <col min="14090" max="14090" width="5.7109375" style="22" customWidth="1"/>
    <col min="14091" max="14091" width="2.7109375" style="22" customWidth="1"/>
    <col min="14092" max="14092" width="12" style="22" customWidth="1"/>
    <col min="14093" max="14093" width="5.5703125" style="22" customWidth="1"/>
    <col min="14094" max="14094" width="10.42578125" style="22" customWidth="1"/>
    <col min="14095" max="14095" width="7" style="22" customWidth="1"/>
    <col min="14096" max="14096" width="7.7109375" style="22" customWidth="1"/>
    <col min="14097" max="14097" width="3.7109375" style="22" customWidth="1"/>
    <col min="14098" max="14098" width="12.5703125" style="22" customWidth="1"/>
    <col min="14099" max="14336" width="9.140625" style="22"/>
    <col min="14337" max="14337" width="4.85546875" style="22" customWidth="1"/>
    <col min="14338" max="14338" width="8.85546875" style="22" customWidth="1"/>
    <col min="14339" max="14339" width="5.85546875" style="22" customWidth="1"/>
    <col min="14340" max="14340" width="9" style="22" customWidth="1"/>
    <col min="14341" max="14341" width="5.85546875" style="22" customWidth="1"/>
    <col min="14342" max="14342" width="8.85546875" style="22" customWidth="1"/>
    <col min="14343" max="14343" width="4.85546875" style="22" customWidth="1"/>
    <col min="14344" max="14344" width="2.42578125" style="22" customWidth="1"/>
    <col min="14345" max="14345" width="8.85546875" style="22" customWidth="1"/>
    <col min="14346" max="14346" width="5.7109375" style="22" customWidth="1"/>
    <col min="14347" max="14347" width="2.7109375" style="22" customWidth="1"/>
    <col min="14348" max="14348" width="12" style="22" customWidth="1"/>
    <col min="14349" max="14349" width="5.5703125" style="22" customWidth="1"/>
    <col min="14350" max="14350" width="10.42578125" style="22" customWidth="1"/>
    <col min="14351" max="14351" width="7" style="22" customWidth="1"/>
    <col min="14352" max="14352" width="7.7109375" style="22" customWidth="1"/>
    <col min="14353" max="14353" width="3.7109375" style="22" customWidth="1"/>
    <col min="14354" max="14354" width="12.5703125" style="22" customWidth="1"/>
    <col min="14355" max="14592" width="9.140625" style="22"/>
    <col min="14593" max="14593" width="4.85546875" style="22" customWidth="1"/>
    <col min="14594" max="14594" width="8.85546875" style="22" customWidth="1"/>
    <col min="14595" max="14595" width="5.85546875" style="22" customWidth="1"/>
    <col min="14596" max="14596" width="9" style="22" customWidth="1"/>
    <col min="14597" max="14597" width="5.85546875" style="22" customWidth="1"/>
    <col min="14598" max="14598" width="8.85546875" style="22" customWidth="1"/>
    <col min="14599" max="14599" width="4.85546875" style="22" customWidth="1"/>
    <col min="14600" max="14600" width="2.42578125" style="22" customWidth="1"/>
    <col min="14601" max="14601" width="8.85546875" style="22" customWidth="1"/>
    <col min="14602" max="14602" width="5.7109375" style="22" customWidth="1"/>
    <col min="14603" max="14603" width="2.7109375" style="22" customWidth="1"/>
    <col min="14604" max="14604" width="12" style="22" customWidth="1"/>
    <col min="14605" max="14605" width="5.5703125" style="22" customWidth="1"/>
    <col min="14606" max="14606" width="10.42578125" style="22" customWidth="1"/>
    <col min="14607" max="14607" width="7" style="22" customWidth="1"/>
    <col min="14608" max="14608" width="7.7109375" style="22" customWidth="1"/>
    <col min="14609" max="14609" width="3.7109375" style="22" customWidth="1"/>
    <col min="14610" max="14610" width="12.5703125" style="22" customWidth="1"/>
    <col min="14611" max="14848" width="9.140625" style="22"/>
    <col min="14849" max="14849" width="4.85546875" style="22" customWidth="1"/>
    <col min="14850" max="14850" width="8.85546875" style="22" customWidth="1"/>
    <col min="14851" max="14851" width="5.85546875" style="22" customWidth="1"/>
    <col min="14852" max="14852" width="9" style="22" customWidth="1"/>
    <col min="14853" max="14853" width="5.85546875" style="22" customWidth="1"/>
    <col min="14854" max="14854" width="8.85546875" style="22" customWidth="1"/>
    <col min="14855" max="14855" width="4.85546875" style="22" customWidth="1"/>
    <col min="14856" max="14856" width="2.42578125" style="22" customWidth="1"/>
    <col min="14857" max="14857" width="8.85546875" style="22" customWidth="1"/>
    <col min="14858" max="14858" width="5.7109375" style="22" customWidth="1"/>
    <col min="14859" max="14859" width="2.7109375" style="22" customWidth="1"/>
    <col min="14860" max="14860" width="12" style="22" customWidth="1"/>
    <col min="14861" max="14861" width="5.5703125" style="22" customWidth="1"/>
    <col min="14862" max="14862" width="10.42578125" style="22" customWidth="1"/>
    <col min="14863" max="14863" width="7" style="22" customWidth="1"/>
    <col min="14864" max="14864" width="7.7109375" style="22" customWidth="1"/>
    <col min="14865" max="14865" width="3.7109375" style="22" customWidth="1"/>
    <col min="14866" max="14866" width="12.5703125" style="22" customWidth="1"/>
    <col min="14867" max="15104" width="9.140625" style="22"/>
    <col min="15105" max="15105" width="4.85546875" style="22" customWidth="1"/>
    <col min="15106" max="15106" width="8.85546875" style="22" customWidth="1"/>
    <col min="15107" max="15107" width="5.85546875" style="22" customWidth="1"/>
    <col min="15108" max="15108" width="9" style="22" customWidth="1"/>
    <col min="15109" max="15109" width="5.85546875" style="22" customWidth="1"/>
    <col min="15110" max="15110" width="8.85546875" style="22" customWidth="1"/>
    <col min="15111" max="15111" width="4.85546875" style="22" customWidth="1"/>
    <col min="15112" max="15112" width="2.42578125" style="22" customWidth="1"/>
    <col min="15113" max="15113" width="8.85546875" style="22" customWidth="1"/>
    <col min="15114" max="15114" width="5.7109375" style="22" customWidth="1"/>
    <col min="15115" max="15115" width="2.7109375" style="22" customWidth="1"/>
    <col min="15116" max="15116" width="12" style="22" customWidth="1"/>
    <col min="15117" max="15117" width="5.5703125" style="22" customWidth="1"/>
    <col min="15118" max="15118" width="10.42578125" style="22" customWidth="1"/>
    <col min="15119" max="15119" width="7" style="22" customWidth="1"/>
    <col min="15120" max="15120" width="7.7109375" style="22" customWidth="1"/>
    <col min="15121" max="15121" width="3.7109375" style="22" customWidth="1"/>
    <col min="15122" max="15122" width="12.5703125" style="22" customWidth="1"/>
    <col min="15123" max="15360" width="9.140625" style="22"/>
    <col min="15361" max="15361" width="4.85546875" style="22" customWidth="1"/>
    <col min="15362" max="15362" width="8.85546875" style="22" customWidth="1"/>
    <col min="15363" max="15363" width="5.85546875" style="22" customWidth="1"/>
    <col min="15364" max="15364" width="9" style="22" customWidth="1"/>
    <col min="15365" max="15365" width="5.85546875" style="22" customWidth="1"/>
    <col min="15366" max="15366" width="8.85546875" style="22" customWidth="1"/>
    <col min="15367" max="15367" width="4.85546875" style="22" customWidth="1"/>
    <col min="15368" max="15368" width="2.42578125" style="22" customWidth="1"/>
    <col min="15369" max="15369" width="8.85546875" style="22" customWidth="1"/>
    <col min="15370" max="15370" width="5.7109375" style="22" customWidth="1"/>
    <col min="15371" max="15371" width="2.7109375" style="22" customWidth="1"/>
    <col min="15372" max="15372" width="12" style="22" customWidth="1"/>
    <col min="15373" max="15373" width="5.5703125" style="22" customWidth="1"/>
    <col min="15374" max="15374" width="10.42578125" style="22" customWidth="1"/>
    <col min="15375" max="15375" width="7" style="22" customWidth="1"/>
    <col min="15376" max="15376" width="7.7109375" style="22" customWidth="1"/>
    <col min="15377" max="15377" width="3.7109375" style="22" customWidth="1"/>
    <col min="15378" max="15378" width="12.5703125" style="22" customWidth="1"/>
    <col min="15379" max="15616" width="9.140625" style="22"/>
    <col min="15617" max="15617" width="4.85546875" style="22" customWidth="1"/>
    <col min="15618" max="15618" width="8.85546875" style="22" customWidth="1"/>
    <col min="15619" max="15619" width="5.85546875" style="22" customWidth="1"/>
    <col min="15620" max="15620" width="9" style="22" customWidth="1"/>
    <col min="15621" max="15621" width="5.85546875" style="22" customWidth="1"/>
    <col min="15622" max="15622" width="8.85546875" style="22" customWidth="1"/>
    <col min="15623" max="15623" width="4.85546875" style="22" customWidth="1"/>
    <col min="15624" max="15624" width="2.42578125" style="22" customWidth="1"/>
    <col min="15625" max="15625" width="8.85546875" style="22" customWidth="1"/>
    <col min="15626" max="15626" width="5.7109375" style="22" customWidth="1"/>
    <col min="15627" max="15627" width="2.7109375" style="22" customWidth="1"/>
    <col min="15628" max="15628" width="12" style="22" customWidth="1"/>
    <col min="15629" max="15629" width="5.5703125" style="22" customWidth="1"/>
    <col min="15630" max="15630" width="10.42578125" style="22" customWidth="1"/>
    <col min="15631" max="15631" width="7" style="22" customWidth="1"/>
    <col min="15632" max="15632" width="7.7109375" style="22" customWidth="1"/>
    <col min="15633" max="15633" width="3.7109375" style="22" customWidth="1"/>
    <col min="15634" max="15634" width="12.5703125" style="22" customWidth="1"/>
    <col min="15635" max="15872" width="9.140625" style="22"/>
    <col min="15873" max="15873" width="4.85546875" style="22" customWidth="1"/>
    <col min="15874" max="15874" width="8.85546875" style="22" customWidth="1"/>
    <col min="15875" max="15875" width="5.85546875" style="22" customWidth="1"/>
    <col min="15876" max="15876" width="9" style="22" customWidth="1"/>
    <col min="15877" max="15877" width="5.85546875" style="22" customWidth="1"/>
    <col min="15878" max="15878" width="8.85546875" style="22" customWidth="1"/>
    <col min="15879" max="15879" width="4.85546875" style="22" customWidth="1"/>
    <col min="15880" max="15880" width="2.42578125" style="22" customWidth="1"/>
    <col min="15881" max="15881" width="8.85546875" style="22" customWidth="1"/>
    <col min="15882" max="15882" width="5.7109375" style="22" customWidth="1"/>
    <col min="15883" max="15883" width="2.7109375" style="22" customWidth="1"/>
    <col min="15884" max="15884" width="12" style="22" customWidth="1"/>
    <col min="15885" max="15885" width="5.5703125" style="22" customWidth="1"/>
    <col min="15886" max="15886" width="10.42578125" style="22" customWidth="1"/>
    <col min="15887" max="15887" width="7" style="22" customWidth="1"/>
    <col min="15888" max="15888" width="7.7109375" style="22" customWidth="1"/>
    <col min="15889" max="15889" width="3.7109375" style="22" customWidth="1"/>
    <col min="15890" max="15890" width="12.5703125" style="22" customWidth="1"/>
    <col min="15891" max="16128" width="9.140625" style="22"/>
    <col min="16129" max="16129" width="4.85546875" style="22" customWidth="1"/>
    <col min="16130" max="16130" width="8.85546875" style="22" customWidth="1"/>
    <col min="16131" max="16131" width="5.85546875" style="22" customWidth="1"/>
    <col min="16132" max="16132" width="9" style="22" customWidth="1"/>
    <col min="16133" max="16133" width="5.85546875" style="22" customWidth="1"/>
    <col min="16134" max="16134" width="8.85546875" style="22" customWidth="1"/>
    <col min="16135" max="16135" width="4.85546875" style="22" customWidth="1"/>
    <col min="16136" max="16136" width="2.42578125" style="22" customWidth="1"/>
    <col min="16137" max="16137" width="8.85546875" style="22" customWidth="1"/>
    <col min="16138" max="16138" width="5.7109375" style="22" customWidth="1"/>
    <col min="16139" max="16139" width="2.7109375" style="22" customWidth="1"/>
    <col min="16140" max="16140" width="12" style="22" customWidth="1"/>
    <col min="16141" max="16141" width="5.5703125" style="22" customWidth="1"/>
    <col min="16142" max="16142" width="10.42578125" style="22" customWidth="1"/>
    <col min="16143" max="16143" width="7" style="22" customWidth="1"/>
    <col min="16144" max="16144" width="7.7109375" style="22" customWidth="1"/>
    <col min="16145" max="16145" width="3.7109375" style="22" customWidth="1"/>
    <col min="16146" max="16146" width="12.5703125" style="22" customWidth="1"/>
    <col min="16147" max="16384" width="9.140625" style="22"/>
  </cols>
  <sheetData>
    <row r="1" spans="1:18" ht="15.75" customHeight="1" x14ac:dyDescent="0.25">
      <c r="A1" s="235" t="s">
        <v>98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7"/>
    </row>
    <row r="2" spans="1:18" x14ac:dyDescent="0.25">
      <c r="A2" s="238" t="s">
        <v>99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40"/>
    </row>
    <row r="3" spans="1:18" x14ac:dyDescent="0.25">
      <c r="A3" s="241" t="s">
        <v>13</v>
      </c>
      <c r="B3" s="226" t="s">
        <v>100</v>
      </c>
      <c r="C3" s="244"/>
      <c r="D3" s="244"/>
      <c r="E3" s="244"/>
      <c r="F3" s="244"/>
      <c r="G3" s="244"/>
      <c r="H3" s="244"/>
      <c r="I3" s="244"/>
      <c r="J3" s="244"/>
      <c r="K3" s="227"/>
      <c r="L3" s="226" t="s">
        <v>101</v>
      </c>
      <c r="M3" s="244"/>
      <c r="N3" s="244"/>
      <c r="O3" s="244"/>
      <c r="P3" s="244"/>
      <c r="Q3" s="227"/>
      <c r="R3" s="23"/>
    </row>
    <row r="4" spans="1:18" x14ac:dyDescent="0.25">
      <c r="A4" s="242"/>
      <c r="B4" s="245"/>
      <c r="C4" s="246"/>
      <c r="D4" s="246"/>
      <c r="E4" s="246"/>
      <c r="F4" s="246"/>
      <c r="G4" s="246"/>
      <c r="H4" s="246"/>
      <c r="I4" s="246"/>
      <c r="J4" s="246"/>
      <c r="K4" s="247"/>
      <c r="L4" s="245"/>
      <c r="M4" s="246"/>
      <c r="N4" s="246"/>
      <c r="O4" s="246"/>
      <c r="P4" s="246"/>
      <c r="Q4" s="247"/>
      <c r="R4" s="24"/>
    </row>
    <row r="5" spans="1:18" x14ac:dyDescent="0.25">
      <c r="A5" s="242"/>
      <c r="B5" s="228"/>
      <c r="C5" s="248"/>
      <c r="D5" s="248"/>
      <c r="E5" s="248"/>
      <c r="F5" s="248"/>
      <c r="G5" s="248"/>
      <c r="H5" s="248"/>
      <c r="I5" s="248"/>
      <c r="J5" s="248"/>
      <c r="K5" s="229"/>
      <c r="L5" s="228"/>
      <c r="M5" s="248"/>
      <c r="N5" s="248"/>
      <c r="O5" s="248"/>
      <c r="P5" s="248"/>
      <c r="Q5" s="229"/>
      <c r="R5" s="25" t="s">
        <v>102</v>
      </c>
    </row>
    <row r="6" spans="1:18" x14ac:dyDescent="0.25">
      <c r="A6" s="242"/>
      <c r="B6" s="226" t="s">
        <v>103</v>
      </c>
      <c r="C6" s="227"/>
      <c r="D6" s="226" t="s">
        <v>104</v>
      </c>
      <c r="E6" s="227"/>
      <c r="F6" s="226" t="s">
        <v>105</v>
      </c>
      <c r="G6" s="244"/>
      <c r="H6" s="227"/>
      <c r="I6" s="226" t="s">
        <v>106</v>
      </c>
      <c r="J6" s="244"/>
      <c r="K6" s="227"/>
      <c r="L6" s="226" t="s">
        <v>107</v>
      </c>
      <c r="M6" s="227"/>
      <c r="N6" s="226" t="s">
        <v>108</v>
      </c>
      <c r="O6" s="227"/>
      <c r="P6" s="226" t="s">
        <v>109</v>
      </c>
      <c r="Q6" s="227"/>
      <c r="R6" s="25" t="s">
        <v>110</v>
      </c>
    </row>
    <row r="7" spans="1:18" x14ac:dyDescent="0.25">
      <c r="A7" s="242"/>
      <c r="B7" s="228"/>
      <c r="C7" s="229"/>
      <c r="D7" s="228"/>
      <c r="E7" s="229"/>
      <c r="F7" s="228"/>
      <c r="G7" s="248"/>
      <c r="H7" s="229"/>
      <c r="I7" s="228"/>
      <c r="J7" s="248"/>
      <c r="K7" s="229"/>
      <c r="L7" s="228" t="s">
        <v>111</v>
      </c>
      <c r="M7" s="229"/>
      <c r="N7" s="228" t="s">
        <v>112</v>
      </c>
      <c r="O7" s="229"/>
      <c r="P7" s="228"/>
      <c r="Q7" s="229"/>
      <c r="R7" s="26"/>
    </row>
    <row r="8" spans="1:18" x14ac:dyDescent="0.25">
      <c r="A8" s="243"/>
      <c r="B8" s="27" t="s">
        <v>113</v>
      </c>
      <c r="C8" s="27" t="s">
        <v>114</v>
      </c>
      <c r="D8" s="27" t="s">
        <v>113</v>
      </c>
      <c r="E8" s="27" t="s">
        <v>114</v>
      </c>
      <c r="F8" s="27" t="s">
        <v>113</v>
      </c>
      <c r="G8" s="230" t="s">
        <v>114</v>
      </c>
      <c r="H8" s="231"/>
      <c r="I8" s="27" t="s">
        <v>113</v>
      </c>
      <c r="J8" s="230" t="s">
        <v>114</v>
      </c>
      <c r="K8" s="231"/>
      <c r="L8" s="230" t="s">
        <v>113</v>
      </c>
      <c r="M8" s="231"/>
      <c r="N8" s="230" t="s">
        <v>115</v>
      </c>
      <c r="O8" s="231"/>
      <c r="P8" s="230" t="s">
        <v>113</v>
      </c>
      <c r="Q8" s="231"/>
      <c r="R8" s="27" t="s">
        <v>115</v>
      </c>
    </row>
    <row r="9" spans="1:18" x14ac:dyDescent="0.25">
      <c r="A9" s="28">
        <v>1949</v>
      </c>
      <c r="B9" s="29">
        <v>0.26800000000000002</v>
      </c>
      <c r="C9" s="29">
        <v>1.85</v>
      </c>
      <c r="D9" s="29" t="s">
        <v>72</v>
      </c>
      <c r="E9" s="29" t="s">
        <v>72</v>
      </c>
      <c r="F9" s="29" t="s">
        <v>72</v>
      </c>
      <c r="G9" s="29" t="s">
        <v>72</v>
      </c>
      <c r="H9" s="30"/>
      <c r="I9" s="29" t="s">
        <v>72</v>
      </c>
      <c r="J9" s="29" t="s">
        <v>72</v>
      </c>
      <c r="K9" s="30"/>
      <c r="L9" s="29" t="s">
        <v>72</v>
      </c>
      <c r="M9" s="30"/>
      <c r="N9" s="29" t="s">
        <v>72</v>
      </c>
      <c r="O9" s="30"/>
      <c r="P9" s="29" t="s">
        <v>72</v>
      </c>
      <c r="Q9" s="30"/>
      <c r="R9" s="29" t="s">
        <v>72</v>
      </c>
    </row>
    <row r="10" spans="1:18" x14ac:dyDescent="0.25">
      <c r="A10" s="28">
        <v>1950</v>
      </c>
      <c r="B10" s="29">
        <v>0.26800000000000002</v>
      </c>
      <c r="C10" s="29">
        <v>1.83</v>
      </c>
      <c r="D10" s="29" t="s">
        <v>72</v>
      </c>
      <c r="E10" s="29" t="s">
        <v>72</v>
      </c>
      <c r="F10" s="29" t="s">
        <v>72</v>
      </c>
      <c r="G10" s="29" t="s">
        <v>72</v>
      </c>
      <c r="H10" s="30"/>
      <c r="I10" s="29" t="s">
        <v>72</v>
      </c>
      <c r="J10" s="29" t="s">
        <v>72</v>
      </c>
      <c r="K10" s="30"/>
      <c r="L10" s="29" t="s">
        <v>72</v>
      </c>
      <c r="M10" s="30"/>
      <c r="N10" s="29" t="s">
        <v>72</v>
      </c>
      <c r="O10" s="30"/>
      <c r="P10" s="29" t="s">
        <v>72</v>
      </c>
      <c r="Q10" s="30"/>
      <c r="R10" s="29" t="s">
        <v>72</v>
      </c>
    </row>
    <row r="11" spans="1:18" x14ac:dyDescent="0.25">
      <c r="A11" s="31">
        <v>1951</v>
      </c>
      <c r="B11" s="32">
        <v>0.27200000000000002</v>
      </c>
      <c r="C11" s="32">
        <v>1.7330000000000001</v>
      </c>
      <c r="D11" s="32" t="s">
        <v>72</v>
      </c>
      <c r="E11" s="32" t="s">
        <v>72</v>
      </c>
      <c r="F11" s="32" t="s">
        <v>72</v>
      </c>
      <c r="G11" s="32" t="s">
        <v>72</v>
      </c>
      <c r="H11" s="33"/>
      <c r="I11" s="32" t="s">
        <v>72</v>
      </c>
      <c r="J11" s="32" t="s">
        <v>72</v>
      </c>
      <c r="K11" s="33"/>
      <c r="L11" s="32" t="s">
        <v>72</v>
      </c>
      <c r="M11" s="33"/>
      <c r="N11" s="32" t="s">
        <v>72</v>
      </c>
      <c r="O11" s="33"/>
      <c r="P11" s="32" t="s">
        <v>72</v>
      </c>
      <c r="Q11" s="33"/>
      <c r="R11" s="32" t="s">
        <v>72</v>
      </c>
    </row>
    <row r="12" spans="1:18" x14ac:dyDescent="0.25">
      <c r="A12" s="28">
        <v>1952</v>
      </c>
      <c r="B12" s="29">
        <v>0.27400000000000002</v>
      </c>
      <c r="C12" s="29">
        <v>1.716</v>
      </c>
      <c r="D12" s="29" t="s">
        <v>72</v>
      </c>
      <c r="E12" s="29" t="s">
        <v>72</v>
      </c>
      <c r="F12" s="29" t="s">
        <v>72</v>
      </c>
      <c r="G12" s="29" t="s">
        <v>72</v>
      </c>
      <c r="H12" s="30"/>
      <c r="I12" s="29" t="s">
        <v>72</v>
      </c>
      <c r="J12" s="29" t="s">
        <v>72</v>
      </c>
      <c r="K12" s="30"/>
      <c r="L12" s="29" t="s">
        <v>72</v>
      </c>
      <c r="M12" s="30"/>
      <c r="N12" s="29" t="s">
        <v>72</v>
      </c>
      <c r="O12" s="30"/>
      <c r="P12" s="29" t="s">
        <v>72</v>
      </c>
      <c r="Q12" s="30"/>
      <c r="R12" s="29" t="s">
        <v>72</v>
      </c>
    </row>
    <row r="13" spans="1:18" x14ac:dyDescent="0.25">
      <c r="A13" s="28">
        <v>1953</v>
      </c>
      <c r="B13" s="29">
        <v>0.28699999999999998</v>
      </c>
      <c r="C13" s="29">
        <v>1.776</v>
      </c>
      <c r="D13" s="29" t="s">
        <v>72</v>
      </c>
      <c r="E13" s="29" t="s">
        <v>72</v>
      </c>
      <c r="F13" s="29" t="s">
        <v>72</v>
      </c>
      <c r="G13" s="29" t="s">
        <v>72</v>
      </c>
      <c r="H13" s="30"/>
      <c r="I13" s="29" t="s">
        <v>72</v>
      </c>
      <c r="J13" s="29" t="s">
        <v>72</v>
      </c>
      <c r="K13" s="30"/>
      <c r="L13" s="29" t="s">
        <v>72</v>
      </c>
      <c r="M13" s="30"/>
      <c r="N13" s="29" t="s">
        <v>72</v>
      </c>
      <c r="O13" s="30"/>
      <c r="P13" s="29" t="s">
        <v>72</v>
      </c>
      <c r="Q13" s="30"/>
      <c r="R13" s="29" t="s">
        <v>72</v>
      </c>
    </row>
    <row r="14" spans="1:18" x14ac:dyDescent="0.25">
      <c r="A14" s="31">
        <v>1954</v>
      </c>
      <c r="B14" s="32">
        <v>0.28999999999999998</v>
      </c>
      <c r="C14" s="32">
        <v>1.778</v>
      </c>
      <c r="D14" s="32" t="s">
        <v>72</v>
      </c>
      <c r="E14" s="32" t="s">
        <v>72</v>
      </c>
      <c r="F14" s="32" t="s">
        <v>72</v>
      </c>
      <c r="G14" s="32" t="s">
        <v>72</v>
      </c>
      <c r="H14" s="33"/>
      <c r="I14" s="32" t="s">
        <v>72</v>
      </c>
      <c r="J14" s="32" t="s">
        <v>72</v>
      </c>
      <c r="K14" s="33"/>
      <c r="L14" s="32" t="s">
        <v>72</v>
      </c>
      <c r="M14" s="33"/>
      <c r="N14" s="32" t="s">
        <v>72</v>
      </c>
      <c r="O14" s="33"/>
      <c r="P14" s="32" t="s">
        <v>72</v>
      </c>
      <c r="Q14" s="33"/>
      <c r="R14" s="32" t="s">
        <v>72</v>
      </c>
    </row>
    <row r="15" spans="1:18" x14ac:dyDescent="0.25">
      <c r="A15" s="28">
        <v>1955</v>
      </c>
      <c r="B15" s="29">
        <v>0.29099999999999998</v>
      </c>
      <c r="C15" s="29">
        <v>1.754</v>
      </c>
      <c r="D15" s="29" t="s">
        <v>72</v>
      </c>
      <c r="E15" s="29" t="s">
        <v>72</v>
      </c>
      <c r="F15" s="29" t="s">
        <v>72</v>
      </c>
      <c r="G15" s="29" t="s">
        <v>72</v>
      </c>
      <c r="H15" s="30"/>
      <c r="I15" s="29" t="s">
        <v>72</v>
      </c>
      <c r="J15" s="29" t="s">
        <v>72</v>
      </c>
      <c r="K15" s="30"/>
      <c r="L15" s="29" t="s">
        <v>72</v>
      </c>
      <c r="M15" s="30"/>
      <c r="N15" s="29" t="s">
        <v>72</v>
      </c>
      <c r="O15" s="30"/>
      <c r="P15" s="29" t="s">
        <v>72</v>
      </c>
      <c r="Q15" s="30"/>
      <c r="R15" s="29" t="s">
        <v>72</v>
      </c>
    </row>
    <row r="16" spans="1:18" x14ac:dyDescent="0.25">
      <c r="A16" s="28">
        <v>1956</v>
      </c>
      <c r="B16" s="29">
        <v>0.29899999999999999</v>
      </c>
      <c r="C16" s="29">
        <v>1.7430000000000001</v>
      </c>
      <c r="D16" s="29" t="s">
        <v>72</v>
      </c>
      <c r="E16" s="29" t="s">
        <v>72</v>
      </c>
      <c r="F16" s="29" t="s">
        <v>72</v>
      </c>
      <c r="G16" s="29" t="s">
        <v>72</v>
      </c>
      <c r="H16" s="30"/>
      <c r="I16" s="29" t="s">
        <v>72</v>
      </c>
      <c r="J16" s="29" t="s">
        <v>72</v>
      </c>
      <c r="K16" s="30"/>
      <c r="L16" s="29" t="s">
        <v>72</v>
      </c>
      <c r="M16" s="30"/>
      <c r="N16" s="29" t="s">
        <v>72</v>
      </c>
      <c r="O16" s="30"/>
      <c r="P16" s="29" t="s">
        <v>72</v>
      </c>
      <c r="Q16" s="30"/>
      <c r="R16" s="29" t="s">
        <v>72</v>
      </c>
    </row>
    <row r="17" spans="1:18" x14ac:dyDescent="0.25">
      <c r="A17" s="31">
        <v>1957</v>
      </c>
      <c r="B17" s="32">
        <v>0.31</v>
      </c>
      <c r="C17" s="32">
        <v>1.7490000000000001</v>
      </c>
      <c r="D17" s="32" t="s">
        <v>72</v>
      </c>
      <c r="E17" s="32" t="s">
        <v>72</v>
      </c>
      <c r="F17" s="32" t="s">
        <v>72</v>
      </c>
      <c r="G17" s="32" t="s">
        <v>72</v>
      </c>
      <c r="H17" s="33"/>
      <c r="I17" s="32" t="s">
        <v>72</v>
      </c>
      <c r="J17" s="32" t="s">
        <v>72</v>
      </c>
      <c r="K17" s="33"/>
      <c r="L17" s="32" t="s">
        <v>72</v>
      </c>
      <c r="M17" s="33"/>
      <c r="N17" s="32" t="s">
        <v>72</v>
      </c>
      <c r="O17" s="33"/>
      <c r="P17" s="32" t="s">
        <v>72</v>
      </c>
      <c r="Q17" s="33"/>
      <c r="R17" s="32" t="s">
        <v>72</v>
      </c>
    </row>
    <row r="18" spans="1:18" x14ac:dyDescent="0.25">
      <c r="A18" s="28">
        <v>1958</v>
      </c>
      <c r="B18" s="29">
        <v>0.30399999999999999</v>
      </c>
      <c r="C18" s="29">
        <v>1.677</v>
      </c>
      <c r="D18" s="29" t="s">
        <v>72</v>
      </c>
      <c r="E18" s="29" t="s">
        <v>72</v>
      </c>
      <c r="F18" s="29" t="s">
        <v>72</v>
      </c>
      <c r="G18" s="29" t="s">
        <v>72</v>
      </c>
      <c r="H18" s="30"/>
      <c r="I18" s="29" t="s">
        <v>72</v>
      </c>
      <c r="J18" s="29" t="s">
        <v>72</v>
      </c>
      <c r="K18" s="30"/>
      <c r="L18" s="29" t="s">
        <v>72</v>
      </c>
      <c r="M18" s="30"/>
      <c r="N18" s="29" t="s">
        <v>72</v>
      </c>
      <c r="O18" s="30"/>
      <c r="P18" s="29" t="s">
        <v>72</v>
      </c>
      <c r="Q18" s="30"/>
      <c r="R18" s="29" t="s">
        <v>72</v>
      </c>
    </row>
    <row r="19" spans="1:18" x14ac:dyDescent="0.25">
      <c r="A19" s="28">
        <v>1959</v>
      </c>
      <c r="B19" s="29">
        <v>0.30499999999999999</v>
      </c>
      <c r="C19" s="29">
        <v>1.663</v>
      </c>
      <c r="D19" s="29" t="s">
        <v>72</v>
      </c>
      <c r="E19" s="29" t="s">
        <v>72</v>
      </c>
      <c r="F19" s="29" t="s">
        <v>72</v>
      </c>
      <c r="G19" s="29" t="s">
        <v>72</v>
      </c>
      <c r="H19" s="30"/>
      <c r="I19" s="29" t="s">
        <v>72</v>
      </c>
      <c r="J19" s="29" t="s">
        <v>72</v>
      </c>
      <c r="K19" s="30"/>
      <c r="L19" s="29" t="s">
        <v>72</v>
      </c>
      <c r="M19" s="30"/>
      <c r="N19" s="29" t="s">
        <v>72</v>
      </c>
      <c r="O19" s="30"/>
      <c r="P19" s="29" t="s">
        <v>72</v>
      </c>
      <c r="Q19" s="30"/>
      <c r="R19" s="29" t="s">
        <v>72</v>
      </c>
    </row>
    <row r="20" spans="1:18" x14ac:dyDescent="0.25">
      <c r="A20" s="31">
        <v>1960</v>
      </c>
      <c r="B20" s="32">
        <v>0.311</v>
      </c>
      <c r="C20" s="32">
        <v>1.6719999999999999</v>
      </c>
      <c r="D20" s="32" t="s">
        <v>72</v>
      </c>
      <c r="E20" s="32" t="s">
        <v>72</v>
      </c>
      <c r="F20" s="32" t="s">
        <v>72</v>
      </c>
      <c r="G20" s="32" t="s">
        <v>72</v>
      </c>
      <c r="H20" s="33"/>
      <c r="I20" s="32" t="s">
        <v>72</v>
      </c>
      <c r="J20" s="32" t="s">
        <v>72</v>
      </c>
      <c r="K20" s="33"/>
      <c r="L20" s="32" t="s">
        <v>72</v>
      </c>
      <c r="M20" s="33"/>
      <c r="N20" s="32" t="s">
        <v>72</v>
      </c>
      <c r="O20" s="33"/>
      <c r="P20" s="32" t="s">
        <v>72</v>
      </c>
      <c r="Q20" s="33"/>
      <c r="R20" s="32" t="s">
        <v>72</v>
      </c>
    </row>
    <row r="21" spans="1:18" x14ac:dyDescent="0.25">
      <c r="A21" s="28">
        <v>1961</v>
      </c>
      <c r="B21" s="29">
        <v>0.308</v>
      </c>
      <c r="C21" s="29">
        <v>1.6379999999999999</v>
      </c>
      <c r="D21" s="29" t="s">
        <v>72</v>
      </c>
      <c r="E21" s="29" t="s">
        <v>72</v>
      </c>
      <c r="F21" s="29" t="s">
        <v>72</v>
      </c>
      <c r="G21" s="29" t="s">
        <v>72</v>
      </c>
      <c r="H21" s="30"/>
      <c r="I21" s="29" t="s">
        <v>72</v>
      </c>
      <c r="J21" s="29" t="s">
        <v>72</v>
      </c>
      <c r="K21" s="30"/>
      <c r="L21" s="29" t="s">
        <v>72</v>
      </c>
      <c r="M21" s="30"/>
      <c r="N21" s="29" t="s">
        <v>72</v>
      </c>
      <c r="O21" s="30"/>
      <c r="P21" s="29" t="s">
        <v>72</v>
      </c>
      <c r="Q21" s="30"/>
      <c r="R21" s="29" t="s">
        <v>72</v>
      </c>
    </row>
    <row r="22" spans="1:18" x14ac:dyDescent="0.25">
      <c r="A22" s="28">
        <v>1962</v>
      </c>
      <c r="B22" s="29">
        <v>0.30599999999999999</v>
      </c>
      <c r="C22" s="29">
        <v>1.605</v>
      </c>
      <c r="D22" s="29" t="s">
        <v>72</v>
      </c>
      <c r="E22" s="29" t="s">
        <v>72</v>
      </c>
      <c r="F22" s="29" t="s">
        <v>72</v>
      </c>
      <c r="G22" s="29" t="s">
        <v>72</v>
      </c>
      <c r="H22" s="30"/>
      <c r="I22" s="29" t="s">
        <v>72</v>
      </c>
      <c r="J22" s="29" t="s">
        <v>72</v>
      </c>
      <c r="K22" s="30"/>
      <c r="L22" s="29" t="s">
        <v>72</v>
      </c>
      <c r="M22" s="30"/>
      <c r="N22" s="29" t="s">
        <v>72</v>
      </c>
      <c r="O22" s="30"/>
      <c r="P22" s="29" t="s">
        <v>72</v>
      </c>
      <c r="Q22" s="30"/>
      <c r="R22" s="29" t="s">
        <v>72</v>
      </c>
    </row>
    <row r="23" spans="1:18" x14ac:dyDescent="0.25">
      <c r="A23" s="31">
        <v>1963</v>
      </c>
      <c r="B23" s="32">
        <v>0.30399999999999999</v>
      </c>
      <c r="C23" s="32">
        <v>1.5780000000000001</v>
      </c>
      <c r="D23" s="32" t="s">
        <v>72</v>
      </c>
      <c r="E23" s="32" t="s">
        <v>72</v>
      </c>
      <c r="F23" s="32" t="s">
        <v>72</v>
      </c>
      <c r="G23" s="32" t="s">
        <v>72</v>
      </c>
      <c r="H23" s="33"/>
      <c r="I23" s="32" t="s">
        <v>72</v>
      </c>
      <c r="J23" s="32" t="s">
        <v>72</v>
      </c>
      <c r="K23" s="33"/>
      <c r="L23" s="32" t="s">
        <v>72</v>
      </c>
      <c r="M23" s="33"/>
      <c r="N23" s="32" t="s">
        <v>72</v>
      </c>
      <c r="O23" s="33"/>
      <c r="P23" s="32" t="s">
        <v>72</v>
      </c>
      <c r="Q23" s="33"/>
      <c r="R23" s="32" t="s">
        <v>72</v>
      </c>
    </row>
    <row r="24" spans="1:18" x14ac:dyDescent="0.25">
      <c r="A24" s="28">
        <v>1964</v>
      </c>
      <c r="B24" s="29">
        <v>0.30399999999999999</v>
      </c>
      <c r="C24" s="29">
        <v>1.554</v>
      </c>
      <c r="D24" s="29" t="s">
        <v>72</v>
      </c>
      <c r="E24" s="29" t="s">
        <v>72</v>
      </c>
      <c r="F24" s="29" t="s">
        <v>72</v>
      </c>
      <c r="G24" s="29" t="s">
        <v>72</v>
      </c>
      <c r="H24" s="30"/>
      <c r="I24" s="29" t="s">
        <v>72</v>
      </c>
      <c r="J24" s="29" t="s">
        <v>72</v>
      </c>
      <c r="K24" s="30"/>
      <c r="L24" s="29" t="s">
        <v>72</v>
      </c>
      <c r="M24" s="30"/>
      <c r="N24" s="29" t="s">
        <v>72</v>
      </c>
      <c r="O24" s="30"/>
      <c r="P24" s="29" t="s">
        <v>72</v>
      </c>
      <c r="Q24" s="30"/>
      <c r="R24" s="29" t="s">
        <v>72</v>
      </c>
    </row>
    <row r="25" spans="1:18" x14ac:dyDescent="0.25">
      <c r="A25" s="28">
        <v>1965</v>
      </c>
      <c r="B25" s="29">
        <v>0.312</v>
      </c>
      <c r="C25" s="29">
        <v>1.5660000000000001</v>
      </c>
      <c r="D25" s="29" t="s">
        <v>72</v>
      </c>
      <c r="E25" s="29" t="s">
        <v>72</v>
      </c>
      <c r="F25" s="29" t="s">
        <v>72</v>
      </c>
      <c r="G25" s="29" t="s">
        <v>72</v>
      </c>
      <c r="H25" s="30"/>
      <c r="I25" s="29" t="s">
        <v>72</v>
      </c>
      <c r="J25" s="29" t="s">
        <v>72</v>
      </c>
      <c r="K25" s="30"/>
      <c r="L25" s="29" t="s">
        <v>72</v>
      </c>
      <c r="M25" s="30"/>
      <c r="N25" s="29" t="s">
        <v>72</v>
      </c>
      <c r="O25" s="30"/>
      <c r="P25" s="29" t="s">
        <v>72</v>
      </c>
      <c r="Q25" s="30"/>
      <c r="R25" s="29" t="s">
        <v>72</v>
      </c>
    </row>
    <row r="26" spans="1:18" x14ac:dyDescent="0.25">
      <c r="A26" s="31">
        <v>1966</v>
      </c>
      <c r="B26" s="32">
        <v>0.32100000000000001</v>
      </c>
      <c r="C26" s="32">
        <v>1.5669999999999999</v>
      </c>
      <c r="D26" s="32" t="s">
        <v>72</v>
      </c>
      <c r="E26" s="32" t="s">
        <v>72</v>
      </c>
      <c r="F26" s="32" t="s">
        <v>72</v>
      </c>
      <c r="G26" s="32" t="s">
        <v>72</v>
      </c>
      <c r="H26" s="33"/>
      <c r="I26" s="32" t="s">
        <v>72</v>
      </c>
      <c r="J26" s="32" t="s">
        <v>72</v>
      </c>
      <c r="K26" s="33"/>
      <c r="L26" s="32" t="s">
        <v>72</v>
      </c>
      <c r="M26" s="33"/>
      <c r="N26" s="32" t="s">
        <v>72</v>
      </c>
      <c r="O26" s="33"/>
      <c r="P26" s="32" t="s">
        <v>72</v>
      </c>
      <c r="Q26" s="33"/>
      <c r="R26" s="32" t="s">
        <v>72</v>
      </c>
    </row>
    <row r="27" spans="1:18" x14ac:dyDescent="0.25">
      <c r="A27" s="28">
        <v>1967</v>
      </c>
      <c r="B27" s="29">
        <v>0.33200000000000002</v>
      </c>
      <c r="C27" s="29">
        <v>1.5720000000000001</v>
      </c>
      <c r="D27" s="29" t="s">
        <v>72</v>
      </c>
      <c r="E27" s="29" t="s">
        <v>72</v>
      </c>
      <c r="F27" s="29" t="s">
        <v>72</v>
      </c>
      <c r="G27" s="29" t="s">
        <v>72</v>
      </c>
      <c r="H27" s="30"/>
      <c r="I27" s="29" t="s">
        <v>72</v>
      </c>
      <c r="J27" s="29" t="s">
        <v>72</v>
      </c>
      <c r="K27" s="30"/>
      <c r="L27" s="29" t="s">
        <v>72</v>
      </c>
      <c r="M27" s="30"/>
      <c r="N27" s="29" t="s">
        <v>72</v>
      </c>
      <c r="O27" s="30"/>
      <c r="P27" s="29" t="s">
        <v>72</v>
      </c>
      <c r="Q27" s="30"/>
      <c r="R27" s="29" t="s">
        <v>72</v>
      </c>
    </row>
    <row r="28" spans="1:18" x14ac:dyDescent="0.25">
      <c r="A28" s="28">
        <v>1968</v>
      </c>
      <c r="B28" s="29">
        <v>0.33700000000000002</v>
      </c>
      <c r="C28" s="29">
        <v>1.5309999999999999</v>
      </c>
      <c r="D28" s="29" t="s">
        <v>72</v>
      </c>
      <c r="E28" s="29" t="s">
        <v>72</v>
      </c>
      <c r="F28" s="29" t="s">
        <v>72</v>
      </c>
      <c r="G28" s="29" t="s">
        <v>72</v>
      </c>
      <c r="H28" s="30"/>
      <c r="I28" s="29" t="s">
        <v>72</v>
      </c>
      <c r="J28" s="29" t="s">
        <v>72</v>
      </c>
      <c r="K28" s="30"/>
      <c r="L28" s="29" t="s">
        <v>72</v>
      </c>
      <c r="M28" s="30"/>
      <c r="N28" s="29" t="s">
        <v>72</v>
      </c>
      <c r="O28" s="30"/>
      <c r="P28" s="29" t="s">
        <v>72</v>
      </c>
      <c r="Q28" s="30"/>
      <c r="R28" s="29" t="s">
        <v>72</v>
      </c>
    </row>
    <row r="29" spans="1:18" x14ac:dyDescent="0.25">
      <c r="A29" s="31">
        <v>1969</v>
      </c>
      <c r="B29" s="32">
        <v>0.34799999999999998</v>
      </c>
      <c r="C29" s="32">
        <v>1.5069999999999999</v>
      </c>
      <c r="D29" s="32" t="s">
        <v>72</v>
      </c>
      <c r="E29" s="32" t="s">
        <v>72</v>
      </c>
      <c r="F29" s="32" t="s">
        <v>72</v>
      </c>
      <c r="G29" s="32" t="s">
        <v>72</v>
      </c>
      <c r="H29" s="33"/>
      <c r="I29" s="32" t="s">
        <v>72</v>
      </c>
      <c r="J29" s="32" t="s">
        <v>72</v>
      </c>
      <c r="K29" s="33"/>
      <c r="L29" s="32" t="s">
        <v>72</v>
      </c>
      <c r="M29" s="33"/>
      <c r="N29" s="32" t="s">
        <v>72</v>
      </c>
      <c r="O29" s="33"/>
      <c r="P29" s="32" t="s">
        <v>72</v>
      </c>
      <c r="Q29" s="33"/>
      <c r="R29" s="32" t="s">
        <v>72</v>
      </c>
    </row>
    <row r="30" spans="1:18" x14ac:dyDescent="0.25">
      <c r="A30" s="28">
        <v>1970</v>
      </c>
      <c r="B30" s="29">
        <v>0.35699999999999998</v>
      </c>
      <c r="C30" s="29">
        <v>1.468</v>
      </c>
      <c r="D30" s="29" t="s">
        <v>72</v>
      </c>
      <c r="E30" s="29" t="s">
        <v>72</v>
      </c>
      <c r="F30" s="29" t="s">
        <v>72</v>
      </c>
      <c r="G30" s="29" t="s">
        <v>236</v>
      </c>
      <c r="H30" s="30"/>
      <c r="I30" s="29" t="s">
        <v>72</v>
      </c>
      <c r="J30" s="29" t="s">
        <v>72</v>
      </c>
      <c r="K30" s="30"/>
      <c r="L30" s="29" t="s">
        <v>72</v>
      </c>
      <c r="M30" s="30"/>
      <c r="N30" s="29" t="s">
        <v>72</v>
      </c>
      <c r="O30" s="30"/>
      <c r="P30" s="29" t="s">
        <v>72</v>
      </c>
      <c r="Q30" s="30"/>
      <c r="R30" s="29" t="s">
        <v>72</v>
      </c>
    </row>
    <row r="31" spans="1:18" x14ac:dyDescent="0.25">
      <c r="A31" s="28">
        <v>1971</v>
      </c>
      <c r="B31" s="29">
        <v>0.36399999999999999</v>
      </c>
      <c r="C31" s="29">
        <v>1.4259999999999999</v>
      </c>
      <c r="D31" s="29" t="s">
        <v>72</v>
      </c>
      <c r="E31" s="29" t="s">
        <v>72</v>
      </c>
      <c r="F31" s="29" t="s">
        <v>72</v>
      </c>
      <c r="G31" s="29" t="s">
        <v>72</v>
      </c>
      <c r="H31" s="30"/>
      <c r="I31" s="29" t="s">
        <v>72</v>
      </c>
      <c r="J31" s="29" t="s">
        <v>72</v>
      </c>
      <c r="K31" s="30"/>
      <c r="L31" s="29" t="s">
        <v>72</v>
      </c>
      <c r="M31" s="30"/>
      <c r="N31" s="29" t="s">
        <v>72</v>
      </c>
      <c r="O31" s="30"/>
      <c r="P31" s="29" t="s">
        <v>72</v>
      </c>
      <c r="Q31" s="30"/>
      <c r="R31" s="29" t="s">
        <v>72</v>
      </c>
    </row>
    <row r="32" spans="1:18" x14ac:dyDescent="0.25">
      <c r="A32" s="31">
        <v>1972</v>
      </c>
      <c r="B32" s="32">
        <v>0.36099999999999999</v>
      </c>
      <c r="C32" s="32">
        <v>1.355</v>
      </c>
      <c r="D32" s="32" t="s">
        <v>72</v>
      </c>
      <c r="E32" s="32" t="s">
        <v>72</v>
      </c>
      <c r="F32" s="32" t="s">
        <v>72</v>
      </c>
      <c r="G32" s="32" t="s">
        <v>72</v>
      </c>
      <c r="H32" s="33"/>
      <c r="I32" s="32" t="s">
        <v>72</v>
      </c>
      <c r="J32" s="32" t="s">
        <v>72</v>
      </c>
      <c r="K32" s="33"/>
      <c r="L32" s="32" t="s">
        <v>72</v>
      </c>
      <c r="M32" s="33"/>
      <c r="N32" s="32" t="s">
        <v>72</v>
      </c>
      <c r="O32" s="33"/>
      <c r="P32" s="32" t="s">
        <v>72</v>
      </c>
      <c r="Q32" s="33"/>
      <c r="R32" s="32" t="s">
        <v>72</v>
      </c>
    </row>
    <row r="33" spans="1:18" x14ac:dyDescent="0.25">
      <c r="A33" s="28">
        <v>1973</v>
      </c>
      <c r="B33" s="29">
        <v>0.38800000000000001</v>
      </c>
      <c r="C33" s="29">
        <v>1.38</v>
      </c>
      <c r="D33" s="29" t="s">
        <v>72</v>
      </c>
      <c r="E33" s="29" t="s">
        <v>72</v>
      </c>
      <c r="F33" s="29" t="s">
        <v>72</v>
      </c>
      <c r="G33" s="29" t="s">
        <v>72</v>
      </c>
      <c r="H33" s="30"/>
      <c r="I33" s="29" t="s">
        <v>72</v>
      </c>
      <c r="J33" s="29" t="s">
        <v>72</v>
      </c>
      <c r="K33" s="30"/>
      <c r="L33" s="29" t="s">
        <v>72</v>
      </c>
      <c r="M33" s="30"/>
      <c r="N33" s="29" t="s">
        <v>72</v>
      </c>
      <c r="O33" s="30"/>
      <c r="P33" s="29" t="s">
        <v>72</v>
      </c>
      <c r="Q33" s="30"/>
      <c r="R33" s="29" t="s">
        <v>72</v>
      </c>
    </row>
    <row r="34" spans="1:18" x14ac:dyDescent="0.25">
      <c r="A34" s="28">
        <v>1974</v>
      </c>
      <c r="B34" s="29">
        <v>0.53200000000000003</v>
      </c>
      <c r="C34" s="29">
        <v>1.7350000000000001</v>
      </c>
      <c r="D34" s="29" t="s">
        <v>72</v>
      </c>
      <c r="E34" s="29" t="s">
        <v>72</v>
      </c>
      <c r="F34" s="29" t="s">
        <v>72</v>
      </c>
      <c r="G34" s="29" t="s">
        <v>72</v>
      </c>
      <c r="H34" s="30"/>
      <c r="I34" s="29" t="s">
        <v>72</v>
      </c>
      <c r="J34" s="29" t="s">
        <v>72</v>
      </c>
      <c r="K34" s="30"/>
      <c r="L34" s="29" t="s">
        <v>72</v>
      </c>
      <c r="M34" s="30"/>
      <c r="N34" s="29" t="s">
        <v>72</v>
      </c>
      <c r="O34" s="30"/>
      <c r="P34" s="29" t="s">
        <v>72</v>
      </c>
      <c r="Q34" s="30"/>
      <c r="R34" s="29" t="s">
        <v>72</v>
      </c>
    </row>
    <row r="35" spans="1:18" x14ac:dyDescent="0.25">
      <c r="A35" s="31">
        <v>1975</v>
      </c>
      <c r="B35" s="32">
        <v>0.56699999999999995</v>
      </c>
      <c r="C35" s="32">
        <v>1.6890000000000001</v>
      </c>
      <c r="D35" s="32" t="s">
        <v>72</v>
      </c>
      <c r="E35" s="32" t="s">
        <v>72</v>
      </c>
      <c r="F35" s="32" t="s">
        <v>72</v>
      </c>
      <c r="G35" s="32" t="s">
        <v>72</v>
      </c>
      <c r="H35" s="33"/>
      <c r="I35" s="32" t="s">
        <v>72</v>
      </c>
      <c r="J35" s="32" t="s">
        <v>72</v>
      </c>
      <c r="K35" s="33"/>
      <c r="L35" s="32" t="s">
        <v>72</v>
      </c>
      <c r="M35" s="33"/>
      <c r="N35" s="32" t="s">
        <v>72</v>
      </c>
      <c r="O35" s="33"/>
      <c r="P35" s="32" t="s">
        <v>72</v>
      </c>
      <c r="Q35" s="33"/>
      <c r="R35" s="32" t="s">
        <v>72</v>
      </c>
    </row>
    <row r="36" spans="1:18" x14ac:dyDescent="0.25">
      <c r="A36" s="28">
        <v>1976</v>
      </c>
      <c r="B36" s="29">
        <v>0.59</v>
      </c>
      <c r="C36" s="29">
        <v>1.6619999999999999</v>
      </c>
      <c r="D36" s="29">
        <v>0.61399999999999999</v>
      </c>
      <c r="E36" s="29">
        <v>1.73</v>
      </c>
      <c r="F36" s="29" t="s">
        <v>72</v>
      </c>
      <c r="G36" s="29" t="s">
        <v>72</v>
      </c>
      <c r="H36" s="30"/>
      <c r="I36" s="29" t="s">
        <v>72</v>
      </c>
      <c r="J36" s="29" t="s">
        <v>72</v>
      </c>
      <c r="K36" s="30"/>
      <c r="L36" s="29" t="s">
        <v>72</v>
      </c>
      <c r="M36" s="30"/>
      <c r="N36" s="29" t="s">
        <v>72</v>
      </c>
      <c r="O36" s="30"/>
      <c r="P36" s="29" t="s">
        <v>72</v>
      </c>
      <c r="Q36" s="30"/>
      <c r="R36" s="29" t="s">
        <v>72</v>
      </c>
    </row>
    <row r="37" spans="1:18" x14ac:dyDescent="0.25">
      <c r="A37" s="28">
        <v>1977</v>
      </c>
      <c r="B37" s="29">
        <v>0.622</v>
      </c>
      <c r="C37" s="29">
        <v>1.6479999999999999</v>
      </c>
      <c r="D37" s="29">
        <v>0.65600000000000003</v>
      </c>
      <c r="E37" s="29">
        <v>1.738</v>
      </c>
      <c r="F37" s="29" t="s">
        <v>72</v>
      </c>
      <c r="G37" s="29" t="s">
        <v>72</v>
      </c>
      <c r="H37" s="30"/>
      <c r="I37" s="29" t="s">
        <v>72</v>
      </c>
      <c r="J37" s="29" t="s">
        <v>72</v>
      </c>
      <c r="K37" s="30"/>
      <c r="L37" s="29" t="s">
        <v>72</v>
      </c>
      <c r="M37" s="30"/>
      <c r="N37" s="29" t="s">
        <v>72</v>
      </c>
      <c r="O37" s="30"/>
      <c r="P37" s="29" t="s">
        <v>72</v>
      </c>
      <c r="Q37" s="30"/>
      <c r="R37" s="29" t="s">
        <v>72</v>
      </c>
    </row>
    <row r="38" spans="1:18" x14ac:dyDescent="0.25">
      <c r="A38" s="31">
        <v>1978</v>
      </c>
      <c r="B38" s="32">
        <v>0.626</v>
      </c>
      <c r="C38" s="32">
        <v>1.55</v>
      </c>
      <c r="D38" s="32">
        <v>0.67</v>
      </c>
      <c r="E38" s="32">
        <v>1.6579999999999999</v>
      </c>
      <c r="F38" s="32" t="s">
        <v>72</v>
      </c>
      <c r="G38" s="32" t="s">
        <v>72</v>
      </c>
      <c r="H38" s="33"/>
      <c r="I38" s="32">
        <v>0.65200000000000002</v>
      </c>
      <c r="J38" s="32">
        <v>1.6140000000000001</v>
      </c>
      <c r="K38" s="33"/>
      <c r="L38" s="32" t="s">
        <v>72</v>
      </c>
      <c r="M38" s="33"/>
      <c r="N38" s="32" t="s">
        <v>72</v>
      </c>
      <c r="O38" s="33"/>
      <c r="P38" s="32" t="s">
        <v>72</v>
      </c>
      <c r="Q38" s="33"/>
      <c r="R38" s="32" t="s">
        <v>72</v>
      </c>
    </row>
    <row r="39" spans="1:18" x14ac:dyDescent="0.25">
      <c r="A39" s="28">
        <v>1979</v>
      </c>
      <c r="B39" s="29">
        <v>0.85699999999999998</v>
      </c>
      <c r="C39" s="29">
        <v>1.958</v>
      </c>
      <c r="D39" s="29">
        <v>0.90300000000000002</v>
      </c>
      <c r="E39" s="29">
        <v>2.0630000000000002</v>
      </c>
      <c r="F39" s="29" t="s">
        <v>72</v>
      </c>
      <c r="G39" s="29" t="s">
        <v>72</v>
      </c>
      <c r="H39" s="30"/>
      <c r="I39" s="29">
        <v>0.88200000000000001</v>
      </c>
      <c r="J39" s="29">
        <v>2.0150000000000001</v>
      </c>
      <c r="K39" s="30"/>
      <c r="L39" s="29" t="s">
        <v>72</v>
      </c>
      <c r="M39" s="30"/>
      <c r="N39" s="29" t="s">
        <v>72</v>
      </c>
      <c r="O39" s="30"/>
      <c r="P39" s="29" t="s">
        <v>72</v>
      </c>
      <c r="Q39" s="30"/>
      <c r="R39" s="29" t="s">
        <v>72</v>
      </c>
    </row>
    <row r="40" spans="1:18" x14ac:dyDescent="0.25">
      <c r="A40" s="28">
        <v>1980</v>
      </c>
      <c r="B40" s="29">
        <v>1.1910000000000001</v>
      </c>
      <c r="C40" s="29">
        <v>2.4940000000000002</v>
      </c>
      <c r="D40" s="29">
        <v>1.2450000000000001</v>
      </c>
      <c r="E40" s="29">
        <v>2.6070000000000002</v>
      </c>
      <c r="F40" s="29" t="s">
        <v>72</v>
      </c>
      <c r="G40" s="29" t="s">
        <v>72</v>
      </c>
      <c r="H40" s="30"/>
      <c r="I40" s="29">
        <v>1.2210000000000001</v>
      </c>
      <c r="J40" s="29">
        <v>2.5569999999999999</v>
      </c>
      <c r="K40" s="30"/>
      <c r="L40" s="29" t="s">
        <v>72</v>
      </c>
      <c r="M40" s="30"/>
      <c r="N40" s="29" t="s">
        <v>72</v>
      </c>
      <c r="O40" s="30"/>
      <c r="P40" s="29" t="s">
        <v>72</v>
      </c>
      <c r="Q40" s="30"/>
      <c r="R40" s="29" t="s">
        <v>72</v>
      </c>
    </row>
    <row r="41" spans="1:18" x14ac:dyDescent="0.25">
      <c r="A41" s="31">
        <v>1981</v>
      </c>
      <c r="B41" s="32">
        <v>1.3109999999999999</v>
      </c>
      <c r="C41" s="32">
        <v>2.5099999999999998</v>
      </c>
      <c r="D41" s="32">
        <v>1.3779999999999999</v>
      </c>
      <c r="E41" s="32">
        <v>2.6389999999999998</v>
      </c>
      <c r="F41" s="32">
        <v>1.47</v>
      </c>
      <c r="G41" s="32">
        <v>2.8149999999999999</v>
      </c>
      <c r="H41" s="33"/>
      <c r="I41" s="32">
        <v>1.353</v>
      </c>
      <c r="J41" s="32">
        <v>2.5910000000000002</v>
      </c>
      <c r="K41" s="33"/>
      <c r="L41" s="32" t="s">
        <v>72</v>
      </c>
      <c r="M41" s="33"/>
      <c r="N41" s="32" t="s">
        <v>72</v>
      </c>
      <c r="O41" s="33"/>
      <c r="P41" s="32" t="s">
        <v>72</v>
      </c>
      <c r="Q41" s="33"/>
      <c r="R41" s="32" t="s">
        <v>72</v>
      </c>
    </row>
    <row r="42" spans="1:18" x14ac:dyDescent="0.25">
      <c r="A42" s="28">
        <v>1982</v>
      </c>
      <c r="B42" s="29">
        <v>1.222</v>
      </c>
      <c r="C42" s="29">
        <v>2.2050000000000001</v>
      </c>
      <c r="D42" s="29">
        <v>1.296</v>
      </c>
      <c r="E42" s="29">
        <v>2.339</v>
      </c>
      <c r="F42" s="29">
        <v>1.415</v>
      </c>
      <c r="G42" s="29">
        <v>2.5539999999999998</v>
      </c>
      <c r="H42" s="30"/>
      <c r="I42" s="29">
        <v>1.2809999999999999</v>
      </c>
      <c r="J42" s="29">
        <v>2.3119999999999998</v>
      </c>
      <c r="K42" s="30"/>
      <c r="L42" s="29" t="s">
        <v>72</v>
      </c>
      <c r="M42" s="30"/>
      <c r="N42" s="29" t="s">
        <v>72</v>
      </c>
      <c r="O42" s="30"/>
      <c r="P42" s="29" t="s">
        <v>72</v>
      </c>
      <c r="Q42" s="30"/>
      <c r="R42" s="29" t="s">
        <v>72</v>
      </c>
    </row>
    <row r="43" spans="1:18" x14ac:dyDescent="0.25">
      <c r="A43" s="28">
        <v>1983</v>
      </c>
      <c r="B43" s="29">
        <v>1.157</v>
      </c>
      <c r="C43" s="29">
        <v>2.0089999999999999</v>
      </c>
      <c r="D43" s="29">
        <v>1.2410000000000001</v>
      </c>
      <c r="E43" s="29">
        <v>2.1539999999999999</v>
      </c>
      <c r="F43" s="29">
        <v>1.383</v>
      </c>
      <c r="G43" s="29">
        <v>2.4009999999999998</v>
      </c>
      <c r="H43" s="30"/>
      <c r="I43" s="29">
        <v>1.2250000000000001</v>
      </c>
      <c r="J43" s="29">
        <v>2.1269999999999998</v>
      </c>
      <c r="K43" s="30"/>
      <c r="L43" s="29" t="s">
        <v>72</v>
      </c>
      <c r="M43" s="30"/>
      <c r="N43" s="29" t="s">
        <v>72</v>
      </c>
      <c r="O43" s="30"/>
      <c r="P43" s="29" t="s">
        <v>72</v>
      </c>
      <c r="Q43" s="30"/>
      <c r="R43" s="29" t="s">
        <v>72</v>
      </c>
    </row>
    <row r="44" spans="1:18" x14ac:dyDescent="0.25">
      <c r="A44" s="31">
        <v>1984</v>
      </c>
      <c r="B44" s="32">
        <v>1.129</v>
      </c>
      <c r="C44" s="32">
        <v>1.889</v>
      </c>
      <c r="D44" s="32">
        <v>1.212</v>
      </c>
      <c r="E44" s="32">
        <v>2.028</v>
      </c>
      <c r="F44" s="32">
        <v>1.3660000000000001</v>
      </c>
      <c r="G44" s="32">
        <v>2.286</v>
      </c>
      <c r="H44" s="33"/>
      <c r="I44" s="32">
        <v>1.198</v>
      </c>
      <c r="J44" s="32">
        <v>2.004</v>
      </c>
      <c r="K44" s="33"/>
      <c r="L44" s="32" t="s">
        <v>72</v>
      </c>
      <c r="M44" s="33"/>
      <c r="N44" s="32" t="s">
        <v>72</v>
      </c>
      <c r="O44" s="33"/>
      <c r="P44" s="32" t="s">
        <v>72</v>
      </c>
      <c r="Q44" s="33"/>
      <c r="R44" s="32" t="s">
        <v>72</v>
      </c>
    </row>
    <row r="45" spans="1:18" x14ac:dyDescent="0.25">
      <c r="A45" s="28">
        <v>1985</v>
      </c>
      <c r="B45" s="29">
        <v>1.115</v>
      </c>
      <c r="C45" s="29">
        <v>1.8109999999999999</v>
      </c>
      <c r="D45" s="29">
        <v>1.202</v>
      </c>
      <c r="E45" s="29">
        <v>1.952</v>
      </c>
      <c r="F45" s="29">
        <v>1.34</v>
      </c>
      <c r="G45" s="29">
        <v>2.1760000000000002</v>
      </c>
      <c r="H45" s="30"/>
      <c r="I45" s="29">
        <v>1.196</v>
      </c>
      <c r="J45" s="29">
        <v>1.9419999999999999</v>
      </c>
      <c r="K45" s="30"/>
      <c r="L45" s="29" t="s">
        <v>72</v>
      </c>
      <c r="M45" s="30"/>
      <c r="N45" s="29" t="s">
        <v>72</v>
      </c>
      <c r="O45" s="30"/>
      <c r="P45" s="29" t="s">
        <v>72</v>
      </c>
      <c r="Q45" s="30"/>
      <c r="R45" s="29" t="s">
        <v>72</v>
      </c>
    </row>
    <row r="46" spans="1:18" x14ac:dyDescent="0.25">
      <c r="A46" s="28">
        <v>1986</v>
      </c>
      <c r="B46" s="29">
        <v>0.85699999999999998</v>
      </c>
      <c r="C46" s="29">
        <v>1.3620000000000001</v>
      </c>
      <c r="D46" s="29">
        <v>0.92700000000000005</v>
      </c>
      <c r="E46" s="29">
        <v>1.4730000000000001</v>
      </c>
      <c r="F46" s="29">
        <v>1.085</v>
      </c>
      <c r="G46" s="29">
        <v>1.724</v>
      </c>
      <c r="H46" s="30"/>
      <c r="I46" s="29">
        <v>0.93100000000000005</v>
      </c>
      <c r="J46" s="29">
        <v>1.4790000000000001</v>
      </c>
      <c r="K46" s="30"/>
      <c r="L46" s="29" t="s">
        <v>72</v>
      </c>
      <c r="M46" s="30"/>
      <c r="N46" s="29" t="s">
        <v>72</v>
      </c>
      <c r="O46" s="30"/>
      <c r="P46" s="29" t="s">
        <v>72</v>
      </c>
      <c r="Q46" s="30"/>
      <c r="R46" s="29" t="s">
        <v>72</v>
      </c>
    </row>
    <row r="47" spans="1:18" x14ac:dyDescent="0.25">
      <c r="A47" s="31">
        <v>1987</v>
      </c>
      <c r="B47" s="32">
        <v>0.89700000000000002</v>
      </c>
      <c r="C47" s="32">
        <v>1.385</v>
      </c>
      <c r="D47" s="32">
        <v>0.94799999999999995</v>
      </c>
      <c r="E47" s="32">
        <v>1.464</v>
      </c>
      <c r="F47" s="32">
        <v>1.093</v>
      </c>
      <c r="G47" s="32">
        <v>1.6879999999999999</v>
      </c>
      <c r="H47" s="33"/>
      <c r="I47" s="32">
        <v>0.95699999999999996</v>
      </c>
      <c r="J47" s="32">
        <v>1.478</v>
      </c>
      <c r="K47" s="33"/>
      <c r="L47" s="32" t="s">
        <v>72</v>
      </c>
      <c r="M47" s="33"/>
      <c r="N47" s="32" t="s">
        <v>72</v>
      </c>
      <c r="O47" s="33"/>
      <c r="P47" s="32" t="s">
        <v>72</v>
      </c>
      <c r="Q47" s="33"/>
      <c r="R47" s="32" t="s">
        <v>72</v>
      </c>
    </row>
    <row r="48" spans="1:18" x14ac:dyDescent="0.25">
      <c r="A48" s="28">
        <v>1988</v>
      </c>
      <c r="B48" s="29">
        <v>0.89900000000000002</v>
      </c>
      <c r="C48" s="29">
        <v>1.3420000000000001</v>
      </c>
      <c r="D48" s="29">
        <v>0.94599999999999995</v>
      </c>
      <c r="E48" s="29">
        <v>1.4119999999999999</v>
      </c>
      <c r="F48" s="29">
        <v>1.107</v>
      </c>
      <c r="G48" s="29">
        <v>1.653</v>
      </c>
      <c r="H48" s="30"/>
      <c r="I48" s="29">
        <v>0.96299999999999997</v>
      </c>
      <c r="J48" s="29">
        <v>1.4379999999999999</v>
      </c>
      <c r="K48" s="30"/>
      <c r="L48" s="29" t="s">
        <v>72</v>
      </c>
      <c r="M48" s="30"/>
      <c r="N48" s="29" t="s">
        <v>72</v>
      </c>
      <c r="O48" s="30"/>
      <c r="P48" s="29" t="s">
        <v>72</v>
      </c>
      <c r="Q48" s="30"/>
      <c r="R48" s="29" t="s">
        <v>72</v>
      </c>
    </row>
    <row r="49" spans="1:23" x14ac:dyDescent="0.25">
      <c r="A49" s="28">
        <v>1989</v>
      </c>
      <c r="B49" s="29">
        <v>0.998</v>
      </c>
      <c r="C49" s="29">
        <v>1.4359999999999999</v>
      </c>
      <c r="D49" s="29">
        <v>1.0209999999999999</v>
      </c>
      <c r="E49" s="29">
        <v>1.4690000000000001</v>
      </c>
      <c r="F49" s="29">
        <v>1.1970000000000001</v>
      </c>
      <c r="G49" s="29">
        <v>1.722</v>
      </c>
      <c r="H49" s="30"/>
      <c r="I49" s="29">
        <v>1.06</v>
      </c>
      <c r="J49" s="29">
        <v>1.5249999999999999</v>
      </c>
      <c r="K49" s="30"/>
      <c r="L49" s="29" t="s">
        <v>72</v>
      </c>
      <c r="M49" s="30"/>
      <c r="N49" s="29" t="s">
        <v>72</v>
      </c>
      <c r="O49" s="30"/>
      <c r="P49" s="29" t="s">
        <v>72</v>
      </c>
      <c r="Q49" s="30"/>
      <c r="R49" s="29" t="s">
        <v>72</v>
      </c>
    </row>
    <row r="50" spans="1:23" x14ac:dyDescent="0.25">
      <c r="A50" s="31">
        <v>1990</v>
      </c>
      <c r="B50" s="32">
        <v>1.149</v>
      </c>
      <c r="C50" s="32">
        <v>1.591</v>
      </c>
      <c r="D50" s="32">
        <v>1.1639999999999999</v>
      </c>
      <c r="E50" s="32">
        <v>1.6120000000000001</v>
      </c>
      <c r="F50" s="32">
        <v>1.349</v>
      </c>
      <c r="G50" s="32">
        <v>1.8680000000000001</v>
      </c>
      <c r="H50" s="33"/>
      <c r="I50" s="32">
        <v>1.2170000000000001</v>
      </c>
      <c r="J50" s="32">
        <v>1.6859999999999999</v>
      </c>
      <c r="K50" s="33"/>
      <c r="L50" s="32" t="s">
        <v>72</v>
      </c>
      <c r="M50" s="33"/>
      <c r="N50" s="32" t="s">
        <v>72</v>
      </c>
      <c r="O50" s="33"/>
      <c r="P50" s="32" t="s">
        <v>72</v>
      </c>
      <c r="Q50" s="33"/>
      <c r="R50" s="32" t="s">
        <v>72</v>
      </c>
    </row>
    <row r="51" spans="1:23" x14ac:dyDescent="0.25">
      <c r="A51" s="28">
        <v>1991</v>
      </c>
      <c r="B51" s="29" t="s">
        <v>72</v>
      </c>
      <c r="C51" s="29" t="s">
        <v>72</v>
      </c>
      <c r="D51" s="29">
        <v>1.1399999999999999</v>
      </c>
      <c r="E51" s="29">
        <v>1.5249999999999999</v>
      </c>
      <c r="F51" s="29">
        <v>1.321</v>
      </c>
      <c r="G51" s="29">
        <v>1.7669999999999999</v>
      </c>
      <c r="H51" s="30"/>
      <c r="I51" s="29">
        <v>1.196</v>
      </c>
      <c r="J51" s="29">
        <v>1.6</v>
      </c>
      <c r="K51" s="30"/>
      <c r="L51" s="29">
        <v>1.0980000000000001</v>
      </c>
      <c r="M51" s="30"/>
      <c r="N51" s="29" t="s">
        <v>72</v>
      </c>
      <c r="O51" s="30"/>
      <c r="P51" s="29">
        <v>1.0980000000000001</v>
      </c>
      <c r="Q51" s="30"/>
      <c r="R51" s="29" t="s">
        <v>72</v>
      </c>
    </row>
    <row r="52" spans="1:23" x14ac:dyDescent="0.25">
      <c r="A52" s="28">
        <v>1992</v>
      </c>
      <c r="B52" s="29" t="s">
        <v>72</v>
      </c>
      <c r="C52" s="29" t="s">
        <v>72</v>
      </c>
      <c r="D52" s="29">
        <v>1.127</v>
      </c>
      <c r="E52" s="29">
        <v>1.4730000000000001</v>
      </c>
      <c r="F52" s="29">
        <v>1.3160000000000001</v>
      </c>
      <c r="G52" s="29">
        <v>1.72</v>
      </c>
      <c r="H52" s="30"/>
      <c r="I52" s="29">
        <v>1.19</v>
      </c>
      <c r="J52" s="29">
        <v>1.5549999999999999</v>
      </c>
      <c r="K52" s="30"/>
      <c r="L52" s="29">
        <v>1.087</v>
      </c>
      <c r="M52" s="30"/>
      <c r="N52" s="29" t="s">
        <v>72</v>
      </c>
      <c r="O52" s="30"/>
      <c r="P52" s="29">
        <v>1.087</v>
      </c>
      <c r="Q52" s="30"/>
      <c r="R52" s="29" t="s">
        <v>72</v>
      </c>
    </row>
    <row r="53" spans="1:23" x14ac:dyDescent="0.25">
      <c r="A53" s="31">
        <v>1993</v>
      </c>
      <c r="B53" s="32" t="s">
        <v>72</v>
      </c>
      <c r="C53" s="32" t="s">
        <v>72</v>
      </c>
      <c r="D53" s="32">
        <v>1.1080000000000001</v>
      </c>
      <c r="E53" s="32">
        <v>1.4159999999999999</v>
      </c>
      <c r="F53" s="32">
        <v>1.302</v>
      </c>
      <c r="G53" s="32">
        <v>1.6639999999999999</v>
      </c>
      <c r="H53" s="33"/>
      <c r="I53" s="32">
        <v>1.173</v>
      </c>
      <c r="J53" s="32">
        <v>1.5</v>
      </c>
      <c r="K53" s="33"/>
      <c r="L53" s="32">
        <v>1.0669999999999999</v>
      </c>
      <c r="M53" s="34" t="s">
        <v>116</v>
      </c>
      <c r="N53" s="32" t="s">
        <v>72</v>
      </c>
      <c r="O53" s="33"/>
      <c r="P53" s="32">
        <v>1.0669999999999999</v>
      </c>
      <c r="Q53" s="33"/>
      <c r="R53" s="32" t="s">
        <v>72</v>
      </c>
    </row>
    <row r="54" spans="1:23" x14ac:dyDescent="0.25">
      <c r="A54" s="28">
        <v>1994</v>
      </c>
      <c r="B54" s="29" t="s">
        <v>72</v>
      </c>
      <c r="C54" s="29" t="s">
        <v>72</v>
      </c>
      <c r="D54" s="29">
        <v>1.1120000000000001</v>
      </c>
      <c r="E54" s="29">
        <v>1.3919999999999999</v>
      </c>
      <c r="F54" s="29">
        <v>1.3049999999999999</v>
      </c>
      <c r="G54" s="29">
        <v>1.6339999999999999</v>
      </c>
      <c r="H54" s="30"/>
      <c r="I54" s="29">
        <v>1.1739999999999999</v>
      </c>
      <c r="J54" s="29">
        <v>1.47</v>
      </c>
      <c r="K54" s="30"/>
      <c r="L54" s="29">
        <v>1.0720000000000001</v>
      </c>
      <c r="M54" s="35" t="s">
        <v>116</v>
      </c>
      <c r="N54" s="29" t="s">
        <v>72</v>
      </c>
      <c r="O54" s="30"/>
      <c r="P54" s="29">
        <v>1.075</v>
      </c>
      <c r="Q54" s="30"/>
      <c r="R54" s="29" t="s">
        <v>72</v>
      </c>
    </row>
    <row r="55" spans="1:23" x14ac:dyDescent="0.25">
      <c r="A55" s="28">
        <v>1995</v>
      </c>
      <c r="B55" s="29" t="s">
        <v>72</v>
      </c>
      <c r="C55" s="29" t="s">
        <v>72</v>
      </c>
      <c r="D55" s="29">
        <v>1.147</v>
      </c>
      <c r="E55" s="29">
        <v>1.407</v>
      </c>
      <c r="F55" s="29">
        <v>1.3360000000000001</v>
      </c>
      <c r="G55" s="29">
        <v>1.639</v>
      </c>
      <c r="H55" s="30"/>
      <c r="I55" s="29">
        <v>1.2050000000000001</v>
      </c>
      <c r="J55" s="29">
        <v>1.478</v>
      </c>
      <c r="K55" s="30"/>
      <c r="L55" s="29">
        <v>1.103</v>
      </c>
      <c r="M55" s="35" t="s">
        <v>116</v>
      </c>
      <c r="N55" s="29">
        <v>1.163</v>
      </c>
      <c r="O55" s="35" t="s">
        <v>117</v>
      </c>
      <c r="P55" s="29">
        <v>1.111</v>
      </c>
      <c r="Q55" s="30"/>
      <c r="R55" s="29">
        <v>1.109</v>
      </c>
    </row>
    <row r="56" spans="1:23" x14ac:dyDescent="0.25">
      <c r="A56" s="31">
        <v>1996</v>
      </c>
      <c r="B56" s="32" t="s">
        <v>72</v>
      </c>
      <c r="C56" s="32" t="s">
        <v>72</v>
      </c>
      <c r="D56" s="32">
        <v>1.2310000000000001</v>
      </c>
      <c r="E56" s="32">
        <v>1.482</v>
      </c>
      <c r="F56" s="32">
        <v>1.413</v>
      </c>
      <c r="G56" s="32">
        <v>1.7010000000000001</v>
      </c>
      <c r="H56" s="33"/>
      <c r="I56" s="32">
        <v>1.288</v>
      </c>
      <c r="J56" s="32">
        <v>1.55</v>
      </c>
      <c r="K56" s="33"/>
      <c r="L56" s="32">
        <v>1.1919999999999999</v>
      </c>
      <c r="M56" s="34" t="s">
        <v>116</v>
      </c>
      <c r="N56" s="32">
        <v>1.242</v>
      </c>
      <c r="O56" s="34" t="s">
        <v>118</v>
      </c>
      <c r="P56" s="32">
        <v>1.1990000000000001</v>
      </c>
      <c r="Q56" s="34" t="s">
        <v>30</v>
      </c>
      <c r="R56" s="32">
        <v>1.2350000000000001</v>
      </c>
    </row>
    <row r="57" spans="1:23" x14ac:dyDescent="0.25">
      <c r="A57" s="28">
        <v>1997</v>
      </c>
      <c r="B57" s="29" t="s">
        <v>72</v>
      </c>
      <c r="C57" s="29" t="s">
        <v>72</v>
      </c>
      <c r="D57" s="29">
        <v>1.234</v>
      </c>
      <c r="E57" s="29">
        <v>1.4590000000000001</v>
      </c>
      <c r="F57" s="29">
        <v>1.4159999999999999</v>
      </c>
      <c r="G57" s="29">
        <v>1.675</v>
      </c>
      <c r="H57" s="30"/>
      <c r="I57" s="29">
        <v>1.2909999999999999</v>
      </c>
      <c r="J57" s="29">
        <v>1.5269999999999999</v>
      </c>
      <c r="K57" s="30"/>
      <c r="L57" s="29">
        <v>1.1890000000000001</v>
      </c>
      <c r="M57" s="35" t="s">
        <v>116</v>
      </c>
      <c r="N57" s="29">
        <v>1.252</v>
      </c>
      <c r="O57" s="35" t="s">
        <v>117</v>
      </c>
      <c r="P57" s="29">
        <v>1.1990000000000001</v>
      </c>
      <c r="Q57" s="30"/>
      <c r="R57" s="29">
        <v>1.198</v>
      </c>
    </row>
    <row r="58" spans="1:23" x14ac:dyDescent="0.25">
      <c r="A58" s="28">
        <v>1998</v>
      </c>
      <c r="B58" s="29" t="s">
        <v>72</v>
      </c>
      <c r="C58" s="29" t="s">
        <v>72</v>
      </c>
      <c r="D58" s="29">
        <v>1.0589999999999999</v>
      </c>
      <c r="E58" s="29">
        <v>1.238</v>
      </c>
      <c r="F58" s="29">
        <v>1.25</v>
      </c>
      <c r="G58" s="29">
        <v>1.462</v>
      </c>
      <c r="H58" s="30"/>
      <c r="I58" s="29">
        <v>1.115</v>
      </c>
      <c r="J58" s="29">
        <v>1.304</v>
      </c>
      <c r="K58" s="30"/>
      <c r="L58" s="29">
        <v>1.0169999999999999</v>
      </c>
      <c r="M58" s="35" t="s">
        <v>116</v>
      </c>
      <c r="N58" s="29">
        <v>1.0780000000000001</v>
      </c>
      <c r="O58" s="35" t="s">
        <v>117</v>
      </c>
      <c r="P58" s="29">
        <v>1.03</v>
      </c>
      <c r="Q58" s="30"/>
      <c r="R58" s="29">
        <v>1.044</v>
      </c>
      <c r="T58" s="22" t="s">
        <v>97</v>
      </c>
      <c r="W58" s="148" t="s">
        <v>325</v>
      </c>
    </row>
    <row r="59" spans="1:23" x14ac:dyDescent="0.25">
      <c r="A59" s="31">
        <v>1999</v>
      </c>
      <c r="B59" s="32" t="s">
        <v>72</v>
      </c>
      <c r="C59" s="32" t="s">
        <v>72</v>
      </c>
      <c r="D59" s="32">
        <v>1.165</v>
      </c>
      <c r="E59" s="32">
        <v>1.343</v>
      </c>
      <c r="F59" s="32">
        <v>1.357</v>
      </c>
      <c r="G59" s="32">
        <v>1.5640000000000001</v>
      </c>
      <c r="H59" s="33"/>
      <c r="I59" s="32">
        <v>1.2210000000000001</v>
      </c>
      <c r="J59" s="32">
        <v>1.407</v>
      </c>
      <c r="K59" s="33"/>
      <c r="L59" s="32">
        <v>1.1160000000000001</v>
      </c>
      <c r="M59" s="34" t="s">
        <v>116</v>
      </c>
      <c r="N59" s="32">
        <v>1.1950000000000001</v>
      </c>
      <c r="O59" s="34" t="s">
        <v>117</v>
      </c>
      <c r="P59" s="32">
        <v>1.1359999999999999</v>
      </c>
      <c r="Q59" s="33"/>
      <c r="R59" s="32">
        <v>1.121</v>
      </c>
      <c r="T59" s="22" t="s">
        <v>92</v>
      </c>
      <c r="U59" s="22" t="s">
        <v>93</v>
      </c>
    </row>
    <row r="60" spans="1:23" x14ac:dyDescent="0.25">
      <c r="A60" s="28">
        <v>2000</v>
      </c>
      <c r="B60" s="29" t="s">
        <v>72</v>
      </c>
      <c r="C60" s="29" t="s">
        <v>72</v>
      </c>
      <c r="D60" s="29">
        <v>1.51</v>
      </c>
      <c r="E60" s="29">
        <v>1.7030000000000001</v>
      </c>
      <c r="F60" s="29">
        <v>1.6930000000000001</v>
      </c>
      <c r="G60" s="29">
        <v>1.91</v>
      </c>
      <c r="H60" s="30"/>
      <c r="I60" s="29">
        <v>1.5629999999999999</v>
      </c>
      <c r="J60" s="29">
        <v>1.7629999999999999</v>
      </c>
      <c r="K60" s="30"/>
      <c r="L60" s="29">
        <v>1.462</v>
      </c>
      <c r="M60" s="35" t="s">
        <v>116</v>
      </c>
      <c r="N60" s="29">
        <v>1.5429999999999999</v>
      </c>
      <c r="O60" s="35" t="s">
        <v>117</v>
      </c>
      <c r="P60" s="29">
        <v>1.484</v>
      </c>
      <c r="Q60" s="30"/>
      <c r="R60" s="29">
        <v>1.4910000000000001</v>
      </c>
      <c r="T60" s="22">
        <f>I60/5.23*42</f>
        <v>12.551816443594646</v>
      </c>
      <c r="U60" s="22">
        <f>R60/5.825*42</f>
        <v>10.750557939914163</v>
      </c>
      <c r="V60" s="22">
        <v>2000</v>
      </c>
    </row>
    <row r="61" spans="1:23" x14ac:dyDescent="0.25">
      <c r="A61" s="28">
        <v>2001</v>
      </c>
      <c r="B61" s="29" t="s">
        <v>72</v>
      </c>
      <c r="C61" s="29" t="s">
        <v>72</v>
      </c>
      <c r="D61" s="29">
        <v>1.4610000000000001</v>
      </c>
      <c r="E61" s="29">
        <v>1.6120000000000001</v>
      </c>
      <c r="F61" s="29">
        <v>1.657</v>
      </c>
      <c r="G61" s="29">
        <v>1.8280000000000001</v>
      </c>
      <c r="H61" s="30"/>
      <c r="I61" s="29">
        <v>1.5309999999999999</v>
      </c>
      <c r="J61" s="29">
        <v>1.6890000000000001</v>
      </c>
      <c r="K61" s="30"/>
      <c r="L61" s="29">
        <v>1.3839999999999999</v>
      </c>
      <c r="M61" s="30"/>
      <c r="N61" s="29">
        <v>1.498</v>
      </c>
      <c r="O61" s="30"/>
      <c r="P61" s="29">
        <v>1.42</v>
      </c>
      <c r="Q61" s="30"/>
      <c r="R61" s="29">
        <v>1.401</v>
      </c>
      <c r="T61" s="22">
        <f t="shared" ref="T61:T69" si="0">I61/5.23*42</f>
        <v>12.294837476099424</v>
      </c>
      <c r="U61" s="22">
        <f t="shared" ref="U61:U69" si="1">R61/5.825*42</f>
        <v>10.101630901287553</v>
      </c>
      <c r="V61" s="22">
        <f>V60+1</f>
        <v>2001</v>
      </c>
    </row>
    <row r="62" spans="1:23" x14ac:dyDescent="0.25">
      <c r="A62" s="31">
        <v>2002</v>
      </c>
      <c r="B62" s="32" t="s">
        <v>72</v>
      </c>
      <c r="C62" s="32" t="s">
        <v>72</v>
      </c>
      <c r="D62" s="32">
        <v>1.3580000000000001</v>
      </c>
      <c r="E62" s="32">
        <v>1.474</v>
      </c>
      <c r="F62" s="32">
        <v>1.556</v>
      </c>
      <c r="G62" s="32">
        <v>1.6890000000000001</v>
      </c>
      <c r="H62" s="33"/>
      <c r="I62" s="32">
        <v>1.4410000000000001</v>
      </c>
      <c r="J62" s="32">
        <v>1.5640000000000001</v>
      </c>
      <c r="K62" s="33"/>
      <c r="L62" s="32">
        <v>1.3129999999999999</v>
      </c>
      <c r="M62" s="33"/>
      <c r="N62" s="32">
        <v>1.4079999999999999</v>
      </c>
      <c r="O62" s="33"/>
      <c r="P62" s="32">
        <v>1.345</v>
      </c>
      <c r="Q62" s="33"/>
      <c r="R62" s="32">
        <v>1.319</v>
      </c>
      <c r="T62" s="22">
        <f t="shared" si="0"/>
        <v>11.572084130019121</v>
      </c>
      <c r="U62" s="22">
        <f t="shared" si="1"/>
        <v>9.5103862660944198</v>
      </c>
      <c r="V62" s="22">
        <f t="shared" ref="V62:V78" si="2">V61+1</f>
        <v>2002</v>
      </c>
    </row>
    <row r="63" spans="1:23" x14ac:dyDescent="0.25">
      <c r="A63" s="28">
        <v>2003</v>
      </c>
      <c r="B63" s="29" t="s">
        <v>72</v>
      </c>
      <c r="C63" s="29" t="s">
        <v>72</v>
      </c>
      <c r="D63" s="29">
        <v>1.591</v>
      </c>
      <c r="E63" s="29">
        <v>1.6910000000000001</v>
      </c>
      <c r="F63" s="29">
        <v>1.7769999999999999</v>
      </c>
      <c r="G63" s="29">
        <v>1.8879999999999999</v>
      </c>
      <c r="H63" s="30"/>
      <c r="I63" s="29">
        <v>1.6379999999999999</v>
      </c>
      <c r="J63" s="29">
        <v>1.7410000000000001</v>
      </c>
      <c r="K63" s="30"/>
      <c r="L63" s="29">
        <v>1.516</v>
      </c>
      <c r="M63" s="30"/>
      <c r="N63" s="29">
        <v>1.655</v>
      </c>
      <c r="O63" s="30"/>
      <c r="P63" s="29">
        <v>1.5609999999999999</v>
      </c>
      <c r="Q63" s="30"/>
      <c r="R63" s="29">
        <v>1.5089999999999999</v>
      </c>
      <c r="T63" s="22">
        <f t="shared" si="0"/>
        <v>13.154110898661568</v>
      </c>
      <c r="U63" s="22">
        <f t="shared" si="1"/>
        <v>10.880343347639483</v>
      </c>
      <c r="V63" s="22">
        <f t="shared" si="2"/>
        <v>2003</v>
      </c>
    </row>
    <row r="64" spans="1:23" x14ac:dyDescent="0.25">
      <c r="A64" s="28">
        <v>2004</v>
      </c>
      <c r="B64" s="29" t="s">
        <v>72</v>
      </c>
      <c r="C64" s="29" t="s">
        <v>72</v>
      </c>
      <c r="D64" s="29">
        <v>1.88</v>
      </c>
      <c r="E64" s="29">
        <v>1.9430000000000001</v>
      </c>
      <c r="F64" s="29">
        <v>2.0680000000000001</v>
      </c>
      <c r="G64" s="29">
        <v>2.137</v>
      </c>
      <c r="H64" s="30"/>
      <c r="I64" s="29">
        <v>1.923</v>
      </c>
      <c r="J64" s="29">
        <v>1.9870000000000001</v>
      </c>
      <c r="K64" s="30"/>
      <c r="L64" s="29">
        <v>1.8120000000000001</v>
      </c>
      <c r="M64" s="30"/>
      <c r="N64" s="29">
        <v>1.9370000000000001</v>
      </c>
      <c r="O64" s="30"/>
      <c r="P64" s="29">
        <v>1.8520000000000001</v>
      </c>
      <c r="Q64" s="30"/>
      <c r="R64" s="29">
        <v>1.81</v>
      </c>
      <c r="T64" s="22">
        <f t="shared" si="0"/>
        <v>15.442829827915869</v>
      </c>
      <c r="U64" s="22">
        <f t="shared" si="1"/>
        <v>13.050643776824034</v>
      </c>
      <c r="V64" s="22">
        <f t="shared" si="2"/>
        <v>2004</v>
      </c>
    </row>
    <row r="65" spans="1:22" x14ac:dyDescent="0.25">
      <c r="A65" s="31">
        <v>2005</v>
      </c>
      <c r="B65" s="32" t="s">
        <v>72</v>
      </c>
      <c r="C65" s="32" t="s">
        <v>72</v>
      </c>
      <c r="D65" s="32">
        <v>2.2949999999999999</v>
      </c>
      <c r="E65" s="32">
        <v>2.2949999999999999</v>
      </c>
      <c r="F65" s="32">
        <v>2.4910000000000001</v>
      </c>
      <c r="G65" s="32">
        <v>2.4910000000000001</v>
      </c>
      <c r="H65" s="33"/>
      <c r="I65" s="32">
        <v>2.3380000000000001</v>
      </c>
      <c r="J65" s="32">
        <v>2.3380000000000001</v>
      </c>
      <c r="K65" s="33"/>
      <c r="L65" s="32">
        <v>2.2400000000000002</v>
      </c>
      <c r="M65" s="33"/>
      <c r="N65" s="32">
        <v>2.335</v>
      </c>
      <c r="O65" s="33"/>
      <c r="P65" s="32">
        <v>2.27</v>
      </c>
      <c r="Q65" s="33"/>
      <c r="R65" s="32">
        <v>2.4020000000000001</v>
      </c>
      <c r="T65" s="22">
        <f t="shared" si="0"/>
        <v>18.775525812619502</v>
      </c>
      <c r="U65" s="22">
        <f t="shared" si="1"/>
        <v>17.319141630901289</v>
      </c>
      <c r="V65" s="22">
        <f t="shared" si="2"/>
        <v>2005</v>
      </c>
    </row>
    <row r="66" spans="1:22" x14ac:dyDescent="0.25">
      <c r="A66" s="28">
        <v>2006</v>
      </c>
      <c r="B66" s="29" t="s">
        <v>72</v>
      </c>
      <c r="C66" s="29" t="s">
        <v>72</v>
      </c>
      <c r="D66" s="29">
        <v>2.589</v>
      </c>
      <c r="E66" s="29">
        <v>2.5070000000000001</v>
      </c>
      <c r="F66" s="29">
        <v>2.8050000000000002</v>
      </c>
      <c r="G66" s="29">
        <v>2.7170000000000001</v>
      </c>
      <c r="H66" s="30"/>
      <c r="I66" s="29">
        <v>2.6349999999999998</v>
      </c>
      <c r="J66" s="29">
        <v>2.552</v>
      </c>
      <c r="K66" s="30"/>
      <c r="L66" s="29">
        <v>2.5329999999999999</v>
      </c>
      <c r="M66" s="30"/>
      <c r="N66" s="29">
        <v>2.6539999999999999</v>
      </c>
      <c r="O66" s="30"/>
      <c r="P66" s="29">
        <v>2.5720000000000001</v>
      </c>
      <c r="Q66" s="30"/>
      <c r="R66" s="29">
        <v>2.7050000000000001</v>
      </c>
      <c r="T66" s="22">
        <f t="shared" si="0"/>
        <v>21.160611854684511</v>
      </c>
      <c r="U66" s="22">
        <f t="shared" si="1"/>
        <v>19.503862660944204</v>
      </c>
      <c r="V66" s="22">
        <f t="shared" si="2"/>
        <v>2006</v>
      </c>
    </row>
    <row r="67" spans="1:22" x14ac:dyDescent="0.25">
      <c r="A67" s="28">
        <v>2007</v>
      </c>
      <c r="B67" s="29" t="s">
        <v>72</v>
      </c>
      <c r="C67" s="29" t="s">
        <v>72</v>
      </c>
      <c r="D67" s="29">
        <v>2.8010000000000002</v>
      </c>
      <c r="E67" s="29">
        <v>2.6349999999999998</v>
      </c>
      <c r="F67" s="29">
        <v>3.0329999999999999</v>
      </c>
      <c r="G67" s="29">
        <v>2.8530000000000002</v>
      </c>
      <c r="H67" s="35" t="s">
        <v>30</v>
      </c>
      <c r="I67" s="29">
        <v>2.8490000000000002</v>
      </c>
      <c r="J67" s="29">
        <v>2.68</v>
      </c>
      <c r="K67" s="30"/>
      <c r="L67" s="29">
        <v>2.7669999999999999</v>
      </c>
      <c r="M67" s="30"/>
      <c r="N67" s="29">
        <v>2.8570000000000002</v>
      </c>
      <c r="O67" s="30"/>
      <c r="P67" s="29">
        <v>2.7959999999999998</v>
      </c>
      <c r="Q67" s="30"/>
      <c r="R67" s="29">
        <v>2.8849999999999998</v>
      </c>
      <c r="T67" s="22">
        <f t="shared" si="0"/>
        <v>22.879158699808794</v>
      </c>
      <c r="U67" s="22">
        <f t="shared" si="1"/>
        <v>20.801716738197424</v>
      </c>
      <c r="V67" s="22">
        <f t="shared" si="2"/>
        <v>2007</v>
      </c>
    </row>
    <row r="68" spans="1:22" x14ac:dyDescent="0.25">
      <c r="A68" s="31">
        <v>2008</v>
      </c>
      <c r="B68" s="32" t="s">
        <v>72</v>
      </c>
      <c r="C68" s="32" t="s">
        <v>72</v>
      </c>
      <c r="D68" s="32">
        <v>3.266</v>
      </c>
      <c r="E68" s="32">
        <v>3.0070000000000001</v>
      </c>
      <c r="F68" s="32">
        <v>3.5190000000000001</v>
      </c>
      <c r="G68" s="32">
        <v>3.24</v>
      </c>
      <c r="H68" s="33"/>
      <c r="I68" s="32">
        <v>3.3170000000000002</v>
      </c>
      <c r="J68" s="32">
        <v>3.0539999999999998</v>
      </c>
      <c r="K68" s="34" t="s">
        <v>30</v>
      </c>
      <c r="L68" s="32">
        <v>3.2130000000000001</v>
      </c>
      <c r="M68" s="33"/>
      <c r="N68" s="32">
        <v>3.3140000000000001</v>
      </c>
      <c r="O68" s="33"/>
      <c r="P68" s="32">
        <v>3.246</v>
      </c>
      <c r="Q68" s="33"/>
      <c r="R68" s="32">
        <v>3.8029999999999999</v>
      </c>
      <c r="T68" s="22">
        <f t="shared" si="0"/>
        <v>26.637476099426383</v>
      </c>
      <c r="U68" s="22">
        <f t="shared" si="1"/>
        <v>27.420772532188838</v>
      </c>
      <c r="V68" s="22">
        <f t="shared" si="2"/>
        <v>2008</v>
      </c>
    </row>
    <row r="69" spans="1:22" x14ac:dyDescent="0.25">
      <c r="A69" s="28">
        <v>2009</v>
      </c>
      <c r="B69" s="29" t="s">
        <v>72</v>
      </c>
      <c r="C69" s="29" t="s">
        <v>72</v>
      </c>
      <c r="D69" s="29">
        <v>2.35</v>
      </c>
      <c r="E69" s="29">
        <v>2.1440000000000001</v>
      </c>
      <c r="F69" s="29">
        <v>2.6070000000000002</v>
      </c>
      <c r="G69" s="29">
        <v>2.3780000000000001</v>
      </c>
      <c r="H69" s="30"/>
      <c r="I69" s="29">
        <v>2.4009999999999998</v>
      </c>
      <c r="J69" s="29">
        <v>2.19</v>
      </c>
      <c r="K69" s="30"/>
      <c r="L69" s="29">
        <v>2.3149999999999999</v>
      </c>
      <c r="M69" s="30"/>
      <c r="N69" s="29">
        <v>2.4329999999999998</v>
      </c>
      <c r="O69" s="30"/>
      <c r="P69" s="29">
        <v>2.3530000000000002</v>
      </c>
      <c r="Q69" s="30"/>
      <c r="R69" s="29">
        <v>2.4670000000000001</v>
      </c>
      <c r="T69" s="22">
        <f t="shared" si="0"/>
        <v>19.281453154875713</v>
      </c>
      <c r="U69" s="22">
        <f t="shared" si="1"/>
        <v>17.787811158798284</v>
      </c>
      <c r="V69" s="22">
        <f t="shared" si="2"/>
        <v>2009</v>
      </c>
    </row>
    <row r="70" spans="1:22" x14ac:dyDescent="0.25">
      <c r="A70" s="28">
        <v>2010</v>
      </c>
      <c r="B70" s="29" t="s">
        <v>72</v>
      </c>
      <c r="C70" s="29" t="s">
        <v>72</v>
      </c>
      <c r="D70" s="29">
        <v>2.7879999999999998</v>
      </c>
      <c r="E70" s="29">
        <v>2.5190000000000001</v>
      </c>
      <c r="F70" s="29">
        <v>3.0470000000000002</v>
      </c>
      <c r="G70" s="29">
        <v>2.754</v>
      </c>
      <c r="H70" s="30"/>
      <c r="I70" s="29">
        <v>2.8359999999999999</v>
      </c>
      <c r="J70" s="29">
        <v>2.5630000000000002</v>
      </c>
      <c r="K70" s="30"/>
      <c r="L70" s="29">
        <v>2.742</v>
      </c>
      <c r="M70" s="30"/>
      <c r="N70" s="29">
        <v>2.8639999999999999</v>
      </c>
      <c r="O70" s="30"/>
      <c r="P70" s="29">
        <v>2.782</v>
      </c>
      <c r="Q70" s="30"/>
      <c r="R70" s="29">
        <v>2.992</v>
      </c>
      <c r="T70" s="22">
        <f t="shared" ref="T70:T74" si="3">I70/5.23*42</f>
        <v>22.774760994263858</v>
      </c>
      <c r="U70" s="22">
        <f t="shared" ref="U70:U74" si="4">R70/5.825*42</f>
        <v>21.57321888412017</v>
      </c>
      <c r="V70" s="22">
        <f t="shared" si="2"/>
        <v>2010</v>
      </c>
    </row>
    <row r="71" spans="1:22" x14ac:dyDescent="0.25">
      <c r="A71" s="28">
        <v>2011</v>
      </c>
      <c r="B71" s="29"/>
      <c r="C71" s="29"/>
      <c r="D71" s="29"/>
      <c r="E71" s="29"/>
      <c r="F71" s="29"/>
      <c r="G71" s="29"/>
      <c r="H71" s="30"/>
      <c r="I71" s="29">
        <v>3.577</v>
      </c>
      <c r="J71" s="29"/>
      <c r="K71" s="30"/>
      <c r="L71" s="29"/>
      <c r="M71" s="30"/>
      <c r="N71" s="29"/>
      <c r="O71" s="30"/>
      <c r="P71" s="29"/>
      <c r="Q71" s="30"/>
      <c r="R71" s="29">
        <v>3.84</v>
      </c>
      <c r="T71" s="22">
        <f t="shared" si="3"/>
        <v>28.725430210325044</v>
      </c>
      <c r="U71" s="22">
        <f t="shared" si="4"/>
        <v>27.687553648068665</v>
      </c>
      <c r="V71" s="22">
        <f t="shared" si="2"/>
        <v>2011</v>
      </c>
    </row>
    <row r="72" spans="1:22" x14ac:dyDescent="0.25">
      <c r="A72" s="28">
        <v>2012</v>
      </c>
      <c r="B72" s="29"/>
      <c r="C72" s="29"/>
      <c r="D72" s="29"/>
      <c r="E72" s="29"/>
      <c r="F72" s="29"/>
      <c r="G72" s="29"/>
      <c r="H72" s="30"/>
      <c r="I72" s="29">
        <v>3.6949999999999998</v>
      </c>
      <c r="J72" s="29"/>
      <c r="K72" s="30"/>
      <c r="L72" s="29"/>
      <c r="M72" s="30"/>
      <c r="N72" s="29"/>
      <c r="O72" s="30"/>
      <c r="P72" s="29"/>
      <c r="Q72" s="30"/>
      <c r="R72" s="29">
        <v>3.968</v>
      </c>
      <c r="T72" s="22">
        <f t="shared" si="3"/>
        <v>29.673040152963669</v>
      </c>
      <c r="U72" s="22">
        <f t="shared" si="4"/>
        <v>28.610472103004291</v>
      </c>
      <c r="V72" s="22">
        <f t="shared" si="2"/>
        <v>2012</v>
      </c>
    </row>
    <row r="73" spans="1:22" x14ac:dyDescent="0.25">
      <c r="A73" s="28">
        <v>2013</v>
      </c>
      <c r="B73" s="29"/>
      <c r="C73" s="29"/>
      <c r="D73" s="29"/>
      <c r="E73" s="29"/>
      <c r="F73" s="29"/>
      <c r="G73" s="29"/>
      <c r="H73" s="30"/>
      <c r="I73" s="29">
        <v>3.5840000000000001</v>
      </c>
      <c r="J73" s="29"/>
      <c r="K73" s="30"/>
      <c r="L73" s="29"/>
      <c r="M73" s="30"/>
      <c r="N73" s="29"/>
      <c r="O73" s="30"/>
      <c r="P73" s="29"/>
      <c r="Q73" s="30"/>
      <c r="R73" s="29">
        <v>3.9220000000000002</v>
      </c>
      <c r="T73" s="22">
        <f t="shared" si="3"/>
        <v>28.781644359464625</v>
      </c>
      <c r="U73" s="22">
        <f t="shared" si="4"/>
        <v>28.278798283261803</v>
      </c>
      <c r="V73" s="22">
        <f t="shared" si="2"/>
        <v>2013</v>
      </c>
    </row>
    <row r="74" spans="1:22" x14ac:dyDescent="0.25">
      <c r="A74" s="28">
        <v>2014</v>
      </c>
      <c r="B74" s="29"/>
      <c r="C74" s="29"/>
      <c r="D74" s="29"/>
      <c r="E74" s="29"/>
      <c r="F74" s="29"/>
      <c r="G74" s="29"/>
      <c r="H74" s="30"/>
      <c r="I74" s="29">
        <v>3.4249999999999998</v>
      </c>
      <c r="J74" s="29"/>
      <c r="K74" s="30"/>
      <c r="L74" s="29"/>
      <c r="M74" s="30"/>
      <c r="N74" s="29"/>
      <c r="O74" s="30"/>
      <c r="P74" s="29"/>
      <c r="Q74" s="30"/>
      <c r="R74" s="29">
        <v>3.8250000000000002</v>
      </c>
      <c r="T74" s="22">
        <f t="shared" si="3"/>
        <v>27.504780114722752</v>
      </c>
      <c r="U74" s="22">
        <f t="shared" si="4"/>
        <v>27.579399141630905</v>
      </c>
      <c r="V74" s="22">
        <f t="shared" si="2"/>
        <v>2014</v>
      </c>
    </row>
    <row r="75" spans="1:22" x14ac:dyDescent="0.25">
      <c r="A75" s="28">
        <v>2015</v>
      </c>
      <c r="B75" s="29"/>
      <c r="C75" s="29"/>
      <c r="D75" s="29"/>
      <c r="E75" s="29"/>
      <c r="F75" s="29"/>
      <c r="G75" s="29"/>
      <c r="H75" s="30"/>
      <c r="I75" s="29">
        <v>2.5099999999999998</v>
      </c>
      <c r="J75" s="29"/>
      <c r="K75" s="30"/>
      <c r="L75" s="29"/>
      <c r="M75" s="30"/>
      <c r="N75" s="29"/>
      <c r="O75" s="30"/>
      <c r="P75" s="29"/>
      <c r="Q75" s="30"/>
      <c r="R75" s="29">
        <v>2.7069999999999999</v>
      </c>
      <c r="T75" s="22">
        <f t="shared" ref="T75:T78" si="5">I75/5.23*42</f>
        <v>20.156787762906305</v>
      </c>
      <c r="U75" s="22">
        <f t="shared" ref="U75:U78" si="6">R75/5.825*42</f>
        <v>19.518283261802573</v>
      </c>
      <c r="V75" s="22">
        <f t="shared" si="2"/>
        <v>2015</v>
      </c>
    </row>
    <row r="76" spans="1:22" x14ac:dyDescent="0.25">
      <c r="A76" s="28">
        <v>2016</v>
      </c>
      <c r="B76" s="29"/>
      <c r="C76" s="29"/>
      <c r="D76" s="29"/>
      <c r="E76" s="29"/>
      <c r="F76" s="29"/>
      <c r="G76" s="29"/>
      <c r="H76" s="30"/>
      <c r="I76" s="29">
        <v>2.2040000000000002</v>
      </c>
      <c r="J76" s="29"/>
      <c r="K76" s="30"/>
      <c r="L76" s="29"/>
      <c r="M76" s="30"/>
      <c r="N76" s="29"/>
      <c r="O76" s="30"/>
      <c r="P76" s="29"/>
      <c r="Q76" s="30"/>
      <c r="R76" s="29">
        <v>2.3039999999999998</v>
      </c>
      <c r="T76" s="22">
        <f t="shared" si="5"/>
        <v>17.69942638623327</v>
      </c>
      <c r="U76" s="22">
        <f t="shared" si="6"/>
        <v>16.6125321888412</v>
      </c>
      <c r="V76" s="22">
        <f t="shared" si="2"/>
        <v>2016</v>
      </c>
    </row>
    <row r="77" spans="1:22" x14ac:dyDescent="0.25">
      <c r="A77" s="28">
        <v>2018</v>
      </c>
      <c r="B77" s="29"/>
      <c r="C77" s="29"/>
      <c r="D77" s="29"/>
      <c r="E77" s="29"/>
      <c r="F77" s="29"/>
      <c r="G77" s="29"/>
      <c r="H77" s="30"/>
      <c r="I77" s="29">
        <v>2.4689999999999999</v>
      </c>
      <c r="J77" s="29"/>
      <c r="K77" s="30"/>
      <c r="L77" s="29"/>
      <c r="M77" s="30"/>
      <c r="N77" s="29"/>
      <c r="O77" s="30"/>
      <c r="P77" s="29"/>
      <c r="Q77" s="30"/>
      <c r="R77" s="29">
        <v>2.65</v>
      </c>
      <c r="T77" s="22">
        <f t="shared" si="5"/>
        <v>19.827533460803057</v>
      </c>
      <c r="U77" s="22">
        <f t="shared" si="6"/>
        <v>19.107296137339056</v>
      </c>
      <c r="V77" s="22">
        <f t="shared" si="2"/>
        <v>2017</v>
      </c>
    </row>
    <row r="78" spans="1:22" x14ac:dyDescent="0.25">
      <c r="A78" s="28"/>
      <c r="B78" s="29"/>
      <c r="C78" s="29"/>
      <c r="D78" s="29"/>
      <c r="E78" s="29"/>
      <c r="F78" s="29"/>
      <c r="G78" s="29"/>
      <c r="H78" s="30"/>
      <c r="I78" s="22">
        <v>2.794</v>
      </c>
      <c r="J78" s="29"/>
      <c r="K78" s="30"/>
      <c r="L78" s="29"/>
      <c r="M78" s="30"/>
      <c r="N78" s="29"/>
      <c r="O78" s="30"/>
      <c r="P78" s="29"/>
      <c r="Q78" s="30"/>
      <c r="R78" s="22">
        <v>3.1779999999999999</v>
      </c>
      <c r="T78" s="22">
        <f t="shared" si="5"/>
        <v>22.437476099426384</v>
      </c>
      <c r="U78" s="22">
        <f t="shared" si="6"/>
        <v>22.914334763948496</v>
      </c>
      <c r="V78" s="22">
        <f t="shared" si="2"/>
        <v>2018</v>
      </c>
    </row>
    <row r="80" spans="1:22" x14ac:dyDescent="0.25">
      <c r="A80" s="232" t="s">
        <v>119</v>
      </c>
      <c r="B80" s="233"/>
      <c r="C80" s="233"/>
      <c r="D80" s="233"/>
      <c r="E80" s="233"/>
      <c r="F80" s="233"/>
      <c r="G80" s="233"/>
      <c r="H80" s="233"/>
      <c r="I80" s="233"/>
      <c r="J80" s="233" t="s">
        <v>120</v>
      </c>
      <c r="K80" s="233"/>
      <c r="L80" s="233"/>
      <c r="M80" s="233"/>
      <c r="N80" s="233"/>
      <c r="O80" s="233"/>
      <c r="P80" s="233"/>
      <c r="Q80" s="233"/>
      <c r="R80" s="234"/>
    </row>
    <row r="81" spans="1:18" x14ac:dyDescent="0.25">
      <c r="A81" s="218"/>
      <c r="B81" s="219"/>
      <c r="C81" s="219"/>
      <c r="D81" s="219"/>
      <c r="E81" s="219"/>
      <c r="F81" s="219"/>
      <c r="G81" s="219"/>
      <c r="H81" s="219"/>
      <c r="I81" s="219"/>
      <c r="J81" s="213" t="s">
        <v>121</v>
      </c>
      <c r="K81" s="213"/>
      <c r="L81" s="213"/>
      <c r="M81" s="213"/>
      <c r="N81" s="213"/>
      <c r="O81" s="213"/>
      <c r="P81" s="213"/>
      <c r="Q81" s="213"/>
      <c r="R81" s="214"/>
    </row>
    <row r="82" spans="1:18" x14ac:dyDescent="0.25">
      <c r="A82" s="218" t="s">
        <v>122</v>
      </c>
      <c r="B82" s="219"/>
      <c r="C82" s="219"/>
      <c r="D82" s="219"/>
      <c r="E82" s="219"/>
      <c r="F82" s="219"/>
      <c r="G82" s="219"/>
      <c r="H82" s="219"/>
      <c r="I82" s="219"/>
      <c r="J82" s="213" t="s">
        <v>123</v>
      </c>
      <c r="K82" s="213"/>
      <c r="L82" s="213"/>
      <c r="M82" s="213"/>
      <c r="N82" s="213"/>
      <c r="O82" s="213"/>
      <c r="P82" s="213"/>
      <c r="Q82" s="213"/>
      <c r="R82" s="214"/>
    </row>
    <row r="83" spans="1:18" x14ac:dyDescent="0.25">
      <c r="A83" s="218" t="s">
        <v>124</v>
      </c>
      <c r="B83" s="219"/>
      <c r="C83" s="219"/>
      <c r="D83" s="219"/>
      <c r="E83" s="219"/>
      <c r="F83" s="219"/>
      <c r="G83" s="219"/>
      <c r="H83" s="219"/>
      <c r="I83" s="219"/>
      <c r="J83" s="213" t="s">
        <v>125</v>
      </c>
      <c r="K83" s="213"/>
      <c r="L83" s="213"/>
      <c r="M83" s="213"/>
      <c r="N83" s="213"/>
      <c r="O83" s="213"/>
      <c r="P83" s="213"/>
      <c r="Q83" s="213"/>
      <c r="R83" s="214"/>
    </row>
    <row r="84" spans="1:18" x14ac:dyDescent="0.25">
      <c r="A84" s="217" t="s">
        <v>126</v>
      </c>
      <c r="B84" s="213"/>
      <c r="C84" s="213"/>
      <c r="D84" s="213"/>
      <c r="E84" s="213"/>
      <c r="F84" s="213"/>
      <c r="G84" s="213"/>
      <c r="H84" s="213"/>
      <c r="I84" s="213"/>
      <c r="J84" s="213" t="s">
        <v>127</v>
      </c>
      <c r="K84" s="213"/>
      <c r="L84" s="213"/>
      <c r="M84" s="213"/>
      <c r="N84" s="213"/>
      <c r="O84" s="213"/>
      <c r="P84" s="213"/>
      <c r="Q84" s="213"/>
      <c r="R84" s="214"/>
    </row>
    <row r="85" spans="1:18" x14ac:dyDescent="0.25">
      <c r="A85" s="218" t="s">
        <v>128</v>
      </c>
      <c r="B85" s="219"/>
      <c r="C85" s="219"/>
      <c r="D85" s="219"/>
      <c r="E85" s="219"/>
      <c r="F85" s="219"/>
      <c r="G85" s="219"/>
      <c r="H85" s="219"/>
      <c r="I85" s="219"/>
      <c r="J85" s="220" t="s">
        <v>59</v>
      </c>
      <c r="K85" s="220"/>
      <c r="L85" s="220"/>
      <c r="M85" s="220"/>
      <c r="N85" s="220"/>
      <c r="O85" s="220"/>
      <c r="P85" s="220"/>
      <c r="Q85" s="220"/>
      <c r="R85" s="221"/>
    </row>
    <row r="86" spans="1:18" x14ac:dyDescent="0.25">
      <c r="A86" s="217" t="s">
        <v>129</v>
      </c>
      <c r="B86" s="213"/>
      <c r="C86" s="213"/>
      <c r="D86" s="213"/>
      <c r="E86" s="213"/>
      <c r="F86" s="213"/>
      <c r="G86" s="213"/>
      <c r="H86" s="213"/>
      <c r="I86" s="213"/>
      <c r="J86" s="220"/>
      <c r="K86" s="220"/>
      <c r="L86" s="220"/>
      <c r="M86" s="220"/>
      <c r="N86" s="220"/>
      <c r="O86" s="220"/>
      <c r="P86" s="220"/>
      <c r="Q86" s="220"/>
      <c r="R86" s="221"/>
    </row>
    <row r="87" spans="1:18" x14ac:dyDescent="0.25">
      <c r="A87" s="218" t="s">
        <v>130</v>
      </c>
      <c r="B87" s="219"/>
      <c r="C87" s="219"/>
      <c r="D87" s="219"/>
      <c r="E87" s="219"/>
      <c r="F87" s="219"/>
      <c r="G87" s="219"/>
      <c r="H87" s="219"/>
      <c r="I87" s="219"/>
      <c r="J87" s="213" t="s">
        <v>131</v>
      </c>
      <c r="K87" s="213"/>
      <c r="L87" s="213"/>
      <c r="M87" s="213"/>
      <c r="N87" s="213"/>
      <c r="O87" s="213"/>
      <c r="P87" s="213"/>
      <c r="Q87" s="213"/>
      <c r="R87" s="214"/>
    </row>
    <row r="88" spans="1:18" x14ac:dyDescent="0.25">
      <c r="A88" s="218"/>
      <c r="B88" s="219"/>
      <c r="C88" s="219"/>
      <c r="D88" s="219"/>
      <c r="E88" s="219"/>
      <c r="F88" s="219"/>
      <c r="G88" s="219"/>
      <c r="H88" s="219"/>
      <c r="I88" s="219"/>
      <c r="J88" s="213" t="s">
        <v>132</v>
      </c>
      <c r="K88" s="213"/>
      <c r="L88" s="213"/>
      <c r="M88" s="213"/>
      <c r="N88" s="213"/>
      <c r="O88" s="213"/>
      <c r="P88" s="213"/>
      <c r="Q88" s="213"/>
      <c r="R88" s="214"/>
    </row>
    <row r="89" spans="1:18" x14ac:dyDescent="0.25">
      <c r="A89" s="218"/>
      <c r="B89" s="219"/>
      <c r="C89" s="219"/>
      <c r="D89" s="219"/>
      <c r="E89" s="219"/>
      <c r="F89" s="219"/>
      <c r="G89" s="219"/>
      <c r="H89" s="219"/>
      <c r="I89" s="219"/>
      <c r="J89" s="213" t="s">
        <v>133</v>
      </c>
      <c r="K89" s="213"/>
      <c r="L89" s="213"/>
      <c r="M89" s="213"/>
      <c r="N89" s="213"/>
      <c r="O89" s="213"/>
      <c r="P89" s="213"/>
      <c r="Q89" s="213"/>
      <c r="R89" s="214"/>
    </row>
    <row r="90" spans="1:18" x14ac:dyDescent="0.25">
      <c r="A90" s="218"/>
      <c r="B90" s="219"/>
      <c r="C90" s="219"/>
      <c r="D90" s="219"/>
      <c r="E90" s="219"/>
      <c r="F90" s="219"/>
      <c r="G90" s="219"/>
      <c r="H90" s="219"/>
      <c r="I90" s="219"/>
      <c r="J90" s="224" t="s">
        <v>134</v>
      </c>
      <c r="K90" s="224"/>
      <c r="L90" s="224"/>
      <c r="M90" s="224"/>
      <c r="N90" s="224"/>
      <c r="O90" s="224"/>
      <c r="P90" s="224"/>
      <c r="Q90" s="224"/>
      <c r="R90" s="225"/>
    </row>
    <row r="91" spans="1:18" x14ac:dyDescent="0.25">
      <c r="A91" s="218"/>
      <c r="B91" s="219"/>
      <c r="C91" s="219"/>
      <c r="D91" s="219"/>
      <c r="E91" s="219"/>
      <c r="F91" s="219"/>
      <c r="G91" s="219"/>
      <c r="H91" s="219"/>
      <c r="I91" s="219"/>
      <c r="J91" s="213" t="s">
        <v>135</v>
      </c>
      <c r="K91" s="213"/>
      <c r="L91" s="213"/>
      <c r="M91" s="213"/>
      <c r="N91" s="213"/>
      <c r="O91" s="213"/>
      <c r="P91" s="213"/>
      <c r="Q91" s="213"/>
      <c r="R91" s="214"/>
    </row>
    <row r="92" spans="1:18" x14ac:dyDescent="0.25">
      <c r="A92" s="222"/>
      <c r="B92" s="223"/>
      <c r="C92" s="223"/>
      <c r="D92" s="223"/>
      <c r="E92" s="223"/>
      <c r="F92" s="223"/>
      <c r="G92" s="223"/>
      <c r="H92" s="223"/>
      <c r="I92" s="223"/>
      <c r="J92" s="215" t="s">
        <v>136</v>
      </c>
      <c r="K92" s="215"/>
      <c r="L92" s="215"/>
      <c r="M92" s="215"/>
      <c r="N92" s="215"/>
      <c r="O92" s="215"/>
      <c r="P92" s="215"/>
      <c r="Q92" s="215"/>
      <c r="R92" s="216"/>
    </row>
  </sheetData>
  <mergeCells count="38">
    <mergeCell ref="A1:R1"/>
    <mergeCell ref="A2:R2"/>
    <mergeCell ref="A3:A8"/>
    <mergeCell ref="B3:K5"/>
    <mergeCell ref="L3:Q5"/>
    <mergeCell ref="B6:C7"/>
    <mergeCell ref="D6:E7"/>
    <mergeCell ref="F6:H7"/>
    <mergeCell ref="I6:K7"/>
    <mergeCell ref="L6:M6"/>
    <mergeCell ref="A83:I83"/>
    <mergeCell ref="J83:R83"/>
    <mergeCell ref="N6:O6"/>
    <mergeCell ref="P6:Q7"/>
    <mergeCell ref="L7:M7"/>
    <mergeCell ref="N7:O7"/>
    <mergeCell ref="G8:H8"/>
    <mergeCell ref="J8:K8"/>
    <mergeCell ref="L8:M8"/>
    <mergeCell ref="N8:O8"/>
    <mergeCell ref="P8:Q8"/>
    <mergeCell ref="A80:I81"/>
    <mergeCell ref="J80:R80"/>
    <mergeCell ref="J81:R81"/>
    <mergeCell ref="A82:I82"/>
    <mergeCell ref="J82:R82"/>
    <mergeCell ref="J91:R91"/>
    <mergeCell ref="J92:R92"/>
    <mergeCell ref="A84:I84"/>
    <mergeCell ref="J84:R84"/>
    <mergeCell ref="A85:I85"/>
    <mergeCell ref="J85:R86"/>
    <mergeCell ref="A86:I86"/>
    <mergeCell ref="A87:I92"/>
    <mergeCell ref="J87:R87"/>
    <mergeCell ref="J88:R88"/>
    <mergeCell ref="J89:R89"/>
    <mergeCell ref="J90:R90"/>
  </mergeCells>
  <hyperlinks>
    <hyperlink ref="J85" r:id="rId1" display="http://www.eia.gov/petroleum/" xr:uid="{00000000-0004-0000-0900-000000000000}"/>
  </hyperlinks>
  <pageMargins left="0.75" right="0.75" top="1" bottom="1" header="0.5" footer="0.5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1:AB43"/>
  <sheetViews>
    <sheetView workbookViewId="0">
      <selection activeCell="J22" sqref="J22"/>
    </sheetView>
  </sheetViews>
  <sheetFormatPr defaultRowHeight="12.75" x14ac:dyDescent="0.2"/>
  <cols>
    <col min="5" max="5" width="9.5703125" bestFit="1" customWidth="1"/>
    <col min="6" max="6" width="10.5703125" bestFit="1" customWidth="1"/>
    <col min="9" max="9" width="9.5703125" bestFit="1" customWidth="1"/>
    <col min="13" max="13" width="10.5703125" bestFit="1" customWidth="1"/>
  </cols>
  <sheetData>
    <row r="1" spans="3:28" x14ac:dyDescent="0.2">
      <c r="K1" t="s">
        <v>313</v>
      </c>
    </row>
    <row r="2" spans="3:28" x14ac:dyDescent="0.2">
      <c r="C2" t="s">
        <v>92</v>
      </c>
      <c r="H2" t="s">
        <v>93</v>
      </c>
      <c r="K2" t="s">
        <v>314</v>
      </c>
      <c r="M2" t="s">
        <v>185</v>
      </c>
      <c r="Q2">
        <v>0.3</v>
      </c>
      <c r="R2">
        <v>0.7</v>
      </c>
      <c r="T2" t="s">
        <v>187</v>
      </c>
      <c r="W2">
        <v>2</v>
      </c>
      <c r="Y2" t="s">
        <v>154</v>
      </c>
    </row>
    <row r="3" spans="3:28" x14ac:dyDescent="0.2">
      <c r="I3" t="s">
        <v>150</v>
      </c>
      <c r="J3" t="s">
        <v>137</v>
      </c>
      <c r="K3" t="s">
        <v>138</v>
      </c>
      <c r="Z3" t="s">
        <v>154</v>
      </c>
      <c r="AA3" t="s">
        <v>137</v>
      </c>
      <c r="AB3" t="s">
        <v>138</v>
      </c>
    </row>
    <row r="4" spans="3:28" x14ac:dyDescent="0.2">
      <c r="D4" t="s">
        <v>27</v>
      </c>
      <c r="E4" t="s">
        <v>137</v>
      </c>
      <c r="F4" t="s">
        <v>138</v>
      </c>
      <c r="I4" t="s">
        <v>184</v>
      </c>
      <c r="M4" t="s">
        <v>186</v>
      </c>
      <c r="Z4" t="s">
        <v>184</v>
      </c>
    </row>
    <row r="5" spans="3:28" x14ac:dyDescent="0.2">
      <c r="C5">
        <f>1977</f>
        <v>1977</v>
      </c>
      <c r="D5">
        <f>[12]stb0524!D37</f>
        <v>0.65600000000000003</v>
      </c>
      <c r="E5" s="1">
        <f>D5/D$22*E$22</f>
        <v>0.40410071942446046</v>
      </c>
      <c r="F5" s="1">
        <f>D5/D$22*F$22</f>
        <v>3.2451683013054184</v>
      </c>
      <c r="H5">
        <f>1977</f>
        <v>1977</v>
      </c>
      <c r="I5">
        <f>[12]stb0303!E19</f>
        <v>3.11</v>
      </c>
      <c r="J5" s="1">
        <f>I5/I$22*J$22</f>
        <v>0.27941058655221745</v>
      </c>
      <c r="K5" s="1">
        <f>I5/I$22*K$22</f>
        <v>2.0146342721361603</v>
      </c>
      <c r="M5" s="36">
        <f>$Q$2*F5+$R$2*K5</f>
        <v>2.3837944808869374</v>
      </c>
      <c r="N5" s="2">
        <f t="shared" ref="N5:N42" si="0">M5*W$2</f>
        <v>4.7675889617738747</v>
      </c>
      <c r="Y5">
        <f>1977</f>
        <v>1977</v>
      </c>
      <c r="Z5">
        <f>[12]stb0303!L19</f>
        <v>2.14</v>
      </c>
      <c r="AA5" s="1">
        <f>Z5/Z$22*AA$22</f>
        <v>0.3302241379310345</v>
      </c>
      <c r="AB5" s="1">
        <f>Z5/Z$22*AB$22</f>
        <v>2.2060464121367027</v>
      </c>
    </row>
    <row r="6" spans="3:28" x14ac:dyDescent="0.2">
      <c r="C6">
        <f>C5+1</f>
        <v>1978</v>
      </c>
      <c r="D6">
        <f>[12]stb0524!D38</f>
        <v>0.67</v>
      </c>
      <c r="E6" s="1">
        <f t="shared" ref="E6:E21" si="1">D6/D$22*E$22</f>
        <v>0.41272482014388495</v>
      </c>
      <c r="F6" s="1">
        <f t="shared" ref="F6:F20" si="2">D6/D$22*F$22</f>
        <v>3.3144249418820584</v>
      </c>
      <c r="H6">
        <f>H5+1</f>
        <v>1978</v>
      </c>
      <c r="I6">
        <f>[12]stb0303!E20</f>
        <v>3.26</v>
      </c>
      <c r="J6" s="1">
        <f t="shared" ref="J6:J21" si="3">I6/I$22*J$22</f>
        <v>0.29288698140200281</v>
      </c>
      <c r="K6" s="1">
        <f t="shared" ref="K6:K20" si="4">I6/I$22*K$22</f>
        <v>2.1118031277054281</v>
      </c>
      <c r="M6" s="36">
        <f t="shared" ref="M6:M42" si="5">$Q$2*F6+$R$2*K6</f>
        <v>2.4725896719584171</v>
      </c>
      <c r="N6" s="2">
        <f t="shared" si="0"/>
        <v>4.9451793439168341</v>
      </c>
      <c r="Y6">
        <f>Y5+1</f>
        <v>1978</v>
      </c>
      <c r="Z6">
        <f>[12]stb0303!L20</f>
        <v>2.08</v>
      </c>
      <c r="AA6" s="1">
        <f t="shared" ref="AA6:AA21" si="6">Z6/Z$22*AA$22</f>
        <v>0.32096551724137934</v>
      </c>
      <c r="AB6" s="1">
        <f t="shared" ref="AB6:AB20" si="7">Z6/Z$22*AB$22</f>
        <v>2.144194643572122</v>
      </c>
    </row>
    <row r="7" spans="3:28" x14ac:dyDescent="0.2">
      <c r="C7">
        <f t="shared" ref="C7:C42" si="8">C6+1</f>
        <v>1979</v>
      </c>
      <c r="D7">
        <f>[12]stb0524!D39</f>
        <v>0.90300000000000002</v>
      </c>
      <c r="E7" s="1">
        <f t="shared" si="1"/>
        <v>0.55625449640287772</v>
      </c>
      <c r="F7" s="1">
        <f t="shared" si="2"/>
        <v>4.4670533171932814</v>
      </c>
      <c r="H7">
        <f t="shared" ref="H7:H42" si="9">H6+1</f>
        <v>1979</v>
      </c>
      <c r="I7">
        <f>[12]stb0303!E21</f>
        <v>4.6900000000000004</v>
      </c>
      <c r="J7" s="1">
        <f t="shared" si="3"/>
        <v>0.42136194563662377</v>
      </c>
      <c r="K7" s="1">
        <f t="shared" si="4"/>
        <v>3.0381462174657856</v>
      </c>
      <c r="M7" s="36">
        <f t="shared" si="5"/>
        <v>3.4668183473840344</v>
      </c>
      <c r="N7" s="2">
        <f t="shared" si="0"/>
        <v>6.9336366947680688</v>
      </c>
      <c r="Y7">
        <f t="shared" ref="Y7:Y38" si="10">Y6+1</f>
        <v>1979</v>
      </c>
      <c r="Z7">
        <f>[12]stb0303!L21</f>
        <v>2.83</v>
      </c>
      <c r="AA7" s="1">
        <f t="shared" si="6"/>
        <v>0.43669827586206894</v>
      </c>
      <c r="AB7" s="1">
        <f t="shared" si="7"/>
        <v>2.9173417506293773</v>
      </c>
    </row>
    <row r="8" spans="3:28" x14ac:dyDescent="0.2">
      <c r="C8">
        <f t="shared" si="8"/>
        <v>1980</v>
      </c>
      <c r="D8">
        <f>[12]stb0524!D40</f>
        <v>1.2450000000000001</v>
      </c>
      <c r="E8" s="1">
        <f t="shared" si="1"/>
        <v>0.76692895683453244</v>
      </c>
      <c r="F8" s="1">
        <f t="shared" si="2"/>
        <v>6.158894108422631</v>
      </c>
      <c r="H8">
        <f t="shared" si="9"/>
        <v>1980</v>
      </c>
      <c r="I8">
        <f>[12]stb0303!E22</f>
        <v>6.7</v>
      </c>
      <c r="J8" s="1">
        <f t="shared" si="3"/>
        <v>0.60194563662374823</v>
      </c>
      <c r="K8" s="1">
        <f t="shared" si="4"/>
        <v>4.3402088820939788</v>
      </c>
      <c r="M8" s="36">
        <f t="shared" si="5"/>
        <v>4.8858144499925746</v>
      </c>
      <c r="N8" s="2">
        <f t="shared" si="0"/>
        <v>9.7716288999851493</v>
      </c>
      <c r="Y8">
        <f t="shared" si="10"/>
        <v>1980</v>
      </c>
      <c r="Z8">
        <f>[12]stb0303!L22</f>
        <v>3.88</v>
      </c>
      <c r="AA8" s="1">
        <f t="shared" si="6"/>
        <v>0.59872413793103452</v>
      </c>
      <c r="AB8" s="1">
        <f t="shared" si="7"/>
        <v>3.9997477005095354</v>
      </c>
    </row>
    <row r="9" spans="3:28" x14ac:dyDescent="0.2">
      <c r="C9">
        <f t="shared" si="8"/>
        <v>1981</v>
      </c>
      <c r="D9">
        <f>[12]stb0524!D41</f>
        <v>1.3779999999999999</v>
      </c>
      <c r="E9" s="1">
        <f t="shared" si="1"/>
        <v>0.84885791366906471</v>
      </c>
      <c r="F9" s="1">
        <f t="shared" si="2"/>
        <v>6.8168321939007104</v>
      </c>
      <c r="H9">
        <f t="shared" si="9"/>
        <v>1981</v>
      </c>
      <c r="I9">
        <f>[12]stb0303!E23</f>
        <v>8.0299999999999994</v>
      </c>
      <c r="J9" s="1">
        <f t="shared" si="3"/>
        <v>0.72143633762517878</v>
      </c>
      <c r="K9" s="1">
        <f t="shared" si="4"/>
        <v>5.2017727348081566</v>
      </c>
      <c r="M9" s="36">
        <f t="shared" si="5"/>
        <v>5.6862905725359223</v>
      </c>
      <c r="N9" s="2">
        <f t="shared" si="0"/>
        <v>11.372581145071845</v>
      </c>
      <c r="Y9">
        <f t="shared" si="10"/>
        <v>1981</v>
      </c>
      <c r="Z9">
        <f>[12]stb0303!L23</f>
        <v>4.91</v>
      </c>
      <c r="AA9" s="1">
        <f t="shared" si="6"/>
        <v>0.75766379310344834</v>
      </c>
      <c r="AB9" s="1">
        <f t="shared" si="7"/>
        <v>5.0615363942015001</v>
      </c>
    </row>
    <row r="10" spans="3:28" x14ac:dyDescent="0.2">
      <c r="C10">
        <f t="shared" si="8"/>
        <v>1982</v>
      </c>
      <c r="D10">
        <f>[12]stb0524!D42</f>
        <v>1.296</v>
      </c>
      <c r="E10" s="1">
        <f t="shared" si="1"/>
        <v>0.7983453237410072</v>
      </c>
      <c r="F10" s="1">
        <f t="shared" si="2"/>
        <v>6.411186156237533</v>
      </c>
      <c r="H10">
        <f t="shared" si="9"/>
        <v>1982</v>
      </c>
      <c r="I10">
        <f>[12]stb0303!E24</f>
        <v>7.78</v>
      </c>
      <c r="J10" s="1">
        <f t="shared" si="3"/>
        <v>0.69897567954220319</v>
      </c>
      <c r="K10" s="1">
        <f t="shared" si="4"/>
        <v>5.03982464219271</v>
      </c>
      <c r="M10" s="36">
        <f t="shared" si="5"/>
        <v>5.4512330964061562</v>
      </c>
      <c r="N10" s="2">
        <f t="shared" si="0"/>
        <v>10.902466192812312</v>
      </c>
      <c r="Y10">
        <f t="shared" si="10"/>
        <v>1982</v>
      </c>
      <c r="Z10">
        <f>[12]stb0303!L24</f>
        <v>4.6500000000000004</v>
      </c>
      <c r="AA10" s="1">
        <f t="shared" si="6"/>
        <v>0.71754310344827588</v>
      </c>
      <c r="AB10" s="1">
        <f t="shared" si="7"/>
        <v>4.7935120637549842</v>
      </c>
    </row>
    <row r="11" spans="3:28" x14ac:dyDescent="0.2">
      <c r="C11">
        <f t="shared" si="8"/>
        <v>1983</v>
      </c>
      <c r="D11">
        <f>[12]stb0524!D43</f>
        <v>1.2410000000000001</v>
      </c>
      <c r="E11" s="1">
        <f t="shared" si="1"/>
        <v>0.76446492805755406</v>
      </c>
      <c r="F11" s="1">
        <f t="shared" si="2"/>
        <v>6.1391064968293056</v>
      </c>
      <c r="H11">
        <f t="shared" si="9"/>
        <v>1983</v>
      </c>
      <c r="I11">
        <f>[12]stb0303!E25</f>
        <v>7.32</v>
      </c>
      <c r="J11" s="1">
        <f t="shared" si="3"/>
        <v>0.65764806866952796</v>
      </c>
      <c r="K11" s="1">
        <f t="shared" si="4"/>
        <v>4.7418401517802877</v>
      </c>
      <c r="M11" s="36">
        <f t="shared" si="5"/>
        <v>5.1610200552949932</v>
      </c>
      <c r="N11" s="2">
        <f t="shared" si="0"/>
        <v>10.322040110589986</v>
      </c>
      <c r="Y11">
        <f t="shared" si="10"/>
        <v>1983</v>
      </c>
      <c r="Z11">
        <f>[12]stb0303!L25</f>
        <v>4.5</v>
      </c>
      <c r="AA11" s="1">
        <f t="shared" si="6"/>
        <v>0.69439655172413794</v>
      </c>
      <c r="AB11" s="1">
        <f t="shared" si="7"/>
        <v>4.6388826423435328</v>
      </c>
    </row>
    <row r="12" spans="3:28" x14ac:dyDescent="0.2">
      <c r="C12">
        <f t="shared" si="8"/>
        <v>1984</v>
      </c>
      <c r="D12">
        <f>[12]stb0524!D44</f>
        <v>1.212</v>
      </c>
      <c r="E12" s="1">
        <f t="shared" si="1"/>
        <v>0.74660071942446038</v>
      </c>
      <c r="F12" s="1">
        <f t="shared" si="2"/>
        <v>5.9956463127776933</v>
      </c>
      <c r="H12">
        <f t="shared" si="9"/>
        <v>1984</v>
      </c>
      <c r="I12">
        <f>[12]stb0303!E26</f>
        <v>7.37</v>
      </c>
      <c r="J12" s="1">
        <f t="shared" si="3"/>
        <v>0.66214020028612308</v>
      </c>
      <c r="K12" s="1">
        <f t="shared" si="4"/>
        <v>4.7742297703033767</v>
      </c>
      <c r="M12" s="36">
        <f t="shared" si="5"/>
        <v>5.1406547330456718</v>
      </c>
      <c r="N12" s="2">
        <f t="shared" si="0"/>
        <v>10.281309466091344</v>
      </c>
      <c r="Y12">
        <f t="shared" si="10"/>
        <v>1984</v>
      </c>
      <c r="Z12">
        <f>[12]stb0303!L26</f>
        <v>4.75</v>
      </c>
      <c r="AA12" s="1">
        <f t="shared" si="6"/>
        <v>0.7329741379310345</v>
      </c>
      <c r="AB12" s="1">
        <f t="shared" si="7"/>
        <v>4.8965983446959518</v>
      </c>
    </row>
    <row r="13" spans="3:28" x14ac:dyDescent="0.2">
      <c r="C13">
        <f t="shared" si="8"/>
        <v>1985</v>
      </c>
      <c r="D13">
        <f>[12]stb0524!D45</f>
        <v>1.202</v>
      </c>
      <c r="E13" s="1">
        <f t="shared" si="1"/>
        <v>0.74044064748201444</v>
      </c>
      <c r="F13" s="1">
        <f t="shared" si="2"/>
        <v>5.9461772837943787</v>
      </c>
      <c r="H13">
        <f t="shared" si="9"/>
        <v>1985</v>
      </c>
      <c r="I13">
        <f>[12]stb0303!E27</f>
        <v>7.22</v>
      </c>
      <c r="J13" s="1">
        <f t="shared" si="3"/>
        <v>0.6486638054363375</v>
      </c>
      <c r="K13" s="1">
        <f t="shared" si="4"/>
        <v>4.677060914734108</v>
      </c>
      <c r="M13" s="36">
        <f t="shared" si="5"/>
        <v>5.0577958254521889</v>
      </c>
      <c r="N13" s="2">
        <f t="shared" si="0"/>
        <v>10.115591650904378</v>
      </c>
      <c r="Y13">
        <f t="shared" si="10"/>
        <v>1985</v>
      </c>
      <c r="Z13">
        <f>[12]stb0303!L27</f>
        <v>4.3</v>
      </c>
      <c r="AA13" s="1">
        <f t="shared" si="6"/>
        <v>0.6635344827586207</v>
      </c>
      <c r="AB13" s="1">
        <f t="shared" si="7"/>
        <v>4.4327100804615984</v>
      </c>
    </row>
    <row r="14" spans="3:28" x14ac:dyDescent="0.2">
      <c r="C14">
        <f t="shared" si="8"/>
        <v>1986</v>
      </c>
      <c r="D14">
        <f>[12]stb0524!D46</f>
        <v>0.92700000000000005</v>
      </c>
      <c r="E14" s="1">
        <f t="shared" si="1"/>
        <v>0.57103866906474821</v>
      </c>
      <c r="F14" s="1">
        <f t="shared" si="2"/>
        <v>4.5857789867532359</v>
      </c>
      <c r="H14">
        <f t="shared" si="9"/>
        <v>1986</v>
      </c>
      <c r="I14">
        <f>[12]stb0303!E28</f>
        <v>5.68</v>
      </c>
      <c r="J14" s="1">
        <f t="shared" si="3"/>
        <v>0.51030615164520743</v>
      </c>
      <c r="K14" s="1">
        <f t="shared" si="4"/>
        <v>3.6794606642229546</v>
      </c>
      <c r="M14" s="36">
        <f t="shared" si="5"/>
        <v>3.9513561609820389</v>
      </c>
      <c r="N14" s="2">
        <f t="shared" si="0"/>
        <v>7.9027123219640778</v>
      </c>
      <c r="Y14">
        <f t="shared" si="10"/>
        <v>1986</v>
      </c>
      <c r="Z14">
        <f>[12]stb0303!L28</f>
        <v>2.37</v>
      </c>
      <c r="AA14" s="1">
        <f t="shared" si="6"/>
        <v>0.3657155172413793</v>
      </c>
      <c r="AB14" s="1">
        <f t="shared" si="7"/>
        <v>2.4431448583009274</v>
      </c>
    </row>
    <row r="15" spans="3:28" x14ac:dyDescent="0.2">
      <c r="C15">
        <f t="shared" si="8"/>
        <v>1987</v>
      </c>
      <c r="D15">
        <f>[12]stb0524!D47</f>
        <v>0.94799999999999995</v>
      </c>
      <c r="E15" s="1">
        <f t="shared" si="1"/>
        <v>0.58397482014388491</v>
      </c>
      <c r="F15" s="1">
        <f t="shared" si="2"/>
        <v>4.6896639476181958</v>
      </c>
      <c r="H15">
        <f t="shared" si="9"/>
        <v>1987</v>
      </c>
      <c r="I15">
        <f>[12]stb0303!E29</f>
        <v>5.97</v>
      </c>
      <c r="J15" s="1">
        <f t="shared" si="3"/>
        <v>0.53636051502145921</v>
      </c>
      <c r="K15" s="1">
        <f t="shared" si="4"/>
        <v>3.8673204516568735</v>
      </c>
      <c r="M15" s="36">
        <f t="shared" si="5"/>
        <v>4.1140235004452705</v>
      </c>
      <c r="N15" s="2">
        <f t="shared" si="0"/>
        <v>8.2280470008905411</v>
      </c>
      <c r="Y15">
        <f t="shared" si="10"/>
        <v>1987</v>
      </c>
      <c r="Z15">
        <f>[12]stb0303!L29</f>
        <v>2.86</v>
      </c>
      <c r="AA15" s="1">
        <f t="shared" si="6"/>
        <v>0.44132758620689655</v>
      </c>
      <c r="AB15" s="1">
        <f t="shared" si="7"/>
        <v>2.9482676349116677</v>
      </c>
    </row>
    <row r="16" spans="3:28" x14ac:dyDescent="0.2">
      <c r="C16">
        <f t="shared" si="8"/>
        <v>1988</v>
      </c>
      <c r="D16">
        <f>[12]stb0524!D48</f>
        <v>0.94599999999999995</v>
      </c>
      <c r="E16" s="1">
        <f t="shared" si="1"/>
        <v>0.58274280575539572</v>
      </c>
      <c r="F16" s="1">
        <f t="shared" si="2"/>
        <v>4.6797701418215327</v>
      </c>
      <c r="H16">
        <f t="shared" si="9"/>
        <v>1988</v>
      </c>
      <c r="I16">
        <f>[12]stb0303!E30</f>
        <v>5.83</v>
      </c>
      <c r="J16" s="1">
        <f t="shared" si="3"/>
        <v>0.5237825464949929</v>
      </c>
      <c r="K16" s="1">
        <f t="shared" si="4"/>
        <v>3.7766295197922233</v>
      </c>
      <c r="M16" s="36">
        <f t="shared" si="5"/>
        <v>4.0475717064010155</v>
      </c>
      <c r="N16" s="2">
        <f t="shared" si="0"/>
        <v>8.095143412802031</v>
      </c>
      <c r="Y16">
        <f t="shared" si="10"/>
        <v>1988</v>
      </c>
      <c r="Z16">
        <f>[12]stb0303!L30</f>
        <v>2.35</v>
      </c>
      <c r="AA16" s="1">
        <f t="shared" si="6"/>
        <v>0.36262931034482759</v>
      </c>
      <c r="AB16" s="1">
        <f t="shared" si="7"/>
        <v>2.422527602112734</v>
      </c>
    </row>
    <row r="17" spans="3:28" x14ac:dyDescent="0.2">
      <c r="C17">
        <f t="shared" si="8"/>
        <v>1989</v>
      </c>
      <c r="D17">
        <f>[12]stb0524!D49</f>
        <v>1.0209999999999999</v>
      </c>
      <c r="E17" s="1">
        <f t="shared" si="1"/>
        <v>0.62894334532374097</v>
      </c>
      <c r="F17" s="1">
        <f t="shared" si="2"/>
        <v>5.0507878591963893</v>
      </c>
      <c r="H17">
        <f t="shared" si="9"/>
        <v>1989</v>
      </c>
      <c r="I17">
        <f>[12]stb0303!E31</f>
        <v>6.43</v>
      </c>
      <c r="J17" s="1">
        <f t="shared" si="3"/>
        <v>0.57768812589413443</v>
      </c>
      <c r="K17" s="1">
        <f t="shared" si="4"/>
        <v>4.1653049420692962</v>
      </c>
      <c r="M17" s="36">
        <f t="shared" si="5"/>
        <v>4.4309498172074235</v>
      </c>
      <c r="N17" s="2">
        <f t="shared" si="0"/>
        <v>8.8618996344148471</v>
      </c>
      <c r="Y17">
        <f t="shared" si="10"/>
        <v>1989</v>
      </c>
      <c r="Z17">
        <f>[12]stb0303!L31</f>
        <v>2.72</v>
      </c>
      <c r="AA17" s="1">
        <f t="shared" si="6"/>
        <v>0.41972413793103452</v>
      </c>
      <c r="AB17" s="1">
        <f t="shared" si="7"/>
        <v>2.8039468415943136</v>
      </c>
    </row>
    <row r="18" spans="3:28" x14ac:dyDescent="0.2">
      <c r="C18">
        <f t="shared" si="8"/>
        <v>1990</v>
      </c>
      <c r="D18">
        <f>[12]stb0524!D50</f>
        <v>1.1639999999999999</v>
      </c>
      <c r="E18" s="1">
        <f t="shared" si="1"/>
        <v>0.71703237410071941</v>
      </c>
      <c r="F18" s="1">
        <f t="shared" si="2"/>
        <v>5.7581949736577851</v>
      </c>
      <c r="H18">
        <f t="shared" si="9"/>
        <v>1990</v>
      </c>
      <c r="I18">
        <f>[12]stb0303!E32</f>
        <v>7.68</v>
      </c>
      <c r="J18" s="1">
        <f t="shared" si="3"/>
        <v>0.68999141630901284</v>
      </c>
      <c r="K18" s="1">
        <f t="shared" si="4"/>
        <v>4.9750454051465312</v>
      </c>
      <c r="M18" s="36">
        <f t="shared" si="5"/>
        <v>5.2099902756999068</v>
      </c>
      <c r="N18" s="2">
        <f t="shared" si="0"/>
        <v>10.419980551399814</v>
      </c>
      <c r="Y18">
        <f t="shared" si="10"/>
        <v>1990</v>
      </c>
      <c r="Z18">
        <f>[12]stb0303!L32</f>
        <v>3.17</v>
      </c>
      <c r="AA18" s="1">
        <f t="shared" si="6"/>
        <v>0.48916379310344826</v>
      </c>
      <c r="AB18" s="1">
        <f t="shared" si="7"/>
        <v>3.2678351058286665</v>
      </c>
    </row>
    <row r="19" spans="3:28" x14ac:dyDescent="0.2">
      <c r="C19">
        <f t="shared" si="8"/>
        <v>1991</v>
      </c>
      <c r="D19">
        <f>[12]stb0524!D51</f>
        <v>1.1399999999999999</v>
      </c>
      <c r="E19" s="1">
        <f t="shared" si="1"/>
        <v>0.70224820143884892</v>
      </c>
      <c r="F19" s="1">
        <f t="shared" si="2"/>
        <v>5.6394693040978296</v>
      </c>
      <c r="H19">
        <f t="shared" si="9"/>
        <v>1991</v>
      </c>
      <c r="I19">
        <f>[12]stb0303!E33</f>
        <v>7.29</v>
      </c>
      <c r="J19" s="1">
        <f t="shared" si="3"/>
        <v>0.65495278969957083</v>
      </c>
      <c r="K19" s="1">
        <f t="shared" si="4"/>
        <v>4.7224063806664338</v>
      </c>
      <c r="M19" s="36">
        <f t="shared" si="5"/>
        <v>4.9975252576958527</v>
      </c>
      <c r="N19" s="2">
        <f t="shared" si="0"/>
        <v>9.9950505153917053</v>
      </c>
      <c r="Y19">
        <f t="shared" si="10"/>
        <v>1991</v>
      </c>
      <c r="Z19">
        <f>[12]stb0303!L33</f>
        <v>2.62</v>
      </c>
      <c r="AA19" s="1">
        <f t="shared" si="6"/>
        <v>0.4042931034482759</v>
      </c>
      <c r="AB19" s="1">
        <f t="shared" si="7"/>
        <v>2.700860560653346</v>
      </c>
    </row>
    <row r="20" spans="3:28" x14ac:dyDescent="0.2">
      <c r="C20">
        <f t="shared" si="8"/>
        <v>1992</v>
      </c>
      <c r="D20">
        <f>[12]stb0524!D52</f>
        <v>1.127</v>
      </c>
      <c r="E20" s="1">
        <f t="shared" si="1"/>
        <v>0.69424010791366897</v>
      </c>
      <c r="F20" s="1">
        <f t="shared" si="2"/>
        <v>5.5751595664195213</v>
      </c>
      <c r="H20">
        <f t="shared" si="9"/>
        <v>1992</v>
      </c>
      <c r="I20">
        <f>[12]stb0303!E34</f>
        <v>7.09</v>
      </c>
      <c r="J20" s="1">
        <f t="shared" si="3"/>
        <v>0.63698426323319024</v>
      </c>
      <c r="K20" s="1">
        <f t="shared" si="4"/>
        <v>4.5928479065740762</v>
      </c>
      <c r="M20" s="36">
        <f t="shared" si="5"/>
        <v>4.8875414045277097</v>
      </c>
      <c r="N20" s="2">
        <f t="shared" si="0"/>
        <v>9.7750828090554194</v>
      </c>
      <c r="Y20">
        <f t="shared" si="10"/>
        <v>1992</v>
      </c>
      <c r="Z20">
        <f>[12]stb0303!L34</f>
        <v>2.2799999999999998</v>
      </c>
      <c r="AA20" s="1">
        <f t="shared" si="6"/>
        <v>0.35182758620689653</v>
      </c>
      <c r="AB20" s="1">
        <f t="shared" si="7"/>
        <v>2.3503672054540568</v>
      </c>
    </row>
    <row r="21" spans="3:28" x14ac:dyDescent="0.2">
      <c r="C21">
        <f t="shared" si="8"/>
        <v>1993</v>
      </c>
      <c r="D21">
        <f>[12]stb0524!D53</f>
        <v>1.1080000000000001</v>
      </c>
      <c r="E21" s="1">
        <f t="shared" si="1"/>
        <v>0.68253597122302168</v>
      </c>
      <c r="F21" s="1">
        <f>D21/D$22*F$22</f>
        <v>5.4811684113512253</v>
      </c>
      <c r="H21">
        <f t="shared" si="9"/>
        <v>1993</v>
      </c>
      <c r="I21">
        <f>[12]stb0303!E35</f>
        <v>7.08</v>
      </c>
      <c r="J21" s="1">
        <f t="shared" si="3"/>
        <v>0.6360858369098713</v>
      </c>
      <c r="K21" s="1">
        <f>I21/I$22*K$22</f>
        <v>4.5863699828694582</v>
      </c>
      <c r="M21" s="36">
        <f t="shared" si="5"/>
        <v>4.854809511413988</v>
      </c>
      <c r="N21" s="2">
        <f t="shared" si="0"/>
        <v>9.709619022827976</v>
      </c>
      <c r="Y21">
        <f t="shared" si="10"/>
        <v>1993</v>
      </c>
      <c r="Z21">
        <f>[12]stb0303!L35</f>
        <v>2.2599999999999998</v>
      </c>
      <c r="AA21" s="1">
        <f t="shared" si="6"/>
        <v>0.34874137931034482</v>
      </c>
      <c r="AB21" s="1">
        <f>Z21/Z$22*AB$22</f>
        <v>2.3297499492658633</v>
      </c>
    </row>
    <row r="22" spans="3:28" x14ac:dyDescent="0.2">
      <c r="C22">
        <f t="shared" si="8"/>
        <v>1994</v>
      </c>
      <c r="D22">
        <f>[12]stb0524!D54</f>
        <v>1.1120000000000001</v>
      </c>
      <c r="E22" s="1">
        <f>[12]stb0523!Z4</f>
        <v>0.68500000000000005</v>
      </c>
      <c r="F22" s="1">
        <f>[12]stb0523!AD4</f>
        <v>5.5009560229445507</v>
      </c>
      <c r="H22">
        <f t="shared" si="9"/>
        <v>1994</v>
      </c>
      <c r="I22">
        <f>[12]stb0303!E36</f>
        <v>6.99</v>
      </c>
      <c r="J22" s="1">
        <f>[12]stb0523!AA4</f>
        <v>0.628</v>
      </c>
      <c r="K22" s="1">
        <f>[12]stb0523!AE4</f>
        <v>4.5280686695278973</v>
      </c>
      <c r="M22" s="36">
        <f t="shared" si="5"/>
        <v>4.8199348755528932</v>
      </c>
      <c r="N22" s="2">
        <f t="shared" si="0"/>
        <v>9.6398697511057865</v>
      </c>
      <c r="Y22">
        <f t="shared" si="10"/>
        <v>1994</v>
      </c>
      <c r="Z22">
        <f>[12]stb0303!L36</f>
        <v>2.3199999999999998</v>
      </c>
      <c r="AA22" s="1">
        <f>[12]stb0523!AB4</f>
        <v>0.35799999999999998</v>
      </c>
      <c r="AB22" s="1">
        <f>[12]stb0523!AF4</f>
        <v>2.3916017178304436</v>
      </c>
    </row>
    <row r="23" spans="3:28" x14ac:dyDescent="0.2">
      <c r="C23">
        <f t="shared" si="8"/>
        <v>1995</v>
      </c>
      <c r="D23">
        <f>[12]stb0524!D55</f>
        <v>1.147</v>
      </c>
      <c r="E23">
        <f>[12]stb0523!Z5</f>
        <v>0.71399999999999997</v>
      </c>
      <c r="F23" s="1">
        <f>[12]stb0523!AD5</f>
        <v>5.7338432122370921</v>
      </c>
      <c r="H23">
        <f t="shared" si="9"/>
        <v>1995</v>
      </c>
      <c r="I23">
        <f>[12]stb0303!E37</f>
        <v>6.98</v>
      </c>
      <c r="J23" s="1">
        <f>[12]stb0523!AA5</f>
        <v>0.63600000000000001</v>
      </c>
      <c r="K23" s="1">
        <f>[12]stb0523!AE5</f>
        <v>4.5857510729613731</v>
      </c>
      <c r="M23" s="36">
        <f t="shared" si="5"/>
        <v>4.9301787147440885</v>
      </c>
      <c r="N23" s="2">
        <f t="shared" si="0"/>
        <v>9.8603574294881771</v>
      </c>
      <c r="Y23">
        <f t="shared" si="10"/>
        <v>1995</v>
      </c>
      <c r="Z23">
        <f>[12]stb0303!L37</f>
        <v>2.46</v>
      </c>
      <c r="AA23" s="1">
        <f>[12]stb0523!AB5</f>
        <v>0.39700000000000002</v>
      </c>
      <c r="AB23" s="1">
        <f>[12]stb0523!AF5</f>
        <v>2.652139335135995</v>
      </c>
    </row>
    <row r="24" spans="3:28" x14ac:dyDescent="0.2">
      <c r="C24">
        <f t="shared" si="8"/>
        <v>1996</v>
      </c>
      <c r="D24">
        <f>[12]stb0524!D56</f>
        <v>1.2310000000000001</v>
      </c>
      <c r="E24">
        <f>[12]stb0523!Z6</f>
        <v>0.80100000000000005</v>
      </c>
      <c r="F24" s="1">
        <f>[12]stb0523!AD6</f>
        <v>6.4325047801147219</v>
      </c>
      <c r="H24">
        <f t="shared" si="9"/>
        <v>1996</v>
      </c>
      <c r="I24">
        <f>[12]stb0303!E38</f>
        <v>7.87</v>
      </c>
      <c r="J24" s="1">
        <f>[12]stb0523!AA6</f>
        <v>0.75700000000000001</v>
      </c>
      <c r="K24" s="1">
        <f>[12]stb0523!AE6</f>
        <v>5.4581974248927043</v>
      </c>
      <c r="M24" s="36">
        <f t="shared" si="5"/>
        <v>5.7504896314593097</v>
      </c>
      <c r="N24" s="2">
        <f t="shared" si="0"/>
        <v>11.500979262918619</v>
      </c>
      <c r="Y24">
        <f t="shared" si="10"/>
        <v>1996</v>
      </c>
      <c r="Z24">
        <f>[12]stb0303!L38</f>
        <v>2.8</v>
      </c>
      <c r="AA24" s="1">
        <f>[12]stb0523!AB6</f>
        <v>0.46400000000000002</v>
      </c>
      <c r="AB24" s="1">
        <f>[12]stb0523!AF6</f>
        <v>3.0997296007634803</v>
      </c>
    </row>
    <row r="25" spans="3:28" x14ac:dyDescent="0.2">
      <c r="C25">
        <f t="shared" si="8"/>
        <v>1997</v>
      </c>
      <c r="D25">
        <f>[12]stb0524!D57</f>
        <v>1.234</v>
      </c>
      <c r="E25">
        <f>[12]stb0523!Z7</f>
        <v>0.78500000000000003</v>
      </c>
      <c r="F25" s="1">
        <f>[12]stb0523!AD7</f>
        <v>6.3040152963671128</v>
      </c>
      <c r="H25">
        <f t="shared" si="9"/>
        <v>1997</v>
      </c>
      <c r="I25">
        <f>[12]stb0303!E39</f>
        <v>7.66</v>
      </c>
      <c r="J25" s="1">
        <f>[12]stb0523!AA7</f>
        <v>0.71399999999999997</v>
      </c>
      <c r="K25" s="1">
        <f>[12]stb0523!AE7</f>
        <v>5.1481545064377681</v>
      </c>
      <c r="M25" s="36">
        <f t="shared" si="5"/>
        <v>5.4949127434165712</v>
      </c>
      <c r="N25" s="2">
        <f t="shared" si="0"/>
        <v>10.989825486833142</v>
      </c>
      <c r="Y25">
        <f t="shared" si="10"/>
        <v>1997</v>
      </c>
      <c r="Z25">
        <f>[12]stb0303!L39</f>
        <v>2.93</v>
      </c>
      <c r="AA25" s="1">
        <f>[12]stb0523!AB7</f>
        <v>0.42899999999999999</v>
      </c>
      <c r="AB25" s="1">
        <f>[12]stb0523!AF7</f>
        <v>2.8659137903610628</v>
      </c>
    </row>
    <row r="26" spans="3:28" x14ac:dyDescent="0.2">
      <c r="C26">
        <f t="shared" si="8"/>
        <v>1998</v>
      </c>
      <c r="D26">
        <f>[12]stb0524!D58</f>
        <v>1.0589999999999999</v>
      </c>
      <c r="E26">
        <f>[12]stb0523!Z8</f>
        <v>0.61</v>
      </c>
      <c r="F26" s="1">
        <f>[12]stb0523!AD8</f>
        <v>4.8986615678776291</v>
      </c>
      <c r="H26">
        <f t="shared" si="9"/>
        <v>1998</v>
      </c>
      <c r="I26">
        <f>[12]stb0303!E40</f>
        <v>6.57</v>
      </c>
      <c r="J26" s="1">
        <f>[12]stb0523!AA8</f>
        <v>0.56200000000000006</v>
      </c>
      <c r="K26" s="1">
        <f>[12]stb0523!AE8</f>
        <v>4.0521888412017173</v>
      </c>
      <c r="M26" s="36">
        <f t="shared" si="5"/>
        <v>4.3061306592044906</v>
      </c>
      <c r="N26" s="2">
        <f t="shared" si="0"/>
        <v>8.6122613184089811</v>
      </c>
      <c r="Y26">
        <f t="shared" si="10"/>
        <v>1998</v>
      </c>
      <c r="Z26">
        <f>[12]stb0303!L40</f>
        <v>2.15</v>
      </c>
      <c r="AA26" s="1">
        <f>[12]stb0523!AB8</f>
        <v>0.311</v>
      </c>
      <c r="AB26" s="1">
        <f>[12]stb0523!AF8</f>
        <v>2.0776204867186259</v>
      </c>
    </row>
    <row r="27" spans="3:28" x14ac:dyDescent="0.2">
      <c r="C27">
        <f t="shared" si="8"/>
        <v>1999</v>
      </c>
      <c r="D27">
        <f>[12]stb0524!D59</f>
        <v>1.165</v>
      </c>
      <c r="E27">
        <f>[12]stb0523!Z9</f>
        <v>0.70799999999999996</v>
      </c>
      <c r="F27" s="1">
        <f>[12]stb0523!AD9</f>
        <v>5.6856596558317385</v>
      </c>
      <c r="H27">
        <f t="shared" si="9"/>
        <v>1999</v>
      </c>
      <c r="I27">
        <f>[12]stb0303!E41</f>
        <v>7.19</v>
      </c>
      <c r="J27" s="1">
        <f>[12]stb0523!AA9</f>
        <v>0.65400000000000003</v>
      </c>
      <c r="K27" s="1">
        <f>[12]stb0523!AE9</f>
        <v>4.7155364806866951</v>
      </c>
      <c r="M27" s="36">
        <f t="shared" si="5"/>
        <v>5.0065734332302085</v>
      </c>
      <c r="N27" s="2">
        <f t="shared" si="0"/>
        <v>10.013146866460417</v>
      </c>
      <c r="Y27">
        <f t="shared" si="10"/>
        <v>1999</v>
      </c>
      <c r="Z27">
        <f>[12]stb0303!L41</f>
        <v>2.5099999999999998</v>
      </c>
      <c r="AA27" s="1">
        <f>[12]stb0523!AB9</f>
        <v>0.378</v>
      </c>
      <c r="AB27" s="1">
        <f>[12]stb0523!AF9</f>
        <v>2.5252107523461111</v>
      </c>
    </row>
    <row r="28" spans="3:28" x14ac:dyDescent="0.2">
      <c r="C28">
        <f t="shared" si="8"/>
        <v>2000</v>
      </c>
      <c r="D28">
        <f>[12]stb0524!D60</f>
        <v>1.51</v>
      </c>
      <c r="E28">
        <f>[12]stb0523!Z10</f>
        <v>1.044</v>
      </c>
      <c r="F28" s="1">
        <f>[12]stb0523!AD10</f>
        <v>8.3839388145315485</v>
      </c>
      <c r="H28">
        <f t="shared" si="9"/>
        <v>2000</v>
      </c>
      <c r="I28">
        <f>[12]stb0303!E42</f>
        <v>9.86</v>
      </c>
      <c r="J28" s="1">
        <f>[12]stb0523!AA10</f>
        <v>1.006</v>
      </c>
      <c r="K28" s="1">
        <f>[12]stb0523!AE10</f>
        <v>7.2535622317596564</v>
      </c>
      <c r="M28" s="36">
        <f t="shared" si="5"/>
        <v>7.592675206591224</v>
      </c>
      <c r="N28" s="2">
        <f t="shared" si="0"/>
        <v>15.185350413182448</v>
      </c>
      <c r="Y28">
        <f t="shared" si="10"/>
        <v>2000</v>
      </c>
      <c r="Z28">
        <f>[12]stb0303!L42</f>
        <v>4.32</v>
      </c>
      <c r="AA28" s="1">
        <f>[12]stb0523!AB10</f>
        <v>0.60899999999999999</v>
      </c>
      <c r="AB28" s="1">
        <f>[12]stb0523!AF10</f>
        <v>4.0683951010020678</v>
      </c>
    </row>
    <row r="29" spans="3:28" x14ac:dyDescent="0.2">
      <c r="C29">
        <f t="shared" si="8"/>
        <v>2001</v>
      </c>
      <c r="D29">
        <f>[12]stb0524!D61</f>
        <v>1.4610000000000001</v>
      </c>
      <c r="E29">
        <f>[12]stb0523!Z11</f>
        <v>0.96799999999999997</v>
      </c>
      <c r="F29" s="1">
        <f>[12]stb0523!AD11</f>
        <v>7.7736137667304002</v>
      </c>
      <c r="H29">
        <f t="shared" si="9"/>
        <v>2001</v>
      </c>
      <c r="I29">
        <f>[12]stb0303!E43</f>
        <v>9.18</v>
      </c>
      <c r="J29" s="1">
        <f>[12]stb0523!AA11</f>
        <v>0.91200000000000003</v>
      </c>
      <c r="K29" s="1">
        <f>[12]stb0523!AE11</f>
        <v>6.575793991416309</v>
      </c>
      <c r="M29" s="36">
        <f t="shared" si="5"/>
        <v>6.935139924010536</v>
      </c>
      <c r="N29" s="2">
        <f t="shared" si="0"/>
        <v>13.870279848021072</v>
      </c>
      <c r="Y29">
        <f t="shared" si="10"/>
        <v>2001</v>
      </c>
      <c r="Z29">
        <f>[12]stb0303!L43</f>
        <v>3.99</v>
      </c>
      <c r="AA29" s="1">
        <f>[12]stb0523!AB11</f>
        <v>0.53300000000000003</v>
      </c>
      <c r="AB29" s="1">
        <f>[12]stb0523!AF11</f>
        <v>3.5606807698425329</v>
      </c>
    </row>
    <row r="30" spans="3:28" x14ac:dyDescent="0.2">
      <c r="C30">
        <f t="shared" si="8"/>
        <v>2002</v>
      </c>
      <c r="D30">
        <f>[12]stb0524!D62</f>
        <v>1.3580000000000001</v>
      </c>
      <c r="E30">
        <f>[12]stb0523!Z12</f>
        <v>0.90100000000000002</v>
      </c>
      <c r="F30" s="1">
        <f>[12]stb0523!AD12</f>
        <v>7.235564053537284</v>
      </c>
      <c r="H30">
        <f t="shared" si="9"/>
        <v>2002</v>
      </c>
      <c r="I30">
        <f>[12]stb0303!E44</f>
        <v>8.64</v>
      </c>
      <c r="J30" s="1">
        <f>[12]stb0523!AA12</f>
        <v>0.83699999999999997</v>
      </c>
      <c r="K30" s="1">
        <f>[12]stb0523!AE12</f>
        <v>6.035021459227468</v>
      </c>
      <c r="M30" s="36">
        <f t="shared" si="5"/>
        <v>6.3951842375204127</v>
      </c>
      <c r="N30" s="2">
        <f t="shared" si="0"/>
        <v>12.790368475040825</v>
      </c>
      <c r="Y30">
        <f t="shared" si="10"/>
        <v>2002</v>
      </c>
      <c r="Z30">
        <f>[12]stb0303!L44</f>
        <v>3.91</v>
      </c>
      <c r="AA30" s="1">
        <f>[12]stb0523!AB12</f>
        <v>0.56100000000000005</v>
      </c>
      <c r="AB30" s="1">
        <f>[12]stb0523!AF12</f>
        <v>3.7477334181644668</v>
      </c>
    </row>
    <row r="31" spans="3:28" x14ac:dyDescent="0.2">
      <c r="C31">
        <f t="shared" si="8"/>
        <v>2003</v>
      </c>
      <c r="D31">
        <f>[12]stb0524!D63</f>
        <v>1.591</v>
      </c>
      <c r="E31">
        <f>[12]stb0523!Z13</f>
        <v>1.0820000000000001</v>
      </c>
      <c r="F31" s="1">
        <f>[12]stb0523!AD13</f>
        <v>8.6891013384321223</v>
      </c>
      <c r="H31">
        <f t="shared" si="9"/>
        <v>2003</v>
      </c>
      <c r="I31">
        <f>[12]stb0303!E45</f>
        <v>10.050000000000001</v>
      </c>
      <c r="J31" s="1">
        <f>[12]stb0523!AA13</f>
        <v>1.008</v>
      </c>
      <c r="K31" s="1">
        <f>[12]stb0523!AE13</f>
        <v>7.267982832618026</v>
      </c>
      <c r="M31" s="36">
        <f t="shared" si="5"/>
        <v>7.6943183843622549</v>
      </c>
      <c r="N31" s="2">
        <f t="shared" si="0"/>
        <v>15.38863676872451</v>
      </c>
      <c r="Y31">
        <f t="shared" si="10"/>
        <v>2003</v>
      </c>
      <c r="Z31">
        <f>[12]stb0303!L45</f>
        <v>4.75</v>
      </c>
      <c r="AA31" s="1">
        <f>[12]stb0523!AB13</f>
        <v>0.69599999999999995</v>
      </c>
      <c r="AB31" s="1">
        <f>[12]stb0523!AF13</f>
        <v>4.6495944011452197</v>
      </c>
    </row>
    <row r="32" spans="3:28" x14ac:dyDescent="0.2">
      <c r="C32">
        <f t="shared" si="8"/>
        <v>2004</v>
      </c>
      <c r="D32">
        <f>[12]stb0524!D64</f>
        <v>1.88</v>
      </c>
      <c r="E32">
        <f>[12]stb0523!Z14</f>
        <v>1.373</v>
      </c>
      <c r="F32" s="1">
        <f>[12]stb0523!AD14</f>
        <v>11.026003824091777</v>
      </c>
      <c r="H32">
        <f t="shared" si="9"/>
        <v>2004</v>
      </c>
      <c r="I32">
        <f>[12]stb0303!E46</f>
        <v>12.23</v>
      </c>
      <c r="J32" s="1">
        <f>[12]stb0523!AA14</f>
        <v>1.3160000000000001</v>
      </c>
      <c r="K32" s="1">
        <f>[12]stb0523!AE14</f>
        <v>9.4887553648068668</v>
      </c>
      <c r="M32" s="36">
        <f t="shared" si="5"/>
        <v>9.9499299025923396</v>
      </c>
      <c r="N32" s="2">
        <f t="shared" si="0"/>
        <v>19.899859805184679</v>
      </c>
      <c r="Y32">
        <f t="shared" si="10"/>
        <v>2004</v>
      </c>
      <c r="Z32">
        <f>[12]stb0303!L46</f>
        <v>4.92</v>
      </c>
      <c r="AA32" s="1">
        <f>[12]stb0523!AB14</f>
        <v>0.72499999999999998</v>
      </c>
      <c r="AB32" s="1">
        <f>[12]stb0523!AF14</f>
        <v>4.8433275011929382</v>
      </c>
    </row>
    <row r="33" spans="3:28" x14ac:dyDescent="0.2">
      <c r="C33">
        <f t="shared" si="8"/>
        <v>2005</v>
      </c>
      <c r="D33">
        <f>[12]stb0524!D65</f>
        <v>2.2949999999999999</v>
      </c>
      <c r="E33">
        <f>[12]stb0523!Z15</f>
        <v>1.7889999999999999</v>
      </c>
      <c r="F33" s="1">
        <f>[12]stb0523!AD15</f>
        <v>14.366730401529635</v>
      </c>
      <c r="H33">
        <f t="shared" si="9"/>
        <v>2005</v>
      </c>
      <c r="I33">
        <f>[12]stb0303!E47</f>
        <v>16.41</v>
      </c>
      <c r="J33" s="1">
        <f>[12]stb0523!AA15</f>
        <v>1.8859999999999999</v>
      </c>
      <c r="K33" s="1">
        <f>[12]stb0523!AE15</f>
        <v>13.598626609442059</v>
      </c>
      <c r="M33" s="36">
        <f t="shared" si="5"/>
        <v>13.82905774706833</v>
      </c>
      <c r="N33" s="2">
        <f t="shared" si="0"/>
        <v>27.658115494136659</v>
      </c>
      <c r="Y33">
        <f t="shared" si="10"/>
        <v>2005</v>
      </c>
      <c r="Z33">
        <f>[12]stb0303!L47</f>
        <v>6.65</v>
      </c>
      <c r="AA33" s="1">
        <f>[12]stb0523!AB15</f>
        <v>1.0409999999999999</v>
      </c>
      <c r="AB33" s="1">
        <f>[12]stb0523!AF15</f>
        <v>6.9543502465404803</v>
      </c>
    </row>
    <row r="34" spans="3:28" x14ac:dyDescent="0.2">
      <c r="C34">
        <f t="shared" si="8"/>
        <v>2006</v>
      </c>
      <c r="D34">
        <f>[12]stb0524!D66</f>
        <v>2.589</v>
      </c>
      <c r="E34">
        <f>[12]stb0523!Z16</f>
        <v>2.073</v>
      </c>
      <c r="F34" s="1">
        <f>[12]stb0523!AD16</f>
        <v>16.647418738049712</v>
      </c>
      <c r="H34">
        <f t="shared" si="9"/>
        <v>2006</v>
      </c>
      <c r="I34">
        <f>[12]stb0303!E48</f>
        <v>18.55</v>
      </c>
      <c r="J34" s="1">
        <f>[12]stb0523!AA16</f>
        <v>2.165</v>
      </c>
      <c r="K34" s="1">
        <f>[12]stb0523!AE16</f>
        <v>15.610300429184548</v>
      </c>
      <c r="M34" s="36">
        <f t="shared" si="5"/>
        <v>15.921435921844097</v>
      </c>
      <c r="N34" s="2">
        <f t="shared" si="0"/>
        <v>31.842871843688194</v>
      </c>
      <c r="Y34">
        <f t="shared" si="10"/>
        <v>2006</v>
      </c>
      <c r="Z34">
        <f>[12]stb0303!L48</f>
        <v>7.93</v>
      </c>
      <c r="AA34" s="1">
        <f>[12]stb0523!AB16</f>
        <v>1.212</v>
      </c>
      <c r="AB34" s="1">
        <f>[12]stb0523!AF16</f>
        <v>8.0967074916494362</v>
      </c>
    </row>
    <row r="35" spans="3:28" x14ac:dyDescent="0.2">
      <c r="C35">
        <f t="shared" si="8"/>
        <v>2007</v>
      </c>
      <c r="D35">
        <f>[12]stb0524!D67</f>
        <v>2.8010000000000002</v>
      </c>
      <c r="E35">
        <f>[12]stb0523!Z17</f>
        <v>2.2970000000000002</v>
      </c>
      <c r="F35" s="1">
        <f>[12]stb0523!AD17</f>
        <v>18.446271510516254</v>
      </c>
      <c r="H35">
        <f t="shared" si="9"/>
        <v>2007</v>
      </c>
      <c r="I35">
        <f>[12]stb0303!E49</f>
        <v>19.87</v>
      </c>
      <c r="J35" s="1">
        <f>[12]stb0523!AA17</f>
        <v>2.3479999999999999</v>
      </c>
      <c r="K35" s="1">
        <f>[12]stb0523!AE17</f>
        <v>16.929785407725319</v>
      </c>
      <c r="M35" s="36">
        <f t="shared" si="5"/>
        <v>17.384731238562601</v>
      </c>
      <c r="N35" s="2">
        <f t="shared" si="0"/>
        <v>34.769462477125202</v>
      </c>
      <c r="Y35">
        <f t="shared" si="10"/>
        <v>2007</v>
      </c>
      <c r="Z35">
        <f>[12]stb0303!L49</f>
        <v>8.57</v>
      </c>
      <c r="AA35" s="1">
        <f>[12]stb0523!AB17</f>
        <v>1.3759999999999999</v>
      </c>
      <c r="AB35" s="1">
        <f>[12]stb0523!AF17</f>
        <v>9.1923015746779058</v>
      </c>
    </row>
    <row r="36" spans="3:28" x14ac:dyDescent="0.2">
      <c r="C36">
        <f t="shared" si="8"/>
        <v>2008</v>
      </c>
      <c r="D36">
        <f>[12]stb0524!D68</f>
        <v>3.266</v>
      </c>
      <c r="E36">
        <f>[12]stb0523!Z18</f>
        <v>2.7309999999999999</v>
      </c>
      <c r="F36" s="1">
        <f>[12]stb0523!AD18</f>
        <v>21.931548757170169</v>
      </c>
      <c r="H36">
        <f t="shared" si="9"/>
        <v>2008</v>
      </c>
      <c r="I36">
        <f>[12]stb0303!E50</f>
        <v>26.33</v>
      </c>
      <c r="J36" s="1">
        <f>[12]stb0523!AA18</f>
        <v>3.23</v>
      </c>
      <c r="K36" s="1">
        <f>[12]stb0523!AE18</f>
        <v>23.289270386266089</v>
      </c>
      <c r="M36" s="36">
        <f t="shared" si="5"/>
        <v>22.881953897537311</v>
      </c>
      <c r="N36" s="2">
        <f t="shared" si="0"/>
        <v>45.763907795074623</v>
      </c>
      <c r="Y36">
        <f t="shared" si="10"/>
        <v>2008</v>
      </c>
      <c r="Z36">
        <f>[12]stb0303!L50</f>
        <v>12.64</v>
      </c>
      <c r="AA36" s="1">
        <f>[12]stb0523!AB18</f>
        <v>1.944</v>
      </c>
      <c r="AB36" s="1">
        <f>[12]stb0523!AF18</f>
        <v>12.986798154922855</v>
      </c>
    </row>
    <row r="37" spans="3:28" x14ac:dyDescent="0.2">
      <c r="C37">
        <f t="shared" si="8"/>
        <v>2009</v>
      </c>
      <c r="D37">
        <f>[12]stb0524!D69</f>
        <v>2.35</v>
      </c>
      <c r="E37">
        <f>[12]stb0523!Z19</f>
        <v>1.8420000000000001</v>
      </c>
      <c r="F37" s="1">
        <f>[12]stb0523!AD19</f>
        <v>14.792351816443595</v>
      </c>
      <c r="H37">
        <f t="shared" si="9"/>
        <v>2009</v>
      </c>
      <c r="I37">
        <f>[12]stb0303!E51</f>
        <v>16.98</v>
      </c>
      <c r="J37" s="1">
        <f>[12]stb0523!AA19</f>
        <v>1.9179999999999999</v>
      </c>
      <c r="K37" s="1">
        <f>[12]stb0523!AE19</f>
        <v>13.829356223175964</v>
      </c>
      <c r="M37" s="36">
        <f t="shared" si="5"/>
        <v>14.118254901156252</v>
      </c>
      <c r="N37" s="2">
        <f t="shared" si="0"/>
        <v>28.236509802312504</v>
      </c>
      <c r="Y37">
        <f t="shared" si="10"/>
        <v>2009</v>
      </c>
      <c r="Z37">
        <f>[12]stb0303!L51</f>
        <v>9.69</v>
      </c>
      <c r="AA37" s="1">
        <f>[12]stb0523!AB19</f>
        <v>1.34</v>
      </c>
      <c r="AB37" s="1">
        <f>[12]stb0523!AF19</f>
        <v>8.9518053125497055</v>
      </c>
    </row>
    <row r="38" spans="3:28" x14ac:dyDescent="0.2">
      <c r="C38">
        <f t="shared" si="8"/>
        <v>2010</v>
      </c>
      <c r="D38">
        <f>[12]stb0524!D70</f>
        <v>2.7879999999999998</v>
      </c>
      <c r="E38">
        <f>[12]stb0523!Z20</f>
        <v>2.2669999999999999</v>
      </c>
      <c r="F38" s="1">
        <f>[12]stb0523!AD20</f>
        <v>18.205353728489481</v>
      </c>
      <c r="H38">
        <f t="shared" si="9"/>
        <v>2010</v>
      </c>
      <c r="I38" s="2">
        <f>((2.147/1.657)*I37)</f>
        <v>22.001243210621602</v>
      </c>
      <c r="J38" s="1">
        <f>[12]stb0523!AA20</f>
        <v>2.415</v>
      </c>
      <c r="K38" s="1">
        <f>[12]stb0523!AE20</f>
        <v>17.412875536480687</v>
      </c>
      <c r="M38" s="36">
        <f t="shared" si="5"/>
        <v>17.650618994083324</v>
      </c>
      <c r="N38" s="2">
        <f t="shared" si="0"/>
        <v>35.301237988166648</v>
      </c>
      <c r="Y38">
        <f t="shared" si="10"/>
        <v>2010</v>
      </c>
      <c r="Z38">
        <f>[12]stb0303!L52</f>
        <v>0</v>
      </c>
      <c r="AA38" s="1">
        <f>[12]stb0523!AB20</f>
        <v>1.7290000000000001</v>
      </c>
      <c r="AB38" s="1">
        <f>[12]stb0523!AF20</f>
        <v>11.550501033879435</v>
      </c>
    </row>
    <row r="39" spans="3:28" x14ac:dyDescent="0.2">
      <c r="C39">
        <f t="shared" si="8"/>
        <v>2011</v>
      </c>
      <c r="D39">
        <v>3.5270000000000001</v>
      </c>
      <c r="E39" s="1">
        <f>[12]stb0523!Z21</f>
        <v>3.0049326379834849</v>
      </c>
      <c r="F39" s="1">
        <f>[12]stb0523!AD21</f>
        <v>24.1313902094276</v>
      </c>
      <c r="H39">
        <f t="shared" si="9"/>
        <v>2011</v>
      </c>
      <c r="I39" s="2">
        <f>(2.907/2.147)*I38</f>
        <v>29.78929390464695</v>
      </c>
      <c r="J39" s="1">
        <f>[12]stb0523!AA21</f>
        <v>3.2530488331892826</v>
      </c>
      <c r="K39" s="1">
        <f>[12]stb0523!AE21</f>
        <v>23.455459398102981</v>
      </c>
      <c r="M39" s="36">
        <f t="shared" si="5"/>
        <v>23.658238641500368</v>
      </c>
      <c r="N39" s="2">
        <f t="shared" si="0"/>
        <v>47.316477283000737</v>
      </c>
    </row>
    <row r="40" spans="3:28" x14ac:dyDescent="0.2">
      <c r="C40">
        <f t="shared" si="8"/>
        <v>2012</v>
      </c>
      <c r="D40">
        <v>3.6440000000000001</v>
      </c>
      <c r="E40" s="1">
        <f>[12]stb0523!Z22</f>
        <v>3.1073959148196431</v>
      </c>
      <c r="F40" s="1">
        <f>[12]stb0523!AD22</f>
        <v>24.954231055913002</v>
      </c>
      <c r="H40">
        <f t="shared" si="9"/>
        <v>2012</v>
      </c>
      <c r="I40" s="2">
        <f>(3.031/2.907)*39</f>
        <v>40.663570691434472</v>
      </c>
      <c r="J40" s="1">
        <f>[12]stb0523!AA22</f>
        <v>3.3417588591184093</v>
      </c>
      <c r="K40" s="1">
        <f>[12]stb0523!AE22</f>
        <v>24.095085336132737</v>
      </c>
      <c r="M40" s="36">
        <f t="shared" si="5"/>
        <v>24.352829052066813</v>
      </c>
      <c r="N40" s="2">
        <f t="shared" si="0"/>
        <v>48.705658104133626</v>
      </c>
    </row>
    <row r="41" spans="3:28" x14ac:dyDescent="0.2">
      <c r="C41">
        <f t="shared" si="8"/>
        <v>2013</v>
      </c>
      <c r="D41">
        <v>3.5259999999999998</v>
      </c>
      <c r="E41" s="1">
        <f>[12]stb0523!Z23</f>
        <v>2.9048952483232866</v>
      </c>
      <c r="F41" s="1">
        <f>[12]stb0523!AD23</f>
        <v>23.328030674871517</v>
      </c>
      <c r="H41">
        <f t="shared" si="9"/>
        <v>2013</v>
      </c>
      <c r="I41" s="2">
        <f>(2.966/3.031)*I40</f>
        <v>39.791537667698663</v>
      </c>
      <c r="J41" s="1">
        <f>[12]stb0523!AA23</f>
        <v>3.2582670700086425</v>
      </c>
      <c r="K41" s="1">
        <f>[12]stb0523!AE23</f>
        <v>23.493084453281199</v>
      </c>
      <c r="M41" s="36">
        <f t="shared" si="5"/>
        <v>23.443568319758295</v>
      </c>
      <c r="N41" s="2">
        <f t="shared" si="0"/>
        <v>46.887136639516591</v>
      </c>
    </row>
    <row r="42" spans="3:28" x14ac:dyDescent="0.2">
      <c r="C42">
        <f t="shared" si="8"/>
        <v>2014</v>
      </c>
      <c r="D42">
        <v>3.367</v>
      </c>
      <c r="E42" s="1">
        <f>[12]stb0523!Z24</f>
        <v>2.7200642617130151</v>
      </c>
      <c r="F42" s="1">
        <f>[12]stb0523!AD24</f>
        <v>21.843728296739314</v>
      </c>
      <c r="H42">
        <f t="shared" si="9"/>
        <v>2014</v>
      </c>
      <c r="I42" s="2">
        <f>(2.741/2.966)*I41</f>
        <v>36.772961816305475</v>
      </c>
      <c r="J42" s="1">
        <f>[12]stb0523!AA24</f>
        <v>3.0505812445980984</v>
      </c>
      <c r="K42" s="1">
        <f>[12]stb0523!AE24</f>
        <v>21.995607257188006</v>
      </c>
      <c r="M42" s="36">
        <f t="shared" si="5"/>
        <v>21.950043569053395</v>
      </c>
      <c r="N42" s="2">
        <f t="shared" si="0"/>
        <v>43.900087138106791</v>
      </c>
    </row>
    <row r="43" spans="3:28" x14ac:dyDescent="0.2">
      <c r="C43">
        <v>2015</v>
      </c>
      <c r="D43">
        <v>2.448</v>
      </c>
      <c r="E43">
        <f>[12]stb0523!Z25</f>
        <v>0</v>
      </c>
      <c r="F43" s="1">
        <f>[12]stb0523!AD25</f>
        <v>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B38"/>
  <sheetViews>
    <sheetView topLeftCell="A15" workbookViewId="0">
      <selection activeCell="H43" sqref="H43"/>
    </sheetView>
  </sheetViews>
  <sheetFormatPr defaultRowHeight="12.75" x14ac:dyDescent="0.2"/>
  <cols>
    <col min="5" max="5" width="9.5703125" bestFit="1" customWidth="1"/>
    <col min="6" max="6" width="10.5703125" bestFit="1" customWidth="1"/>
    <col min="13" max="13" width="10.5703125" bestFit="1" customWidth="1"/>
  </cols>
  <sheetData>
    <row r="2" spans="3:28" x14ac:dyDescent="0.2">
      <c r="C2" t="s">
        <v>92</v>
      </c>
      <c r="H2" t="s">
        <v>93</v>
      </c>
      <c r="M2" t="s">
        <v>185</v>
      </c>
      <c r="Q2">
        <v>0.3</v>
      </c>
      <c r="R2">
        <v>0.7</v>
      </c>
      <c r="T2" t="s">
        <v>187</v>
      </c>
      <c r="W2">
        <v>2</v>
      </c>
      <c r="Y2" t="s">
        <v>154</v>
      </c>
    </row>
    <row r="3" spans="3:28" x14ac:dyDescent="0.2">
      <c r="I3" t="s">
        <v>150</v>
      </c>
      <c r="J3" t="s">
        <v>137</v>
      </c>
      <c r="K3" t="s">
        <v>138</v>
      </c>
      <c r="Z3" t="s">
        <v>154</v>
      </c>
      <c r="AA3" t="s">
        <v>137</v>
      </c>
      <c r="AB3" t="s">
        <v>138</v>
      </c>
    </row>
    <row r="4" spans="3:28" x14ac:dyDescent="0.2">
      <c r="D4" t="s">
        <v>27</v>
      </c>
      <c r="E4" t="s">
        <v>137</v>
      </c>
      <c r="F4" t="s">
        <v>138</v>
      </c>
      <c r="I4" t="s">
        <v>184</v>
      </c>
      <c r="M4" t="s">
        <v>186</v>
      </c>
      <c r="Z4" t="s">
        <v>184</v>
      </c>
    </row>
    <row r="5" spans="3:28" x14ac:dyDescent="0.2">
      <c r="C5">
        <f>1977</f>
        <v>1977</v>
      </c>
      <c r="D5">
        <f>'stb0524'!D37</f>
        <v>0.65600000000000003</v>
      </c>
      <c r="E5" s="1">
        <f>D5/D$22*E$22</f>
        <v>0.40410071942446046</v>
      </c>
      <c r="F5" s="1">
        <f>D5/D$22*F$22</f>
        <v>3.2451683013054184</v>
      </c>
      <c r="H5">
        <f>1977</f>
        <v>1977</v>
      </c>
      <c r="I5">
        <f>'stb0303'!E19</f>
        <v>3.11</v>
      </c>
      <c r="J5" s="1">
        <f>I5/I$22*J$22</f>
        <v>0.27941058655221745</v>
      </c>
      <c r="K5" s="1">
        <f>I5/I$22*K$22</f>
        <v>2.0146342721361603</v>
      </c>
      <c r="M5" s="36">
        <f>$Q$2*F5+$R$2*K5</f>
        <v>2.3837944808869374</v>
      </c>
      <c r="N5" s="2">
        <f t="shared" ref="N5:N38" si="0">M5*W$2</f>
        <v>4.7675889617738747</v>
      </c>
      <c r="Y5">
        <f>1977</f>
        <v>1977</v>
      </c>
      <c r="Z5">
        <f>'stb0303'!L19</f>
        <v>2.14</v>
      </c>
      <c r="AA5" s="1">
        <f>Z5/Z$22*AA$22</f>
        <v>0.3302241379310345</v>
      </c>
      <c r="AB5" s="1">
        <f>Z5/Z$22*AB$22</f>
        <v>2.2060464121367027</v>
      </c>
    </row>
    <row r="6" spans="3:28" x14ac:dyDescent="0.2">
      <c r="C6">
        <f>C5+1</f>
        <v>1978</v>
      </c>
      <c r="D6">
        <f>'stb0524'!D38</f>
        <v>0.67</v>
      </c>
      <c r="E6" s="1">
        <f t="shared" ref="E6:E21" si="1">D6/D$22*E$22</f>
        <v>0.41272482014388495</v>
      </c>
      <c r="F6" s="1">
        <f t="shared" ref="F6:F20" si="2">D6/D$22*F$22</f>
        <v>3.3144249418820584</v>
      </c>
      <c r="H6">
        <f>H5+1</f>
        <v>1978</v>
      </c>
      <c r="I6">
        <f>'stb0303'!E20</f>
        <v>3.26</v>
      </c>
      <c r="J6" s="1">
        <f t="shared" ref="J6" si="3">I6/I$22*J$22</f>
        <v>0.29288698140200281</v>
      </c>
      <c r="K6" s="1">
        <f t="shared" ref="K6:K20" si="4">I6/I$22*K$22</f>
        <v>2.1118031277054281</v>
      </c>
      <c r="M6" s="36">
        <f t="shared" ref="M6:M38" si="5">$Q$2*F6+$R$2*K6</f>
        <v>2.4725896719584171</v>
      </c>
      <c r="N6" s="2">
        <f t="shared" si="0"/>
        <v>4.9451793439168341</v>
      </c>
      <c r="Y6">
        <f>Y5+1</f>
        <v>1978</v>
      </c>
      <c r="Z6">
        <f>'stb0303'!L20</f>
        <v>2.08</v>
      </c>
      <c r="AA6" s="1">
        <f t="shared" ref="AA6" si="6">Z6/Z$22*AA$22</f>
        <v>0.32096551724137934</v>
      </c>
      <c r="AB6" s="1">
        <f t="shared" ref="AB6:AB20" si="7">Z6/Z$22*AB$22</f>
        <v>2.144194643572122</v>
      </c>
    </row>
    <row r="7" spans="3:28" x14ac:dyDescent="0.2">
      <c r="C7">
        <f t="shared" ref="C7:C22" si="8">C6+1</f>
        <v>1979</v>
      </c>
      <c r="D7">
        <f>'stb0524'!D39</f>
        <v>0.90300000000000002</v>
      </c>
      <c r="E7" s="1">
        <f t="shared" si="1"/>
        <v>0.55625449640287772</v>
      </c>
      <c r="F7" s="1">
        <f t="shared" si="2"/>
        <v>4.4670533171932814</v>
      </c>
      <c r="H7">
        <f t="shared" ref="H7:H38" si="9">H6+1</f>
        <v>1979</v>
      </c>
      <c r="I7">
        <f>'stb0303'!E21</f>
        <v>4.6900000000000004</v>
      </c>
      <c r="J7" s="1">
        <f t="shared" ref="J7" si="10">I7/I$22*J$22</f>
        <v>0.42136194563662377</v>
      </c>
      <c r="K7" s="1">
        <f t="shared" si="4"/>
        <v>3.0381462174657856</v>
      </c>
      <c r="M7" s="36">
        <f t="shared" si="5"/>
        <v>3.4668183473840344</v>
      </c>
      <c r="N7" s="2">
        <f t="shared" si="0"/>
        <v>6.9336366947680688</v>
      </c>
      <c r="Y7">
        <f t="shared" ref="Y7:Y38" si="11">Y6+1</f>
        <v>1979</v>
      </c>
      <c r="Z7">
        <f>'stb0303'!L21</f>
        <v>2.83</v>
      </c>
      <c r="AA7" s="1">
        <f t="shared" ref="AA7" si="12">Z7/Z$22*AA$22</f>
        <v>0.43669827586206894</v>
      </c>
      <c r="AB7" s="1">
        <f t="shared" si="7"/>
        <v>2.9173417506293773</v>
      </c>
    </row>
    <row r="8" spans="3:28" x14ac:dyDescent="0.2">
      <c r="C8">
        <f t="shared" si="8"/>
        <v>1980</v>
      </c>
      <c r="D8">
        <f>'stb0524'!D40</f>
        <v>1.2450000000000001</v>
      </c>
      <c r="E8" s="1">
        <f t="shared" si="1"/>
        <v>0.76692895683453244</v>
      </c>
      <c r="F8" s="1">
        <f t="shared" si="2"/>
        <v>6.158894108422631</v>
      </c>
      <c r="H8">
        <f t="shared" si="9"/>
        <v>1980</v>
      </c>
      <c r="I8">
        <f>'stb0303'!E22</f>
        <v>6.7</v>
      </c>
      <c r="J8" s="1">
        <f t="shared" ref="J8" si="13">I8/I$22*J$22</f>
        <v>0.60194563662374823</v>
      </c>
      <c r="K8" s="1">
        <f t="shared" si="4"/>
        <v>4.3402088820939788</v>
      </c>
      <c r="M8" s="36">
        <f t="shared" si="5"/>
        <v>4.8858144499925746</v>
      </c>
      <c r="N8" s="2">
        <f t="shared" si="0"/>
        <v>9.7716288999851493</v>
      </c>
      <c r="Y8">
        <f t="shared" si="11"/>
        <v>1980</v>
      </c>
      <c r="Z8">
        <f>'stb0303'!L22</f>
        <v>3.88</v>
      </c>
      <c r="AA8" s="1">
        <f t="shared" ref="AA8" si="14">Z8/Z$22*AA$22</f>
        <v>0.59872413793103452</v>
      </c>
      <c r="AB8" s="1">
        <f t="shared" si="7"/>
        <v>3.9997477005095354</v>
      </c>
    </row>
    <row r="9" spans="3:28" x14ac:dyDescent="0.2">
      <c r="C9">
        <f t="shared" si="8"/>
        <v>1981</v>
      </c>
      <c r="D9">
        <f>'stb0524'!D41</f>
        <v>1.3779999999999999</v>
      </c>
      <c r="E9" s="1">
        <f t="shared" si="1"/>
        <v>0.84885791366906471</v>
      </c>
      <c r="F9" s="1">
        <f t="shared" si="2"/>
        <v>6.8168321939007104</v>
      </c>
      <c r="H9">
        <f t="shared" si="9"/>
        <v>1981</v>
      </c>
      <c r="I9">
        <f>'stb0303'!E23</f>
        <v>8.0299999999999994</v>
      </c>
      <c r="J9" s="1">
        <f t="shared" ref="J9" si="15">I9/I$22*J$22</f>
        <v>0.72143633762517878</v>
      </c>
      <c r="K9" s="1">
        <f t="shared" si="4"/>
        <v>5.2017727348081566</v>
      </c>
      <c r="M9" s="36">
        <f t="shared" si="5"/>
        <v>5.6862905725359223</v>
      </c>
      <c r="N9" s="2">
        <f t="shared" si="0"/>
        <v>11.372581145071845</v>
      </c>
      <c r="Y9">
        <f t="shared" si="11"/>
        <v>1981</v>
      </c>
      <c r="Z9">
        <f>'stb0303'!L23</f>
        <v>4.91</v>
      </c>
      <c r="AA9" s="1">
        <f t="shared" ref="AA9" si="16">Z9/Z$22*AA$22</f>
        <v>0.75766379310344834</v>
      </c>
      <c r="AB9" s="1">
        <f t="shared" si="7"/>
        <v>5.0615363942015001</v>
      </c>
    </row>
    <row r="10" spans="3:28" x14ac:dyDescent="0.2">
      <c r="C10">
        <f t="shared" si="8"/>
        <v>1982</v>
      </c>
      <c r="D10">
        <f>'stb0524'!D42</f>
        <v>1.296</v>
      </c>
      <c r="E10" s="1">
        <f t="shared" si="1"/>
        <v>0.7983453237410072</v>
      </c>
      <c r="F10" s="1">
        <f t="shared" si="2"/>
        <v>6.411186156237533</v>
      </c>
      <c r="H10">
        <f t="shared" si="9"/>
        <v>1982</v>
      </c>
      <c r="I10">
        <f>'stb0303'!E24</f>
        <v>7.78</v>
      </c>
      <c r="J10" s="1">
        <f t="shared" ref="J10" si="17">I10/I$22*J$22</f>
        <v>0.69897567954220319</v>
      </c>
      <c r="K10" s="1">
        <f t="shared" si="4"/>
        <v>5.03982464219271</v>
      </c>
      <c r="M10" s="36">
        <f t="shared" si="5"/>
        <v>5.4512330964061562</v>
      </c>
      <c r="N10" s="2">
        <f t="shared" si="0"/>
        <v>10.902466192812312</v>
      </c>
      <c r="Y10">
        <f t="shared" si="11"/>
        <v>1982</v>
      </c>
      <c r="Z10">
        <f>'stb0303'!L24</f>
        <v>4.6500000000000004</v>
      </c>
      <c r="AA10" s="1">
        <f t="shared" ref="AA10" si="18">Z10/Z$22*AA$22</f>
        <v>0.71754310344827588</v>
      </c>
      <c r="AB10" s="1">
        <f t="shared" si="7"/>
        <v>4.7935120637549842</v>
      </c>
    </row>
    <row r="11" spans="3:28" x14ac:dyDescent="0.2">
      <c r="C11">
        <f t="shared" si="8"/>
        <v>1983</v>
      </c>
      <c r="D11">
        <f>'stb0524'!D43</f>
        <v>1.2410000000000001</v>
      </c>
      <c r="E11" s="1">
        <f t="shared" si="1"/>
        <v>0.76446492805755406</v>
      </c>
      <c r="F11" s="1">
        <f t="shared" si="2"/>
        <v>6.1391064968293056</v>
      </c>
      <c r="H11">
        <f t="shared" si="9"/>
        <v>1983</v>
      </c>
      <c r="I11">
        <f>'stb0303'!E25</f>
        <v>7.32</v>
      </c>
      <c r="J11" s="1">
        <f t="shared" ref="J11" si="19">I11/I$22*J$22</f>
        <v>0.65764806866952796</v>
      </c>
      <c r="K11" s="1">
        <f t="shared" si="4"/>
        <v>4.7418401517802877</v>
      </c>
      <c r="M11" s="36">
        <f t="shared" si="5"/>
        <v>5.1610200552949932</v>
      </c>
      <c r="N11" s="2">
        <f t="shared" si="0"/>
        <v>10.322040110589986</v>
      </c>
      <c r="Y11">
        <f t="shared" si="11"/>
        <v>1983</v>
      </c>
      <c r="Z11">
        <f>'stb0303'!L25</f>
        <v>4.5</v>
      </c>
      <c r="AA11" s="1">
        <f t="shared" ref="AA11" si="20">Z11/Z$22*AA$22</f>
        <v>0.69439655172413794</v>
      </c>
      <c r="AB11" s="1">
        <f t="shared" si="7"/>
        <v>4.6388826423435328</v>
      </c>
    </row>
    <row r="12" spans="3:28" x14ac:dyDescent="0.2">
      <c r="C12">
        <f t="shared" si="8"/>
        <v>1984</v>
      </c>
      <c r="D12">
        <f>'stb0524'!D44</f>
        <v>1.212</v>
      </c>
      <c r="E12" s="1">
        <f t="shared" si="1"/>
        <v>0.74660071942446038</v>
      </c>
      <c r="F12" s="1">
        <f t="shared" si="2"/>
        <v>5.9956463127776933</v>
      </c>
      <c r="H12">
        <f t="shared" si="9"/>
        <v>1984</v>
      </c>
      <c r="I12">
        <f>'stb0303'!E26</f>
        <v>7.37</v>
      </c>
      <c r="J12" s="1">
        <f t="shared" ref="J12" si="21">I12/I$22*J$22</f>
        <v>0.66214020028612308</v>
      </c>
      <c r="K12" s="1">
        <f t="shared" si="4"/>
        <v>4.7742297703033767</v>
      </c>
      <c r="M12" s="36">
        <f t="shared" si="5"/>
        <v>5.1406547330456718</v>
      </c>
      <c r="N12" s="2">
        <f t="shared" si="0"/>
        <v>10.281309466091344</v>
      </c>
      <c r="Y12">
        <f t="shared" si="11"/>
        <v>1984</v>
      </c>
      <c r="Z12">
        <f>'stb0303'!L26</f>
        <v>4.75</v>
      </c>
      <c r="AA12" s="1">
        <f t="shared" ref="AA12" si="22">Z12/Z$22*AA$22</f>
        <v>0.7329741379310345</v>
      </c>
      <c r="AB12" s="1">
        <f t="shared" si="7"/>
        <v>4.8965983446959518</v>
      </c>
    </row>
    <row r="13" spans="3:28" x14ac:dyDescent="0.2">
      <c r="C13">
        <f t="shared" si="8"/>
        <v>1985</v>
      </c>
      <c r="D13">
        <f>'stb0524'!D45</f>
        <v>1.202</v>
      </c>
      <c r="E13" s="1">
        <f t="shared" si="1"/>
        <v>0.74044064748201444</v>
      </c>
      <c r="F13" s="1">
        <f t="shared" si="2"/>
        <v>5.9461772837943787</v>
      </c>
      <c r="H13">
        <f t="shared" si="9"/>
        <v>1985</v>
      </c>
      <c r="I13">
        <f>'stb0303'!E27</f>
        <v>7.22</v>
      </c>
      <c r="J13" s="1">
        <f t="shared" ref="J13" si="23">I13/I$22*J$22</f>
        <v>0.6486638054363375</v>
      </c>
      <c r="K13" s="1">
        <f t="shared" si="4"/>
        <v>4.677060914734108</v>
      </c>
      <c r="M13" s="36">
        <f t="shared" si="5"/>
        <v>5.0577958254521889</v>
      </c>
      <c r="N13" s="2">
        <f t="shared" si="0"/>
        <v>10.115591650904378</v>
      </c>
      <c r="Y13">
        <f t="shared" si="11"/>
        <v>1985</v>
      </c>
      <c r="Z13">
        <f>'stb0303'!L27</f>
        <v>4.3</v>
      </c>
      <c r="AA13" s="1">
        <f t="shared" ref="AA13" si="24">Z13/Z$22*AA$22</f>
        <v>0.6635344827586207</v>
      </c>
      <c r="AB13" s="1">
        <f t="shared" si="7"/>
        <v>4.4327100804615984</v>
      </c>
    </row>
    <row r="14" spans="3:28" x14ac:dyDescent="0.2">
      <c r="C14">
        <f t="shared" si="8"/>
        <v>1986</v>
      </c>
      <c r="D14">
        <f>'stb0524'!D46</f>
        <v>0.92700000000000005</v>
      </c>
      <c r="E14" s="1">
        <f t="shared" si="1"/>
        <v>0.57103866906474821</v>
      </c>
      <c r="F14" s="1">
        <f t="shared" si="2"/>
        <v>4.5857789867532359</v>
      </c>
      <c r="H14">
        <f t="shared" si="9"/>
        <v>1986</v>
      </c>
      <c r="I14">
        <f>'stb0303'!E28</f>
        <v>5.68</v>
      </c>
      <c r="J14" s="1">
        <f t="shared" ref="J14" si="25">I14/I$22*J$22</f>
        <v>0.51030615164520743</v>
      </c>
      <c r="K14" s="1">
        <f t="shared" si="4"/>
        <v>3.6794606642229546</v>
      </c>
      <c r="M14" s="36">
        <f t="shared" si="5"/>
        <v>3.9513561609820389</v>
      </c>
      <c r="N14" s="2">
        <f t="shared" si="0"/>
        <v>7.9027123219640778</v>
      </c>
      <c r="Y14">
        <f t="shared" si="11"/>
        <v>1986</v>
      </c>
      <c r="Z14">
        <f>'stb0303'!L28</f>
        <v>2.37</v>
      </c>
      <c r="AA14" s="1">
        <f t="shared" ref="AA14" si="26">Z14/Z$22*AA$22</f>
        <v>0.3657155172413793</v>
      </c>
      <c r="AB14" s="1">
        <f t="shared" si="7"/>
        <v>2.4431448583009274</v>
      </c>
    </row>
    <row r="15" spans="3:28" x14ac:dyDescent="0.2">
      <c r="C15">
        <f t="shared" si="8"/>
        <v>1987</v>
      </c>
      <c r="D15">
        <f>'stb0524'!D47</f>
        <v>0.94799999999999995</v>
      </c>
      <c r="E15" s="1">
        <f t="shared" si="1"/>
        <v>0.58397482014388491</v>
      </c>
      <c r="F15" s="1">
        <f t="shared" si="2"/>
        <v>4.6896639476181958</v>
      </c>
      <c r="H15">
        <f t="shared" si="9"/>
        <v>1987</v>
      </c>
      <c r="I15">
        <f>'stb0303'!E29</f>
        <v>5.97</v>
      </c>
      <c r="J15" s="1">
        <f t="shared" ref="J15" si="27">I15/I$22*J$22</f>
        <v>0.53636051502145921</v>
      </c>
      <c r="K15" s="1">
        <f t="shared" si="4"/>
        <v>3.8673204516568735</v>
      </c>
      <c r="M15" s="36">
        <f t="shared" si="5"/>
        <v>4.1140235004452705</v>
      </c>
      <c r="N15" s="2">
        <f t="shared" si="0"/>
        <v>8.2280470008905411</v>
      </c>
      <c r="Y15">
        <f t="shared" si="11"/>
        <v>1987</v>
      </c>
      <c r="Z15">
        <f>'stb0303'!L29</f>
        <v>2.86</v>
      </c>
      <c r="AA15" s="1">
        <f t="shared" ref="AA15" si="28">Z15/Z$22*AA$22</f>
        <v>0.44132758620689655</v>
      </c>
      <c r="AB15" s="1">
        <f t="shared" si="7"/>
        <v>2.9482676349116677</v>
      </c>
    </row>
    <row r="16" spans="3:28" x14ac:dyDescent="0.2">
      <c r="C16">
        <f t="shared" si="8"/>
        <v>1988</v>
      </c>
      <c r="D16">
        <f>'stb0524'!D48</f>
        <v>0.94599999999999995</v>
      </c>
      <c r="E16" s="1">
        <f t="shared" si="1"/>
        <v>0.58274280575539572</v>
      </c>
      <c r="F16" s="1">
        <f t="shared" si="2"/>
        <v>4.6797701418215327</v>
      </c>
      <c r="H16">
        <f t="shared" si="9"/>
        <v>1988</v>
      </c>
      <c r="I16">
        <f>'stb0303'!E30</f>
        <v>5.83</v>
      </c>
      <c r="J16" s="1">
        <f t="shared" ref="J16" si="29">I16/I$22*J$22</f>
        <v>0.5237825464949929</v>
      </c>
      <c r="K16" s="1">
        <f t="shared" si="4"/>
        <v>3.7766295197922233</v>
      </c>
      <c r="M16" s="36">
        <f t="shared" si="5"/>
        <v>4.0475717064010155</v>
      </c>
      <c r="N16" s="2">
        <f t="shared" si="0"/>
        <v>8.095143412802031</v>
      </c>
      <c r="Y16">
        <f t="shared" si="11"/>
        <v>1988</v>
      </c>
      <c r="Z16">
        <f>'stb0303'!L30</f>
        <v>2.35</v>
      </c>
      <c r="AA16" s="1">
        <f t="shared" ref="AA16" si="30">Z16/Z$22*AA$22</f>
        <v>0.36262931034482759</v>
      </c>
      <c r="AB16" s="1">
        <f t="shared" si="7"/>
        <v>2.422527602112734</v>
      </c>
    </row>
    <row r="17" spans="3:28" x14ac:dyDescent="0.2">
      <c r="C17">
        <f t="shared" si="8"/>
        <v>1989</v>
      </c>
      <c r="D17">
        <f>'stb0524'!D49</f>
        <v>1.0209999999999999</v>
      </c>
      <c r="E17" s="1">
        <f t="shared" si="1"/>
        <v>0.62894334532374097</v>
      </c>
      <c r="F17" s="1">
        <f t="shared" si="2"/>
        <v>5.0507878591963893</v>
      </c>
      <c r="H17">
        <f t="shared" si="9"/>
        <v>1989</v>
      </c>
      <c r="I17">
        <f>'stb0303'!E31</f>
        <v>6.43</v>
      </c>
      <c r="J17" s="1">
        <f t="shared" ref="J17" si="31">I17/I$22*J$22</f>
        <v>0.57768812589413443</v>
      </c>
      <c r="K17" s="1">
        <f t="shared" si="4"/>
        <v>4.1653049420692962</v>
      </c>
      <c r="M17" s="36">
        <f t="shared" si="5"/>
        <v>4.4309498172074235</v>
      </c>
      <c r="N17" s="2">
        <f t="shared" si="0"/>
        <v>8.8618996344148471</v>
      </c>
      <c r="Y17">
        <f t="shared" si="11"/>
        <v>1989</v>
      </c>
      <c r="Z17">
        <f>'stb0303'!L31</f>
        <v>2.72</v>
      </c>
      <c r="AA17" s="1">
        <f t="shared" ref="AA17" si="32">Z17/Z$22*AA$22</f>
        <v>0.41972413793103452</v>
      </c>
      <c r="AB17" s="1">
        <f t="shared" si="7"/>
        <v>2.8039468415943136</v>
      </c>
    </row>
    <row r="18" spans="3:28" x14ac:dyDescent="0.2">
      <c r="C18">
        <f t="shared" si="8"/>
        <v>1990</v>
      </c>
      <c r="D18">
        <f>'stb0524'!D50</f>
        <v>1.1639999999999999</v>
      </c>
      <c r="E18" s="1">
        <f t="shared" si="1"/>
        <v>0.71703237410071941</v>
      </c>
      <c r="F18" s="1">
        <f t="shared" si="2"/>
        <v>5.7581949736577851</v>
      </c>
      <c r="H18">
        <f t="shared" si="9"/>
        <v>1990</v>
      </c>
      <c r="I18">
        <f>'stb0303'!E32</f>
        <v>7.68</v>
      </c>
      <c r="J18" s="1">
        <f t="shared" ref="J18" si="33">I18/I$22*J$22</f>
        <v>0.68999141630901284</v>
      </c>
      <c r="K18" s="1">
        <f t="shared" si="4"/>
        <v>4.9750454051465312</v>
      </c>
      <c r="M18" s="36">
        <f t="shared" si="5"/>
        <v>5.2099902756999068</v>
      </c>
      <c r="N18" s="2">
        <f t="shared" si="0"/>
        <v>10.419980551399814</v>
      </c>
      <c r="Y18">
        <f t="shared" si="11"/>
        <v>1990</v>
      </c>
      <c r="Z18">
        <f>'stb0303'!L32</f>
        <v>3.17</v>
      </c>
      <c r="AA18" s="1">
        <f t="shared" ref="AA18" si="34">Z18/Z$22*AA$22</f>
        <v>0.48916379310344826</v>
      </c>
      <c r="AB18" s="1">
        <f t="shared" si="7"/>
        <v>3.2678351058286665</v>
      </c>
    </row>
    <row r="19" spans="3:28" x14ac:dyDescent="0.2">
      <c r="C19">
        <f t="shared" si="8"/>
        <v>1991</v>
      </c>
      <c r="D19">
        <f>'stb0524'!D51</f>
        <v>1.1399999999999999</v>
      </c>
      <c r="E19" s="1">
        <f t="shared" si="1"/>
        <v>0.70224820143884892</v>
      </c>
      <c r="F19" s="1">
        <f t="shared" si="2"/>
        <v>5.6394693040978296</v>
      </c>
      <c r="H19">
        <f t="shared" si="9"/>
        <v>1991</v>
      </c>
      <c r="I19">
        <f>'stb0303'!E33</f>
        <v>7.29</v>
      </c>
      <c r="J19" s="1">
        <f t="shared" ref="J19" si="35">I19/I$22*J$22</f>
        <v>0.65495278969957083</v>
      </c>
      <c r="K19" s="1">
        <f t="shared" si="4"/>
        <v>4.7224063806664338</v>
      </c>
      <c r="M19" s="36">
        <f t="shared" si="5"/>
        <v>4.9975252576958527</v>
      </c>
      <c r="N19" s="2">
        <f t="shared" si="0"/>
        <v>9.9950505153917053</v>
      </c>
      <c r="Y19">
        <f t="shared" si="11"/>
        <v>1991</v>
      </c>
      <c r="Z19">
        <f>'stb0303'!L33</f>
        <v>2.62</v>
      </c>
      <c r="AA19" s="1">
        <f t="shared" ref="AA19" si="36">Z19/Z$22*AA$22</f>
        <v>0.4042931034482759</v>
      </c>
      <c r="AB19" s="1">
        <f t="shared" si="7"/>
        <v>2.700860560653346</v>
      </c>
    </row>
    <row r="20" spans="3:28" x14ac:dyDescent="0.2">
      <c r="C20">
        <f t="shared" si="8"/>
        <v>1992</v>
      </c>
      <c r="D20">
        <f>'stb0524'!D52</f>
        <v>1.127</v>
      </c>
      <c r="E20" s="1">
        <f t="shared" si="1"/>
        <v>0.69424010791366897</v>
      </c>
      <c r="F20" s="1">
        <f t="shared" si="2"/>
        <v>5.5751595664195213</v>
      </c>
      <c r="H20">
        <f t="shared" si="9"/>
        <v>1992</v>
      </c>
      <c r="I20">
        <f>'stb0303'!E34</f>
        <v>7.09</v>
      </c>
      <c r="J20" s="1">
        <f t="shared" ref="J20" si="37">I20/I$22*J$22</f>
        <v>0.63698426323319024</v>
      </c>
      <c r="K20" s="1">
        <f t="shared" si="4"/>
        <v>4.5928479065740762</v>
      </c>
      <c r="M20" s="36">
        <f t="shared" si="5"/>
        <v>4.8875414045277097</v>
      </c>
      <c r="N20" s="2">
        <f t="shared" si="0"/>
        <v>9.7750828090554194</v>
      </c>
      <c r="Y20">
        <f t="shared" si="11"/>
        <v>1992</v>
      </c>
      <c r="Z20">
        <f>'stb0303'!L34</f>
        <v>2.2799999999999998</v>
      </c>
      <c r="AA20" s="1">
        <f t="shared" ref="AA20" si="38">Z20/Z$22*AA$22</f>
        <v>0.35182758620689653</v>
      </c>
      <c r="AB20" s="1">
        <f t="shared" si="7"/>
        <v>2.3503672054540568</v>
      </c>
    </row>
    <row r="21" spans="3:28" x14ac:dyDescent="0.2">
      <c r="C21">
        <f t="shared" si="8"/>
        <v>1993</v>
      </c>
      <c r="D21">
        <f>'stb0524'!D53</f>
        <v>1.1080000000000001</v>
      </c>
      <c r="E21" s="1">
        <f t="shared" si="1"/>
        <v>0.68253597122302168</v>
      </c>
      <c r="F21" s="1">
        <f>D21/D$22*F$22</f>
        <v>5.4811684113512253</v>
      </c>
      <c r="H21">
        <f t="shared" si="9"/>
        <v>1993</v>
      </c>
      <c r="I21">
        <f>'stb0303'!E35</f>
        <v>7.08</v>
      </c>
      <c r="J21" s="1">
        <f t="shared" ref="J21" si="39">I21/I$22*J$22</f>
        <v>0.6360858369098713</v>
      </c>
      <c r="K21" s="1">
        <f>I21/I$22*K$22</f>
        <v>4.5863699828694582</v>
      </c>
      <c r="M21" s="36">
        <f t="shared" si="5"/>
        <v>4.854809511413988</v>
      </c>
      <c r="N21" s="2">
        <f t="shared" si="0"/>
        <v>9.709619022827976</v>
      </c>
      <c r="Y21">
        <f t="shared" si="11"/>
        <v>1993</v>
      </c>
      <c r="Z21">
        <f>'stb0303'!L35</f>
        <v>2.2599999999999998</v>
      </c>
      <c r="AA21" s="1">
        <f t="shared" ref="AA21" si="40">Z21/Z$22*AA$22</f>
        <v>0.34874137931034482</v>
      </c>
      <c r="AB21" s="1">
        <f>Z21/Z$22*AB$22</f>
        <v>2.3297499492658633</v>
      </c>
    </row>
    <row r="22" spans="3:28" x14ac:dyDescent="0.2">
      <c r="C22">
        <f t="shared" si="8"/>
        <v>1994</v>
      </c>
      <c r="D22">
        <f>'stb0524'!D54</f>
        <v>1.1120000000000001</v>
      </c>
      <c r="E22" s="1">
        <f>stb0523a!Z4</f>
        <v>0.68500000000000005</v>
      </c>
      <c r="F22" s="1">
        <f>stb0523a!AD4</f>
        <v>5.5009560229445507</v>
      </c>
      <c r="H22">
        <f t="shared" si="9"/>
        <v>1994</v>
      </c>
      <c r="I22">
        <f>'stb0303'!E36</f>
        <v>6.99</v>
      </c>
      <c r="J22" s="1">
        <f>stb0523a!AA4</f>
        <v>0.628</v>
      </c>
      <c r="K22" s="1">
        <f>stb0523a!AE4</f>
        <v>4.5280686695278973</v>
      </c>
      <c r="M22" s="36">
        <f t="shared" si="5"/>
        <v>4.8199348755528932</v>
      </c>
      <c r="N22" s="2">
        <f t="shared" si="0"/>
        <v>9.6398697511057865</v>
      </c>
      <c r="Y22">
        <f t="shared" si="11"/>
        <v>1994</v>
      </c>
      <c r="Z22">
        <f>'stb0303'!L36</f>
        <v>2.3199999999999998</v>
      </c>
      <c r="AA22" s="1">
        <f>stb0523a!AB4</f>
        <v>0.35799999999999998</v>
      </c>
      <c r="AB22" s="1">
        <f>stb0523a!AF4</f>
        <v>2.3916017178304436</v>
      </c>
    </row>
    <row r="23" spans="3:28" x14ac:dyDescent="0.2">
      <c r="D23">
        <f>'stb0524'!D55</f>
        <v>1.147</v>
      </c>
      <c r="E23">
        <f>stb0523a!Z5</f>
        <v>0.71399999999999997</v>
      </c>
      <c r="F23" s="1">
        <f>stb0523a!AD5</f>
        <v>5.7338432122370921</v>
      </c>
      <c r="H23">
        <f t="shared" si="9"/>
        <v>1995</v>
      </c>
      <c r="I23">
        <f>'stb0303'!E37</f>
        <v>6.98</v>
      </c>
      <c r="J23" s="1">
        <f>stb0523a!AA5</f>
        <v>0.63600000000000001</v>
      </c>
      <c r="K23" s="1">
        <f>stb0523a!AE5</f>
        <v>4.5857510729613731</v>
      </c>
      <c r="M23" s="36">
        <f t="shared" si="5"/>
        <v>4.9301787147440885</v>
      </c>
      <c r="N23" s="2">
        <f t="shared" si="0"/>
        <v>9.8603574294881771</v>
      </c>
      <c r="Y23">
        <f t="shared" si="11"/>
        <v>1995</v>
      </c>
      <c r="Z23">
        <f>'stb0303'!L37</f>
        <v>2.46</v>
      </c>
      <c r="AA23" s="1">
        <f>stb0523a!AB5</f>
        <v>0.39700000000000002</v>
      </c>
      <c r="AB23" s="1">
        <f>stb0523a!AF5</f>
        <v>2.652139335135995</v>
      </c>
    </row>
    <row r="24" spans="3:28" x14ac:dyDescent="0.2">
      <c r="D24">
        <f>'stb0524'!D56</f>
        <v>1.2310000000000001</v>
      </c>
      <c r="E24">
        <f>stb0523a!Z6</f>
        <v>0.80100000000000005</v>
      </c>
      <c r="F24" s="1">
        <f>stb0523a!AD6</f>
        <v>6.4325047801147219</v>
      </c>
      <c r="H24">
        <f t="shared" si="9"/>
        <v>1996</v>
      </c>
      <c r="I24">
        <f>'stb0303'!E38</f>
        <v>7.87</v>
      </c>
      <c r="J24" s="1">
        <f>stb0523a!AA6</f>
        <v>0.75700000000000001</v>
      </c>
      <c r="K24" s="1">
        <f>stb0523a!AE6</f>
        <v>5.4581974248927043</v>
      </c>
      <c r="M24" s="36">
        <f t="shared" si="5"/>
        <v>5.7504896314593097</v>
      </c>
      <c r="N24" s="2">
        <f t="shared" si="0"/>
        <v>11.500979262918619</v>
      </c>
      <c r="Y24">
        <f t="shared" si="11"/>
        <v>1996</v>
      </c>
      <c r="Z24">
        <f>'stb0303'!L38</f>
        <v>2.8</v>
      </c>
      <c r="AA24" s="1">
        <f>stb0523a!AB6</f>
        <v>0.46400000000000002</v>
      </c>
      <c r="AB24" s="1">
        <f>stb0523a!AF6</f>
        <v>3.0997296007634803</v>
      </c>
    </row>
    <row r="25" spans="3:28" x14ac:dyDescent="0.2">
      <c r="D25">
        <f>'stb0524'!D57</f>
        <v>1.234</v>
      </c>
      <c r="E25">
        <f>stb0523a!Z7</f>
        <v>0.78500000000000003</v>
      </c>
      <c r="F25" s="1">
        <f>stb0523a!AD7</f>
        <v>6.3040152963671128</v>
      </c>
      <c r="H25">
        <f t="shared" si="9"/>
        <v>1997</v>
      </c>
      <c r="I25">
        <f>'stb0303'!E39</f>
        <v>7.66</v>
      </c>
      <c r="J25" s="1">
        <f>stb0523a!AA7</f>
        <v>0.71399999999999997</v>
      </c>
      <c r="K25" s="1">
        <f>stb0523a!AE7</f>
        <v>5.1481545064377681</v>
      </c>
      <c r="M25" s="36">
        <f t="shared" si="5"/>
        <v>5.4949127434165712</v>
      </c>
      <c r="N25" s="2">
        <f t="shared" si="0"/>
        <v>10.989825486833142</v>
      </c>
      <c r="Y25">
        <f t="shared" si="11"/>
        <v>1997</v>
      </c>
      <c r="Z25">
        <f>'stb0303'!L39</f>
        <v>2.93</v>
      </c>
      <c r="AA25" s="1">
        <f>stb0523a!AB7</f>
        <v>0.42899999999999999</v>
      </c>
      <c r="AB25" s="1">
        <f>stb0523a!AF7</f>
        <v>2.8659137903610628</v>
      </c>
    </row>
    <row r="26" spans="3:28" x14ac:dyDescent="0.2">
      <c r="D26">
        <f>'stb0524'!D58</f>
        <v>1.0589999999999999</v>
      </c>
      <c r="E26">
        <f>stb0523a!Z8</f>
        <v>0.61</v>
      </c>
      <c r="F26" s="1">
        <f>stb0523a!AD8</f>
        <v>4.8986615678776291</v>
      </c>
      <c r="H26">
        <f t="shared" si="9"/>
        <v>1998</v>
      </c>
      <c r="I26">
        <f>'stb0303'!E40</f>
        <v>6.57</v>
      </c>
      <c r="J26" s="1">
        <f>stb0523a!AA8</f>
        <v>0.56200000000000006</v>
      </c>
      <c r="K26" s="1">
        <f>stb0523a!AE8</f>
        <v>4.0521888412017173</v>
      </c>
      <c r="M26" s="36">
        <f t="shared" si="5"/>
        <v>4.3061306592044906</v>
      </c>
      <c r="N26" s="2">
        <f t="shared" si="0"/>
        <v>8.6122613184089811</v>
      </c>
      <c r="Y26">
        <f t="shared" si="11"/>
        <v>1998</v>
      </c>
      <c r="Z26">
        <f>'stb0303'!L40</f>
        <v>2.15</v>
      </c>
      <c r="AA26" s="1">
        <f>stb0523a!AB8</f>
        <v>0.311</v>
      </c>
      <c r="AB26" s="1">
        <f>stb0523a!AF8</f>
        <v>2.0776204867186259</v>
      </c>
    </row>
    <row r="27" spans="3:28" x14ac:dyDescent="0.2">
      <c r="D27">
        <f>'stb0524'!D59</f>
        <v>1.165</v>
      </c>
      <c r="E27">
        <f>stb0523a!Z9</f>
        <v>0.70799999999999996</v>
      </c>
      <c r="F27" s="1">
        <f>stb0523a!AD9</f>
        <v>5.6856596558317385</v>
      </c>
      <c r="H27">
        <f t="shared" si="9"/>
        <v>1999</v>
      </c>
      <c r="I27">
        <f>'stb0303'!E41</f>
        <v>7.19</v>
      </c>
      <c r="J27" s="1">
        <f>stb0523a!AA9</f>
        <v>0.65400000000000003</v>
      </c>
      <c r="K27" s="1">
        <f>stb0523a!AE9</f>
        <v>4.7155364806866951</v>
      </c>
      <c r="M27" s="36">
        <f t="shared" si="5"/>
        <v>5.0065734332302085</v>
      </c>
      <c r="N27" s="2">
        <f t="shared" si="0"/>
        <v>10.013146866460417</v>
      </c>
      <c r="Y27">
        <f t="shared" si="11"/>
        <v>1999</v>
      </c>
      <c r="Z27">
        <f>'stb0303'!L41</f>
        <v>2.5099999999999998</v>
      </c>
      <c r="AA27" s="1">
        <f>stb0523a!AB9</f>
        <v>0.378</v>
      </c>
      <c r="AB27" s="1">
        <f>stb0523a!AF9</f>
        <v>2.5252107523461111</v>
      </c>
    </row>
    <row r="28" spans="3:28" x14ac:dyDescent="0.2">
      <c r="D28">
        <f>'stb0524'!D60</f>
        <v>1.51</v>
      </c>
      <c r="E28">
        <f>stb0523a!Z10</f>
        <v>1.044</v>
      </c>
      <c r="F28" s="1">
        <f>stb0523a!AD10</f>
        <v>8.3839388145315485</v>
      </c>
      <c r="H28">
        <f t="shared" si="9"/>
        <v>2000</v>
      </c>
      <c r="I28">
        <f>'stb0303'!E42</f>
        <v>9.86</v>
      </c>
      <c r="J28" s="1">
        <f>stb0523a!AA10</f>
        <v>1.006</v>
      </c>
      <c r="K28" s="1">
        <f>stb0523a!AE10</f>
        <v>7.2535622317596564</v>
      </c>
      <c r="M28" s="36">
        <f t="shared" si="5"/>
        <v>7.592675206591224</v>
      </c>
      <c r="N28" s="2">
        <f t="shared" si="0"/>
        <v>15.185350413182448</v>
      </c>
      <c r="Y28">
        <f t="shared" si="11"/>
        <v>2000</v>
      </c>
      <c r="Z28">
        <f>'stb0303'!L42</f>
        <v>4.32</v>
      </c>
      <c r="AA28" s="1">
        <f>stb0523a!AB10</f>
        <v>0.60899999999999999</v>
      </c>
      <c r="AB28" s="1">
        <f>stb0523a!AF10</f>
        <v>4.0683951010020678</v>
      </c>
    </row>
    <row r="29" spans="3:28" x14ac:dyDescent="0.2">
      <c r="D29">
        <f>'stb0524'!D61</f>
        <v>1.4610000000000001</v>
      </c>
      <c r="E29">
        <f>stb0523a!Z11</f>
        <v>0.96799999999999997</v>
      </c>
      <c r="F29" s="1">
        <f>stb0523a!AD11</f>
        <v>7.7736137667304002</v>
      </c>
      <c r="H29">
        <f t="shared" si="9"/>
        <v>2001</v>
      </c>
      <c r="I29">
        <f>'stb0303'!E43</f>
        <v>9.18</v>
      </c>
      <c r="J29" s="1">
        <f>stb0523a!AA11</f>
        <v>0.91200000000000003</v>
      </c>
      <c r="K29" s="1">
        <f>stb0523a!AE11</f>
        <v>6.575793991416309</v>
      </c>
      <c r="M29" s="36">
        <f t="shared" si="5"/>
        <v>6.935139924010536</v>
      </c>
      <c r="N29" s="2">
        <f t="shared" si="0"/>
        <v>13.870279848021072</v>
      </c>
      <c r="Y29">
        <f t="shared" si="11"/>
        <v>2001</v>
      </c>
      <c r="Z29">
        <f>'stb0303'!L43</f>
        <v>3.99</v>
      </c>
      <c r="AA29" s="1">
        <f>stb0523a!AB11</f>
        <v>0.53300000000000003</v>
      </c>
      <c r="AB29" s="1">
        <f>stb0523a!AF11</f>
        <v>3.5606807698425329</v>
      </c>
    </row>
    <row r="30" spans="3:28" x14ac:dyDescent="0.2">
      <c r="D30">
        <f>'stb0524'!D62</f>
        <v>1.3580000000000001</v>
      </c>
      <c r="E30">
        <f>stb0523a!Z12</f>
        <v>0.90100000000000002</v>
      </c>
      <c r="F30" s="1">
        <f>stb0523a!AD12</f>
        <v>7.235564053537284</v>
      </c>
      <c r="H30">
        <f t="shared" si="9"/>
        <v>2002</v>
      </c>
      <c r="I30">
        <f>'stb0303'!E44</f>
        <v>8.64</v>
      </c>
      <c r="J30" s="1">
        <f>stb0523a!AA12</f>
        <v>0.83699999999999997</v>
      </c>
      <c r="K30" s="1">
        <f>stb0523a!AE12</f>
        <v>6.035021459227468</v>
      </c>
      <c r="M30" s="36">
        <f t="shared" si="5"/>
        <v>6.3951842375204127</v>
      </c>
      <c r="N30" s="2">
        <f t="shared" si="0"/>
        <v>12.790368475040825</v>
      </c>
      <c r="Y30">
        <f t="shared" si="11"/>
        <v>2002</v>
      </c>
      <c r="Z30">
        <f>'stb0303'!L44</f>
        <v>3.91</v>
      </c>
      <c r="AA30" s="1">
        <f>stb0523a!AB12</f>
        <v>0.56100000000000005</v>
      </c>
      <c r="AB30" s="1">
        <f>stb0523a!AF12</f>
        <v>3.7477334181644668</v>
      </c>
    </row>
    <row r="31" spans="3:28" x14ac:dyDescent="0.2">
      <c r="D31">
        <f>'stb0524'!D63</f>
        <v>1.591</v>
      </c>
      <c r="E31">
        <f>stb0523a!Z13</f>
        <v>1.0820000000000001</v>
      </c>
      <c r="F31" s="1">
        <f>stb0523a!AD13</f>
        <v>8.6891013384321223</v>
      </c>
      <c r="H31">
        <f t="shared" si="9"/>
        <v>2003</v>
      </c>
      <c r="I31">
        <f>'stb0303'!E45</f>
        <v>10.050000000000001</v>
      </c>
      <c r="J31" s="1">
        <f>stb0523a!AA13</f>
        <v>1.008</v>
      </c>
      <c r="K31" s="1">
        <f>stb0523a!AE13</f>
        <v>7.267982832618026</v>
      </c>
      <c r="M31" s="36">
        <f t="shared" si="5"/>
        <v>7.6943183843622549</v>
      </c>
      <c r="N31" s="2">
        <f t="shared" si="0"/>
        <v>15.38863676872451</v>
      </c>
      <c r="Y31">
        <f t="shared" si="11"/>
        <v>2003</v>
      </c>
      <c r="Z31">
        <f>'stb0303'!L45</f>
        <v>4.75</v>
      </c>
      <c r="AA31" s="1">
        <f>stb0523a!AB13</f>
        <v>0.69599999999999995</v>
      </c>
      <c r="AB31" s="1">
        <f>stb0523a!AF13</f>
        <v>4.6495944011452197</v>
      </c>
    </row>
    <row r="32" spans="3:28" x14ac:dyDescent="0.2">
      <c r="D32">
        <f>'stb0524'!D64</f>
        <v>1.88</v>
      </c>
      <c r="E32">
        <f>stb0523a!Z14</f>
        <v>1.373</v>
      </c>
      <c r="F32" s="1">
        <f>stb0523a!AD14</f>
        <v>11.026003824091777</v>
      </c>
      <c r="H32">
        <f t="shared" si="9"/>
        <v>2004</v>
      </c>
      <c r="I32">
        <f>'stb0303'!E46</f>
        <v>12.23</v>
      </c>
      <c r="J32" s="1">
        <f>stb0523a!AA14</f>
        <v>1.3160000000000001</v>
      </c>
      <c r="K32" s="1">
        <f>stb0523a!AE14</f>
        <v>9.4887553648068668</v>
      </c>
      <c r="M32" s="36">
        <f t="shared" si="5"/>
        <v>9.9499299025923396</v>
      </c>
      <c r="N32" s="2">
        <f t="shared" si="0"/>
        <v>19.899859805184679</v>
      </c>
      <c r="Y32">
        <f t="shared" si="11"/>
        <v>2004</v>
      </c>
      <c r="Z32">
        <f>'stb0303'!L46</f>
        <v>4.92</v>
      </c>
      <c r="AA32" s="1">
        <f>stb0523a!AB14</f>
        <v>0.72499999999999998</v>
      </c>
      <c r="AB32" s="1">
        <f>stb0523a!AF14</f>
        <v>4.8433275011929382</v>
      </c>
    </row>
    <row r="33" spans="4:28" x14ac:dyDescent="0.2">
      <c r="D33">
        <f>'stb0524'!D65</f>
        <v>2.2949999999999999</v>
      </c>
      <c r="E33">
        <f>stb0523a!Z15</f>
        <v>1.7889999999999999</v>
      </c>
      <c r="F33" s="1">
        <f>stb0523a!AD15</f>
        <v>14.366730401529635</v>
      </c>
      <c r="H33">
        <f t="shared" si="9"/>
        <v>2005</v>
      </c>
      <c r="I33">
        <f>'stb0303'!E47</f>
        <v>16.41</v>
      </c>
      <c r="J33" s="1">
        <f>stb0523a!AA15</f>
        <v>1.8859999999999999</v>
      </c>
      <c r="K33" s="1">
        <f>stb0523a!AE15</f>
        <v>13.598626609442059</v>
      </c>
      <c r="M33" s="36">
        <f t="shared" si="5"/>
        <v>13.82905774706833</v>
      </c>
      <c r="N33" s="2">
        <f t="shared" si="0"/>
        <v>27.658115494136659</v>
      </c>
      <c r="Y33">
        <f t="shared" si="11"/>
        <v>2005</v>
      </c>
      <c r="Z33">
        <f>'stb0303'!L47</f>
        <v>6.65</v>
      </c>
      <c r="AA33" s="1">
        <f>stb0523a!AB15</f>
        <v>1.0409999999999999</v>
      </c>
      <c r="AB33" s="1">
        <f>stb0523a!AF15</f>
        <v>6.9543502465404803</v>
      </c>
    </row>
    <row r="34" spans="4:28" x14ac:dyDescent="0.2">
      <c r="D34">
        <f>'stb0524'!D66</f>
        <v>2.589</v>
      </c>
      <c r="E34">
        <f>stb0523a!Z16</f>
        <v>2.073</v>
      </c>
      <c r="F34" s="1">
        <f>stb0523a!AD16</f>
        <v>16.647418738049712</v>
      </c>
      <c r="H34">
        <f t="shared" si="9"/>
        <v>2006</v>
      </c>
      <c r="I34">
        <f>'stb0303'!E48</f>
        <v>18.55</v>
      </c>
      <c r="J34" s="1">
        <f>stb0523a!AA16</f>
        <v>2.165</v>
      </c>
      <c r="K34" s="1">
        <f>stb0523a!AE16</f>
        <v>15.610300429184548</v>
      </c>
      <c r="M34" s="36">
        <f t="shared" si="5"/>
        <v>15.921435921844097</v>
      </c>
      <c r="N34" s="2">
        <f t="shared" si="0"/>
        <v>31.842871843688194</v>
      </c>
      <c r="Y34">
        <f t="shared" si="11"/>
        <v>2006</v>
      </c>
      <c r="Z34">
        <f>'stb0303'!L48</f>
        <v>7.93</v>
      </c>
      <c r="AA34" s="1">
        <f>stb0523a!AB16</f>
        <v>1.212</v>
      </c>
      <c r="AB34" s="1">
        <f>stb0523a!AF16</f>
        <v>8.0967074916494362</v>
      </c>
    </row>
    <row r="35" spans="4:28" x14ac:dyDescent="0.2">
      <c r="D35">
        <f>'stb0524'!D67</f>
        <v>2.8010000000000002</v>
      </c>
      <c r="E35">
        <f>stb0523a!Z17</f>
        <v>2.2970000000000002</v>
      </c>
      <c r="F35" s="1">
        <f>stb0523a!AD17</f>
        <v>18.446271510516254</v>
      </c>
      <c r="H35">
        <f t="shared" si="9"/>
        <v>2007</v>
      </c>
      <c r="I35">
        <f>'stb0303'!E49</f>
        <v>19.87</v>
      </c>
      <c r="J35" s="1">
        <f>stb0523a!AA17</f>
        <v>2.3479999999999999</v>
      </c>
      <c r="K35" s="1">
        <f>stb0523a!AE17</f>
        <v>16.929785407725319</v>
      </c>
      <c r="M35" s="36">
        <f t="shared" si="5"/>
        <v>17.384731238562601</v>
      </c>
      <c r="N35" s="2">
        <f t="shared" si="0"/>
        <v>34.769462477125202</v>
      </c>
      <c r="Y35">
        <f t="shared" si="11"/>
        <v>2007</v>
      </c>
      <c r="Z35">
        <f>'stb0303'!L49</f>
        <v>8.57</v>
      </c>
      <c r="AA35" s="1">
        <f>stb0523a!AB17</f>
        <v>1.3759999999999999</v>
      </c>
      <c r="AB35" s="1">
        <f>stb0523a!AF17</f>
        <v>9.1923015746779058</v>
      </c>
    </row>
    <row r="36" spans="4:28" x14ac:dyDescent="0.2">
      <c r="D36">
        <f>'stb0524'!D68</f>
        <v>3.266</v>
      </c>
      <c r="E36">
        <f>stb0523a!Z18</f>
        <v>2.7309999999999999</v>
      </c>
      <c r="F36" s="1">
        <f>stb0523a!AD18</f>
        <v>21.931548757170169</v>
      </c>
      <c r="H36">
        <f t="shared" si="9"/>
        <v>2008</v>
      </c>
      <c r="I36">
        <f>'stb0303'!E50</f>
        <v>26.33</v>
      </c>
      <c r="J36" s="1">
        <f>stb0523a!AA18</f>
        <v>3.23</v>
      </c>
      <c r="K36" s="1">
        <f>stb0523a!AE18</f>
        <v>23.289270386266097</v>
      </c>
      <c r="M36" s="36">
        <f t="shared" si="5"/>
        <v>22.881953897537318</v>
      </c>
      <c r="N36" s="2">
        <f t="shared" si="0"/>
        <v>45.763907795074637</v>
      </c>
      <c r="Y36">
        <f t="shared" si="11"/>
        <v>2008</v>
      </c>
      <c r="Z36">
        <f>'stb0303'!L50</f>
        <v>12.64</v>
      </c>
      <c r="AA36" s="1">
        <f>stb0523a!AB18</f>
        <v>1.944</v>
      </c>
      <c r="AB36" s="1">
        <f>stb0523a!AF18</f>
        <v>12.986798154922855</v>
      </c>
    </row>
    <row r="37" spans="4:28" x14ac:dyDescent="0.2">
      <c r="D37">
        <f>'stb0524'!D69</f>
        <v>2.35</v>
      </c>
      <c r="E37">
        <f>stb0523a!Z19</f>
        <v>1.8420000000000001</v>
      </c>
      <c r="F37" s="1">
        <f>stb0523a!AD19</f>
        <v>14.792351816443595</v>
      </c>
      <c r="H37">
        <f t="shared" si="9"/>
        <v>2009</v>
      </c>
      <c r="I37">
        <f>'stb0303'!E51</f>
        <v>16.98</v>
      </c>
      <c r="J37" s="1">
        <f>stb0523a!AA19</f>
        <v>1.9179999999999999</v>
      </c>
      <c r="K37" s="1">
        <f>stb0523a!AE19</f>
        <v>13.829356223175964</v>
      </c>
      <c r="M37" s="36">
        <f t="shared" si="5"/>
        <v>14.118254901156252</v>
      </c>
      <c r="N37" s="2">
        <f t="shared" si="0"/>
        <v>28.236509802312504</v>
      </c>
      <c r="Y37">
        <f t="shared" si="11"/>
        <v>2009</v>
      </c>
      <c r="Z37">
        <f>'stb0303'!L51</f>
        <v>9.69</v>
      </c>
      <c r="AA37" s="1">
        <f>stb0523a!AB19</f>
        <v>1.34</v>
      </c>
      <c r="AB37" s="1">
        <f>stb0523a!AF19</f>
        <v>8.9518053125497055</v>
      </c>
    </row>
    <row r="38" spans="4:28" x14ac:dyDescent="0.2">
      <c r="D38">
        <f>'stb0524'!D70</f>
        <v>2.7879999999999998</v>
      </c>
      <c r="E38">
        <f>stb0523a!Z20</f>
        <v>2.2669999999999999</v>
      </c>
      <c r="F38" s="1">
        <f>stb0523a!AD20</f>
        <v>18.205353728489481</v>
      </c>
      <c r="H38">
        <f t="shared" si="9"/>
        <v>2010</v>
      </c>
      <c r="I38">
        <f>'stb0303'!E62</f>
        <v>0</v>
      </c>
      <c r="J38" s="1">
        <f>stb0523a!AA20</f>
        <v>2.415</v>
      </c>
      <c r="K38" s="1">
        <f>stb0523a!AE20</f>
        <v>17.412875536480687</v>
      </c>
      <c r="M38" s="36">
        <f t="shared" si="5"/>
        <v>17.650618994083324</v>
      </c>
      <c r="N38" s="2">
        <f t="shared" si="0"/>
        <v>35.301237988166648</v>
      </c>
      <c r="Y38">
        <f t="shared" si="11"/>
        <v>2010</v>
      </c>
      <c r="Z38">
        <f>'stb0303'!L62</f>
        <v>0</v>
      </c>
      <c r="AA38" s="1">
        <f>stb0523a!AB20</f>
        <v>1.7290000000000001</v>
      </c>
      <c r="AB38" s="1">
        <f>stb0523a!AF20</f>
        <v>11.550501033879435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NEA_Data</vt:lpstr>
      <vt:lpstr>BB5AF8A8-8847-3795-A9E8-C8C2807</vt:lpstr>
      <vt:lpstr>Ag Cons by Use</vt:lpstr>
      <vt:lpstr>Farms</vt:lpstr>
      <vt:lpstr>Intensity_estimates</vt:lpstr>
      <vt:lpstr>stb0303</vt:lpstr>
      <vt:lpstr>stb0304</vt:lpstr>
      <vt:lpstr>stb0523a</vt:lpstr>
      <vt:lpstr>stb0523</vt:lpstr>
      <vt:lpstr>stb0524</vt:lpstr>
      <vt:lpstr>Petroleum_prices_fr_Constructio</vt:lpstr>
      <vt:lpstr>Petroleum_prices_2013</vt:lpstr>
      <vt:lpstr>'Ag Cons by Use'!Print_Area</vt:lpstr>
      <vt:lpstr>'Ag Cons by Use'!Print_Titles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Belzer, David B</dc:creator>
  <cp:lastModifiedBy>David</cp:lastModifiedBy>
  <dcterms:created xsi:type="dcterms:W3CDTF">2012-08-06T22:40:02Z</dcterms:created>
  <dcterms:modified xsi:type="dcterms:W3CDTF">2020-03-30T21:17:43Z</dcterms:modified>
</cp:coreProperties>
</file>