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Nonmanufacturing\Construction\"/>
    </mc:Choice>
  </mc:AlternateContent>
  <xr:revisionPtr revIDLastSave="0" documentId="13_ncr:1_{72B7D920-6E7F-43C0-BAC9-2A566CF7545D}" xr6:coauthVersionLast="45" xr6:coauthVersionMax="45" xr10:uidLastSave="{00000000-0000-0000-0000-000000000000}"/>
  <bookViews>
    <workbookView xWindow="3030" yWindow="1185" windowWidth="17100" windowHeight="14055" firstSheet="1" activeTab="3" xr2:uid="{00000000-000D-0000-FFFF-FFFF00000000}"/>
  </bookViews>
  <sheets>
    <sheet name="NEA_Data" sheetId="1" r:id="rId1"/>
    <sheet name="Construction" sheetId="2" r:id="rId2"/>
    <sheet name="Report_tables" sheetId="9" r:id="rId3"/>
    <sheet name="Intensity_estimates" sheetId="8" r:id="rId4"/>
    <sheet name="stb0303" sheetId="7" r:id="rId5"/>
    <sheet name="stb0304" sheetId="4" r:id="rId6"/>
    <sheet name="stb0523" sheetId="5" r:id="rId7"/>
    <sheet name="stb0524" sheetId="6" r:id="rId8"/>
    <sheet name="Petroleum_prices" sheetId="3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\j">#REF!</definedName>
    <definedName name="_1982">[1]RECS_2!#REF!</definedName>
    <definedName name="AllData">#REF!</definedName>
    <definedName name="base_row">[2]General_inputs!$M$6</definedName>
    <definedName name="Base_year">[2]General_inputs!$F$6</definedName>
    <definedName name="Base_year2">[2]General_inputs!$F$7</definedName>
    <definedName name="Fuel_type">[3]General_inputs!$F$16</definedName>
    <definedName name="HTML_CodePage" hidden="1">1252</definedName>
    <definedName name="HTML_Control" hidden="1">{"'Sheet1'!$A$1:$K$41"}</definedName>
    <definedName name="HTML_Description" hidden="1">""</definedName>
    <definedName name="HTML_Email" hidden="1">""</definedName>
    <definedName name="HTML_Header" hidden="1">""</definedName>
    <definedName name="HTML_LastUpdate" hidden="1">"7/26/00"</definedName>
    <definedName name="HTML_LineAfter" hidden="1">FALSE</definedName>
    <definedName name="HTML_LineBefore" hidden="1">FALSE</definedName>
    <definedName name="HTML_Name" hidden="1">"Stephanie Battles"</definedName>
    <definedName name="HTML_OBDlg2" hidden="1">TRUE</definedName>
    <definedName name="HTML_OBDlg4" hidden="1">TRUE</definedName>
    <definedName name="HTML_OS" hidden="1">0</definedName>
    <definedName name="HTML_PathFile" hidden="1">"C:\WEBSHARE\WWWROOT\efficiency\spreadsheets\MyHTML.htm"</definedName>
    <definedName name="HTML_Title" hidden="1">"Total Square Feet in U.S. Housing Units"</definedName>
    <definedName name="index_label">[2]General_inputs!$U$6</definedName>
    <definedName name="Print_Area_MI">[4]Price!#REF!</definedName>
    <definedName name="QtrData">'[5]Authnot Prelim'!#REF!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5" i="9" l="1"/>
  <c r="C29" i="9"/>
  <c r="R37" i="9" s="1"/>
  <c r="D29" i="9"/>
  <c r="S37" i="9" s="1"/>
  <c r="E29" i="9"/>
  <c r="F29" i="9"/>
  <c r="T37" i="9" s="1"/>
  <c r="G29" i="9"/>
  <c r="H29" i="9"/>
  <c r="I29" i="9"/>
  <c r="J29" i="9"/>
  <c r="C30" i="9"/>
  <c r="D30" i="9"/>
  <c r="E30" i="9"/>
  <c r="F30" i="9"/>
  <c r="G30" i="9"/>
  <c r="H30" i="9"/>
  <c r="I30" i="9"/>
  <c r="J30" i="9"/>
  <c r="U37" i="9"/>
  <c r="R38" i="9"/>
  <c r="S38" i="9"/>
  <c r="V38" i="9" s="1"/>
  <c r="T38" i="9"/>
  <c r="U38" i="9"/>
  <c r="K17" i="9"/>
  <c r="L17" i="9"/>
  <c r="M17" i="9"/>
  <c r="N17" i="9"/>
  <c r="O17" i="9"/>
  <c r="C17" i="9"/>
  <c r="D17" i="9"/>
  <c r="E17" i="9"/>
  <c r="F17" i="9"/>
  <c r="G17" i="9"/>
  <c r="K16" i="9"/>
  <c r="L16" i="9"/>
  <c r="M16" i="9"/>
  <c r="N16" i="9"/>
  <c r="O16" i="9"/>
  <c r="C16" i="9"/>
  <c r="D16" i="9"/>
  <c r="E16" i="9"/>
  <c r="F16" i="9"/>
  <c r="G16" i="9"/>
  <c r="V37" i="9" l="1"/>
  <c r="G53" i="8" l="1"/>
  <c r="F53" i="8"/>
  <c r="K60" i="2"/>
  <c r="J60" i="2"/>
  <c r="G60" i="2"/>
  <c r="H60" i="2"/>
  <c r="H46" i="2"/>
  <c r="G46" i="2"/>
  <c r="N43" i="3"/>
  <c r="N44" i="3"/>
  <c r="N45" i="3"/>
  <c r="M43" i="3"/>
  <c r="M44" i="3"/>
  <c r="M45" i="3"/>
  <c r="E44" i="3"/>
  <c r="E45" i="3"/>
  <c r="F44" i="3"/>
  <c r="F45" i="3"/>
  <c r="K43" i="3"/>
  <c r="K44" i="3"/>
  <c r="K45" i="3"/>
  <c r="J43" i="3"/>
  <c r="J44" i="3"/>
  <c r="J45" i="3"/>
  <c r="AD25" i="5"/>
  <c r="AE25" i="5"/>
  <c r="AF25" i="5"/>
  <c r="AD26" i="5"/>
  <c r="AE26" i="5"/>
  <c r="AF26" i="5"/>
  <c r="AD27" i="5"/>
  <c r="AE27" i="5"/>
  <c r="AF27" i="5"/>
  <c r="AB27" i="5"/>
  <c r="AB26" i="5"/>
  <c r="AB25" i="5"/>
  <c r="AA27" i="5"/>
  <c r="AA26" i="5"/>
  <c r="AA25" i="5"/>
  <c r="Z27" i="5"/>
  <c r="Z26" i="5"/>
  <c r="Z25" i="5"/>
  <c r="D60" i="2"/>
  <c r="E60" i="2"/>
  <c r="D46" i="2"/>
  <c r="D45" i="2"/>
  <c r="E46" i="2"/>
  <c r="J18" i="2"/>
  <c r="V51" i="8" l="1"/>
  <c r="V52" i="8"/>
  <c r="V53" i="8"/>
  <c r="D52" i="8"/>
  <c r="D53" i="8" s="1"/>
  <c r="D54" i="8" s="1"/>
  <c r="R51" i="8"/>
  <c r="I40" i="3" l="1"/>
  <c r="I41" i="3" s="1"/>
  <c r="I42" i="3" s="1"/>
  <c r="E43" i="3"/>
  <c r="F43" i="3"/>
  <c r="J17" i="2"/>
  <c r="F17" i="2"/>
  <c r="C21" i="9" l="1"/>
  <c r="D21" i="9"/>
  <c r="E21" i="9"/>
  <c r="F21" i="9"/>
  <c r="G21" i="9"/>
  <c r="H21" i="9"/>
  <c r="I21" i="9"/>
  <c r="J21" i="9"/>
  <c r="B22" i="9"/>
  <c r="E22" i="9"/>
  <c r="H22" i="9"/>
  <c r="B23" i="9"/>
  <c r="E23" i="9"/>
  <c r="H23" i="9"/>
  <c r="B24" i="9"/>
  <c r="E24" i="9"/>
  <c r="H24" i="9"/>
  <c r="B25" i="9"/>
  <c r="E25" i="9"/>
  <c r="H25" i="9"/>
  <c r="B26" i="9"/>
  <c r="E26" i="9"/>
  <c r="H26" i="9"/>
  <c r="B27" i="9"/>
  <c r="E27" i="9"/>
  <c r="H27" i="9"/>
  <c r="B28" i="9"/>
  <c r="E28" i="9"/>
  <c r="H28" i="9"/>
  <c r="C8" i="9"/>
  <c r="D8" i="9"/>
  <c r="E8" i="9"/>
  <c r="F8" i="9"/>
  <c r="G8" i="9"/>
  <c r="B9" i="9"/>
  <c r="J9" i="9" s="1"/>
  <c r="Q30" i="9" s="1"/>
  <c r="C9" i="9"/>
  <c r="K9" i="9" s="1"/>
  <c r="D9" i="9"/>
  <c r="L9" i="9" s="1"/>
  <c r="E9" i="9"/>
  <c r="M9" i="9" s="1"/>
  <c r="B10" i="9"/>
  <c r="J10" i="9" s="1"/>
  <c r="Q31" i="9" s="1"/>
  <c r="B11" i="9"/>
  <c r="J11" i="9" s="1"/>
  <c r="Q32" i="9" s="1"/>
  <c r="C11" i="9"/>
  <c r="K11" i="9" s="1"/>
  <c r="D11" i="9"/>
  <c r="L11" i="9" s="1"/>
  <c r="E11" i="9"/>
  <c r="M11" i="9" s="1"/>
  <c r="F11" i="9"/>
  <c r="N11" i="9" s="1"/>
  <c r="G11" i="9"/>
  <c r="O11" i="9" s="1"/>
  <c r="B12" i="9"/>
  <c r="J12" i="9" s="1"/>
  <c r="Q33" i="9" s="1"/>
  <c r="C12" i="9"/>
  <c r="K12" i="9" s="1"/>
  <c r="D12" i="9"/>
  <c r="L12" i="9" s="1"/>
  <c r="E12" i="9"/>
  <c r="M12" i="9" s="1"/>
  <c r="F12" i="9"/>
  <c r="N12" i="9" s="1"/>
  <c r="G12" i="9"/>
  <c r="O12" i="9" s="1"/>
  <c r="B13" i="9"/>
  <c r="J13" i="9" s="1"/>
  <c r="Q34" i="9" s="1"/>
  <c r="C13" i="9"/>
  <c r="K13" i="9" s="1"/>
  <c r="D13" i="9"/>
  <c r="L13" i="9" s="1"/>
  <c r="E13" i="9"/>
  <c r="M13" i="9" s="1"/>
  <c r="F13" i="9"/>
  <c r="N13" i="9" s="1"/>
  <c r="G13" i="9"/>
  <c r="O13" i="9" s="1"/>
  <c r="B14" i="9"/>
  <c r="J14" i="9" s="1"/>
  <c r="Q35" i="9" s="1"/>
  <c r="B15" i="9"/>
  <c r="Q36" i="9" s="1"/>
  <c r="AB22" i="8" l="1"/>
  <c r="AB21" i="8"/>
  <c r="AB20" i="8"/>
  <c r="AB19" i="8"/>
  <c r="AB18" i="8"/>
  <c r="AB17" i="8"/>
  <c r="AB16" i="8"/>
  <c r="AB15" i="8"/>
  <c r="AB14" i="8"/>
  <c r="D6" i="8"/>
  <c r="D7" i="8" s="1"/>
  <c r="D8" i="8" l="1"/>
  <c r="R7" i="8"/>
  <c r="V7" i="8" s="1"/>
  <c r="R6" i="8"/>
  <c r="V6" i="8" s="1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5" i="3"/>
  <c r="AF18" i="5"/>
  <c r="AB36" i="3" s="1"/>
  <c r="AF19" i="5"/>
  <c r="AB37" i="3" s="1"/>
  <c r="AB20" i="5"/>
  <c r="AB21" i="5" s="1"/>
  <c r="AB19" i="5"/>
  <c r="AA37" i="3" s="1"/>
  <c r="AB18" i="5"/>
  <c r="AA36" i="3" s="1"/>
  <c r="AB4" i="5" a="1"/>
  <c r="AB4" i="5" s="1"/>
  <c r="AF4" i="5" s="1"/>
  <c r="AB22" i="3" s="1"/>
  <c r="Y5" i="3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AB12" i="3" l="1"/>
  <c r="AB10" i="3"/>
  <c r="AB20" i="3"/>
  <c r="AB6" i="3"/>
  <c r="AB8" i="3"/>
  <c r="AB5" i="3"/>
  <c r="AB11" i="3"/>
  <c r="AB21" i="3"/>
  <c r="AB9" i="3"/>
  <c r="AB19" i="3"/>
  <c r="AB7" i="3"/>
  <c r="AB18" i="3"/>
  <c r="AA22" i="3"/>
  <c r="AB16" i="3"/>
  <c r="AB17" i="3"/>
  <c r="AA38" i="3"/>
  <c r="AB14" i="3"/>
  <c r="AB15" i="3"/>
  <c r="AB22" i="5"/>
  <c r="AF21" i="5"/>
  <c r="AB13" i="3"/>
  <c r="AF20" i="5"/>
  <c r="AB38" i="3" s="1"/>
  <c r="D9" i="8"/>
  <c r="R8" i="8"/>
  <c r="V8" i="8" s="1"/>
  <c r="AB17" i="5"/>
  <c r="AB15" i="5"/>
  <c r="AB13" i="5"/>
  <c r="AB11" i="5"/>
  <c r="AB9" i="5"/>
  <c r="AB7" i="5"/>
  <c r="AB5" i="5"/>
  <c r="AB16" i="5"/>
  <c r="AB14" i="5"/>
  <c r="AB12" i="5"/>
  <c r="AB10" i="5"/>
  <c r="AB8" i="5"/>
  <c r="AB6" i="5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5" i="3" l="1"/>
  <c r="AF7" i="5"/>
  <c r="AB25" i="3" s="1"/>
  <c r="AF15" i="5"/>
  <c r="AB33" i="3" s="1"/>
  <c r="AA33" i="3"/>
  <c r="AF13" i="5"/>
  <c r="AB31" i="3" s="1"/>
  <c r="AA31" i="3"/>
  <c r="AF22" i="5"/>
  <c r="AB23" i="5"/>
  <c r="AF8" i="5"/>
  <c r="AB26" i="3" s="1"/>
  <c r="AA26" i="3"/>
  <c r="D10" i="8"/>
  <c r="R9" i="8"/>
  <c r="V9" i="8" s="1"/>
  <c r="AA24" i="3"/>
  <c r="AF6" i="5"/>
  <c r="AB24" i="3" s="1"/>
  <c r="AF10" i="5"/>
  <c r="AB28" i="3" s="1"/>
  <c r="AA28" i="3"/>
  <c r="AF12" i="5"/>
  <c r="AB30" i="3" s="1"/>
  <c r="AA30" i="3"/>
  <c r="AF14" i="5"/>
  <c r="AB32" i="3" s="1"/>
  <c r="AA32" i="3"/>
  <c r="AF9" i="5"/>
  <c r="AB27" i="3" s="1"/>
  <c r="AA27" i="3"/>
  <c r="AF11" i="5"/>
  <c r="AB29" i="3" s="1"/>
  <c r="AA29" i="3"/>
  <c r="AA35" i="3"/>
  <c r="AF17" i="5"/>
  <c r="AB35" i="3" s="1"/>
  <c r="AA34" i="3"/>
  <c r="AF16" i="5"/>
  <c r="AB34" i="3" s="1"/>
  <c r="AA23" i="3"/>
  <c r="AF5" i="5"/>
  <c r="AB23" i="3" s="1"/>
  <c r="J12" i="2"/>
  <c r="J13" i="2"/>
  <c r="J14" i="2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 s="1"/>
  <c r="I39" i="3" s="1"/>
  <c r="H10" i="2"/>
  <c r="G9" i="9" s="1"/>
  <c r="O9" i="9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F36" i="3"/>
  <c r="F37" i="3"/>
  <c r="C6" i="3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C5" i="3"/>
  <c r="AE18" i="5"/>
  <c r="K36" i="3" s="1"/>
  <c r="AE20" i="5"/>
  <c r="K38" i="3" s="1"/>
  <c r="AE4" i="5"/>
  <c r="K22" i="3" s="1"/>
  <c r="AD18" i="5"/>
  <c r="AD19" i="5"/>
  <c r="AD20" i="5"/>
  <c r="F38" i="3" s="1"/>
  <c r="AA20" i="5"/>
  <c r="AA19" i="5"/>
  <c r="J37" i="3" s="1"/>
  <c r="AA18" i="5"/>
  <c r="J36" i="3" s="1"/>
  <c r="AA4" i="5" a="1"/>
  <c r="AA4" i="5" s="1"/>
  <c r="J22" i="3" s="1"/>
  <c r="Z20" i="5"/>
  <c r="Z21" i="5" s="1"/>
  <c r="Z19" i="5"/>
  <c r="E37" i="3" s="1"/>
  <c r="Z18" i="5"/>
  <c r="E36" i="3" s="1"/>
  <c r="Z4" i="5" a="1"/>
  <c r="Z4" i="5" s="1"/>
  <c r="E22" i="3" s="1"/>
  <c r="E6" i="3" s="1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E44" i="2"/>
  <c r="E45" i="2" s="1"/>
  <c r="E59" i="2" s="1"/>
  <c r="E43" i="2"/>
  <c r="E42" i="2"/>
  <c r="E56" i="2" s="1"/>
  <c r="D26" i="9" s="1"/>
  <c r="S34" i="9" s="1"/>
  <c r="E41" i="2"/>
  <c r="E55" i="2" s="1"/>
  <c r="D25" i="9" s="1"/>
  <c r="S33" i="9" s="1"/>
  <c r="E40" i="2"/>
  <c r="E54" i="2" s="1"/>
  <c r="D24" i="9" s="1"/>
  <c r="S32" i="9" s="1"/>
  <c r="E39" i="2"/>
  <c r="E38" i="2"/>
  <c r="E52" i="2" s="1"/>
  <c r="D22" i="9" s="1"/>
  <c r="S30" i="9" s="1"/>
  <c r="D44" i="2"/>
  <c r="D59" i="2" s="1"/>
  <c r="F48" i="8" s="1"/>
  <c r="D43" i="2"/>
  <c r="D42" i="2"/>
  <c r="D56" i="2" s="1"/>
  <c r="D41" i="2"/>
  <c r="D55" i="2" s="1"/>
  <c r="D40" i="2"/>
  <c r="D54" i="2" s="1"/>
  <c r="G15" i="9"/>
  <c r="O15" i="9" s="1"/>
  <c r="F15" i="9"/>
  <c r="N15" i="9" s="1"/>
  <c r="F16" i="2"/>
  <c r="E15" i="9" s="1"/>
  <c r="M15" i="9" s="1"/>
  <c r="H15" i="2"/>
  <c r="G14" i="9" s="1"/>
  <c r="O14" i="9" s="1"/>
  <c r="G15" i="2"/>
  <c r="F14" i="9" s="1"/>
  <c r="N14" i="9" s="1"/>
  <c r="F15" i="2"/>
  <c r="E14" i="9" s="1"/>
  <c r="M14" i="9" s="1"/>
  <c r="E15" i="2"/>
  <c r="D15" i="2"/>
  <c r="D39" i="2"/>
  <c r="D38" i="2"/>
  <c r="D52" i="2" s="1"/>
  <c r="AG14" i="4"/>
  <c r="AG15" i="4"/>
  <c r="AG16" i="4"/>
  <c r="AG25" i="4"/>
  <c r="AG26" i="4"/>
  <c r="AG27" i="4"/>
  <c r="AG28" i="4"/>
  <c r="AG37" i="4"/>
  <c r="AG38" i="4"/>
  <c r="AG39" i="4"/>
  <c r="AG40" i="4"/>
  <c r="AF7" i="4"/>
  <c r="AG18" i="4" s="1"/>
  <c r="K47" i="4"/>
  <c r="I47" i="4"/>
  <c r="D47" i="4"/>
  <c r="B47" i="4"/>
  <c r="C22" i="9" l="1"/>
  <c r="R30" i="9" s="1"/>
  <c r="F13" i="8"/>
  <c r="C25" i="9"/>
  <c r="R33" i="9" s="1"/>
  <c r="F28" i="8"/>
  <c r="K21" i="3"/>
  <c r="K9" i="3"/>
  <c r="C26" i="9"/>
  <c r="R34" i="9" s="1"/>
  <c r="F33" i="8"/>
  <c r="K8" i="3"/>
  <c r="K17" i="3"/>
  <c r="K10" i="3"/>
  <c r="K5" i="3"/>
  <c r="K16" i="3"/>
  <c r="K14" i="3"/>
  <c r="K15" i="3"/>
  <c r="K12" i="3"/>
  <c r="K11" i="3"/>
  <c r="K13" i="3"/>
  <c r="K20" i="3"/>
  <c r="K19" i="3"/>
  <c r="K6" i="3"/>
  <c r="C24" i="9"/>
  <c r="R32" i="9" s="1"/>
  <c r="F23" i="8"/>
  <c r="K7" i="3"/>
  <c r="K18" i="3"/>
  <c r="M38" i="3"/>
  <c r="N38" i="3" s="1"/>
  <c r="AG41" i="4"/>
  <c r="AG29" i="4"/>
  <c r="AG17" i="4"/>
  <c r="AD4" i="5"/>
  <c r="F22" i="3" s="1"/>
  <c r="M22" i="3" s="1"/>
  <c r="N22" i="3" s="1"/>
  <c r="AF23" i="5"/>
  <c r="AB24" i="5"/>
  <c r="AF24" i="5" s="1"/>
  <c r="AG24" i="4"/>
  <c r="AG35" i="4"/>
  <c r="AG13" i="4"/>
  <c r="AG36" i="4"/>
  <c r="AG47" i="4"/>
  <c r="AG46" i="4"/>
  <c r="AG34" i="4"/>
  <c r="AG22" i="4"/>
  <c r="AG10" i="4"/>
  <c r="Z23" i="5"/>
  <c r="Z22" i="5"/>
  <c r="AD21" i="5"/>
  <c r="F39" i="3" s="1"/>
  <c r="E39" i="3"/>
  <c r="AE19" i="5"/>
  <c r="K37" i="3" s="1"/>
  <c r="M37" i="3" s="1"/>
  <c r="N37" i="3" s="1"/>
  <c r="E38" i="3"/>
  <c r="AG7" i="4"/>
  <c r="M36" i="3"/>
  <c r="N36" i="3" s="1"/>
  <c r="AG12" i="4"/>
  <c r="AG11" i="4"/>
  <c r="AG44" i="4"/>
  <c r="AG32" i="4"/>
  <c r="AG20" i="4"/>
  <c r="AG8" i="4"/>
  <c r="AG33" i="4"/>
  <c r="AG9" i="4"/>
  <c r="AG43" i="4"/>
  <c r="AG31" i="4"/>
  <c r="AG19" i="4"/>
  <c r="D11" i="8"/>
  <c r="R10" i="8"/>
  <c r="V10" i="8" s="1"/>
  <c r="AG23" i="4"/>
  <c r="AG45" i="4"/>
  <c r="AG21" i="4"/>
  <c r="AG42" i="4"/>
  <c r="AG30" i="4"/>
  <c r="AA21" i="5"/>
  <c r="J38" i="3"/>
  <c r="D57" i="2"/>
  <c r="C14" i="9"/>
  <c r="K14" i="9" s="1"/>
  <c r="E58" i="2"/>
  <c r="D28" i="9" s="1"/>
  <c r="S36" i="9" s="1"/>
  <c r="D15" i="9"/>
  <c r="L15" i="9" s="1"/>
  <c r="E57" i="2"/>
  <c r="D27" i="9" s="1"/>
  <c r="S35" i="9" s="1"/>
  <c r="D14" i="9"/>
  <c r="L14" i="9" s="1"/>
  <c r="D58" i="2"/>
  <c r="C15" i="9"/>
  <c r="K15" i="9" s="1"/>
  <c r="J15" i="2"/>
  <c r="J16" i="2"/>
  <c r="E21" i="3"/>
  <c r="E19" i="3"/>
  <c r="E17" i="3"/>
  <c r="E15" i="3"/>
  <c r="E13" i="3"/>
  <c r="E11" i="3"/>
  <c r="E9" i="3"/>
  <c r="E7" i="3"/>
  <c r="F11" i="3"/>
  <c r="M11" i="3" s="1"/>
  <c r="N11" i="3" s="1"/>
  <c r="F9" i="3"/>
  <c r="M9" i="3" s="1"/>
  <c r="N9" i="3" s="1"/>
  <c r="F7" i="3"/>
  <c r="E5" i="3"/>
  <c r="E20" i="3"/>
  <c r="E18" i="3"/>
  <c r="E16" i="3"/>
  <c r="E14" i="3"/>
  <c r="E12" i="3"/>
  <c r="E10" i="3"/>
  <c r="E8" i="3"/>
  <c r="F20" i="3"/>
  <c r="F18" i="3"/>
  <c r="F16" i="3"/>
  <c r="M16" i="3" s="1"/>
  <c r="N16" i="3" s="1"/>
  <c r="F14" i="3"/>
  <c r="M14" i="3" s="1"/>
  <c r="N14" i="3" s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AA17" i="5"/>
  <c r="AA15" i="5"/>
  <c r="AA13" i="5"/>
  <c r="AA11" i="5"/>
  <c r="AA9" i="5"/>
  <c r="AA7" i="5"/>
  <c r="AA5" i="5"/>
  <c r="AA16" i="5"/>
  <c r="AA14" i="5"/>
  <c r="AA12" i="5"/>
  <c r="AA10" i="5"/>
  <c r="AA8" i="5"/>
  <c r="AA6" i="5"/>
  <c r="Z17" i="5"/>
  <c r="Z15" i="5"/>
  <c r="Z13" i="5"/>
  <c r="Z11" i="5"/>
  <c r="Z9" i="5"/>
  <c r="Z7" i="5"/>
  <c r="Z5" i="5"/>
  <c r="Z16" i="5"/>
  <c r="Z14" i="5"/>
  <c r="Z12" i="5"/>
  <c r="Z10" i="5"/>
  <c r="Z8" i="5"/>
  <c r="Z6" i="5"/>
  <c r="M7" i="3" l="1"/>
  <c r="N7" i="3" s="1"/>
  <c r="F21" i="3"/>
  <c r="M21" i="3" s="1"/>
  <c r="N21" i="3" s="1"/>
  <c r="F13" i="3"/>
  <c r="M13" i="3" s="1"/>
  <c r="N13" i="3" s="1"/>
  <c r="F15" i="3"/>
  <c r="M15" i="3" s="1"/>
  <c r="N15" i="3" s="1"/>
  <c r="H40" i="2" s="1"/>
  <c r="H54" i="2" s="1"/>
  <c r="F5" i="3"/>
  <c r="M5" i="3" s="1"/>
  <c r="F6" i="3"/>
  <c r="M6" i="3" s="1"/>
  <c r="N6" i="3" s="1"/>
  <c r="F8" i="3"/>
  <c r="M8" i="3" s="1"/>
  <c r="N8" i="3" s="1"/>
  <c r="F10" i="3"/>
  <c r="M10" i="3" s="1"/>
  <c r="F12" i="3"/>
  <c r="M12" i="3" s="1"/>
  <c r="N12" i="3" s="1"/>
  <c r="E27" i="3"/>
  <c r="AD9" i="5"/>
  <c r="F27" i="3" s="1"/>
  <c r="J25" i="3"/>
  <c r="AE7" i="5"/>
  <c r="K25" i="3" s="1"/>
  <c r="AA22" i="5"/>
  <c r="AE21" i="5"/>
  <c r="K39" i="3" s="1"/>
  <c r="M39" i="3" s="1"/>
  <c r="N39" i="3" s="1"/>
  <c r="J39" i="3"/>
  <c r="E31" i="3"/>
  <c r="AD13" i="5"/>
  <c r="F31" i="3" s="1"/>
  <c r="J29" i="3"/>
  <c r="AE11" i="5"/>
  <c r="K29" i="3" s="1"/>
  <c r="J31" i="3"/>
  <c r="AE13" i="5"/>
  <c r="K31" i="3" s="1"/>
  <c r="Z24" i="5"/>
  <c r="E41" i="3"/>
  <c r="AD23" i="5"/>
  <c r="F41" i="3" s="1"/>
  <c r="J33" i="3"/>
  <c r="AE15" i="5"/>
  <c r="K33" i="3" s="1"/>
  <c r="E24" i="3"/>
  <c r="AD6" i="5"/>
  <c r="F24" i="3" s="1"/>
  <c r="M18" i="3"/>
  <c r="N18" i="3" s="1"/>
  <c r="D12" i="8"/>
  <c r="R11" i="8"/>
  <c r="V11" i="8" s="1"/>
  <c r="E25" i="3"/>
  <c r="AD7" i="5"/>
  <c r="F25" i="3" s="1"/>
  <c r="M25" i="3" s="1"/>
  <c r="J27" i="3"/>
  <c r="AE9" i="5"/>
  <c r="K27" i="3" s="1"/>
  <c r="AD15" i="5"/>
  <c r="F33" i="3" s="1"/>
  <c r="E33" i="3"/>
  <c r="E35" i="3"/>
  <c r="AD17" i="5"/>
  <c r="F35" i="3" s="1"/>
  <c r="J24" i="3"/>
  <c r="AE6" i="5"/>
  <c r="K24" i="3" s="1"/>
  <c r="AD10" i="5"/>
  <c r="F28" i="3" s="1"/>
  <c r="E28" i="3"/>
  <c r="J26" i="3"/>
  <c r="AE8" i="5"/>
  <c r="K26" i="3" s="1"/>
  <c r="AD14" i="5"/>
  <c r="F32" i="3" s="1"/>
  <c r="E32" i="3"/>
  <c r="J30" i="3"/>
  <c r="AE12" i="5"/>
  <c r="K30" i="3" s="1"/>
  <c r="E34" i="3"/>
  <c r="AD16" i="5"/>
  <c r="F34" i="3" s="1"/>
  <c r="J32" i="3"/>
  <c r="AE14" i="5"/>
  <c r="K32" i="3" s="1"/>
  <c r="F17" i="3"/>
  <c r="M17" i="3" s="1"/>
  <c r="N17" i="3" s="1"/>
  <c r="J23" i="3"/>
  <c r="AE5" i="5"/>
  <c r="K23" i="3" s="1"/>
  <c r="AD11" i="5"/>
  <c r="F29" i="3" s="1"/>
  <c r="M29" i="3" s="1"/>
  <c r="N29" i="3" s="1"/>
  <c r="E29" i="3"/>
  <c r="E40" i="3"/>
  <c r="AD22" i="5"/>
  <c r="F40" i="3" s="1"/>
  <c r="E26" i="3"/>
  <c r="AD8" i="5"/>
  <c r="F26" i="3" s="1"/>
  <c r="J35" i="3"/>
  <c r="AE17" i="5"/>
  <c r="K35" i="3" s="1"/>
  <c r="M20" i="3"/>
  <c r="G41" i="2" s="1"/>
  <c r="G55" i="2" s="1"/>
  <c r="E30" i="3"/>
  <c r="AD12" i="5"/>
  <c r="F30" i="3" s="1"/>
  <c r="J28" i="3"/>
  <c r="AE10" i="5"/>
  <c r="K28" i="3" s="1"/>
  <c r="E23" i="3"/>
  <c r="AD5" i="5"/>
  <c r="F23" i="3" s="1"/>
  <c r="J34" i="3"/>
  <c r="AE16" i="5"/>
  <c r="K34" i="3" s="1"/>
  <c r="F19" i="3"/>
  <c r="M19" i="3" s="1"/>
  <c r="N19" i="3" s="1"/>
  <c r="F43" i="8"/>
  <c r="C28" i="9"/>
  <c r="R36" i="9" s="1"/>
  <c r="F38" i="8"/>
  <c r="C27" i="9"/>
  <c r="R35" i="9" s="1"/>
  <c r="G40" i="2"/>
  <c r="G54" i="2" s="1"/>
  <c r="G39" i="2"/>
  <c r="N10" i="3"/>
  <c r="H39" i="2" s="1"/>
  <c r="G38" i="2"/>
  <c r="N5" i="3"/>
  <c r="H38" i="2" s="1"/>
  <c r="H52" i="2" s="1"/>
  <c r="M28" i="3" l="1"/>
  <c r="N28" i="3" s="1"/>
  <c r="M26" i="3"/>
  <c r="N26" i="3" s="1"/>
  <c r="M33" i="3"/>
  <c r="N33" i="3" s="1"/>
  <c r="M23" i="3"/>
  <c r="N23" i="3" s="1"/>
  <c r="M34" i="3"/>
  <c r="N34" i="3" s="1"/>
  <c r="M35" i="3"/>
  <c r="E42" i="3"/>
  <c r="AD24" i="5"/>
  <c r="F42" i="3" s="1"/>
  <c r="D13" i="8"/>
  <c r="R12" i="8"/>
  <c r="V12" i="8" s="1"/>
  <c r="M24" i="3"/>
  <c r="N24" i="3" s="1"/>
  <c r="AE22" i="5"/>
  <c r="K40" i="3" s="1"/>
  <c r="M40" i="3" s="1"/>
  <c r="J40" i="3"/>
  <c r="AA23" i="5"/>
  <c r="M31" i="3"/>
  <c r="N31" i="3" s="1"/>
  <c r="M32" i="3"/>
  <c r="N32" i="3" s="1"/>
  <c r="G42" i="2"/>
  <c r="G56" i="2" s="1"/>
  <c r="N25" i="3"/>
  <c r="H42" i="2" s="1"/>
  <c r="H56" i="2" s="1"/>
  <c r="N20" i="3"/>
  <c r="H41" i="2" s="1"/>
  <c r="H55" i="2" s="1"/>
  <c r="G25" i="9" s="1"/>
  <c r="U33" i="9" s="1"/>
  <c r="M30" i="3"/>
  <c r="M27" i="3"/>
  <c r="N27" i="3" s="1"/>
  <c r="G22" i="9"/>
  <c r="U30" i="9" s="1"/>
  <c r="G24" i="9"/>
  <c r="U32" i="9" s="1"/>
  <c r="J54" i="2"/>
  <c r="I24" i="9" s="1"/>
  <c r="F24" i="9"/>
  <c r="T32" i="9" s="1"/>
  <c r="F25" i="9"/>
  <c r="T33" i="9" s="1"/>
  <c r="AB15" i="2"/>
  <c r="AB27" i="2"/>
  <c r="AJ9" i="2"/>
  <c r="AB9" i="2" s="1"/>
  <c r="AJ13" i="2"/>
  <c r="AA13" i="2" s="1"/>
  <c r="AJ15" i="2"/>
  <c r="AA15" i="2" s="1"/>
  <c r="AJ21" i="2"/>
  <c r="AB21" i="2" s="1"/>
  <c r="AJ25" i="2"/>
  <c r="AA25" i="2" s="1"/>
  <c r="AJ27" i="2"/>
  <c r="AA27" i="2" s="1"/>
  <c r="AJ33" i="2"/>
  <c r="AB33" i="2" s="1"/>
  <c r="AH9" i="2"/>
  <c r="AI9" i="2"/>
  <c r="AH10" i="2"/>
  <c r="AJ10" i="2" s="1"/>
  <c r="AI10" i="2"/>
  <c r="AH11" i="2"/>
  <c r="AJ11" i="2" s="1"/>
  <c r="AI11" i="2"/>
  <c r="AH12" i="2"/>
  <c r="AJ12" i="2" s="1"/>
  <c r="AI12" i="2"/>
  <c r="AH13" i="2"/>
  <c r="AI13" i="2"/>
  <c r="AH14" i="2"/>
  <c r="AJ14" i="2" s="1"/>
  <c r="AI14" i="2"/>
  <c r="AH15" i="2"/>
  <c r="AI15" i="2"/>
  <c r="AH16" i="2"/>
  <c r="AJ16" i="2" s="1"/>
  <c r="AI16" i="2"/>
  <c r="AH17" i="2"/>
  <c r="AJ17" i="2" s="1"/>
  <c r="AI17" i="2"/>
  <c r="AH18" i="2"/>
  <c r="AI18" i="2"/>
  <c r="AJ18" i="2" s="1"/>
  <c r="AH19" i="2"/>
  <c r="AJ19" i="2" s="1"/>
  <c r="AI19" i="2"/>
  <c r="AH20" i="2"/>
  <c r="AJ20" i="2" s="1"/>
  <c r="AI20" i="2"/>
  <c r="AH21" i="2"/>
  <c r="AI21" i="2"/>
  <c r="AH22" i="2"/>
  <c r="AJ22" i="2" s="1"/>
  <c r="AI22" i="2"/>
  <c r="AH23" i="2"/>
  <c r="AJ23" i="2" s="1"/>
  <c r="AI23" i="2"/>
  <c r="AH24" i="2"/>
  <c r="AJ24" i="2" s="1"/>
  <c r="AI24" i="2"/>
  <c r="AH25" i="2"/>
  <c r="AI25" i="2"/>
  <c r="AH26" i="2"/>
  <c r="AJ26" i="2" s="1"/>
  <c r="AI26" i="2"/>
  <c r="AH27" i="2"/>
  <c r="AI27" i="2"/>
  <c r="AH28" i="2"/>
  <c r="AJ28" i="2" s="1"/>
  <c r="AI28" i="2"/>
  <c r="AH29" i="2"/>
  <c r="AJ29" i="2" s="1"/>
  <c r="AI29" i="2"/>
  <c r="AH30" i="2"/>
  <c r="AI30" i="2"/>
  <c r="AJ30" i="2" s="1"/>
  <c r="AH31" i="2"/>
  <c r="AJ31" i="2" s="1"/>
  <c r="AI31" i="2"/>
  <c r="AH32" i="2"/>
  <c r="AJ32" i="2" s="1"/>
  <c r="AI32" i="2"/>
  <c r="AH33" i="2"/>
  <c r="AI33" i="2"/>
  <c r="AI8" i="2"/>
  <c r="AH8" i="2"/>
  <c r="AJ8" i="2" s="1"/>
  <c r="AD35" i="2"/>
  <c r="AE35" i="2"/>
  <c r="H11" i="2" s="1"/>
  <c r="G10" i="9" s="1"/>
  <c r="O10" i="9" s="1"/>
  <c r="AF35" i="2"/>
  <c r="AC35" i="2"/>
  <c r="Q35" i="2"/>
  <c r="R35" i="2"/>
  <c r="S35" i="2"/>
  <c r="E11" i="2" s="1"/>
  <c r="T35" i="2"/>
  <c r="U35" i="2"/>
  <c r="V35" i="2"/>
  <c r="W35" i="2"/>
  <c r="X35" i="2"/>
  <c r="Y35" i="2"/>
  <c r="Z35" i="2"/>
  <c r="N35" i="2"/>
  <c r="O35" i="2"/>
  <c r="D11" i="2" s="1"/>
  <c r="P35" i="2"/>
  <c r="M35" i="2"/>
  <c r="K10" i="2"/>
  <c r="K11" i="2" s="1"/>
  <c r="K12" i="2" s="1"/>
  <c r="K13" i="2" s="1"/>
  <c r="K14" i="2" s="1"/>
  <c r="K15" i="2" s="1"/>
  <c r="K16" i="2" s="1"/>
  <c r="K9" i="2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A28" i="2" l="1"/>
  <c r="AB28" i="2"/>
  <c r="AA22" i="2"/>
  <c r="AB22" i="2"/>
  <c r="AA14" i="2"/>
  <c r="AB14" i="2"/>
  <c r="AA30" i="2"/>
  <c r="AB30" i="2"/>
  <c r="AA10" i="2"/>
  <c r="AB10" i="2"/>
  <c r="AA20" i="2"/>
  <c r="AB20" i="2"/>
  <c r="AA31" i="2"/>
  <c r="AB31" i="2"/>
  <c r="AA18" i="2"/>
  <c r="AB18" i="2"/>
  <c r="AA12" i="2"/>
  <c r="AB12" i="2"/>
  <c r="AA32" i="2"/>
  <c r="AB32" i="2"/>
  <c r="AA19" i="2"/>
  <c r="AB19" i="2"/>
  <c r="AA24" i="2"/>
  <c r="AB24" i="2"/>
  <c r="AB29" i="2"/>
  <c r="AA29" i="2"/>
  <c r="AB23" i="2"/>
  <c r="AA23" i="2"/>
  <c r="AB17" i="2"/>
  <c r="AA17" i="2"/>
  <c r="AB11" i="2"/>
  <c r="AA11" i="2"/>
  <c r="AA16" i="2"/>
  <c r="AB16" i="2"/>
  <c r="AA26" i="2"/>
  <c r="AB26" i="2"/>
  <c r="AB8" i="2"/>
  <c r="AA8" i="2"/>
  <c r="AA35" i="2" s="1"/>
  <c r="J56" i="2"/>
  <c r="I26" i="9" s="1"/>
  <c r="G26" i="9"/>
  <c r="U34" i="9" s="1"/>
  <c r="J55" i="2"/>
  <c r="K56" i="2"/>
  <c r="F26" i="9"/>
  <c r="T34" i="9" s="1"/>
  <c r="AA33" i="2"/>
  <c r="AA21" i="2"/>
  <c r="AA9" i="2"/>
  <c r="H53" i="2"/>
  <c r="G23" i="9" s="1"/>
  <c r="U31" i="9" s="1"/>
  <c r="N40" i="3"/>
  <c r="H45" i="2" s="1"/>
  <c r="H59" i="2" s="1"/>
  <c r="J59" i="2" s="1"/>
  <c r="G45" i="2"/>
  <c r="G59" i="2" s="1"/>
  <c r="V33" i="9"/>
  <c r="K54" i="2"/>
  <c r="G23" i="8" s="1"/>
  <c r="D14" i="8"/>
  <c r="R13" i="8"/>
  <c r="V13" i="8" s="1"/>
  <c r="AB25" i="2"/>
  <c r="AB13" i="2"/>
  <c r="V32" i="9"/>
  <c r="D10" i="9"/>
  <c r="L10" i="9" s="1"/>
  <c r="E53" i="2"/>
  <c r="F11" i="2"/>
  <c r="E10" i="9" s="1"/>
  <c r="M10" i="9" s="1"/>
  <c r="W36" i="2"/>
  <c r="N35" i="3"/>
  <c r="H44" i="2" s="1"/>
  <c r="H58" i="2" s="1"/>
  <c r="G44" i="2"/>
  <c r="G58" i="2" s="1"/>
  <c r="C10" i="9"/>
  <c r="K10" i="9" s="1"/>
  <c r="D53" i="2"/>
  <c r="J41" i="3"/>
  <c r="AE23" i="5"/>
  <c r="K41" i="3" s="1"/>
  <c r="M41" i="3" s="1"/>
  <c r="N41" i="3" s="1"/>
  <c r="AA24" i="5"/>
  <c r="G43" i="2"/>
  <c r="G57" i="2" s="1"/>
  <c r="N30" i="3"/>
  <c r="H43" i="2" s="1"/>
  <c r="H57" i="2" s="1"/>
  <c r="J24" i="9"/>
  <c r="E13" i="1" a="1"/>
  <c r="E13" i="1" s="1"/>
  <c r="V34" i="9" l="1"/>
  <c r="K59" i="2"/>
  <c r="G48" i="8" s="1"/>
  <c r="D23" i="9"/>
  <c r="S31" i="9" s="1"/>
  <c r="J57" i="2"/>
  <c r="I27" i="9" s="1"/>
  <c r="G27" i="9"/>
  <c r="U35" i="9" s="1"/>
  <c r="F27" i="9"/>
  <c r="T35" i="9" s="1"/>
  <c r="K57" i="2"/>
  <c r="AE24" i="5"/>
  <c r="K42" i="3" s="1"/>
  <c r="M42" i="3" s="1"/>
  <c r="N42" i="3" s="1"/>
  <c r="J42" i="3"/>
  <c r="J26" i="9"/>
  <c r="G33" i="8"/>
  <c r="G11" i="2"/>
  <c r="C23" i="9"/>
  <c r="R31" i="9" s="1"/>
  <c r="F18" i="8"/>
  <c r="I25" i="9"/>
  <c r="K55" i="2"/>
  <c r="D15" i="8"/>
  <c r="R14" i="8"/>
  <c r="V14" i="8" s="1"/>
  <c r="F28" i="9"/>
  <c r="T36" i="9" s="1"/>
  <c r="J58" i="2"/>
  <c r="I28" i="9" s="1"/>
  <c r="G28" i="9"/>
  <c r="U36" i="9" s="1"/>
  <c r="AB35" i="2"/>
  <c r="G10" i="2" s="1"/>
  <c r="G13" i="1"/>
  <c r="E14" i="1"/>
  <c r="I14" i="1"/>
  <c r="G15" i="1"/>
  <c r="E16" i="1"/>
  <c r="G17" i="1"/>
  <c r="I18" i="1"/>
  <c r="E20" i="1"/>
  <c r="G21" i="1"/>
  <c r="I22" i="1"/>
  <c r="E24" i="1"/>
  <c r="G25" i="1"/>
  <c r="I26" i="1"/>
  <c r="E28" i="1"/>
  <c r="G29" i="1"/>
  <c r="I30" i="1"/>
  <c r="E32" i="1"/>
  <c r="G33" i="1"/>
  <c r="I34" i="1"/>
  <c r="E36" i="1"/>
  <c r="G37" i="1"/>
  <c r="I38" i="1"/>
  <c r="F14" i="1"/>
  <c r="H38" i="1"/>
  <c r="J35" i="1"/>
  <c r="F33" i="1"/>
  <c r="H30" i="1"/>
  <c r="J27" i="1"/>
  <c r="F25" i="1"/>
  <c r="H22" i="1"/>
  <c r="J19" i="1"/>
  <c r="F17" i="1"/>
  <c r="F38" i="1"/>
  <c r="H35" i="1"/>
  <c r="J32" i="1"/>
  <c r="F30" i="1"/>
  <c r="H27" i="1"/>
  <c r="J24" i="1"/>
  <c r="F22" i="1"/>
  <c r="H19" i="1"/>
  <c r="J16" i="1"/>
  <c r="I13" i="1"/>
  <c r="G14" i="1"/>
  <c r="E15" i="1"/>
  <c r="I15" i="1"/>
  <c r="I16" i="1"/>
  <c r="E18" i="1"/>
  <c r="G19" i="1"/>
  <c r="I20" i="1"/>
  <c r="E22" i="1"/>
  <c r="G23" i="1"/>
  <c r="I24" i="1"/>
  <c r="E26" i="1"/>
  <c r="G27" i="1"/>
  <c r="I28" i="1"/>
  <c r="E30" i="1"/>
  <c r="G31" i="1"/>
  <c r="I32" i="1"/>
  <c r="E34" i="1"/>
  <c r="G35" i="1"/>
  <c r="I36" i="1"/>
  <c r="E38" i="1"/>
  <c r="H13" i="1"/>
  <c r="J14" i="1"/>
  <c r="F37" i="1"/>
  <c r="H34" i="1"/>
  <c r="J31" i="1"/>
  <c r="F29" i="1"/>
  <c r="H26" i="1"/>
  <c r="J23" i="1"/>
  <c r="F21" i="1"/>
  <c r="H18" i="1"/>
  <c r="J15" i="1"/>
  <c r="J36" i="1"/>
  <c r="F34" i="1"/>
  <c r="H31" i="1"/>
  <c r="J28" i="1"/>
  <c r="F26" i="1"/>
  <c r="H23" i="1"/>
  <c r="J20" i="1"/>
  <c r="F18" i="1"/>
  <c r="H15" i="1"/>
  <c r="G16" i="1"/>
  <c r="E17" i="1"/>
  <c r="I17" i="1"/>
  <c r="G18" i="1"/>
  <c r="E19" i="1"/>
  <c r="I19" i="1"/>
  <c r="G20" i="1"/>
  <c r="E21" i="1"/>
  <c r="I21" i="1"/>
  <c r="G22" i="1"/>
  <c r="E23" i="1"/>
  <c r="I23" i="1"/>
  <c r="G24" i="1"/>
  <c r="E25" i="1"/>
  <c r="I25" i="1"/>
  <c r="G26" i="1"/>
  <c r="E27" i="1"/>
  <c r="I27" i="1"/>
  <c r="G28" i="1"/>
  <c r="E29" i="1"/>
  <c r="I29" i="1"/>
  <c r="G30" i="1"/>
  <c r="E31" i="1"/>
  <c r="I31" i="1"/>
  <c r="G32" i="1"/>
  <c r="E33" i="1"/>
  <c r="I33" i="1"/>
  <c r="G34" i="1"/>
  <c r="E35" i="1"/>
  <c r="I35" i="1"/>
  <c r="G36" i="1"/>
  <c r="E37" i="1"/>
  <c r="I37" i="1"/>
  <c r="G38" i="1"/>
  <c r="F13" i="1"/>
  <c r="J13" i="1"/>
  <c r="H14" i="1"/>
  <c r="F15" i="1"/>
  <c r="J37" i="1"/>
  <c r="H36" i="1"/>
  <c r="F35" i="1"/>
  <c r="J33" i="1"/>
  <c r="H32" i="1"/>
  <c r="F31" i="1"/>
  <c r="J29" i="1"/>
  <c r="H28" i="1"/>
  <c r="F27" i="1"/>
  <c r="J25" i="1"/>
  <c r="H24" i="1"/>
  <c r="F23" i="1"/>
  <c r="J21" i="1"/>
  <c r="H20" i="1"/>
  <c r="F19" i="1"/>
  <c r="J17" i="1"/>
  <c r="H16" i="1"/>
  <c r="J38" i="1"/>
  <c r="H37" i="1"/>
  <c r="F36" i="1"/>
  <c r="J34" i="1"/>
  <c r="H33" i="1"/>
  <c r="F32" i="1"/>
  <c r="J30" i="1"/>
  <c r="H29" i="1"/>
  <c r="F28" i="1"/>
  <c r="J26" i="1"/>
  <c r="H25" i="1"/>
  <c r="F24" i="1"/>
  <c r="J22" i="1"/>
  <c r="H21" i="1"/>
  <c r="F20" i="1"/>
  <c r="J18" i="1"/>
  <c r="H17" i="1"/>
  <c r="F16" i="1"/>
  <c r="V35" i="9" l="1"/>
  <c r="V36" i="9"/>
  <c r="F10" i="9"/>
  <c r="N10" i="9" s="1"/>
  <c r="J11" i="2"/>
  <c r="G53" i="2"/>
  <c r="J53" i="2"/>
  <c r="I23" i="9" s="1"/>
  <c r="AA36" i="2"/>
  <c r="K58" i="2"/>
  <c r="G38" i="8"/>
  <c r="J27" i="9"/>
  <c r="D16" i="8"/>
  <c r="R15" i="8"/>
  <c r="V15" i="8" s="1"/>
  <c r="J25" i="9"/>
  <c r="G28" i="8"/>
  <c r="F9" i="9"/>
  <c r="N9" i="9" s="1"/>
  <c r="J10" i="2"/>
  <c r="J52" i="2"/>
  <c r="I22" i="9" s="1"/>
  <c r="G52" i="2"/>
  <c r="D17" i="8" l="1"/>
  <c r="R16" i="8"/>
  <c r="V16" i="8" s="1"/>
  <c r="G43" i="8"/>
  <c r="J28" i="9"/>
  <c r="F22" i="9"/>
  <c r="T30" i="9" s="1"/>
  <c r="V30" i="9" s="1"/>
  <c r="K52" i="2"/>
  <c r="F23" i="9"/>
  <c r="T31" i="9" s="1"/>
  <c r="V31" i="9" s="1"/>
  <c r="K53" i="2"/>
  <c r="J23" i="9" l="1"/>
  <c r="G18" i="8"/>
  <c r="J22" i="9"/>
  <c r="G13" i="8"/>
  <c r="D18" i="8"/>
  <c r="R17" i="8"/>
  <c r="V17" i="8" s="1"/>
  <c r="D19" i="8" l="1"/>
  <c r="R18" i="8"/>
  <c r="V18" i="8" s="1"/>
  <c r="D20" i="8" l="1"/>
  <c r="R19" i="8"/>
  <c r="V19" i="8" s="1"/>
  <c r="D21" i="8" l="1"/>
  <c r="R20" i="8"/>
  <c r="V20" i="8" s="1"/>
  <c r="D22" i="8" l="1"/>
  <c r="R21" i="8"/>
  <c r="V21" i="8" s="1"/>
  <c r="D23" i="8" l="1"/>
  <c r="R22" i="8"/>
  <c r="V22" i="8" s="1"/>
  <c r="D24" i="8" l="1"/>
  <c r="R23" i="8"/>
  <c r="V23" i="8" s="1"/>
  <c r="D25" i="8" l="1"/>
  <c r="R24" i="8"/>
  <c r="V24" i="8" s="1"/>
  <c r="D26" i="8" l="1"/>
  <c r="R25" i="8"/>
  <c r="V25" i="8" s="1"/>
  <c r="D27" i="8" l="1"/>
  <c r="R26" i="8"/>
  <c r="V26" i="8" s="1"/>
  <c r="D28" i="8" l="1"/>
  <c r="R27" i="8"/>
  <c r="V27" i="8" s="1"/>
  <c r="D29" i="8" l="1"/>
  <c r="R28" i="8"/>
  <c r="V28" i="8" s="1"/>
  <c r="D30" i="8" l="1"/>
  <c r="R29" i="8"/>
  <c r="V29" i="8" s="1"/>
  <c r="D31" i="8" l="1"/>
  <c r="R30" i="8"/>
  <c r="V30" i="8" s="1"/>
  <c r="D32" i="8" l="1"/>
  <c r="R31" i="8"/>
  <c r="V31" i="8" s="1"/>
  <c r="D33" i="8" l="1"/>
  <c r="R32" i="8"/>
  <c r="V32" i="8" s="1"/>
  <c r="D34" i="8" l="1"/>
  <c r="R33" i="8"/>
  <c r="V33" i="8" s="1"/>
  <c r="D35" i="8" l="1"/>
  <c r="R34" i="8"/>
  <c r="V34" i="8" s="1"/>
  <c r="D36" i="8" l="1"/>
  <c r="R35" i="8"/>
  <c r="V35" i="8" s="1"/>
  <c r="D37" i="8" l="1"/>
  <c r="R36" i="8"/>
  <c r="V36" i="8" s="1"/>
  <c r="D38" i="8" l="1"/>
  <c r="R37" i="8"/>
  <c r="V37" i="8" s="1"/>
  <c r="D39" i="8" l="1"/>
  <c r="R38" i="8"/>
  <c r="V38" i="8" s="1"/>
  <c r="D40" i="8" l="1"/>
  <c r="R39" i="8"/>
  <c r="V39" i="8" s="1"/>
  <c r="D41" i="8" l="1"/>
  <c r="R40" i="8"/>
  <c r="V40" i="8" s="1"/>
  <c r="D42" i="8" l="1"/>
  <c r="R41" i="8"/>
  <c r="V41" i="8" s="1"/>
  <c r="D43" i="8" l="1"/>
  <c r="R42" i="8"/>
  <c r="V42" i="8" s="1"/>
  <c r="D44" i="8" l="1"/>
  <c r="R43" i="8"/>
  <c r="V43" i="8" s="1"/>
  <c r="D45" i="8" l="1"/>
  <c r="R44" i="8"/>
  <c r="V44" i="8" s="1"/>
  <c r="D46" i="8" l="1"/>
  <c r="R45" i="8"/>
  <c r="V45" i="8" s="1"/>
  <c r="D47" i="8" l="1"/>
  <c r="R46" i="8"/>
  <c r="V46" i="8" s="1"/>
  <c r="D48" i="8" l="1"/>
  <c r="R47" i="8"/>
  <c r="V47" i="8" s="1"/>
  <c r="R48" i="8" l="1"/>
  <c r="V48" i="8" s="1"/>
  <c r="D49" i="8"/>
  <c r="R49" i="8" l="1"/>
  <c r="V49" i="8" s="1"/>
  <c r="D50" i="8"/>
  <c r="R50" i="8" l="1"/>
  <c r="V50" i="8" s="1"/>
  <c r="D51" i="8"/>
  <c r="Z6" i="8" l="1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B8" i="8" l="1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E54" i="8" s="1"/>
  <c r="B7" i="8"/>
  <c r="Y15" i="8" l="1"/>
  <c r="E15" i="8"/>
  <c r="E52" i="8"/>
  <c r="Y52" i="8"/>
  <c r="Y46" i="8"/>
  <c r="E46" i="8"/>
  <c r="Y40" i="8"/>
  <c r="E40" i="8"/>
  <c r="Y34" i="8"/>
  <c r="E34" i="8"/>
  <c r="Y28" i="8"/>
  <c r="E28" i="8"/>
  <c r="Y22" i="8"/>
  <c r="E22" i="8"/>
  <c r="Y16" i="8"/>
  <c r="E16" i="8"/>
  <c r="Y10" i="8"/>
  <c r="E10" i="8"/>
  <c r="Y21" i="8"/>
  <c r="E21" i="8"/>
  <c r="Y33" i="8"/>
  <c r="E33" i="8"/>
  <c r="Y35" i="8"/>
  <c r="E35" i="8"/>
  <c r="Y29" i="8"/>
  <c r="E29" i="8"/>
  <c r="Y23" i="8"/>
  <c r="E23" i="8"/>
  <c r="Y17" i="8"/>
  <c r="E17" i="8"/>
  <c r="Y11" i="8"/>
  <c r="E11" i="8"/>
  <c r="Y39" i="8"/>
  <c r="E39" i="8"/>
  <c r="Y47" i="8"/>
  <c r="E47" i="8"/>
  <c r="E53" i="8"/>
  <c r="Y53" i="8"/>
  <c r="Y48" i="8"/>
  <c r="E48" i="8"/>
  <c r="Y42" i="8"/>
  <c r="E42" i="8"/>
  <c r="Y36" i="8"/>
  <c r="E36" i="8"/>
  <c r="Y30" i="8"/>
  <c r="E30" i="8"/>
  <c r="Y24" i="8"/>
  <c r="E24" i="8"/>
  <c r="Y18" i="8"/>
  <c r="E18" i="8"/>
  <c r="S18" i="8" s="1"/>
  <c r="Y12" i="8"/>
  <c r="E12" i="8"/>
  <c r="Y43" i="8"/>
  <c r="E43" i="8"/>
  <c r="Y37" i="8"/>
  <c r="E37" i="8"/>
  <c r="Y31" i="8"/>
  <c r="E31" i="8"/>
  <c r="Y25" i="8"/>
  <c r="E25" i="8"/>
  <c r="Y19" i="8"/>
  <c r="E19" i="8"/>
  <c r="Y13" i="8"/>
  <c r="E13" i="8"/>
  <c r="Y51" i="8"/>
  <c r="E51" i="8"/>
  <c r="Y9" i="8"/>
  <c r="E9" i="8"/>
  <c r="Y49" i="8"/>
  <c r="E49" i="8"/>
  <c r="Y41" i="8"/>
  <c r="E41" i="8"/>
  <c r="Y7" i="8"/>
  <c r="E7" i="8"/>
  <c r="Y50" i="8"/>
  <c r="E50" i="8"/>
  <c r="Y44" i="8"/>
  <c r="E44" i="8"/>
  <c r="Y38" i="8"/>
  <c r="E38" i="8"/>
  <c r="S38" i="8" s="1"/>
  <c r="Y32" i="8"/>
  <c r="E32" i="8"/>
  <c r="Y26" i="8"/>
  <c r="E26" i="8"/>
  <c r="Y20" i="8"/>
  <c r="E20" i="8"/>
  <c r="Y14" i="8"/>
  <c r="E14" i="8"/>
  <c r="Y8" i="8"/>
  <c r="E8" i="8"/>
  <c r="Y45" i="8"/>
  <c r="E45" i="8"/>
  <c r="Y27" i="8"/>
  <c r="E27" i="8"/>
  <c r="B6" i="8"/>
  <c r="S33" i="8" l="1"/>
  <c r="T33" i="8"/>
  <c r="S28" i="8"/>
  <c r="T28" i="8"/>
  <c r="S23" i="8"/>
  <c r="T23" i="8"/>
  <c r="S48" i="8"/>
  <c r="T48" i="8"/>
  <c r="S43" i="8"/>
  <c r="T43" i="8"/>
  <c r="Y6" i="8"/>
  <c r="E6" i="8"/>
  <c r="S39" i="8"/>
  <c r="W39" i="8" s="1"/>
  <c r="S41" i="8"/>
  <c r="W41" i="8" s="1"/>
  <c r="S40" i="8"/>
  <c r="W40" i="8" s="1"/>
  <c r="W38" i="8"/>
  <c r="S42" i="8"/>
  <c r="W42" i="8" s="1"/>
  <c r="W18" i="8"/>
  <c r="S22" i="8"/>
  <c r="W22" i="8" s="1"/>
  <c r="S20" i="8"/>
  <c r="W20" i="8" s="1"/>
  <c r="S19" i="8"/>
  <c r="W19" i="8" s="1"/>
  <c r="S21" i="8"/>
  <c r="W21" i="8" s="1"/>
  <c r="S13" i="8"/>
  <c r="T13" i="8"/>
  <c r="T53" i="8"/>
  <c r="X53" i="8" s="1"/>
  <c r="S53" i="8"/>
  <c r="W53" i="8" s="1"/>
  <c r="T29" i="8" l="1"/>
  <c r="X29" i="8" s="1"/>
  <c r="T32" i="8"/>
  <c r="X32" i="8" s="1"/>
  <c r="X28" i="8"/>
  <c r="T30" i="8"/>
  <c r="X30" i="8" s="1"/>
  <c r="T31" i="8"/>
  <c r="X31" i="8" s="1"/>
  <c r="W28" i="8"/>
  <c r="S31" i="8"/>
  <c r="W31" i="8" s="1"/>
  <c r="S30" i="8"/>
  <c r="W30" i="8" s="1"/>
  <c r="S29" i="8"/>
  <c r="W29" i="8" s="1"/>
  <c r="S32" i="8"/>
  <c r="W32" i="8" s="1"/>
  <c r="X48" i="8"/>
  <c r="T51" i="8"/>
  <c r="X51" i="8" s="1"/>
  <c r="T49" i="8"/>
  <c r="X49" i="8" s="1"/>
  <c r="T52" i="8"/>
  <c r="X52" i="8" s="1"/>
  <c r="T50" i="8"/>
  <c r="X50" i="8" s="1"/>
  <c r="S49" i="8"/>
  <c r="W49" i="8" s="1"/>
  <c r="S51" i="8"/>
  <c r="W51" i="8" s="1"/>
  <c r="S52" i="8"/>
  <c r="W52" i="8" s="1"/>
  <c r="S50" i="8"/>
  <c r="W50" i="8" s="1"/>
  <c r="W48" i="8"/>
  <c r="T45" i="8"/>
  <c r="X45" i="8" s="1"/>
  <c r="T46" i="8"/>
  <c r="X46" i="8" s="1"/>
  <c r="T44" i="8"/>
  <c r="X44" i="8" s="1"/>
  <c r="T47" i="8"/>
  <c r="X47" i="8" s="1"/>
  <c r="X43" i="8"/>
  <c r="X23" i="8"/>
  <c r="T24" i="8"/>
  <c r="X24" i="8" s="1"/>
  <c r="T26" i="8"/>
  <c r="X26" i="8" s="1"/>
  <c r="T27" i="8"/>
  <c r="X27" i="8" s="1"/>
  <c r="T25" i="8"/>
  <c r="X25" i="8" s="1"/>
  <c r="X33" i="8"/>
  <c r="T38" i="8"/>
  <c r="X38" i="8" s="1"/>
  <c r="T40" i="8"/>
  <c r="X40" i="8" s="1"/>
  <c r="T37" i="8"/>
  <c r="X37" i="8" s="1"/>
  <c r="T39" i="8"/>
  <c r="X39" i="8" s="1"/>
  <c r="T34" i="8"/>
  <c r="X34" i="8" s="1"/>
  <c r="T36" i="8"/>
  <c r="X36" i="8" s="1"/>
  <c r="T35" i="8"/>
  <c r="X35" i="8" s="1"/>
  <c r="T41" i="8"/>
  <c r="X41" i="8" s="1"/>
  <c r="T42" i="8"/>
  <c r="X42" i="8" s="1"/>
  <c r="S46" i="8"/>
  <c r="W46" i="8" s="1"/>
  <c r="S44" i="8"/>
  <c r="W44" i="8" s="1"/>
  <c r="S47" i="8"/>
  <c r="W47" i="8" s="1"/>
  <c r="W43" i="8"/>
  <c r="S45" i="8"/>
  <c r="W45" i="8" s="1"/>
  <c r="S25" i="8"/>
  <c r="W25" i="8" s="1"/>
  <c r="S26" i="8"/>
  <c r="W26" i="8" s="1"/>
  <c r="S24" i="8"/>
  <c r="W24" i="8" s="1"/>
  <c r="S27" i="8"/>
  <c r="W27" i="8" s="1"/>
  <c r="W23" i="8"/>
  <c r="W33" i="8"/>
  <c r="S36" i="8"/>
  <c r="W36" i="8" s="1"/>
  <c r="S37" i="8"/>
  <c r="W37" i="8" s="1"/>
  <c r="S35" i="8"/>
  <c r="W35" i="8" s="1"/>
  <c r="S34" i="8"/>
  <c r="W34" i="8" s="1"/>
  <c r="T6" i="8"/>
  <c r="X6" i="8" s="1"/>
  <c r="T14" i="8"/>
  <c r="X14" i="8" s="1"/>
  <c r="T12" i="8"/>
  <c r="X12" i="8" s="1"/>
  <c r="T10" i="8"/>
  <c r="X10" i="8" s="1"/>
  <c r="T20" i="8"/>
  <c r="X20" i="8" s="1"/>
  <c r="T17" i="8"/>
  <c r="X17" i="8" s="1"/>
  <c r="T16" i="8"/>
  <c r="X16" i="8" s="1"/>
  <c r="X13" i="8"/>
  <c r="T22" i="8"/>
  <c r="X22" i="8" s="1"/>
  <c r="T15" i="8"/>
  <c r="X15" i="8" s="1"/>
  <c r="T7" i="8"/>
  <c r="X7" i="8" s="1"/>
  <c r="T9" i="8"/>
  <c r="X9" i="8" s="1"/>
  <c r="T8" i="8"/>
  <c r="X8" i="8" s="1"/>
  <c r="T21" i="8"/>
  <c r="X21" i="8" s="1"/>
  <c r="T18" i="8"/>
  <c r="X18" i="8" s="1"/>
  <c r="T19" i="8"/>
  <c r="X19" i="8" s="1"/>
  <c r="T11" i="8"/>
  <c r="X11" i="8" s="1"/>
  <c r="S6" i="8"/>
  <c r="W6" i="8" s="1"/>
  <c r="S7" i="8"/>
  <c r="W7" i="8" s="1"/>
  <c r="S8" i="8"/>
  <c r="W8" i="8" s="1"/>
  <c r="S9" i="8"/>
  <c r="W9" i="8" s="1"/>
  <c r="S12" i="8"/>
  <c r="W12" i="8" s="1"/>
  <c r="S10" i="8"/>
  <c r="W10" i="8" s="1"/>
  <c r="S11" i="8"/>
  <c r="W11" i="8" s="1"/>
  <c r="W13" i="8"/>
  <c r="S17" i="8"/>
  <c r="W17" i="8" s="1"/>
  <c r="S14" i="8"/>
  <c r="W14" i="8" s="1"/>
  <c r="S15" i="8"/>
  <c r="W15" i="8" s="1"/>
  <c r="S16" i="8"/>
  <c r="W1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D4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 belzer:   Extrapolated with cents/kWh in Table 9.8 from Nov 2019 Monthly Energy Review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d belzer:  Extrapolated with Commercial sector price from Table 9.10 in Nov. 2019 MER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6" authorId="0" shapeId="0" xr:uid="{E4A372D7-E47E-4C4A-BC40-2EDB33973AFF}">
      <text>
        <r>
          <rPr>
            <b/>
            <sz val="9"/>
            <color indexed="81"/>
            <rFont val="Tahoma"/>
            <family val="2"/>
          </rPr>
          <t>d belzer:   Extrapolated with cents/kWh in Table 9.8 from Nov. 2019 Monthly Energy Review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Belzer, David B</author>
  </authors>
  <commentList>
    <comment ref="B47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Belzer, David B:</t>
        </r>
        <r>
          <rPr>
            <sz val="8"/>
            <color indexed="81"/>
            <rFont val="Tahoma"/>
            <family val="2"/>
          </rPr>
          <t xml:space="preserve">
extrapolated from Table 9.11 in July 2012 MER</t>
        </r>
      </text>
    </comment>
    <comment ref="I47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Belzer, David B:</t>
        </r>
        <r>
          <rPr>
            <sz val="8"/>
            <color indexed="81"/>
            <rFont val="Tahoma"/>
            <family val="2"/>
          </rPr>
          <t xml:space="preserve">
extrapolated from Table 9.11 in July 2012 MER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Z2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d belzer:  Extrapolated with Finished Motor Gasoline from Table 9.7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d belzer:  Extrapolated with No. 2 Diesel Fuel Price from T. 9.7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d belzer:  Extrapolated by Ave. Price to End Users for residual fuel oil from Table 9.5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  <author>david</author>
  </authors>
  <commentList>
    <comment ref="D38" authorId="0" shapeId="0" xr:uid="{8DC165B2-C259-498E-804C-F7F4914A1608}">
      <text>
        <r>
          <rPr>
            <b/>
            <sz val="9"/>
            <color indexed="81"/>
            <rFont val="Tahoma"/>
            <family val="2"/>
          </rPr>
          <t>D. Belzer
Table 9.4 in 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8" authorId="1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d belzer:  Extrapolated by No. 2 Fuel Oil in Table 9.6 in Aug. 2016 MER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8" authorId="0" shapeId="0" xr:uid="{4F3B27EC-7991-4AD6-B1AC-D06023187544}">
      <text>
        <r>
          <rPr>
            <b/>
            <sz val="9"/>
            <color indexed="81"/>
            <rFont val="Tahoma"/>
            <family val="2"/>
          </rPr>
          <t xml:space="preserve">David:  See note in worksheet stb0523 for 2011, cell AA21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<sst xmlns="http://schemas.openxmlformats.org/spreadsheetml/2006/main" count="1139" uniqueCount="250">
  <si>
    <t>Electricity</t>
  </si>
  <si>
    <t>Agriculture</t>
  </si>
  <si>
    <t xml:space="preserve">Mining </t>
  </si>
  <si>
    <t>Construction</t>
  </si>
  <si>
    <t>Fuels</t>
  </si>
  <si>
    <t>Expenditures</t>
  </si>
  <si>
    <t xml:space="preserve">  Electricity</t>
  </si>
  <si>
    <t>Natural Gas</t>
  </si>
  <si>
    <t>Off-road</t>
  </si>
  <si>
    <t>Other</t>
  </si>
  <si>
    <t>On-Road</t>
  </si>
  <si>
    <t>Lubricating</t>
  </si>
  <si>
    <t>Single-Family</t>
  </si>
  <si>
    <t>On Highway</t>
  </si>
  <si>
    <t>Off Highway</t>
  </si>
  <si>
    <t>Residential, NEC</t>
  </si>
  <si>
    <t>Operative builders</t>
  </si>
  <si>
    <t>Industrial builders</t>
  </si>
  <si>
    <t>Highway and Street</t>
  </si>
  <si>
    <t>Bridge, Tunnel and Elevated</t>
  </si>
  <si>
    <t>Water, Sewer, and Utility</t>
  </si>
  <si>
    <t>Heavy Construction, NEC</t>
  </si>
  <si>
    <t>Plumbing, Heating, &amp; AC</t>
  </si>
  <si>
    <t>Painting and Paper Hanging</t>
  </si>
  <si>
    <t>Electrical Work</t>
  </si>
  <si>
    <t>Masonry</t>
  </si>
  <si>
    <t>Plastering, Drywall, and In.</t>
  </si>
  <si>
    <t>Terrazzo, Tile, Marble</t>
  </si>
  <si>
    <t>Carpentry</t>
  </si>
  <si>
    <t>Floor Laying</t>
  </si>
  <si>
    <t>Roofing, Siding, and Sheet</t>
  </si>
  <si>
    <t>Concrete Work</t>
  </si>
  <si>
    <t>Water Well Drilling</t>
  </si>
  <si>
    <t>Structural Steel Erection</t>
  </si>
  <si>
    <t>Glass and Glazing Work</t>
  </si>
  <si>
    <t>Excavation Work</t>
  </si>
  <si>
    <t>Nonresidential, NEC</t>
  </si>
  <si>
    <t>Installing Bldg. Equip.</t>
  </si>
  <si>
    <t>Special Trade Contractors</t>
  </si>
  <si>
    <t>Demolition Work</t>
  </si>
  <si>
    <t xml:space="preserve">  Total</t>
  </si>
  <si>
    <t>% Off-highway</t>
  </si>
  <si>
    <t>Average</t>
  </si>
  <si>
    <t>Prices</t>
  </si>
  <si>
    <t>Prices - Final</t>
  </si>
  <si>
    <t>Table 3.4  Consumer Price Estimates for Energy by End-Use Sector, 1970-2009</t>
  </si>
  <si>
    <r>
      <t>                      (Dollars </t>
    </r>
    <r>
      <rPr>
        <vertAlign val="superscript"/>
        <sz val="5"/>
        <color indexed="8"/>
        <rFont val="Arial"/>
        <family val="2"/>
      </rPr>
      <t>1</t>
    </r>
    <r>
      <rPr>
        <sz val="10"/>
        <color indexed="8"/>
        <rFont val="Arial"/>
        <family val="2"/>
      </rPr>
      <t> per Million Btu)</t>
    </r>
  </si>
  <si>
    <t>Year</t>
  </si>
  <si>
    <t>Residential</t>
  </si>
  <si>
    <t>Commercial</t>
  </si>
  <si>
    <t>Industrial</t>
  </si>
  <si>
    <t>Transportation</t>
  </si>
  <si>
    <t>Petroleum</t>
  </si>
  <si>
    <r>
      <t>Total </t>
    </r>
    <r>
      <rPr>
        <vertAlign val="superscript"/>
        <sz val="5"/>
        <color indexed="8"/>
        <rFont val="Arial"/>
        <family val="2"/>
      </rPr>
      <t>4</t>
    </r>
  </si>
  <si>
    <r>
      <t>Petroleum </t>
    </r>
    <r>
      <rPr>
        <vertAlign val="superscript"/>
        <sz val="5"/>
        <color indexed="8"/>
        <rFont val="Arial"/>
        <family val="2"/>
      </rPr>
      <t>5</t>
    </r>
  </si>
  <si>
    <r>
      <t>Total </t>
    </r>
    <r>
      <rPr>
        <vertAlign val="superscript"/>
        <sz val="5"/>
        <color indexed="8"/>
        <rFont val="Arial"/>
        <family val="2"/>
      </rPr>
      <t>6,7</t>
    </r>
  </si>
  <si>
    <t>Coal</t>
  </si>
  <si>
    <r>
      <t>Biomass </t>
    </r>
    <r>
      <rPr>
        <vertAlign val="superscript"/>
        <sz val="5"/>
        <color indexed="8"/>
        <rFont val="Arial"/>
        <family val="2"/>
      </rPr>
      <t>8</t>
    </r>
  </si>
  <si>
    <r>
      <t>Total </t>
    </r>
    <r>
      <rPr>
        <vertAlign val="superscript"/>
        <sz val="5"/>
        <color indexed="8"/>
        <rFont val="Arial"/>
        <family val="2"/>
      </rPr>
      <t>7,9</t>
    </r>
  </si>
  <si>
    <r>
      <t>Total </t>
    </r>
    <r>
      <rPr>
        <vertAlign val="superscript"/>
        <sz val="5"/>
        <color indexed="8"/>
        <rFont val="Arial"/>
        <family val="2"/>
      </rPr>
      <t>7,10</t>
    </r>
  </si>
  <si>
    <t>Natural</t>
  </si>
  <si>
    <t>Retail</t>
  </si>
  <si>
    <r>
      <t>Gas </t>
    </r>
    <r>
      <rPr>
        <vertAlign val="superscript"/>
        <sz val="5"/>
        <color indexed="8"/>
        <rFont val="Arial"/>
        <family val="2"/>
      </rPr>
      <t>2</t>
    </r>
  </si>
  <si>
    <r>
      <t>Electricity </t>
    </r>
    <r>
      <rPr>
        <vertAlign val="superscript"/>
        <sz val="5"/>
        <color indexed="8"/>
        <rFont val="Arial"/>
        <family val="2"/>
      </rPr>
      <t>3</t>
    </r>
  </si>
  <si>
    <t>[R]</t>
  </si>
  <si>
    <r>
      <t>1</t>
    </r>
    <r>
      <rPr>
        <sz val="7"/>
        <color indexed="8"/>
        <rFont val="Arial"/>
        <family val="2"/>
      </rPr>
      <t>Prices are not adjusted for inflation.  See "Nominal Dollars" in Glossary.</t>
    </r>
  </si>
  <si>
    <r>
      <t>8</t>
    </r>
    <r>
      <rPr>
        <sz val="7"/>
        <color indexed="8"/>
        <rFont val="Arial"/>
        <family val="2"/>
      </rPr>
      <t>Wood and wood-derived fuels, and biomass waste; excludes fuel ethanol and biodiesel.  Through</t>
    </r>
  </si>
  <si>
    <t>2000, also includes non-biomass waste.</t>
  </si>
  <si>
    <r>
      <t>2</t>
    </r>
    <r>
      <rPr>
        <sz val="7"/>
        <color indexed="8"/>
        <rFont val="Arial"/>
        <family val="2"/>
      </rPr>
      <t>Natural gas, plus a small amount of supplemental gaseous fuels.</t>
    </r>
  </si>
  <si>
    <r>
      <t>9</t>
    </r>
    <r>
      <rPr>
        <sz val="7"/>
        <color indexed="8"/>
        <rFont val="Arial"/>
        <family val="2"/>
      </rPr>
      <t>Includes coal coke imports and exports, which are not separately displayed.</t>
    </r>
  </si>
  <si>
    <r>
      <t>3</t>
    </r>
    <r>
      <rPr>
        <sz val="7"/>
        <color indexed="8"/>
        <rFont val="Arial"/>
        <family val="2"/>
      </rPr>
      <t>Retail electricity prices paid by ultimate customers, reported by electric utilities and, beginning in 1996,</t>
    </r>
  </si>
  <si>
    <r>
      <t>10</t>
    </r>
    <r>
      <rPr>
        <sz val="7"/>
        <color indexed="8"/>
        <rFont val="Arial"/>
        <family val="2"/>
      </rPr>
      <t>Includes coal, natural gas, and retail electricity, which are not separately displayed.</t>
    </r>
  </si>
  <si>
    <t>other energy service providers.</t>
  </si>
  <si>
    <r>
      <t>4</t>
    </r>
    <r>
      <rPr>
        <sz val="7"/>
        <color indexed="8"/>
        <rFont val="Arial"/>
        <family val="2"/>
      </rPr>
      <t>Includes coal, and wood and wood-derived fuels, which are not separately displayed.</t>
    </r>
  </si>
  <si>
    <t>R=Revised.  </t>
  </si>
  <si>
    <r>
      <t>5</t>
    </r>
    <r>
      <rPr>
        <sz val="7"/>
        <color indexed="8"/>
        <rFont val="Arial"/>
        <family val="2"/>
      </rPr>
      <t>Beginning in 1993, includes fuel ethanol blended into motor gasoline.</t>
    </r>
  </si>
  <si>
    <r>
      <t>Notes: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Prices include taxes where data are available.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There are no direct fuel costs for</t>
    </r>
  </si>
  <si>
    <t>hydroelectric, geothermal, wind, or solar energy.</t>
  </si>
  <si>
    <r>
      <t>6</t>
    </r>
    <r>
      <rPr>
        <sz val="7"/>
        <color indexed="8"/>
        <rFont val="Arial"/>
        <family val="2"/>
      </rPr>
      <t>Includes coal, wood and wood-derived fuels, and biomass waste, which are not separately displayed. </t>
    </r>
  </si>
  <si>
    <t>Web Page:  For related information, see http://www.eia.gov/state/seds/seds-data-complete.cfm.</t>
  </si>
  <si>
    <t>Through 2000, also includes non-biomass waste.</t>
  </si>
  <si>
    <r>
      <t>7</t>
    </r>
    <r>
      <rPr>
        <sz val="7"/>
        <color indexed="8"/>
        <rFont val="Arial"/>
        <family val="2"/>
      </rPr>
      <t>For 1981-1992, includes fuel ethanol blended into motor gasoline that is not included in the petroleum</t>
    </r>
  </si>
  <si>
    <t>Source:  U.S. Energy Information Administration, "State Energy Data 2009: Prices and Expenditures"</t>
  </si>
  <si>
    <t>data for those years.</t>
  </si>
  <si>
    <t>(June 2011), U.S. Tables ET3-ET6. </t>
  </si>
  <si>
    <t>$/kWh</t>
  </si>
  <si>
    <r>
      <t>5</t>
    </r>
    <r>
      <rPr>
        <sz val="7"/>
        <color indexed="8"/>
        <rFont val="Arial"/>
        <family val="2"/>
      </rPr>
      <t>Sulfur content by weight.</t>
    </r>
  </si>
  <si>
    <t>"Resellers'/Retailers' Monthly Petroleum Product Sales Report."</t>
  </si>
  <si>
    <t>"Refiners'/Gas Plant Operators' Monthly Petroleum Product Sales Report"; and EIA, Form EIA-782B,</t>
  </si>
  <si>
    <r>
      <t>annual reports.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2010EIA, </t>
    </r>
    <r>
      <rPr>
        <i/>
        <sz val="7"/>
        <color indexed="8"/>
        <rFont val="Arial"/>
        <family val="2"/>
      </rPr>
      <t>Petroleum Marketing Monthly </t>
    </r>
    <r>
      <rPr>
        <sz val="7"/>
        <color indexed="8"/>
        <rFont val="Arial"/>
        <family val="2"/>
      </rPr>
      <t>(April 2011); EIA, Form EIA-782A,</t>
    </r>
  </si>
  <si>
    <r>
      <t>Sources: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1994-2009U.S. Energy Information Administration (EIA), </t>
    </r>
    <r>
      <rPr>
        <i/>
        <sz val="7"/>
        <color indexed="8"/>
        <rFont val="Arial"/>
        <family val="2"/>
      </rPr>
      <t>Petroleum Marketing Annual,</t>
    </r>
  </si>
  <si>
    <r>
      <t>4</t>
    </r>
    <r>
      <rPr>
        <sz val="7"/>
        <color indexed="8"/>
        <rFont val="Arial"/>
        <family val="2"/>
      </rPr>
      <t>"Ppm" is parts per million.</t>
    </r>
  </si>
  <si>
    <t>Web Page:  For related information, see http://www.eia.gov/petroleum/.</t>
  </si>
  <si>
    <r>
      <t>3</t>
    </r>
    <r>
      <rPr>
        <sz val="7"/>
        <color indexed="8"/>
        <rFont val="Arial"/>
        <family val="2"/>
      </rPr>
      <t>Beginning in 2007, oxygenated motor gasoline is included with conventional motor gasoline.</t>
    </r>
  </si>
  <si>
    <t>customers, such as agriculture, industry, and utilities, as well as residential and commercial customers.</t>
  </si>
  <si>
    <t>consumers.  Sales to end users are those made directly to the ultimate consumer, including bulk</t>
  </si>
  <si>
    <t>R=Revised.  P=Preliminary.  NA=Not available.</t>
  </si>
  <si>
    <r>
      <t>2</t>
    </r>
    <r>
      <rPr>
        <sz val="7"/>
        <color indexed="8"/>
        <rFont val="Arial"/>
        <family val="2"/>
      </rPr>
      <t>Sales for resale (wholesale sales) are those made to purchasers who are other than ultimate</t>
    </r>
  </si>
  <si>
    <r>
      <t>6</t>
    </r>
    <r>
      <rPr>
        <sz val="7"/>
        <color indexed="8"/>
        <rFont val="Arial"/>
        <family val="2"/>
      </rPr>
      <t>See Note 5, "Historical Residential Heating Oil Prices," at end of section for historical data.</t>
    </r>
  </si>
  <si>
    <t>  Propane (Consumer Grade)</t>
  </si>
  <si>
    <r>
      <t>    Sulfur &gt; 1 </t>
    </r>
    <r>
      <rPr>
        <vertAlign val="superscript"/>
        <sz val="5"/>
        <color indexed="8"/>
        <rFont val="Arial"/>
        <family val="2"/>
      </rPr>
      <t>5</t>
    </r>
  </si>
  <si>
    <r>
      <t>    Sulfur &lt;= 1 </t>
    </r>
    <r>
      <rPr>
        <vertAlign val="superscript"/>
        <sz val="5"/>
        <color indexed="8"/>
        <rFont val="Arial"/>
        <family val="2"/>
      </rPr>
      <t>5</t>
    </r>
  </si>
  <si>
    <t>  Residual Fuel Oil</t>
  </si>
  <si>
    <r>
      <t>      High Sulfur (&gt; 500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</si>
  <si>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r>
      <t>      Low Sulfur (&gt; 15 and &lt;= 500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</si>
  <si>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t>NA</t>
  </si>
  <si>
    <r>
      <t>      Ultra-Low Sulfur (&lt;= 15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</si>
  <si>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t>    No. 2 Diesel Fuel</t>
  </si>
  <si>
    <r>
      <t>    No. 2 Distillate to Residences </t>
    </r>
    <r>
      <rPr>
        <vertAlign val="superscript"/>
        <sz val="5"/>
        <color indexed="8"/>
        <rFont val="Arial"/>
        <family val="2"/>
      </rPr>
      <t>6</t>
    </r>
  </si>
  <si>
    <t>  No. 2 Distillate</t>
  </si>
  <si>
    <t>      Reformulated</t>
  </si>
  <si>
    <t>[3]</t>
  </si>
  <si>
    <r>
      <t>      Oxygenated </t>
    </r>
    <r>
      <rPr>
        <vertAlign val="superscript"/>
        <sz val="5"/>
        <color indexed="8"/>
        <rFont val="Arial"/>
        <family val="2"/>
      </rPr>
      <t>3</t>
    </r>
  </si>
  <si>
    <t>[3,R]</t>
  </si>
  <si>
    <r>
      <t>      Conventional </t>
    </r>
    <r>
      <rPr>
        <vertAlign val="superscript"/>
        <sz val="5"/>
        <color indexed="8"/>
        <rFont val="Arial"/>
        <family val="2"/>
      </rPr>
      <t>3</t>
    </r>
  </si>
  <si>
    <t>    Unleaded Premium</t>
  </si>
  <si>
    <t>    Unleaded Midgrade</t>
  </si>
  <si>
    <t>    Unleaded Regular</t>
  </si>
  <si>
    <t>  Motor Gasoline</t>
  </si>
  <si>
    <r>
      <t>Sales Prices to End Users </t>
    </r>
    <r>
      <rPr>
        <vertAlign val="superscript"/>
        <sz val="5"/>
        <color indexed="8"/>
        <rFont val="Arial"/>
        <family val="2"/>
      </rPr>
      <t>2</t>
    </r>
  </si>
  <si>
    <r>
      <t>Sales Prices to Resellers </t>
    </r>
    <r>
      <rPr>
        <vertAlign val="superscript"/>
        <sz val="5"/>
        <color indexed="8"/>
        <rFont val="Arial"/>
        <family val="2"/>
      </rPr>
      <t>2</t>
    </r>
  </si>
  <si>
    <r>
      <t>2010 </t>
    </r>
    <r>
      <rPr>
        <vertAlign val="superscript"/>
        <sz val="5"/>
        <color indexed="8"/>
        <rFont val="Arial"/>
        <family val="2"/>
      </rPr>
      <t>P</t>
    </r>
  </si>
  <si>
    <t>Product</t>
  </si>
  <si>
    <r>
      <t>                        (Dollars </t>
    </r>
    <r>
      <rPr>
        <vertAlign val="superscript"/>
        <sz val="5"/>
        <color indexed="8"/>
        <rFont val="Arial"/>
        <family val="2"/>
      </rPr>
      <t>1</t>
    </r>
    <r>
      <rPr>
        <sz val="10"/>
        <color indexed="8"/>
        <rFont val="Arial"/>
        <family val="2"/>
      </rPr>
      <t> per Gallon, Excluding Taxes)</t>
    </r>
  </si>
  <si>
    <t>Table 5.23   All Sellers Sales Prices for Selected Petroleum Products, 1994-2010</t>
  </si>
  <si>
    <t>Gasoline</t>
  </si>
  <si>
    <t>Diesel</t>
  </si>
  <si>
    <t xml:space="preserve">Use 5.230 MMBtu/bbl </t>
  </si>
  <si>
    <t>Table A3   2008 AER</t>
  </si>
  <si>
    <t xml:space="preserve">Use 5.825 MMBtu/bbl </t>
  </si>
  <si>
    <t>Price per MMBtu</t>
  </si>
  <si>
    <t>Table 5.24  Retail Motor Gasoline and On-Highway Diesel Fuel Prices, 1949-2010</t>
  </si>
  <si>
    <t>                       (Dollars per Gallon)</t>
  </si>
  <si>
    <t>Motor Gasoline by Grade</t>
  </si>
  <si>
    <t>Regular Motor Gasoline by Area Type</t>
  </si>
  <si>
    <t>On-Highway</t>
  </si>
  <si>
    <t>Leaded Regular </t>
  </si>
  <si>
    <t>Unleaded Regular</t>
  </si>
  <si>
    <t>Unleaded Premium</t>
  </si>
  <si>
    <t>All  Grades</t>
  </si>
  <si>
    <t>Conventional</t>
  </si>
  <si>
    <t>Reformulated</t>
  </si>
  <si>
    <t>All Areas</t>
  </si>
  <si>
    <t>Diesel Fuel </t>
  </si>
  <si>
    <r>
      <t>Gasoline Areas </t>
    </r>
    <r>
      <rPr>
        <vertAlign val="superscript"/>
        <sz val="5"/>
        <color indexed="8"/>
        <rFont val="Arial"/>
        <family val="2"/>
      </rPr>
      <t>1,2</t>
    </r>
  </si>
  <si>
    <r>
      <t>Gasoline Areas </t>
    </r>
    <r>
      <rPr>
        <vertAlign val="superscript"/>
        <sz val="5"/>
        <color indexed="8"/>
        <rFont val="Arial"/>
        <family val="2"/>
      </rPr>
      <t>3,4</t>
    </r>
  </si>
  <si>
    <r>
      <t>Nominal </t>
    </r>
    <r>
      <rPr>
        <vertAlign val="superscript"/>
        <sz val="5"/>
        <color indexed="8"/>
        <rFont val="Arial"/>
        <family val="2"/>
      </rPr>
      <t>5</t>
    </r>
  </si>
  <si>
    <r>
      <t>Real </t>
    </r>
    <r>
      <rPr>
        <vertAlign val="superscript"/>
        <sz val="5"/>
        <color indexed="8"/>
        <rFont val="Arial"/>
        <family val="2"/>
      </rPr>
      <t>6</t>
    </r>
  </si>
  <si>
    <r>
      <t> Nominal </t>
    </r>
    <r>
      <rPr>
        <vertAlign val="superscript"/>
        <sz val="5"/>
        <color indexed="8"/>
        <rFont val="Arial"/>
        <family val="2"/>
      </rPr>
      <t>5</t>
    </r>
  </si>
  <si>
    <t>[2]</t>
  </si>
  <si>
    <t>[4]</t>
  </si>
  <si>
    <t>[4,R]</t>
  </si>
  <si>
    <r>
      <t>1</t>
    </r>
    <r>
      <rPr>
        <sz val="7"/>
        <color indexed="8"/>
        <rFont val="Arial"/>
        <family val="2"/>
      </rPr>
      <t>Any area that does not require the sale of reformulated gasoline.</t>
    </r>
  </si>
  <si>
    <r>
      <t>6</t>
    </r>
    <r>
      <rPr>
        <sz val="7"/>
        <color indexed="8"/>
        <rFont val="Arial"/>
        <family val="2"/>
      </rPr>
      <t>In chained (2005) dollars, calculated by using gross domestic product implicit price deflators in Table</t>
    </r>
  </si>
  <si>
    <t>D1.  See "Chained Dollars" in Glossary.</t>
  </si>
  <si>
    <r>
      <t>2</t>
    </r>
    <r>
      <rPr>
        <sz val="7"/>
        <color indexed="8"/>
        <rFont val="Arial"/>
        <family val="2"/>
      </rPr>
      <t>For 1993-2000, data collected for oxygenated areas are included in "Conventional Gasoline Areas."</t>
    </r>
  </si>
  <si>
    <t>R=Revised.  NA=Not available.  </t>
  </si>
  <si>
    <r>
      <t>3</t>
    </r>
    <r>
      <rPr>
        <sz val="7"/>
        <color indexed="8"/>
        <rFont val="Arial"/>
        <family val="2"/>
      </rPr>
      <t>"Reformulated Gasoline Areas" are ozone nonattainment areas designated by the Environmental</t>
    </r>
  </si>
  <si>
    <t>Note:  See "Motor Gasoline Grades," "Motor Gasoline, Conventional," "Motor Gasoline, Oxygenated,"</t>
  </si>
  <si>
    <t>Protection Agency that require the use of reformulated gasoline.</t>
  </si>
  <si>
    <t>and "Motor Gasoline, Reformulated" in Glossary.</t>
  </si>
  <si>
    <r>
      <t>4</t>
    </r>
    <r>
      <rPr>
        <sz val="7"/>
        <color indexed="8"/>
        <rFont val="Arial"/>
        <family val="2"/>
      </rPr>
      <t>For 1995-2000, data collected for combined oxygenated and reformulated areas are included in</t>
    </r>
  </si>
  <si>
    <t>"Reformulated Gasoline Areas."</t>
  </si>
  <si>
    <r>
      <t>5</t>
    </r>
    <r>
      <rPr>
        <sz val="7"/>
        <color indexed="8"/>
        <rFont val="Arial"/>
        <family val="2"/>
      </rPr>
      <t>See "Nominal Dollars" in Glossary.</t>
    </r>
  </si>
  <si>
    <r>
      <t>Sources:  </t>
    </r>
    <r>
      <rPr>
        <b/>
        <sz val="7"/>
        <color indexed="8"/>
        <rFont val="Arial"/>
        <family val="2"/>
      </rPr>
      <t>Motor Gasoline by Grade: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1949-1973</t>
    </r>
    <r>
      <rPr>
        <i/>
        <sz val="7"/>
        <color indexed="8"/>
        <rFont val="Arial"/>
        <family val="2"/>
      </rPr>
      <t>Platt's Oil Price Handbook and Oilmanac, 1974,</t>
    </r>
  </si>
  <si>
    <r>
      <t>51st Edition.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1974 forwardU.S. Energy Information Administration (EIA), annual averages of monthly</t>
    </r>
  </si>
  <si>
    <r>
      <t>data from the U.S. Department of Labor, Bureau of Labor Statistics, </t>
    </r>
    <r>
      <rPr>
        <i/>
        <sz val="7"/>
        <color indexed="8"/>
        <rFont val="Arial"/>
        <family val="2"/>
      </rPr>
      <t>U.S. City Average Gasoline Prices.</t>
    </r>
  </si>
  <si>
    <r>
      <t>Regular Motor Gasoline by Area Type:  </t>
    </r>
    <r>
      <rPr>
        <sz val="7"/>
        <color indexed="8"/>
        <rFont val="Arial"/>
        <family val="2"/>
      </rPr>
      <t>EIA, weighted annual averages of data from "Weekly U.S. Retail</t>
    </r>
  </si>
  <si>
    <r>
      <t>Gasoline Prices, Regular Grade."  </t>
    </r>
    <r>
      <rPr>
        <b/>
        <sz val="7"/>
        <color indexed="8"/>
        <rFont val="Arial"/>
        <family val="2"/>
      </rPr>
      <t>On-Highway Diesel Fuel:  </t>
    </r>
    <r>
      <rPr>
        <sz val="7"/>
        <color indexed="8"/>
        <rFont val="Arial"/>
        <family val="2"/>
      </rPr>
      <t>EIA, weighted annual averages of data from</t>
    </r>
  </si>
  <si>
    <t>"Weekly Retail On-Highway Diesel Prices."</t>
  </si>
  <si>
    <t>Excl. tax</t>
  </si>
  <si>
    <t xml:space="preserve">  $/MMBtu</t>
  </si>
  <si>
    <r>
      <t>Primary Energy </t>
    </r>
    <r>
      <rPr>
        <vertAlign val="superscript"/>
        <sz val="5"/>
        <color indexed="8"/>
        <rFont val="Arial"/>
        <family val="2"/>
      </rPr>
      <t>2</t>
    </r>
  </si>
  <si>
    <t>Electric</t>
  </si>
  <si>
    <r>
      <t>Total </t>
    </r>
    <r>
      <rPr>
        <vertAlign val="superscript"/>
        <sz val="5"/>
        <color indexed="8"/>
        <rFont val="Arial"/>
        <family val="2"/>
      </rPr>
      <t>9,10</t>
    </r>
  </si>
  <si>
    <t>Power</t>
  </si>
  <si>
    <t>Total</t>
  </si>
  <si>
    <r>
      <t>Sector </t>
    </r>
    <r>
      <rPr>
        <vertAlign val="superscript"/>
        <sz val="5"/>
        <color indexed="8"/>
        <rFont val="Arial"/>
        <family val="2"/>
      </rPr>
      <t>11,12</t>
    </r>
  </si>
  <si>
    <r>
      <t>Electricity </t>
    </r>
    <r>
      <rPr>
        <vertAlign val="superscript"/>
        <sz val="5"/>
        <color indexed="8"/>
        <rFont val="Arial"/>
        <family val="2"/>
      </rPr>
      <t>13</t>
    </r>
  </si>
  <si>
    <r>
      <t>Energy </t>
    </r>
    <r>
      <rPr>
        <vertAlign val="superscript"/>
        <sz val="5"/>
        <color indexed="8"/>
        <rFont val="Arial"/>
        <family val="2"/>
      </rPr>
      <t>9,10,14</t>
    </r>
  </si>
  <si>
    <t>Nuclear</t>
  </si>
  <si>
    <r>
      <t>Gas </t>
    </r>
    <r>
      <rPr>
        <vertAlign val="superscript"/>
        <sz val="5"/>
        <color indexed="8"/>
        <rFont val="Arial"/>
        <family val="2"/>
      </rPr>
      <t>3</t>
    </r>
  </si>
  <si>
    <t>Distillate</t>
  </si>
  <si>
    <t>Jet</t>
  </si>
  <si>
    <r>
      <t>LPG </t>
    </r>
    <r>
      <rPr>
        <vertAlign val="superscript"/>
        <sz val="5"/>
        <color indexed="8"/>
        <rFont val="Arial"/>
        <family val="2"/>
      </rPr>
      <t>5</t>
    </r>
  </si>
  <si>
    <t>Motor</t>
  </si>
  <si>
    <t>Residual</t>
  </si>
  <si>
    <r>
      <t>Other </t>
    </r>
    <r>
      <rPr>
        <vertAlign val="superscript"/>
        <sz val="5"/>
        <color indexed="8"/>
        <rFont val="Arial"/>
        <family val="2"/>
      </rPr>
      <t>7</t>
    </r>
  </si>
  <si>
    <t>Fuel</t>
  </si>
  <si>
    <t>Fuel Oil</t>
  </si>
  <si>
    <r>
      <t>Fuel </t>
    </r>
    <r>
      <rPr>
        <vertAlign val="superscript"/>
        <sz val="5"/>
        <color indexed="8"/>
        <rFont val="Arial"/>
        <family val="2"/>
      </rPr>
      <t>4</t>
    </r>
  </si>
  <si>
    <r>
      <t>Gasoline </t>
    </r>
    <r>
      <rPr>
        <vertAlign val="superscript"/>
        <sz val="5"/>
        <color indexed="8"/>
        <rFont val="Arial"/>
        <family val="2"/>
      </rPr>
      <t>6</t>
    </r>
  </si>
  <si>
    <r>
      <t>10</t>
    </r>
    <r>
      <rPr>
        <sz val="7"/>
        <color indexed="8"/>
        <rFont val="Arial"/>
        <family val="2"/>
      </rPr>
      <t>Includes electricity imports, which are not separately displayed.  For 1981-1992, also includes fuel</t>
    </r>
  </si>
  <si>
    <t>ethanol blended into motor gasoline that is not included in the motor gasoline data for those years.</t>
  </si>
  <si>
    <r>
      <t>2</t>
    </r>
    <r>
      <rPr>
        <sz val="7"/>
        <color indexed="8"/>
        <rFont val="Arial"/>
        <family val="2"/>
      </rPr>
      <t>Consumption-weighted average prices for all sectors, including the electric power sector.</t>
    </r>
  </si>
  <si>
    <r>
      <t>11</t>
    </r>
    <r>
      <rPr>
        <sz val="7"/>
        <color indexed="8"/>
        <rFont val="Arial"/>
        <family val="2"/>
      </rPr>
      <t>Electricity-only and combined-heat-and-power (CHP) plants within the NAICS (North American</t>
    </r>
  </si>
  <si>
    <t>Industry Classification System) 22 category whose primary business is to sell electricity, or electricity and</t>
  </si>
  <si>
    <t>heat, to the public.  Through 1988, data are for electric utilities only; beginning in 1989, data are for electric</t>
  </si>
  <si>
    <t>utilities and independent power producers.</t>
  </si>
  <si>
    <r>
      <t>3</t>
    </r>
    <r>
      <rPr>
        <sz val="7"/>
        <color indexed="8"/>
        <rFont val="Arial"/>
        <family val="2"/>
      </rPr>
      <t>Natural gas, plus a small amount of supplemental gaseous fuels.</t>
    </r>
  </si>
  <si>
    <r>
      <t>12</t>
    </r>
    <r>
      <rPr>
        <sz val="7"/>
        <color indexed="8"/>
        <rFont val="Arial"/>
        <family val="2"/>
      </rPr>
      <t>Consumption-weighted average electric power sector price for coal, natural gas, petroleum, nuclear</t>
    </r>
  </si>
  <si>
    <t>fuel, wood, waste, and electricity imports.</t>
  </si>
  <si>
    <r>
      <t>4</t>
    </r>
    <r>
      <rPr>
        <sz val="7"/>
        <color indexed="8"/>
        <rFont val="Arial"/>
        <family val="2"/>
      </rPr>
      <t>Through 2004, includes kerosene-type and naphtha-type jet fuel.  Beginning in 2005, includes</t>
    </r>
  </si>
  <si>
    <r>
      <t>13</t>
    </r>
    <r>
      <rPr>
        <sz val="7"/>
        <color indexed="8"/>
        <rFont val="Arial"/>
        <family val="2"/>
      </rPr>
      <t>Retail electricity prices paid by ultimate customers, reported by electric utilities and, beginning in 1996,</t>
    </r>
  </si>
  <si>
    <t>kerosene-type jet fuel only.</t>
  </si>
  <si>
    <r>
      <t>5</t>
    </r>
    <r>
      <rPr>
        <sz val="7"/>
        <color indexed="8"/>
        <rFont val="Arial"/>
        <family val="2"/>
      </rPr>
      <t>Liquefied petroleum gases.</t>
    </r>
  </si>
  <si>
    <r>
      <t>14</t>
    </r>
    <r>
      <rPr>
        <sz val="7"/>
        <color indexed="8"/>
        <rFont val="Arial"/>
        <family val="2"/>
      </rPr>
      <t>Consumption-weighted average price for primary energy and retail electricity in the four end-use</t>
    </r>
  </si>
  <si>
    <t>sectors (residential, commercial, industrial, and transportation); excludes energy in the electric power</t>
  </si>
  <si>
    <t>sector.</t>
  </si>
  <si>
    <r>
      <t>6</t>
    </r>
    <r>
      <rPr>
        <sz val="7"/>
        <color indexed="8"/>
        <rFont val="Arial"/>
        <family val="2"/>
      </rPr>
      <t>Beginning in 1993, includes fuel ethanol blended into motor gasoline.</t>
    </r>
  </si>
  <si>
    <r>
      <t>7</t>
    </r>
    <r>
      <rPr>
        <sz val="7"/>
        <color indexed="8"/>
        <rFont val="Arial"/>
        <family val="2"/>
      </rPr>
      <t>Consumption-weighted average price for asphalt and road oil, aviation gasoline, kerosene, lubricants,</t>
    </r>
  </si>
  <si>
    <t>petrochemical feedstocks, petroleum coke, special naphthas, waxes, and miscellaneous petroleum</t>
  </si>
  <si>
    <t>products.</t>
  </si>
  <si>
    <r>
      <t>9</t>
    </r>
    <r>
      <rPr>
        <sz val="7"/>
        <color indexed="8"/>
        <rFont val="Arial"/>
        <family val="2"/>
      </rPr>
      <t>Includes coal coke imports and exports, which are not separately displayed.  In 2009, coal coke</t>
    </r>
  </si>
  <si>
    <t>imports averaged 10.82 dollars per million Btu, and coal coke exports averaged 4.17 dollars per million Btu.</t>
  </si>
  <si>
    <t>(June 2011), U.S. Table ET1. </t>
  </si>
  <si>
    <t xml:space="preserve"> $/MMBtu</t>
  </si>
  <si>
    <t>Weight 30% Gasoline, 70% Diesel</t>
  </si>
  <si>
    <t xml:space="preserve"> $ MMBtu</t>
  </si>
  <si>
    <t>Lubricants - Assume 3 X price</t>
  </si>
  <si>
    <t>Total Fuel</t>
  </si>
  <si>
    <t>off/total</t>
  </si>
  <si>
    <t>Lubricating-Off-road</t>
  </si>
  <si>
    <t>Output*0.0001</t>
  </si>
  <si>
    <t>Intensities</t>
  </si>
  <si>
    <t>Input for Indicators</t>
  </si>
  <si>
    <t xml:space="preserve">  (Tbtu)</t>
  </si>
  <si>
    <t xml:space="preserve"> (mill. $)</t>
  </si>
  <si>
    <t>Other/Lubricants</t>
  </si>
  <si>
    <t>Gasoline and diesel</t>
  </si>
  <si>
    <t>Other/  Lubricants</t>
  </si>
  <si>
    <t>Total Fuels</t>
  </si>
  <si>
    <t>Off-road Gasoline/Diesel</t>
  </si>
  <si>
    <t>Off-Road</t>
  </si>
  <si>
    <t>Estimates</t>
  </si>
  <si>
    <t>of Diesel</t>
  </si>
  <si>
    <t>Note:  Prices exclude taxes, appropriate for stationary uses in construction</t>
  </si>
  <si>
    <t>Revised 1/19/2020</t>
  </si>
  <si>
    <t>CSTELEC</t>
  </si>
  <si>
    <t>Economic Census -&gt;</t>
  </si>
  <si>
    <t>CSTFUNG</t>
  </si>
  <si>
    <t>CSTFUOF</t>
  </si>
  <si>
    <t>CSTFUON</t>
  </si>
  <si>
    <t>CSTFUOT</t>
  </si>
  <si>
    <t xml:space="preserve">  (Millions of dollars, Input Census Data in thousand dollars)</t>
  </si>
  <si>
    <t>Quantities (TBtu)</t>
  </si>
  <si>
    <t>Data punched from hard copy of Table 2 in 1992 Census - NOT USED for final estimates (2020)</t>
  </si>
  <si>
    <t>Table 3.3  Consumer Price Estimates for Energy by Source, 1970-2009  (Annual Energy Review)</t>
  </si>
  <si>
    <t>Gross Output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</si>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</sst>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,##0_)"/>
    <numFmt numFmtId="166" formatCode="#,##0.0"/>
    <numFmt numFmtId="167" formatCode="#,##0.000"/>
  </numFmts>
  <fonts count="6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5"/>
      <color indexed="8"/>
      <name val="Arial"/>
      <family val="2"/>
    </font>
    <font>
      <sz val="10"/>
      <color indexed="8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5"/>
      <color rgb="FF000000"/>
      <name val="Arial"/>
      <family val="2"/>
    </font>
    <font>
      <vertAlign val="superscript"/>
      <sz val="5"/>
      <color rgb="FF000000"/>
      <name val="Arial"/>
      <family val="2"/>
    </font>
    <font>
      <sz val="7"/>
      <color indexed="8"/>
      <name val="Arial"/>
      <family val="2"/>
    </font>
    <font>
      <sz val="7"/>
      <color indexed="8"/>
      <name val="Symbol"/>
      <family val="1"/>
      <charset val="2"/>
    </font>
    <font>
      <u/>
      <sz val="11"/>
      <color rgb="FF0000FF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rgb="FF9C0006"/>
      <name val="Calibri"/>
      <family val="2"/>
      <scheme val="minor"/>
    </font>
    <font>
      <sz val="11"/>
      <color indexed="20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9"/>
      <name val="Helv"/>
    </font>
    <font>
      <i/>
      <sz val="11"/>
      <color rgb="FF7F7F7F"/>
      <name val="Calibri"/>
      <family val="2"/>
      <scheme val="minor"/>
    </font>
    <font>
      <i/>
      <sz val="11"/>
      <color indexed="23"/>
      <name val="Calibri"/>
      <family val="2"/>
    </font>
    <font>
      <sz val="11"/>
      <color rgb="FF006100"/>
      <name val="Calibri"/>
      <family val="2"/>
      <scheme val="minor"/>
    </font>
    <font>
      <sz val="11"/>
      <color indexed="17"/>
      <name val="Calibri"/>
      <family val="2"/>
    </font>
    <font>
      <b/>
      <sz val="15"/>
      <color theme="3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indexed="56"/>
      <name val="Calibri"/>
      <family val="2"/>
    </font>
    <font>
      <sz val="11"/>
      <color rgb="FF3F3F76"/>
      <name val="Calibri"/>
      <family val="2"/>
      <scheme val="minor"/>
    </font>
    <font>
      <sz val="11"/>
      <color indexed="62"/>
      <name val="Calibri"/>
      <family val="2"/>
    </font>
    <font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i/>
      <sz val="7"/>
      <color indexed="8"/>
      <name val="Arial"/>
      <family val="2"/>
    </font>
    <font>
      <b/>
      <sz val="12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5"/>
      <color theme="1"/>
      <name val="Arial"/>
      <family val="2"/>
    </font>
    <font>
      <vertAlign val="superscript"/>
      <sz val="5"/>
      <color theme="1"/>
      <name val="Arial"/>
      <family val="2"/>
    </font>
    <font>
      <u/>
      <sz val="11"/>
      <color theme="10"/>
      <name val="Calibri"/>
      <family val="2"/>
    </font>
    <font>
      <b/>
      <sz val="7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0F0F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45">
    <xf numFmtId="0" fontId="0" fillId="0" borderId="0"/>
    <xf numFmtId="0" fontId="3" fillId="0" borderId="0"/>
    <xf numFmtId="0" fontId="14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8" fillId="37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7" fillId="14" borderId="0" applyNumberFormat="0" applyBorder="0" applyAlignment="0" applyProtection="0"/>
    <xf numFmtId="0" fontId="18" fillId="38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7" fillId="18" borderId="0" applyNumberFormat="0" applyBorder="0" applyAlignment="0" applyProtection="0"/>
    <xf numFmtId="0" fontId="18" fillId="39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7" fillId="22" borderId="0" applyNumberFormat="0" applyBorder="0" applyAlignment="0" applyProtection="0"/>
    <xf numFmtId="0" fontId="18" fillId="4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7" fillId="26" borderId="0" applyNumberFormat="0" applyBorder="0" applyAlignment="0" applyProtection="0"/>
    <xf numFmtId="0" fontId="18" fillId="41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7" fillId="30" borderId="0" applyNumberFormat="0" applyBorder="0" applyAlignment="0" applyProtection="0"/>
    <xf numFmtId="0" fontId="18" fillId="42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7" fillId="11" borderId="0" applyNumberFormat="0" applyBorder="0" applyAlignment="0" applyProtection="0"/>
    <xf numFmtId="0" fontId="18" fillId="43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7" fillId="15" borderId="0" applyNumberFormat="0" applyBorder="0" applyAlignment="0" applyProtection="0"/>
    <xf numFmtId="0" fontId="18" fillId="4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7" fillId="19" borderId="0" applyNumberFormat="0" applyBorder="0" applyAlignment="0" applyProtection="0"/>
    <xf numFmtId="0" fontId="18" fillId="45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7" fillId="23" borderId="0" applyNumberFormat="0" applyBorder="0" applyAlignment="0" applyProtection="0"/>
    <xf numFmtId="0" fontId="18" fillId="4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7" fillId="27" borderId="0" applyNumberFormat="0" applyBorder="0" applyAlignment="0" applyProtection="0"/>
    <xf numFmtId="0" fontId="18" fillId="43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7" fillId="31" borderId="0" applyNumberFormat="0" applyBorder="0" applyAlignment="0" applyProtection="0"/>
    <xf numFmtId="0" fontId="18" fillId="46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9" fillId="12" borderId="0" applyNumberFormat="0" applyBorder="0" applyAlignment="0" applyProtection="0"/>
    <xf numFmtId="0" fontId="20" fillId="47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19" fillId="16" borderId="0" applyNumberFormat="0" applyBorder="0" applyAlignment="0" applyProtection="0"/>
    <xf numFmtId="0" fontId="20" fillId="44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19" fillId="20" borderId="0" applyNumberFormat="0" applyBorder="0" applyAlignment="0" applyProtection="0"/>
    <xf numFmtId="0" fontId="20" fillId="45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19" fillId="24" borderId="0" applyNumberFormat="0" applyBorder="0" applyAlignment="0" applyProtection="0"/>
    <xf numFmtId="0" fontId="20" fillId="48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19" fillId="28" borderId="0" applyNumberFormat="0" applyBorder="0" applyAlignment="0" applyProtection="0"/>
    <xf numFmtId="0" fontId="20" fillId="49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19" fillId="32" borderId="0" applyNumberFormat="0" applyBorder="0" applyAlignment="0" applyProtection="0"/>
    <xf numFmtId="0" fontId="20" fillId="50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19" fillId="9" borderId="0" applyNumberFormat="0" applyBorder="0" applyAlignment="0" applyProtection="0"/>
    <xf numFmtId="0" fontId="20" fillId="51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19" fillId="13" borderId="0" applyNumberFormat="0" applyBorder="0" applyAlignment="0" applyProtection="0"/>
    <xf numFmtId="0" fontId="20" fillId="52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19" fillId="17" borderId="0" applyNumberFormat="0" applyBorder="0" applyAlignment="0" applyProtection="0"/>
    <xf numFmtId="0" fontId="20" fillId="5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19" fillId="21" borderId="0" applyNumberFormat="0" applyBorder="0" applyAlignment="0" applyProtection="0"/>
    <xf numFmtId="0" fontId="20" fillId="48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19" fillId="25" borderId="0" applyNumberFormat="0" applyBorder="0" applyAlignment="0" applyProtection="0"/>
    <xf numFmtId="0" fontId="20" fillId="49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19" fillId="29" borderId="0" applyNumberFormat="0" applyBorder="0" applyAlignment="0" applyProtection="0"/>
    <xf numFmtId="0" fontId="20" fillId="54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1" fillId="3" borderId="0" applyNumberFormat="0" applyBorder="0" applyAlignment="0" applyProtection="0"/>
    <xf numFmtId="0" fontId="22" fillId="38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3" fillId="6" borderId="4" applyNumberFormat="0" applyAlignment="0" applyProtection="0"/>
    <xf numFmtId="0" fontId="24" fillId="55" borderId="25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4" fillId="55" borderId="25" applyNumberFormat="0" applyAlignment="0" applyProtection="0"/>
    <xf numFmtId="0" fontId="24" fillId="55" borderId="25" applyNumberFormat="0" applyAlignment="0" applyProtection="0"/>
    <xf numFmtId="0" fontId="25" fillId="7" borderId="7" applyNumberFormat="0" applyAlignment="0" applyProtection="0"/>
    <xf numFmtId="0" fontId="26" fillId="56" borderId="26" applyNumberFormat="0" applyAlignment="0" applyProtection="0"/>
    <xf numFmtId="0" fontId="25" fillId="7" borderId="7" applyNumberFormat="0" applyAlignment="0" applyProtection="0"/>
    <xf numFmtId="0" fontId="25" fillId="7" borderId="7" applyNumberFormat="0" applyAlignment="0" applyProtection="0"/>
    <xf numFmtId="0" fontId="25" fillId="7" borderId="7" applyNumberFormat="0" applyAlignment="0" applyProtection="0"/>
    <xf numFmtId="0" fontId="25" fillId="7" borderId="7" applyNumberFormat="0" applyAlignment="0" applyProtection="0"/>
    <xf numFmtId="0" fontId="26" fillId="56" borderId="26" applyNumberFormat="0" applyAlignment="0" applyProtection="0"/>
    <xf numFmtId="0" fontId="26" fillId="56" borderId="26" applyNumberFormat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5" fontId="28" fillId="0" borderId="27">
      <alignment horizontal="right"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39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1" fillId="2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3" fillId="0" borderId="1" applyNumberFormat="0" applyFill="0" applyAlignment="0" applyProtection="0"/>
    <xf numFmtId="0" fontId="34" fillId="0" borderId="28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3" fillId="0" borderId="1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35" fillId="0" borderId="2" applyNumberFormat="0" applyFill="0" applyAlignment="0" applyProtection="0"/>
    <xf numFmtId="0" fontId="36" fillId="0" borderId="29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5" fillId="0" borderId="2" applyNumberFormat="0" applyFill="0" applyAlignment="0" applyProtection="0"/>
    <xf numFmtId="0" fontId="36" fillId="0" borderId="29" applyNumberFormat="0" applyFill="0" applyAlignment="0" applyProtection="0"/>
    <xf numFmtId="0" fontId="36" fillId="0" borderId="29" applyNumberFormat="0" applyFill="0" applyAlignment="0" applyProtection="0"/>
    <xf numFmtId="0" fontId="37" fillId="0" borderId="3" applyNumberFormat="0" applyFill="0" applyAlignment="0" applyProtection="0"/>
    <xf numFmtId="0" fontId="38" fillId="0" borderId="30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7" fillId="0" borderId="3" applyNumberFormat="0" applyFill="0" applyAlignment="0" applyProtection="0"/>
    <xf numFmtId="0" fontId="38" fillId="0" borderId="30" applyNumberFormat="0" applyFill="0" applyAlignment="0" applyProtection="0"/>
    <xf numFmtId="0" fontId="38" fillId="0" borderId="30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5" borderId="4" applyNumberFormat="0" applyAlignment="0" applyProtection="0"/>
    <xf numFmtId="0" fontId="40" fillId="42" borderId="25" applyNumberFormat="0" applyAlignment="0" applyProtection="0"/>
    <xf numFmtId="0" fontId="39" fillId="5" borderId="4" applyNumberFormat="0" applyAlignment="0" applyProtection="0"/>
    <xf numFmtId="0" fontId="39" fillId="5" borderId="4" applyNumberFormat="0" applyAlignment="0" applyProtection="0"/>
    <xf numFmtId="0" fontId="39" fillId="5" borderId="4" applyNumberFormat="0" applyAlignment="0" applyProtection="0"/>
    <xf numFmtId="0" fontId="39" fillId="5" borderId="4" applyNumberFormat="0" applyAlignment="0" applyProtection="0"/>
    <xf numFmtId="0" fontId="40" fillId="42" borderId="25" applyNumberFormat="0" applyAlignment="0" applyProtection="0"/>
    <xf numFmtId="0" fontId="40" fillId="42" borderId="25" applyNumberFormat="0" applyAlignment="0" applyProtection="0"/>
    <xf numFmtId="0" fontId="41" fillId="0" borderId="6" applyNumberFormat="0" applyFill="0" applyAlignment="0" applyProtection="0"/>
    <xf numFmtId="0" fontId="42" fillId="0" borderId="31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2" fillId="0" borderId="31" applyNumberFormat="0" applyFill="0" applyAlignment="0" applyProtection="0"/>
    <xf numFmtId="0" fontId="42" fillId="0" borderId="31" applyNumberFormat="0" applyFill="0" applyAlignment="0" applyProtection="0"/>
    <xf numFmtId="0" fontId="43" fillId="4" borderId="0" applyNumberFormat="0" applyBorder="0" applyAlignment="0" applyProtection="0"/>
    <xf numFmtId="0" fontId="44" fillId="57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4" fillId="57" borderId="0" applyNumberFormat="0" applyBorder="0" applyAlignment="0" applyProtection="0"/>
    <xf numFmtId="0" fontId="44" fillId="57" borderId="0" applyNumberFormat="0" applyBorder="0" applyAlignment="0" applyProtection="0"/>
    <xf numFmtId="0" fontId="27" fillId="0" borderId="0"/>
    <xf numFmtId="0" fontId="27" fillId="0" borderId="0"/>
    <xf numFmtId="0" fontId="1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7" fillId="8" borderId="8" applyNumberFormat="0" applyFont="0" applyAlignment="0" applyProtection="0"/>
    <xf numFmtId="0" fontId="27" fillId="58" borderId="32" applyNumberFormat="0" applyFont="0" applyAlignment="0" applyProtection="0"/>
    <xf numFmtId="0" fontId="27" fillId="58" borderId="32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27" fillId="58" borderId="32" applyNumberFormat="0" applyFont="0" applyAlignment="0" applyProtection="0"/>
    <xf numFmtId="0" fontId="27" fillId="58" borderId="32" applyNumberFormat="0" applyFont="0" applyAlignment="0" applyProtection="0"/>
    <xf numFmtId="0" fontId="45" fillId="6" borderId="5" applyNumberFormat="0" applyAlignment="0" applyProtection="0"/>
    <xf numFmtId="0" fontId="46" fillId="55" borderId="33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5" fillId="6" borderId="5" applyNumberFormat="0" applyAlignment="0" applyProtection="0"/>
    <xf numFmtId="0" fontId="46" fillId="55" borderId="33" applyNumberFormat="0" applyAlignment="0" applyProtection="0"/>
    <xf numFmtId="0" fontId="46" fillId="55" borderId="3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9" fillId="0" borderId="34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9" fillId="0" borderId="34" applyNumberFormat="0" applyFill="0" applyAlignment="0" applyProtection="0"/>
    <xf numFmtId="0" fontId="49" fillId="0" borderId="34" applyNumberFormat="0" applyFill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0" fillId="34" borderId="0" xfId="0" applyFill="1"/>
    <xf numFmtId="0" fontId="0" fillId="0" borderId="10" xfId="0" applyBorder="1"/>
    <xf numFmtId="164" fontId="0" fillId="0" borderId="0" xfId="0" applyNumberFormat="1"/>
    <xf numFmtId="2" fontId="0" fillId="0" borderId="0" xfId="0" applyNumberFormat="1"/>
    <xf numFmtId="2" fontId="0" fillId="33" borderId="0" xfId="0" applyNumberFormat="1" applyFill="1"/>
    <xf numFmtId="0" fontId="3" fillId="0" borderId="0" xfId="1" applyFont="1"/>
    <xf numFmtId="0" fontId="3" fillId="0" borderId="22" xfId="1" applyFont="1" applyBorder="1" applyAlignment="1">
      <alignment horizontal="center" wrapText="1"/>
    </xf>
    <xf numFmtId="0" fontId="8" fillId="0" borderId="22" xfId="1" applyFont="1" applyBorder="1" applyAlignment="1">
      <alignment horizontal="center" wrapText="1"/>
    </xf>
    <xf numFmtId="0" fontId="8" fillId="0" borderId="16" xfId="1" applyFont="1" applyBorder="1" applyAlignment="1">
      <alignment horizontal="center" wrapText="1"/>
    </xf>
    <xf numFmtId="0" fontId="9" fillId="0" borderId="24" xfId="1" applyFont="1" applyBorder="1" applyAlignment="1">
      <alignment horizontal="left"/>
    </xf>
    <xf numFmtId="0" fontId="9" fillId="0" borderId="16" xfId="1" applyFont="1" applyBorder="1" applyAlignment="1">
      <alignment horizontal="right" wrapText="1"/>
    </xf>
    <xf numFmtId="0" fontId="3" fillId="0" borderId="16" xfId="1" applyFont="1" applyBorder="1" applyAlignment="1">
      <alignment horizontal="right" wrapText="1"/>
    </xf>
    <xf numFmtId="0" fontId="10" fillId="0" borderId="16" xfId="1" applyFont="1" applyBorder="1" applyAlignment="1">
      <alignment horizontal="center" wrapText="1"/>
    </xf>
    <xf numFmtId="0" fontId="9" fillId="35" borderId="24" xfId="1" applyFont="1" applyFill="1" applyBorder="1" applyAlignment="1">
      <alignment horizontal="left"/>
    </xf>
    <xf numFmtId="0" fontId="9" fillId="35" borderId="16" xfId="1" applyFont="1" applyFill="1" applyBorder="1" applyAlignment="1">
      <alignment horizontal="right" wrapText="1"/>
    </xf>
    <xf numFmtId="0" fontId="3" fillId="35" borderId="16" xfId="1" applyFont="1" applyFill="1" applyBorder="1" applyAlignment="1">
      <alignment horizontal="right" wrapText="1"/>
    </xf>
    <xf numFmtId="0" fontId="10" fillId="35" borderId="16" xfId="1" applyFont="1" applyFill="1" applyBorder="1" applyAlignment="1">
      <alignment horizontal="center" wrapText="1"/>
    </xf>
    <xf numFmtId="0" fontId="9" fillId="36" borderId="16" xfId="1" applyFont="1" applyFill="1" applyBorder="1" applyAlignment="1">
      <alignment horizontal="right" wrapText="1"/>
    </xf>
    <xf numFmtId="0" fontId="3" fillId="35" borderId="16" xfId="1" applyFont="1" applyFill="1" applyBorder="1" applyAlignment="1">
      <alignment wrapText="1"/>
    </xf>
    <xf numFmtId="0" fontId="3" fillId="0" borderId="16" xfId="1" applyFont="1" applyBorder="1" applyAlignment="1">
      <alignment wrapText="1"/>
    </xf>
    <xf numFmtId="0" fontId="8" fillId="0" borderId="21" xfId="1" applyFont="1" applyBorder="1" applyAlignment="1">
      <alignment horizontal="left"/>
    </xf>
    <xf numFmtId="0" fontId="3" fillId="0" borderId="21" xfId="1" applyFont="1" applyBorder="1" applyAlignment="1">
      <alignment horizontal="left"/>
    </xf>
    <xf numFmtId="0" fontId="8" fillId="0" borderId="24" xfId="1" applyFont="1" applyBorder="1" applyAlignment="1">
      <alignment horizontal="center" wrapText="1"/>
    </xf>
    <xf numFmtId="0" fontId="17" fillId="0" borderId="0" xfId="297"/>
    <xf numFmtId="0" fontId="17" fillId="0" borderId="17" xfId="297" applyBorder="1" applyAlignment="1">
      <alignment horizontal="center" wrapText="1"/>
    </xf>
    <xf numFmtId="0" fontId="17" fillId="0" borderId="21" xfId="297" applyBorder="1" applyAlignment="1">
      <alignment horizontal="center" wrapText="1"/>
    </xf>
    <xf numFmtId="0" fontId="54" fillId="0" borderId="21" xfId="297" applyFont="1" applyBorder="1" applyAlignment="1">
      <alignment horizontal="center" wrapText="1"/>
    </xf>
    <xf numFmtId="0" fontId="54" fillId="0" borderId="24" xfId="297" applyFont="1" applyBorder="1" applyAlignment="1">
      <alignment horizontal="center" wrapText="1"/>
    </xf>
    <xf numFmtId="0" fontId="54" fillId="0" borderId="35" xfId="297" applyFont="1" applyBorder="1" applyAlignment="1">
      <alignment horizontal="center" wrapText="1"/>
    </xf>
    <xf numFmtId="0" fontId="55" fillId="0" borderId="35" xfId="297" applyFont="1" applyBorder="1" applyAlignment="1">
      <alignment horizontal="left"/>
    </xf>
    <xf numFmtId="0" fontId="55" fillId="0" borderId="35" xfId="297" applyFont="1" applyBorder="1" applyAlignment="1">
      <alignment horizontal="right" wrapText="1"/>
    </xf>
    <xf numFmtId="0" fontId="17" fillId="0" borderId="35" xfId="297" applyBorder="1" applyAlignment="1">
      <alignment horizontal="right" wrapText="1"/>
    </xf>
    <xf numFmtId="0" fontId="55" fillId="61" borderId="35" xfId="297" applyFont="1" applyFill="1" applyBorder="1" applyAlignment="1">
      <alignment horizontal="left"/>
    </xf>
    <xf numFmtId="0" fontId="55" fillId="61" borderId="35" xfId="297" applyFont="1" applyFill="1" applyBorder="1" applyAlignment="1">
      <alignment horizontal="right" wrapText="1"/>
    </xf>
    <xf numFmtId="0" fontId="17" fillId="61" borderId="35" xfId="297" applyFill="1" applyBorder="1" applyAlignment="1">
      <alignment horizontal="right" wrapText="1"/>
    </xf>
    <xf numFmtId="0" fontId="56" fillId="61" borderId="35" xfId="297" applyFont="1" applyFill="1" applyBorder="1" applyAlignment="1">
      <alignment horizontal="center" wrapText="1"/>
    </xf>
    <xf numFmtId="0" fontId="56" fillId="0" borderId="35" xfId="297" applyFont="1" applyBorder="1" applyAlignment="1">
      <alignment horizontal="center" wrapText="1"/>
    </xf>
    <xf numFmtId="2" fontId="0" fillId="59" borderId="0" xfId="0" applyNumberFormat="1" applyFill="1"/>
    <xf numFmtId="3" fontId="0" fillId="0" borderId="0" xfId="0" applyNumberFormat="1" applyAlignment="1">
      <alignment horizontal="right" indent="2"/>
    </xf>
    <xf numFmtId="0" fontId="0" fillId="0" borderId="36" xfId="0" applyBorder="1" applyAlignment="1">
      <alignment horizontal="center"/>
    </xf>
    <xf numFmtId="0" fontId="0" fillId="0" borderId="0" xfId="0" applyBorder="1"/>
    <xf numFmtId="0" fontId="0" fillId="0" borderId="36" xfId="0" applyFill="1" applyBorder="1" applyAlignment="1">
      <alignment horizontal="center"/>
    </xf>
    <xf numFmtId="0" fontId="0" fillId="0" borderId="38" xfId="0" applyBorder="1" applyAlignment="1">
      <alignment horizontal="center"/>
    </xf>
    <xf numFmtId="166" fontId="0" fillId="0" borderId="37" xfId="0" applyNumberFormat="1" applyBorder="1" applyAlignment="1">
      <alignment horizontal="right" indent="2"/>
    </xf>
    <xf numFmtId="166" fontId="0" fillId="0" borderId="0" xfId="0" applyNumberFormat="1" applyAlignment="1">
      <alignment horizontal="right" indent="2"/>
    </xf>
    <xf numFmtId="0" fontId="0" fillId="0" borderId="38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0" xfId="0" applyAlignment="1">
      <alignment horizontal="right" indent="1"/>
    </xf>
    <xf numFmtId="166" fontId="0" fillId="59" borderId="0" xfId="0" applyNumberFormat="1" applyFill="1"/>
    <xf numFmtId="3" fontId="0" fillId="0" borderId="0" xfId="0" applyNumberFormat="1"/>
    <xf numFmtId="164" fontId="3" fillId="62" borderId="0" xfId="1" applyNumberFormat="1" applyFont="1" applyFill="1"/>
    <xf numFmtId="4" fontId="0" fillId="0" borderId="0" xfId="0" applyNumberFormat="1"/>
    <xf numFmtId="164" fontId="0" fillId="36" borderId="0" xfId="0" applyNumberFormat="1" applyFill="1"/>
    <xf numFmtId="164" fontId="0" fillId="34" borderId="0" xfId="0" applyNumberFormat="1" applyFill="1"/>
    <xf numFmtId="167" fontId="0" fillId="0" borderId="0" xfId="0" applyNumberFormat="1"/>
    <xf numFmtId="164" fontId="0" fillId="60" borderId="0" xfId="0" applyNumberFormat="1" applyFill="1"/>
    <xf numFmtId="0" fontId="6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11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3" xfId="1" applyFont="1" applyBorder="1" applyAlignment="1">
      <alignment horizontal="left" wrapText="1"/>
    </xf>
    <xf numFmtId="0" fontId="5" fillId="0" borderId="14" xfId="1" applyFont="1" applyBorder="1" applyAlignment="1">
      <alignment horizontal="left" wrapText="1"/>
    </xf>
    <xf numFmtId="0" fontId="5" fillId="0" borderId="15" xfId="1" applyFont="1" applyBorder="1" applyAlignment="1">
      <alignment horizontal="left" wrapText="1"/>
    </xf>
    <xf numFmtId="0" fontId="5" fillId="0" borderId="16" xfId="1" applyFont="1" applyBorder="1" applyAlignment="1">
      <alignment horizontal="left" wrapText="1"/>
    </xf>
    <xf numFmtId="0" fontId="8" fillId="0" borderId="17" xfId="1" applyFont="1" applyBorder="1" applyAlignment="1">
      <alignment horizontal="center" wrapText="1"/>
    </xf>
    <xf numFmtId="0" fontId="8" fillId="0" borderId="21" xfId="1" applyFont="1" applyBorder="1" applyAlignment="1">
      <alignment horizontal="center" wrapText="1"/>
    </xf>
    <xf numFmtId="0" fontId="8" fillId="0" borderId="24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8" fillId="0" borderId="13" xfId="1" applyFont="1" applyBorder="1" applyAlignment="1">
      <alignment horizontal="center" wrapText="1"/>
    </xf>
    <xf numFmtId="0" fontId="8" fillId="0" borderId="23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22" xfId="1" applyFont="1" applyBorder="1" applyAlignment="1">
      <alignment horizontal="center" wrapText="1"/>
    </xf>
    <xf numFmtId="0" fontId="8" fillId="0" borderId="14" xfId="1" applyFont="1" applyBorder="1" applyAlignment="1">
      <alignment horizontal="center" wrapText="1"/>
    </xf>
    <xf numFmtId="0" fontId="8" fillId="0" borderId="15" xfId="1" applyFont="1" applyBorder="1" applyAlignment="1">
      <alignment horizontal="center" wrapText="1"/>
    </xf>
    <xf numFmtId="0" fontId="8" fillId="0" borderId="16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13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11" fillId="0" borderId="23" xfId="1" applyFont="1" applyBorder="1" applyAlignment="1">
      <alignment vertical="top" wrapText="1"/>
    </xf>
    <xf numFmtId="0" fontId="11" fillId="0" borderId="0" xfId="1" applyFont="1" applyBorder="1" applyAlignment="1">
      <alignment vertical="top" wrapText="1"/>
    </xf>
    <xf numFmtId="0" fontId="11" fillId="0" borderId="0" xfId="1" applyFont="1" applyAlignment="1">
      <alignment vertical="top" wrapText="1"/>
    </xf>
    <xf numFmtId="0" fontId="11" fillId="0" borderId="22" xfId="1" applyFont="1" applyBorder="1" applyAlignment="1">
      <alignment vertical="top" wrapText="1"/>
    </xf>
    <xf numFmtId="0" fontId="9" fillId="0" borderId="0" xfId="1" applyFont="1" applyAlignment="1">
      <alignment vertical="top" wrapText="1"/>
    </xf>
    <xf numFmtId="0" fontId="9" fillId="0" borderId="22" xfId="1" applyFont="1" applyBorder="1" applyAlignment="1">
      <alignment vertical="top" wrapText="1"/>
    </xf>
    <xf numFmtId="0" fontId="11" fillId="0" borderId="11" xfId="1" applyFont="1" applyBorder="1" applyAlignment="1">
      <alignment vertical="top" wrapText="1"/>
    </xf>
    <xf numFmtId="0" fontId="11" fillId="0" borderId="12" xfId="1" applyFont="1" applyBorder="1" applyAlignment="1">
      <alignment vertical="top" wrapText="1"/>
    </xf>
    <xf numFmtId="0" fontId="11" fillId="0" borderId="13" xfId="1" applyFont="1" applyBorder="1" applyAlignment="1">
      <alignment vertical="top" wrapText="1"/>
    </xf>
    <xf numFmtId="0" fontId="9" fillId="0" borderId="23" xfId="1" applyFont="1" applyBorder="1" applyAlignment="1">
      <alignment vertical="top" wrapText="1"/>
    </xf>
    <xf numFmtId="0" fontId="9" fillId="0" borderId="0" xfId="1" applyFont="1" applyBorder="1" applyAlignment="1">
      <alignment vertical="top" wrapText="1"/>
    </xf>
    <xf numFmtId="0" fontId="9" fillId="0" borderId="14" xfId="1" applyFont="1" applyBorder="1" applyAlignment="1">
      <alignment vertical="top" wrapText="1"/>
    </xf>
    <xf numFmtId="0" fontId="9" fillId="0" borderId="15" xfId="1" applyFont="1" applyBorder="1" applyAlignment="1">
      <alignment vertical="top" wrapText="1"/>
    </xf>
    <xf numFmtId="0" fontId="9" fillId="0" borderId="16" xfId="1" applyFont="1" applyBorder="1" applyAlignment="1">
      <alignment vertical="top" wrapText="1"/>
    </xf>
    <xf numFmtId="0" fontId="14" fillId="0" borderId="0" xfId="2" applyBorder="1" applyAlignment="1">
      <alignment vertical="top" wrapText="1"/>
    </xf>
    <xf numFmtId="0" fontId="14" fillId="0" borderId="22" xfId="2" applyBorder="1" applyAlignment="1">
      <alignment vertical="top" wrapText="1"/>
    </xf>
    <xf numFmtId="0" fontId="8" fillId="0" borderId="18" xfId="1" applyFont="1" applyBorder="1" applyAlignment="1">
      <alignment horizontal="center" wrapText="1"/>
    </xf>
    <xf numFmtId="0" fontId="8" fillId="0" borderId="19" xfId="1" applyFont="1" applyBorder="1" applyAlignment="1">
      <alignment horizontal="center" wrapText="1"/>
    </xf>
    <xf numFmtId="0" fontId="8" fillId="0" borderId="20" xfId="1" applyFont="1" applyBorder="1" applyAlignment="1">
      <alignment horizontal="center" wrapText="1"/>
    </xf>
    <xf numFmtId="0" fontId="9" fillId="0" borderId="17" xfId="1" applyFont="1" applyBorder="1" applyAlignment="1">
      <alignment horizontal="right" wrapText="1"/>
    </xf>
    <xf numFmtId="0" fontId="9" fillId="0" borderId="24" xfId="1" applyFont="1" applyBorder="1" applyAlignment="1">
      <alignment horizontal="right" wrapText="1"/>
    </xf>
    <xf numFmtId="0" fontId="9" fillId="0" borderId="21" xfId="1" applyFont="1" applyBorder="1" applyAlignment="1">
      <alignment horizontal="right" wrapText="1"/>
    </xf>
    <xf numFmtId="0" fontId="3" fillId="0" borderId="17" xfId="1" applyFont="1" applyBorder="1" applyAlignment="1">
      <alignment horizontal="right" wrapText="1"/>
    </xf>
    <xf numFmtId="0" fontId="3" fillId="0" borderId="24" xfId="1" applyFont="1" applyBorder="1" applyAlignment="1">
      <alignment horizontal="right" wrapText="1"/>
    </xf>
    <xf numFmtId="0" fontId="3" fillId="0" borderId="21" xfId="1" applyFont="1" applyBorder="1" applyAlignment="1">
      <alignment horizontal="right" wrapText="1"/>
    </xf>
    <xf numFmtId="0" fontId="11" fillId="0" borderId="14" xfId="1" applyFont="1" applyBorder="1" applyAlignment="1">
      <alignment vertical="top" wrapText="1"/>
    </xf>
    <xf numFmtId="0" fontId="11" fillId="0" borderId="15" xfId="1" applyFont="1" applyBorder="1" applyAlignment="1">
      <alignment vertical="top" wrapText="1"/>
    </xf>
    <xf numFmtId="0" fontId="3" fillId="0" borderId="15" xfId="1" applyFont="1" applyBorder="1" applyAlignment="1">
      <alignment wrapText="1"/>
    </xf>
    <xf numFmtId="0" fontId="3" fillId="0" borderId="16" xfId="1" applyFont="1" applyBorder="1" applyAlignment="1">
      <alignment wrapText="1"/>
    </xf>
    <xf numFmtId="0" fontId="10" fillId="0" borderId="17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0" fillId="0" borderId="24" xfId="1" applyFont="1" applyBorder="1" applyAlignment="1">
      <alignment horizontal="center" wrapText="1"/>
    </xf>
    <xf numFmtId="0" fontId="53" fillId="0" borderId="11" xfId="297" applyFont="1" applyBorder="1" applyAlignment="1">
      <alignment horizontal="left" wrapText="1"/>
    </xf>
    <xf numFmtId="0" fontId="53" fillId="0" borderId="12" xfId="297" applyFont="1" applyBorder="1" applyAlignment="1">
      <alignment horizontal="left" wrapText="1"/>
    </xf>
    <xf numFmtId="0" fontId="53" fillId="0" borderId="13" xfId="297" applyFont="1" applyBorder="1" applyAlignment="1">
      <alignment horizontal="left" wrapText="1"/>
    </xf>
    <xf numFmtId="0" fontId="1" fillId="0" borderId="14" xfId="297" applyFont="1" applyBorder="1" applyAlignment="1">
      <alignment horizontal="left" wrapText="1"/>
    </xf>
    <xf numFmtId="0" fontId="1" fillId="0" borderId="15" xfId="297" applyFont="1" applyBorder="1" applyAlignment="1">
      <alignment horizontal="left" wrapText="1"/>
    </xf>
    <xf numFmtId="0" fontId="1" fillId="0" borderId="16" xfId="297" applyFont="1" applyBorder="1" applyAlignment="1">
      <alignment horizontal="left" wrapText="1"/>
    </xf>
    <xf numFmtId="0" fontId="54" fillId="0" borderId="17" xfId="297" applyFont="1" applyBorder="1" applyAlignment="1">
      <alignment horizontal="center" wrapText="1"/>
    </xf>
    <xf numFmtId="0" fontId="54" fillId="0" borderId="21" xfId="297" applyFont="1" applyBorder="1" applyAlignment="1">
      <alignment horizontal="center" wrapText="1"/>
    </xf>
    <xf numFmtId="0" fontId="54" fillId="0" borderId="24" xfId="297" applyFont="1" applyBorder="1" applyAlignment="1">
      <alignment horizontal="center" wrapText="1"/>
    </xf>
    <xf numFmtId="0" fontId="54" fillId="0" borderId="11" xfId="297" applyFont="1" applyBorder="1" applyAlignment="1">
      <alignment horizontal="center" wrapText="1"/>
    </xf>
    <xf numFmtId="0" fontId="54" fillId="0" borderId="12" xfId="297" applyFont="1" applyBorder="1" applyAlignment="1">
      <alignment horizontal="center" wrapText="1"/>
    </xf>
    <xf numFmtId="0" fontId="54" fillId="0" borderId="13" xfId="297" applyFont="1" applyBorder="1" applyAlignment="1">
      <alignment horizontal="center" wrapText="1"/>
    </xf>
    <xf numFmtId="0" fontId="54" fillId="0" borderId="23" xfId="297" applyFont="1" applyBorder="1" applyAlignment="1">
      <alignment horizontal="center" wrapText="1"/>
    </xf>
    <xf numFmtId="0" fontId="54" fillId="0" borderId="0" xfId="297" applyFont="1" applyBorder="1" applyAlignment="1">
      <alignment horizontal="center" wrapText="1"/>
    </xf>
    <xf numFmtId="0" fontId="54" fillId="0" borderId="22" xfId="297" applyFont="1" applyBorder="1" applyAlignment="1">
      <alignment horizontal="center" wrapText="1"/>
    </xf>
    <xf numFmtId="0" fontId="54" fillId="0" borderId="14" xfId="297" applyFont="1" applyBorder="1" applyAlignment="1">
      <alignment horizontal="center" wrapText="1"/>
    </xf>
    <xf numFmtId="0" fontId="54" fillId="0" borderId="15" xfId="297" applyFont="1" applyBorder="1" applyAlignment="1">
      <alignment horizontal="center" wrapText="1"/>
    </xf>
    <xf numFmtId="0" fontId="54" fillId="0" borderId="16" xfId="297" applyFont="1" applyBorder="1" applyAlignment="1">
      <alignment horizontal="center" wrapText="1"/>
    </xf>
    <xf numFmtId="0" fontId="57" fillId="0" borderId="23" xfId="297" applyFont="1" applyBorder="1" applyAlignment="1">
      <alignment vertical="top" wrapText="1"/>
    </xf>
    <xf numFmtId="0" fontId="57" fillId="0" borderId="0" xfId="297" applyFont="1" applyAlignment="1">
      <alignment vertical="top" wrapText="1"/>
    </xf>
    <xf numFmtId="0" fontId="55" fillId="0" borderId="0" xfId="297" applyFont="1" applyAlignment="1">
      <alignment vertical="top" wrapText="1"/>
    </xf>
    <xf numFmtId="0" fontId="55" fillId="0" borderId="22" xfId="297" applyFont="1" applyBorder="1" applyAlignment="1">
      <alignment vertical="top" wrapText="1"/>
    </xf>
    <xf numFmtId="0" fontId="54" fillId="0" borderId="18" xfId="297" applyFont="1" applyBorder="1" applyAlignment="1">
      <alignment horizontal="center" wrapText="1"/>
    </xf>
    <xf numFmtId="0" fontId="54" fillId="0" borderId="20" xfId="297" applyFont="1" applyBorder="1" applyAlignment="1">
      <alignment horizontal="center" wrapText="1"/>
    </xf>
    <xf numFmtId="0" fontId="57" fillId="0" borderId="11" xfId="297" applyFont="1" applyBorder="1" applyAlignment="1">
      <alignment vertical="top" wrapText="1"/>
    </xf>
    <xf numFmtId="0" fontId="57" fillId="0" borderId="12" xfId="297" applyFont="1" applyBorder="1" applyAlignment="1">
      <alignment vertical="top" wrapText="1"/>
    </xf>
    <xf numFmtId="0" fontId="57" fillId="0" borderId="13" xfId="297" applyFont="1" applyBorder="1" applyAlignment="1">
      <alignment vertical="top" wrapText="1"/>
    </xf>
    <xf numFmtId="0" fontId="55" fillId="0" borderId="15" xfId="297" applyFont="1" applyBorder="1" applyAlignment="1">
      <alignment vertical="top" wrapText="1"/>
    </xf>
    <xf numFmtId="0" fontId="55" fillId="0" borderId="16" xfId="297" applyFont="1" applyBorder="1" applyAlignment="1">
      <alignment vertical="top" wrapText="1"/>
    </xf>
    <xf numFmtId="0" fontId="55" fillId="0" borderId="23" xfId="297" applyFont="1" applyBorder="1" applyAlignment="1">
      <alignment vertical="top" wrapText="1"/>
    </xf>
    <xf numFmtId="0" fontId="58" fillId="0" borderId="0" xfId="344" applyAlignment="1" applyProtection="1">
      <alignment vertical="top" wrapText="1"/>
    </xf>
    <xf numFmtId="0" fontId="58" fillId="0" borderId="22" xfId="344" applyBorder="1" applyAlignment="1" applyProtection="1">
      <alignment vertical="top" wrapText="1"/>
    </xf>
    <xf numFmtId="0" fontId="57" fillId="0" borderId="14" xfId="297" applyFont="1" applyBorder="1" applyAlignment="1">
      <alignment vertical="top" wrapText="1"/>
    </xf>
    <xf numFmtId="0" fontId="57" fillId="0" borderId="15" xfId="297" applyFont="1" applyBorder="1" applyAlignment="1">
      <alignment vertical="top" wrapText="1"/>
    </xf>
    <xf numFmtId="0" fontId="54" fillId="0" borderId="0" xfId="297" applyFont="1" applyAlignment="1">
      <alignment vertical="top" wrapText="1"/>
    </xf>
    <xf numFmtId="0" fontId="54" fillId="0" borderId="22" xfId="297" applyFont="1" applyBorder="1" applyAlignment="1">
      <alignment vertical="top" wrapText="1"/>
    </xf>
  </cellXfs>
  <cellStyles count="345">
    <cellStyle name="20% - Accent1 2" xfId="3" xr:uid="{00000000-0005-0000-0000-000000000000}"/>
    <cellStyle name="20% - Accent1 2 2" xfId="4" xr:uid="{00000000-0005-0000-0000-000001000000}"/>
    <cellStyle name="20% - Accent1 3" xfId="5" xr:uid="{00000000-0005-0000-0000-000002000000}"/>
    <cellStyle name="20% - Accent1 3 2" xfId="6" xr:uid="{00000000-0005-0000-0000-000003000000}"/>
    <cellStyle name="20% - Accent1 4" xfId="7" xr:uid="{00000000-0005-0000-0000-000004000000}"/>
    <cellStyle name="20% - Accent1 4 2" xfId="8" xr:uid="{00000000-0005-0000-0000-000005000000}"/>
    <cellStyle name="20% - Accent1 5" xfId="9" xr:uid="{00000000-0005-0000-0000-000006000000}"/>
    <cellStyle name="20% - Accent1 6" xfId="10" xr:uid="{00000000-0005-0000-0000-000007000000}"/>
    <cellStyle name="20% - Accent2 2" xfId="11" xr:uid="{00000000-0005-0000-0000-000008000000}"/>
    <cellStyle name="20% - Accent2 2 2" xfId="12" xr:uid="{00000000-0005-0000-0000-000009000000}"/>
    <cellStyle name="20% - Accent2 3" xfId="13" xr:uid="{00000000-0005-0000-0000-00000A000000}"/>
    <cellStyle name="20% - Accent2 3 2" xfId="14" xr:uid="{00000000-0005-0000-0000-00000B000000}"/>
    <cellStyle name="20% - Accent2 4" xfId="15" xr:uid="{00000000-0005-0000-0000-00000C000000}"/>
    <cellStyle name="20% - Accent2 4 2" xfId="16" xr:uid="{00000000-0005-0000-0000-00000D000000}"/>
    <cellStyle name="20% - Accent2 5" xfId="17" xr:uid="{00000000-0005-0000-0000-00000E000000}"/>
    <cellStyle name="20% - Accent2 6" xfId="18" xr:uid="{00000000-0005-0000-0000-00000F000000}"/>
    <cellStyle name="20% - Accent3 2" xfId="19" xr:uid="{00000000-0005-0000-0000-000010000000}"/>
    <cellStyle name="20% - Accent3 2 2" xfId="20" xr:uid="{00000000-0005-0000-0000-000011000000}"/>
    <cellStyle name="20% - Accent3 3" xfId="21" xr:uid="{00000000-0005-0000-0000-000012000000}"/>
    <cellStyle name="20% - Accent3 3 2" xfId="22" xr:uid="{00000000-0005-0000-0000-000013000000}"/>
    <cellStyle name="20% - Accent3 4" xfId="23" xr:uid="{00000000-0005-0000-0000-000014000000}"/>
    <cellStyle name="20% - Accent3 4 2" xfId="24" xr:uid="{00000000-0005-0000-0000-000015000000}"/>
    <cellStyle name="20% - Accent3 5" xfId="25" xr:uid="{00000000-0005-0000-0000-000016000000}"/>
    <cellStyle name="20% - Accent3 6" xfId="26" xr:uid="{00000000-0005-0000-0000-000017000000}"/>
    <cellStyle name="20% - Accent4 2" xfId="27" xr:uid="{00000000-0005-0000-0000-000018000000}"/>
    <cellStyle name="20% - Accent4 2 2" xfId="28" xr:uid="{00000000-0005-0000-0000-000019000000}"/>
    <cellStyle name="20% - Accent4 3" xfId="29" xr:uid="{00000000-0005-0000-0000-00001A000000}"/>
    <cellStyle name="20% - Accent4 3 2" xfId="30" xr:uid="{00000000-0005-0000-0000-00001B000000}"/>
    <cellStyle name="20% - Accent4 4" xfId="31" xr:uid="{00000000-0005-0000-0000-00001C000000}"/>
    <cellStyle name="20% - Accent4 4 2" xfId="32" xr:uid="{00000000-0005-0000-0000-00001D000000}"/>
    <cellStyle name="20% - Accent4 5" xfId="33" xr:uid="{00000000-0005-0000-0000-00001E000000}"/>
    <cellStyle name="20% - Accent4 6" xfId="34" xr:uid="{00000000-0005-0000-0000-00001F000000}"/>
    <cellStyle name="20% - Accent5 2" xfId="35" xr:uid="{00000000-0005-0000-0000-000020000000}"/>
    <cellStyle name="20% - Accent5 2 2" xfId="36" xr:uid="{00000000-0005-0000-0000-000021000000}"/>
    <cellStyle name="20% - Accent5 3" xfId="37" xr:uid="{00000000-0005-0000-0000-000022000000}"/>
    <cellStyle name="20% - Accent5 3 2" xfId="38" xr:uid="{00000000-0005-0000-0000-000023000000}"/>
    <cellStyle name="20% - Accent5 4" xfId="39" xr:uid="{00000000-0005-0000-0000-000024000000}"/>
    <cellStyle name="20% - Accent5 4 2" xfId="40" xr:uid="{00000000-0005-0000-0000-000025000000}"/>
    <cellStyle name="20% - Accent5 5" xfId="41" xr:uid="{00000000-0005-0000-0000-000026000000}"/>
    <cellStyle name="20% - Accent5 6" xfId="42" xr:uid="{00000000-0005-0000-0000-000027000000}"/>
    <cellStyle name="20% - Accent6 2" xfId="43" xr:uid="{00000000-0005-0000-0000-000028000000}"/>
    <cellStyle name="20% - Accent6 2 2" xfId="44" xr:uid="{00000000-0005-0000-0000-000029000000}"/>
    <cellStyle name="20% - Accent6 3" xfId="45" xr:uid="{00000000-0005-0000-0000-00002A000000}"/>
    <cellStyle name="20% - Accent6 3 2" xfId="46" xr:uid="{00000000-0005-0000-0000-00002B000000}"/>
    <cellStyle name="20% - Accent6 4" xfId="47" xr:uid="{00000000-0005-0000-0000-00002C000000}"/>
    <cellStyle name="20% - Accent6 4 2" xfId="48" xr:uid="{00000000-0005-0000-0000-00002D000000}"/>
    <cellStyle name="20% - Accent6 5" xfId="49" xr:uid="{00000000-0005-0000-0000-00002E000000}"/>
    <cellStyle name="20% - Accent6 6" xfId="50" xr:uid="{00000000-0005-0000-0000-00002F000000}"/>
    <cellStyle name="40% - Accent1 2" xfId="51" xr:uid="{00000000-0005-0000-0000-000030000000}"/>
    <cellStyle name="40% - Accent1 2 2" xfId="52" xr:uid="{00000000-0005-0000-0000-000031000000}"/>
    <cellStyle name="40% - Accent1 3" xfId="53" xr:uid="{00000000-0005-0000-0000-000032000000}"/>
    <cellStyle name="40% - Accent1 3 2" xfId="54" xr:uid="{00000000-0005-0000-0000-000033000000}"/>
    <cellStyle name="40% - Accent1 4" xfId="55" xr:uid="{00000000-0005-0000-0000-000034000000}"/>
    <cellStyle name="40% - Accent1 4 2" xfId="56" xr:uid="{00000000-0005-0000-0000-000035000000}"/>
    <cellStyle name="40% - Accent1 5" xfId="57" xr:uid="{00000000-0005-0000-0000-000036000000}"/>
    <cellStyle name="40% - Accent1 6" xfId="58" xr:uid="{00000000-0005-0000-0000-000037000000}"/>
    <cellStyle name="40% - Accent2 2" xfId="59" xr:uid="{00000000-0005-0000-0000-000038000000}"/>
    <cellStyle name="40% - Accent2 2 2" xfId="60" xr:uid="{00000000-0005-0000-0000-000039000000}"/>
    <cellStyle name="40% - Accent2 3" xfId="61" xr:uid="{00000000-0005-0000-0000-00003A000000}"/>
    <cellStyle name="40% - Accent2 3 2" xfId="62" xr:uid="{00000000-0005-0000-0000-00003B000000}"/>
    <cellStyle name="40% - Accent2 4" xfId="63" xr:uid="{00000000-0005-0000-0000-00003C000000}"/>
    <cellStyle name="40% - Accent2 4 2" xfId="64" xr:uid="{00000000-0005-0000-0000-00003D000000}"/>
    <cellStyle name="40% - Accent2 5" xfId="65" xr:uid="{00000000-0005-0000-0000-00003E000000}"/>
    <cellStyle name="40% - Accent2 6" xfId="66" xr:uid="{00000000-0005-0000-0000-00003F000000}"/>
    <cellStyle name="40% - Accent3 2" xfId="67" xr:uid="{00000000-0005-0000-0000-000040000000}"/>
    <cellStyle name="40% - Accent3 2 2" xfId="68" xr:uid="{00000000-0005-0000-0000-000041000000}"/>
    <cellStyle name="40% - Accent3 3" xfId="69" xr:uid="{00000000-0005-0000-0000-000042000000}"/>
    <cellStyle name="40% - Accent3 3 2" xfId="70" xr:uid="{00000000-0005-0000-0000-000043000000}"/>
    <cellStyle name="40% - Accent3 4" xfId="71" xr:uid="{00000000-0005-0000-0000-000044000000}"/>
    <cellStyle name="40% - Accent3 4 2" xfId="72" xr:uid="{00000000-0005-0000-0000-000045000000}"/>
    <cellStyle name="40% - Accent3 5" xfId="73" xr:uid="{00000000-0005-0000-0000-000046000000}"/>
    <cellStyle name="40% - Accent3 6" xfId="74" xr:uid="{00000000-0005-0000-0000-000047000000}"/>
    <cellStyle name="40% - Accent4 2" xfId="75" xr:uid="{00000000-0005-0000-0000-000048000000}"/>
    <cellStyle name="40% - Accent4 2 2" xfId="76" xr:uid="{00000000-0005-0000-0000-000049000000}"/>
    <cellStyle name="40% - Accent4 3" xfId="77" xr:uid="{00000000-0005-0000-0000-00004A000000}"/>
    <cellStyle name="40% - Accent4 3 2" xfId="78" xr:uid="{00000000-0005-0000-0000-00004B000000}"/>
    <cellStyle name="40% - Accent4 4" xfId="79" xr:uid="{00000000-0005-0000-0000-00004C000000}"/>
    <cellStyle name="40% - Accent4 4 2" xfId="80" xr:uid="{00000000-0005-0000-0000-00004D000000}"/>
    <cellStyle name="40% - Accent4 5" xfId="81" xr:uid="{00000000-0005-0000-0000-00004E000000}"/>
    <cellStyle name="40% - Accent4 6" xfId="82" xr:uid="{00000000-0005-0000-0000-00004F000000}"/>
    <cellStyle name="40% - Accent5 2" xfId="83" xr:uid="{00000000-0005-0000-0000-000050000000}"/>
    <cellStyle name="40% - Accent5 2 2" xfId="84" xr:uid="{00000000-0005-0000-0000-000051000000}"/>
    <cellStyle name="40% - Accent5 3" xfId="85" xr:uid="{00000000-0005-0000-0000-000052000000}"/>
    <cellStyle name="40% - Accent5 3 2" xfId="86" xr:uid="{00000000-0005-0000-0000-000053000000}"/>
    <cellStyle name="40% - Accent5 4" xfId="87" xr:uid="{00000000-0005-0000-0000-000054000000}"/>
    <cellStyle name="40% - Accent5 4 2" xfId="88" xr:uid="{00000000-0005-0000-0000-000055000000}"/>
    <cellStyle name="40% - Accent5 5" xfId="89" xr:uid="{00000000-0005-0000-0000-000056000000}"/>
    <cellStyle name="40% - Accent5 6" xfId="90" xr:uid="{00000000-0005-0000-0000-000057000000}"/>
    <cellStyle name="40% - Accent6 2" xfId="91" xr:uid="{00000000-0005-0000-0000-000058000000}"/>
    <cellStyle name="40% - Accent6 2 2" xfId="92" xr:uid="{00000000-0005-0000-0000-000059000000}"/>
    <cellStyle name="40% - Accent6 3" xfId="93" xr:uid="{00000000-0005-0000-0000-00005A000000}"/>
    <cellStyle name="40% - Accent6 3 2" xfId="94" xr:uid="{00000000-0005-0000-0000-00005B000000}"/>
    <cellStyle name="40% - Accent6 4" xfId="95" xr:uid="{00000000-0005-0000-0000-00005C000000}"/>
    <cellStyle name="40% - Accent6 4 2" xfId="96" xr:uid="{00000000-0005-0000-0000-00005D000000}"/>
    <cellStyle name="40% - Accent6 5" xfId="97" xr:uid="{00000000-0005-0000-0000-00005E000000}"/>
    <cellStyle name="40% - Accent6 6" xfId="98" xr:uid="{00000000-0005-0000-0000-00005F000000}"/>
    <cellStyle name="60% - Accent1 2" xfId="99" xr:uid="{00000000-0005-0000-0000-000060000000}"/>
    <cellStyle name="60% - Accent1 2 2" xfId="100" xr:uid="{00000000-0005-0000-0000-000061000000}"/>
    <cellStyle name="60% - Accent1 3" xfId="101" xr:uid="{00000000-0005-0000-0000-000062000000}"/>
    <cellStyle name="60% - Accent1 3 2" xfId="102" xr:uid="{00000000-0005-0000-0000-000063000000}"/>
    <cellStyle name="60% - Accent1 4" xfId="103" xr:uid="{00000000-0005-0000-0000-000064000000}"/>
    <cellStyle name="60% - Accent1 4 2" xfId="104" xr:uid="{00000000-0005-0000-0000-000065000000}"/>
    <cellStyle name="60% - Accent1 5" xfId="105" xr:uid="{00000000-0005-0000-0000-000066000000}"/>
    <cellStyle name="60% - Accent1 6" xfId="106" xr:uid="{00000000-0005-0000-0000-000067000000}"/>
    <cellStyle name="60% - Accent2 2" xfId="107" xr:uid="{00000000-0005-0000-0000-000068000000}"/>
    <cellStyle name="60% - Accent2 2 2" xfId="108" xr:uid="{00000000-0005-0000-0000-000069000000}"/>
    <cellStyle name="60% - Accent2 3" xfId="109" xr:uid="{00000000-0005-0000-0000-00006A000000}"/>
    <cellStyle name="60% - Accent2 3 2" xfId="110" xr:uid="{00000000-0005-0000-0000-00006B000000}"/>
    <cellStyle name="60% - Accent2 4" xfId="111" xr:uid="{00000000-0005-0000-0000-00006C000000}"/>
    <cellStyle name="60% - Accent2 4 2" xfId="112" xr:uid="{00000000-0005-0000-0000-00006D000000}"/>
    <cellStyle name="60% - Accent2 5" xfId="113" xr:uid="{00000000-0005-0000-0000-00006E000000}"/>
    <cellStyle name="60% - Accent2 6" xfId="114" xr:uid="{00000000-0005-0000-0000-00006F000000}"/>
    <cellStyle name="60% - Accent3 2" xfId="115" xr:uid="{00000000-0005-0000-0000-000070000000}"/>
    <cellStyle name="60% - Accent3 2 2" xfId="116" xr:uid="{00000000-0005-0000-0000-000071000000}"/>
    <cellStyle name="60% - Accent3 3" xfId="117" xr:uid="{00000000-0005-0000-0000-000072000000}"/>
    <cellStyle name="60% - Accent3 3 2" xfId="118" xr:uid="{00000000-0005-0000-0000-000073000000}"/>
    <cellStyle name="60% - Accent3 4" xfId="119" xr:uid="{00000000-0005-0000-0000-000074000000}"/>
    <cellStyle name="60% - Accent3 4 2" xfId="120" xr:uid="{00000000-0005-0000-0000-000075000000}"/>
    <cellStyle name="60% - Accent3 5" xfId="121" xr:uid="{00000000-0005-0000-0000-000076000000}"/>
    <cellStyle name="60% - Accent3 6" xfId="122" xr:uid="{00000000-0005-0000-0000-000077000000}"/>
    <cellStyle name="60% - Accent4 2" xfId="123" xr:uid="{00000000-0005-0000-0000-000078000000}"/>
    <cellStyle name="60% - Accent4 2 2" xfId="124" xr:uid="{00000000-0005-0000-0000-000079000000}"/>
    <cellStyle name="60% - Accent4 3" xfId="125" xr:uid="{00000000-0005-0000-0000-00007A000000}"/>
    <cellStyle name="60% - Accent4 3 2" xfId="126" xr:uid="{00000000-0005-0000-0000-00007B000000}"/>
    <cellStyle name="60% - Accent4 4" xfId="127" xr:uid="{00000000-0005-0000-0000-00007C000000}"/>
    <cellStyle name="60% - Accent4 4 2" xfId="128" xr:uid="{00000000-0005-0000-0000-00007D000000}"/>
    <cellStyle name="60% - Accent4 5" xfId="129" xr:uid="{00000000-0005-0000-0000-00007E000000}"/>
    <cellStyle name="60% - Accent4 6" xfId="130" xr:uid="{00000000-0005-0000-0000-00007F000000}"/>
    <cellStyle name="60% - Accent5 2" xfId="131" xr:uid="{00000000-0005-0000-0000-000080000000}"/>
    <cellStyle name="60% - Accent5 2 2" xfId="132" xr:uid="{00000000-0005-0000-0000-000081000000}"/>
    <cellStyle name="60% - Accent5 3" xfId="133" xr:uid="{00000000-0005-0000-0000-000082000000}"/>
    <cellStyle name="60% - Accent5 3 2" xfId="134" xr:uid="{00000000-0005-0000-0000-000083000000}"/>
    <cellStyle name="60% - Accent5 4" xfId="135" xr:uid="{00000000-0005-0000-0000-000084000000}"/>
    <cellStyle name="60% - Accent5 4 2" xfId="136" xr:uid="{00000000-0005-0000-0000-000085000000}"/>
    <cellStyle name="60% - Accent5 5" xfId="137" xr:uid="{00000000-0005-0000-0000-000086000000}"/>
    <cellStyle name="60% - Accent5 6" xfId="138" xr:uid="{00000000-0005-0000-0000-000087000000}"/>
    <cellStyle name="60% - Accent6 2" xfId="139" xr:uid="{00000000-0005-0000-0000-000088000000}"/>
    <cellStyle name="60% - Accent6 2 2" xfId="140" xr:uid="{00000000-0005-0000-0000-000089000000}"/>
    <cellStyle name="60% - Accent6 3" xfId="141" xr:uid="{00000000-0005-0000-0000-00008A000000}"/>
    <cellStyle name="60% - Accent6 3 2" xfId="142" xr:uid="{00000000-0005-0000-0000-00008B000000}"/>
    <cellStyle name="60% - Accent6 4" xfId="143" xr:uid="{00000000-0005-0000-0000-00008C000000}"/>
    <cellStyle name="60% - Accent6 4 2" xfId="144" xr:uid="{00000000-0005-0000-0000-00008D000000}"/>
    <cellStyle name="60% - Accent6 5" xfId="145" xr:uid="{00000000-0005-0000-0000-00008E000000}"/>
    <cellStyle name="60% - Accent6 6" xfId="146" xr:uid="{00000000-0005-0000-0000-00008F000000}"/>
    <cellStyle name="Accent1 2" xfId="147" xr:uid="{00000000-0005-0000-0000-000090000000}"/>
    <cellStyle name="Accent1 2 2" xfId="148" xr:uid="{00000000-0005-0000-0000-000091000000}"/>
    <cellStyle name="Accent1 3" xfId="149" xr:uid="{00000000-0005-0000-0000-000092000000}"/>
    <cellStyle name="Accent1 3 2" xfId="150" xr:uid="{00000000-0005-0000-0000-000093000000}"/>
    <cellStyle name="Accent1 4" xfId="151" xr:uid="{00000000-0005-0000-0000-000094000000}"/>
    <cellStyle name="Accent1 4 2" xfId="152" xr:uid="{00000000-0005-0000-0000-000095000000}"/>
    <cellStyle name="Accent1 5" xfId="153" xr:uid="{00000000-0005-0000-0000-000096000000}"/>
    <cellStyle name="Accent1 6" xfId="154" xr:uid="{00000000-0005-0000-0000-000097000000}"/>
    <cellStyle name="Accent2 2" xfId="155" xr:uid="{00000000-0005-0000-0000-000098000000}"/>
    <cellStyle name="Accent2 2 2" xfId="156" xr:uid="{00000000-0005-0000-0000-000099000000}"/>
    <cellStyle name="Accent2 3" xfId="157" xr:uid="{00000000-0005-0000-0000-00009A000000}"/>
    <cellStyle name="Accent2 3 2" xfId="158" xr:uid="{00000000-0005-0000-0000-00009B000000}"/>
    <cellStyle name="Accent2 4" xfId="159" xr:uid="{00000000-0005-0000-0000-00009C000000}"/>
    <cellStyle name="Accent2 4 2" xfId="160" xr:uid="{00000000-0005-0000-0000-00009D000000}"/>
    <cellStyle name="Accent2 5" xfId="161" xr:uid="{00000000-0005-0000-0000-00009E000000}"/>
    <cellStyle name="Accent2 6" xfId="162" xr:uid="{00000000-0005-0000-0000-00009F000000}"/>
    <cellStyle name="Accent3 2" xfId="163" xr:uid="{00000000-0005-0000-0000-0000A0000000}"/>
    <cellStyle name="Accent3 2 2" xfId="164" xr:uid="{00000000-0005-0000-0000-0000A1000000}"/>
    <cellStyle name="Accent3 3" xfId="165" xr:uid="{00000000-0005-0000-0000-0000A2000000}"/>
    <cellStyle name="Accent3 3 2" xfId="166" xr:uid="{00000000-0005-0000-0000-0000A3000000}"/>
    <cellStyle name="Accent3 4" xfId="167" xr:uid="{00000000-0005-0000-0000-0000A4000000}"/>
    <cellStyle name="Accent3 4 2" xfId="168" xr:uid="{00000000-0005-0000-0000-0000A5000000}"/>
    <cellStyle name="Accent3 5" xfId="169" xr:uid="{00000000-0005-0000-0000-0000A6000000}"/>
    <cellStyle name="Accent3 6" xfId="170" xr:uid="{00000000-0005-0000-0000-0000A7000000}"/>
    <cellStyle name="Accent4 2" xfId="171" xr:uid="{00000000-0005-0000-0000-0000A8000000}"/>
    <cellStyle name="Accent4 2 2" xfId="172" xr:uid="{00000000-0005-0000-0000-0000A9000000}"/>
    <cellStyle name="Accent4 3" xfId="173" xr:uid="{00000000-0005-0000-0000-0000AA000000}"/>
    <cellStyle name="Accent4 3 2" xfId="174" xr:uid="{00000000-0005-0000-0000-0000AB000000}"/>
    <cellStyle name="Accent4 4" xfId="175" xr:uid="{00000000-0005-0000-0000-0000AC000000}"/>
    <cellStyle name="Accent4 4 2" xfId="176" xr:uid="{00000000-0005-0000-0000-0000AD000000}"/>
    <cellStyle name="Accent4 5" xfId="177" xr:uid="{00000000-0005-0000-0000-0000AE000000}"/>
    <cellStyle name="Accent4 6" xfId="178" xr:uid="{00000000-0005-0000-0000-0000AF000000}"/>
    <cellStyle name="Accent5 2" xfId="179" xr:uid="{00000000-0005-0000-0000-0000B0000000}"/>
    <cellStyle name="Accent5 2 2" xfId="180" xr:uid="{00000000-0005-0000-0000-0000B1000000}"/>
    <cellStyle name="Accent5 3" xfId="181" xr:uid="{00000000-0005-0000-0000-0000B2000000}"/>
    <cellStyle name="Accent5 3 2" xfId="182" xr:uid="{00000000-0005-0000-0000-0000B3000000}"/>
    <cellStyle name="Accent5 4" xfId="183" xr:uid="{00000000-0005-0000-0000-0000B4000000}"/>
    <cellStyle name="Accent5 4 2" xfId="184" xr:uid="{00000000-0005-0000-0000-0000B5000000}"/>
    <cellStyle name="Accent5 5" xfId="185" xr:uid="{00000000-0005-0000-0000-0000B6000000}"/>
    <cellStyle name="Accent5 6" xfId="186" xr:uid="{00000000-0005-0000-0000-0000B7000000}"/>
    <cellStyle name="Accent6 2" xfId="187" xr:uid="{00000000-0005-0000-0000-0000B8000000}"/>
    <cellStyle name="Accent6 2 2" xfId="188" xr:uid="{00000000-0005-0000-0000-0000B9000000}"/>
    <cellStyle name="Accent6 3" xfId="189" xr:uid="{00000000-0005-0000-0000-0000BA000000}"/>
    <cellStyle name="Accent6 3 2" xfId="190" xr:uid="{00000000-0005-0000-0000-0000BB000000}"/>
    <cellStyle name="Accent6 4" xfId="191" xr:uid="{00000000-0005-0000-0000-0000BC000000}"/>
    <cellStyle name="Accent6 4 2" xfId="192" xr:uid="{00000000-0005-0000-0000-0000BD000000}"/>
    <cellStyle name="Accent6 5" xfId="193" xr:uid="{00000000-0005-0000-0000-0000BE000000}"/>
    <cellStyle name="Accent6 6" xfId="194" xr:uid="{00000000-0005-0000-0000-0000BF000000}"/>
    <cellStyle name="Bad 2" xfId="195" xr:uid="{00000000-0005-0000-0000-0000C0000000}"/>
    <cellStyle name="Bad 2 2" xfId="196" xr:uid="{00000000-0005-0000-0000-0000C1000000}"/>
    <cellStyle name="Bad 3" xfId="197" xr:uid="{00000000-0005-0000-0000-0000C2000000}"/>
    <cellStyle name="Bad 3 2" xfId="198" xr:uid="{00000000-0005-0000-0000-0000C3000000}"/>
    <cellStyle name="Bad 4" xfId="199" xr:uid="{00000000-0005-0000-0000-0000C4000000}"/>
    <cellStyle name="Bad 4 2" xfId="200" xr:uid="{00000000-0005-0000-0000-0000C5000000}"/>
    <cellStyle name="Bad 5" xfId="201" xr:uid="{00000000-0005-0000-0000-0000C6000000}"/>
    <cellStyle name="Bad 6" xfId="202" xr:uid="{00000000-0005-0000-0000-0000C7000000}"/>
    <cellStyle name="Calculation 2" xfId="203" xr:uid="{00000000-0005-0000-0000-0000C8000000}"/>
    <cellStyle name="Calculation 2 2" xfId="204" xr:uid="{00000000-0005-0000-0000-0000C9000000}"/>
    <cellStyle name="Calculation 3" xfId="205" xr:uid="{00000000-0005-0000-0000-0000CA000000}"/>
    <cellStyle name="Calculation 3 2" xfId="206" xr:uid="{00000000-0005-0000-0000-0000CB000000}"/>
    <cellStyle name="Calculation 4" xfId="207" xr:uid="{00000000-0005-0000-0000-0000CC000000}"/>
    <cellStyle name="Calculation 4 2" xfId="208" xr:uid="{00000000-0005-0000-0000-0000CD000000}"/>
    <cellStyle name="Calculation 5" xfId="209" xr:uid="{00000000-0005-0000-0000-0000CE000000}"/>
    <cellStyle name="Calculation 6" xfId="210" xr:uid="{00000000-0005-0000-0000-0000CF000000}"/>
    <cellStyle name="Check Cell 2" xfId="211" xr:uid="{00000000-0005-0000-0000-0000D0000000}"/>
    <cellStyle name="Check Cell 2 2" xfId="212" xr:uid="{00000000-0005-0000-0000-0000D1000000}"/>
    <cellStyle name="Check Cell 3" xfId="213" xr:uid="{00000000-0005-0000-0000-0000D2000000}"/>
    <cellStyle name="Check Cell 3 2" xfId="214" xr:uid="{00000000-0005-0000-0000-0000D3000000}"/>
    <cellStyle name="Check Cell 4" xfId="215" xr:uid="{00000000-0005-0000-0000-0000D4000000}"/>
    <cellStyle name="Check Cell 4 2" xfId="216" xr:uid="{00000000-0005-0000-0000-0000D5000000}"/>
    <cellStyle name="Check Cell 5" xfId="217" xr:uid="{00000000-0005-0000-0000-0000D6000000}"/>
    <cellStyle name="Check Cell 6" xfId="218" xr:uid="{00000000-0005-0000-0000-0000D7000000}"/>
    <cellStyle name="Comma 2" xfId="219" xr:uid="{00000000-0005-0000-0000-0000D8000000}"/>
    <cellStyle name="Comma 3" xfId="220" xr:uid="{00000000-0005-0000-0000-0000D9000000}"/>
    <cellStyle name="Data_Regular" xfId="221" xr:uid="{00000000-0005-0000-0000-0000DA000000}"/>
    <cellStyle name="Explanatory Text 2" xfId="222" xr:uid="{00000000-0005-0000-0000-0000DB000000}"/>
    <cellStyle name="Explanatory Text 2 2" xfId="223" xr:uid="{00000000-0005-0000-0000-0000DC000000}"/>
    <cellStyle name="Explanatory Text 3" xfId="224" xr:uid="{00000000-0005-0000-0000-0000DD000000}"/>
    <cellStyle name="Explanatory Text 3 2" xfId="225" xr:uid="{00000000-0005-0000-0000-0000DE000000}"/>
    <cellStyle name="Explanatory Text 4" xfId="226" xr:uid="{00000000-0005-0000-0000-0000DF000000}"/>
    <cellStyle name="Explanatory Text 4 2" xfId="227" xr:uid="{00000000-0005-0000-0000-0000E0000000}"/>
    <cellStyle name="Explanatory Text 5" xfId="228" xr:uid="{00000000-0005-0000-0000-0000E1000000}"/>
    <cellStyle name="Explanatory Text 6" xfId="229" xr:uid="{00000000-0005-0000-0000-0000E2000000}"/>
    <cellStyle name="Good 2" xfId="230" xr:uid="{00000000-0005-0000-0000-0000E3000000}"/>
    <cellStyle name="Good 2 2" xfId="231" xr:uid="{00000000-0005-0000-0000-0000E4000000}"/>
    <cellStyle name="Good 3" xfId="232" xr:uid="{00000000-0005-0000-0000-0000E5000000}"/>
    <cellStyle name="Good 3 2" xfId="233" xr:uid="{00000000-0005-0000-0000-0000E6000000}"/>
    <cellStyle name="Good 4" xfId="234" xr:uid="{00000000-0005-0000-0000-0000E7000000}"/>
    <cellStyle name="Good 4 2" xfId="235" xr:uid="{00000000-0005-0000-0000-0000E8000000}"/>
    <cellStyle name="Good 5" xfId="236" xr:uid="{00000000-0005-0000-0000-0000E9000000}"/>
    <cellStyle name="Good 6" xfId="237" xr:uid="{00000000-0005-0000-0000-0000EA000000}"/>
    <cellStyle name="Heading 1 2" xfId="238" xr:uid="{00000000-0005-0000-0000-0000EB000000}"/>
    <cellStyle name="Heading 1 2 2" xfId="239" xr:uid="{00000000-0005-0000-0000-0000EC000000}"/>
    <cellStyle name="Heading 1 3" xfId="240" xr:uid="{00000000-0005-0000-0000-0000ED000000}"/>
    <cellStyle name="Heading 1 3 2" xfId="241" xr:uid="{00000000-0005-0000-0000-0000EE000000}"/>
    <cellStyle name="Heading 1 4" xfId="242" xr:uid="{00000000-0005-0000-0000-0000EF000000}"/>
    <cellStyle name="Heading 1 4 2" xfId="243" xr:uid="{00000000-0005-0000-0000-0000F0000000}"/>
    <cellStyle name="Heading 1 5" xfId="244" xr:uid="{00000000-0005-0000-0000-0000F1000000}"/>
    <cellStyle name="Heading 1 6" xfId="245" xr:uid="{00000000-0005-0000-0000-0000F2000000}"/>
    <cellStyle name="Heading 2 2" xfId="246" xr:uid="{00000000-0005-0000-0000-0000F3000000}"/>
    <cellStyle name="Heading 2 2 2" xfId="247" xr:uid="{00000000-0005-0000-0000-0000F4000000}"/>
    <cellStyle name="Heading 2 3" xfId="248" xr:uid="{00000000-0005-0000-0000-0000F5000000}"/>
    <cellStyle name="Heading 2 3 2" xfId="249" xr:uid="{00000000-0005-0000-0000-0000F6000000}"/>
    <cellStyle name="Heading 2 4" xfId="250" xr:uid="{00000000-0005-0000-0000-0000F7000000}"/>
    <cellStyle name="Heading 2 4 2" xfId="251" xr:uid="{00000000-0005-0000-0000-0000F8000000}"/>
    <cellStyle name="Heading 2 5" xfId="252" xr:uid="{00000000-0005-0000-0000-0000F9000000}"/>
    <cellStyle name="Heading 2 6" xfId="253" xr:uid="{00000000-0005-0000-0000-0000FA000000}"/>
    <cellStyle name="Heading 3 2" xfId="254" xr:uid="{00000000-0005-0000-0000-0000FB000000}"/>
    <cellStyle name="Heading 3 2 2" xfId="255" xr:uid="{00000000-0005-0000-0000-0000FC000000}"/>
    <cellStyle name="Heading 3 3" xfId="256" xr:uid="{00000000-0005-0000-0000-0000FD000000}"/>
    <cellStyle name="Heading 3 3 2" xfId="257" xr:uid="{00000000-0005-0000-0000-0000FE000000}"/>
    <cellStyle name="Heading 3 4" xfId="258" xr:uid="{00000000-0005-0000-0000-0000FF000000}"/>
    <cellStyle name="Heading 3 4 2" xfId="259" xr:uid="{00000000-0005-0000-0000-000000010000}"/>
    <cellStyle name="Heading 3 5" xfId="260" xr:uid="{00000000-0005-0000-0000-000001010000}"/>
    <cellStyle name="Heading 3 6" xfId="261" xr:uid="{00000000-0005-0000-0000-000002010000}"/>
    <cellStyle name="Heading 4 2" xfId="262" xr:uid="{00000000-0005-0000-0000-000003010000}"/>
    <cellStyle name="Heading 4 2 2" xfId="263" xr:uid="{00000000-0005-0000-0000-000004010000}"/>
    <cellStyle name="Heading 4 3" xfId="264" xr:uid="{00000000-0005-0000-0000-000005010000}"/>
    <cellStyle name="Heading 4 3 2" xfId="265" xr:uid="{00000000-0005-0000-0000-000006010000}"/>
    <cellStyle name="Heading 4 4" xfId="266" xr:uid="{00000000-0005-0000-0000-000007010000}"/>
    <cellStyle name="Heading 4 4 2" xfId="267" xr:uid="{00000000-0005-0000-0000-000008010000}"/>
    <cellStyle name="Heading 4 5" xfId="268" xr:uid="{00000000-0005-0000-0000-000009010000}"/>
    <cellStyle name="Heading 4 6" xfId="269" xr:uid="{00000000-0005-0000-0000-00000A010000}"/>
    <cellStyle name="Hyperlink" xfId="2" builtinId="8"/>
    <cellStyle name="Hyperlink 2" xfId="270" xr:uid="{00000000-0005-0000-0000-00000C010000}"/>
    <cellStyle name="Hyperlink 3" xfId="344" xr:uid="{00000000-0005-0000-0000-00000D010000}"/>
    <cellStyle name="Input 2" xfId="271" xr:uid="{00000000-0005-0000-0000-00000E010000}"/>
    <cellStyle name="Input 2 2" xfId="272" xr:uid="{00000000-0005-0000-0000-00000F010000}"/>
    <cellStyle name="Input 3" xfId="273" xr:uid="{00000000-0005-0000-0000-000010010000}"/>
    <cellStyle name="Input 3 2" xfId="274" xr:uid="{00000000-0005-0000-0000-000011010000}"/>
    <cellStyle name="Input 4" xfId="275" xr:uid="{00000000-0005-0000-0000-000012010000}"/>
    <cellStyle name="Input 4 2" xfId="276" xr:uid="{00000000-0005-0000-0000-000013010000}"/>
    <cellStyle name="Input 5" xfId="277" xr:uid="{00000000-0005-0000-0000-000014010000}"/>
    <cellStyle name="Input 6" xfId="278" xr:uid="{00000000-0005-0000-0000-000015010000}"/>
    <cellStyle name="Linked Cell 2" xfId="279" xr:uid="{00000000-0005-0000-0000-000016010000}"/>
    <cellStyle name="Linked Cell 2 2" xfId="280" xr:uid="{00000000-0005-0000-0000-000017010000}"/>
    <cellStyle name="Linked Cell 3" xfId="281" xr:uid="{00000000-0005-0000-0000-000018010000}"/>
    <cellStyle name="Linked Cell 3 2" xfId="282" xr:uid="{00000000-0005-0000-0000-000019010000}"/>
    <cellStyle name="Linked Cell 4" xfId="283" xr:uid="{00000000-0005-0000-0000-00001A010000}"/>
    <cellStyle name="Linked Cell 4 2" xfId="284" xr:uid="{00000000-0005-0000-0000-00001B010000}"/>
    <cellStyle name="Linked Cell 5" xfId="285" xr:uid="{00000000-0005-0000-0000-00001C010000}"/>
    <cellStyle name="Linked Cell 6" xfId="286" xr:uid="{00000000-0005-0000-0000-00001D010000}"/>
    <cellStyle name="Neutral 2" xfId="287" xr:uid="{00000000-0005-0000-0000-00001E010000}"/>
    <cellStyle name="Neutral 2 2" xfId="288" xr:uid="{00000000-0005-0000-0000-00001F010000}"/>
    <cellStyle name="Neutral 3" xfId="289" xr:uid="{00000000-0005-0000-0000-000020010000}"/>
    <cellStyle name="Neutral 3 2" xfId="290" xr:uid="{00000000-0005-0000-0000-000021010000}"/>
    <cellStyle name="Neutral 4" xfId="291" xr:uid="{00000000-0005-0000-0000-000022010000}"/>
    <cellStyle name="Neutral 4 2" xfId="292" xr:uid="{00000000-0005-0000-0000-000023010000}"/>
    <cellStyle name="Neutral 5" xfId="293" xr:uid="{00000000-0005-0000-0000-000024010000}"/>
    <cellStyle name="Neutral 6" xfId="294" xr:uid="{00000000-0005-0000-0000-000025010000}"/>
    <cellStyle name="Normal" xfId="0" builtinId="0"/>
    <cellStyle name="Normal 2" xfId="1" xr:uid="{00000000-0005-0000-0000-000027010000}"/>
    <cellStyle name="Normal 2 2" xfId="295" xr:uid="{00000000-0005-0000-0000-000028010000}"/>
    <cellStyle name="Normal 3" xfId="296" xr:uid="{00000000-0005-0000-0000-000029010000}"/>
    <cellStyle name="Normal 4" xfId="297" xr:uid="{00000000-0005-0000-0000-00002A010000}"/>
    <cellStyle name="Normal 5" xfId="298" xr:uid="{00000000-0005-0000-0000-00002B010000}"/>
    <cellStyle name="Normal 6" xfId="299" xr:uid="{00000000-0005-0000-0000-00002C010000}"/>
    <cellStyle name="Normal 7" xfId="300" xr:uid="{00000000-0005-0000-0000-00002D010000}"/>
    <cellStyle name="Normal 8" xfId="301" xr:uid="{00000000-0005-0000-0000-00002E010000}"/>
    <cellStyle name="Note 2" xfId="302" xr:uid="{00000000-0005-0000-0000-00002F010000}"/>
    <cellStyle name="Note 2 2" xfId="303" xr:uid="{00000000-0005-0000-0000-000030010000}"/>
    <cellStyle name="Note 2 3" xfId="304" xr:uid="{00000000-0005-0000-0000-000031010000}"/>
    <cellStyle name="Note 3" xfId="305" xr:uid="{00000000-0005-0000-0000-000032010000}"/>
    <cellStyle name="Note 3 2" xfId="306" xr:uid="{00000000-0005-0000-0000-000033010000}"/>
    <cellStyle name="Note 4" xfId="307" xr:uid="{00000000-0005-0000-0000-000034010000}"/>
    <cellStyle name="Note 4 2" xfId="308" xr:uid="{00000000-0005-0000-0000-000035010000}"/>
    <cellStyle name="Note 5" xfId="309" xr:uid="{00000000-0005-0000-0000-000036010000}"/>
    <cellStyle name="Note 6" xfId="310" xr:uid="{00000000-0005-0000-0000-000037010000}"/>
    <cellStyle name="Output 2" xfId="311" xr:uid="{00000000-0005-0000-0000-000038010000}"/>
    <cellStyle name="Output 2 2" xfId="312" xr:uid="{00000000-0005-0000-0000-000039010000}"/>
    <cellStyle name="Output 3" xfId="313" xr:uid="{00000000-0005-0000-0000-00003A010000}"/>
    <cellStyle name="Output 3 2" xfId="314" xr:uid="{00000000-0005-0000-0000-00003B010000}"/>
    <cellStyle name="Output 4" xfId="315" xr:uid="{00000000-0005-0000-0000-00003C010000}"/>
    <cellStyle name="Output 4 2" xfId="316" xr:uid="{00000000-0005-0000-0000-00003D010000}"/>
    <cellStyle name="Output 5" xfId="317" xr:uid="{00000000-0005-0000-0000-00003E010000}"/>
    <cellStyle name="Output 6" xfId="318" xr:uid="{00000000-0005-0000-0000-00003F010000}"/>
    <cellStyle name="Percent 2" xfId="319" xr:uid="{00000000-0005-0000-0000-000040010000}"/>
    <cellStyle name="Percent 3" xfId="320" xr:uid="{00000000-0005-0000-0000-000041010000}"/>
    <cellStyle name="Title 2" xfId="321" xr:uid="{00000000-0005-0000-0000-000042010000}"/>
    <cellStyle name="Title 3" xfId="322" xr:uid="{00000000-0005-0000-0000-000043010000}"/>
    <cellStyle name="Title 3 2" xfId="323" xr:uid="{00000000-0005-0000-0000-000044010000}"/>
    <cellStyle name="Title 4" xfId="324" xr:uid="{00000000-0005-0000-0000-000045010000}"/>
    <cellStyle name="Title 4 2" xfId="325" xr:uid="{00000000-0005-0000-0000-000046010000}"/>
    <cellStyle name="Title 5" xfId="326" xr:uid="{00000000-0005-0000-0000-000047010000}"/>
    <cellStyle name="Title 6" xfId="327" xr:uid="{00000000-0005-0000-0000-000048010000}"/>
    <cellStyle name="Total 2" xfId="328" xr:uid="{00000000-0005-0000-0000-000049010000}"/>
    <cellStyle name="Total 2 2" xfId="329" xr:uid="{00000000-0005-0000-0000-00004A010000}"/>
    <cellStyle name="Total 3" xfId="330" xr:uid="{00000000-0005-0000-0000-00004B010000}"/>
    <cellStyle name="Total 3 2" xfId="331" xr:uid="{00000000-0005-0000-0000-00004C010000}"/>
    <cellStyle name="Total 4" xfId="332" xr:uid="{00000000-0005-0000-0000-00004D010000}"/>
    <cellStyle name="Total 4 2" xfId="333" xr:uid="{00000000-0005-0000-0000-00004E010000}"/>
    <cellStyle name="Total 5" xfId="334" xr:uid="{00000000-0005-0000-0000-00004F010000}"/>
    <cellStyle name="Total 6" xfId="335" xr:uid="{00000000-0005-0000-0000-000050010000}"/>
    <cellStyle name="Warning Text 2" xfId="336" xr:uid="{00000000-0005-0000-0000-000051010000}"/>
    <cellStyle name="Warning Text 2 2" xfId="337" xr:uid="{00000000-0005-0000-0000-000052010000}"/>
    <cellStyle name="Warning Text 3" xfId="338" xr:uid="{00000000-0005-0000-0000-000053010000}"/>
    <cellStyle name="Warning Text 3 2" xfId="339" xr:uid="{00000000-0005-0000-0000-000054010000}"/>
    <cellStyle name="Warning Text 4" xfId="340" xr:uid="{00000000-0005-0000-0000-000055010000}"/>
    <cellStyle name="Warning Text 4 2" xfId="341" xr:uid="{00000000-0005-0000-0000-000056010000}"/>
    <cellStyle name="Warning Text 5" xfId="342" xr:uid="{00000000-0005-0000-0000-000057010000}"/>
    <cellStyle name="Warning Text 6" xfId="343" xr:uid="{00000000-0005-0000-0000-00005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4.96423862510144E-2"/>
          <c:w val="0.79648512685914274"/>
          <c:h val="0.83834485478047638"/>
        </c:manualLayout>
      </c:layout>
      <c:lineChart>
        <c:grouping val="standard"/>
        <c:varyColors val="0"/>
        <c:ser>
          <c:idx val="0"/>
          <c:order val="0"/>
          <c:tx>
            <c:strRef>
              <c:f>Intensity_estimates!$E$5</c:f>
              <c:strCache>
                <c:ptCount val="1"/>
                <c:pt idx="0">
                  <c:v>Output*0.0001</c:v>
                </c:pt>
              </c:strCache>
            </c:strRef>
          </c:tx>
          <c:cat>
            <c:numRef>
              <c:f>Intensity_estimates!$D$6:$D$54</c:f>
              <c:numCache>
                <c:formatCode>General</c:formatCode>
                <c:ptCount val="49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</c:numCache>
            </c:numRef>
          </c:cat>
          <c:val>
            <c:numRef>
              <c:f>Intensity_estimates!$E$6:$E$54</c:f>
              <c:numCache>
                <c:formatCode>General</c:formatCode>
                <c:ptCount val="49"/>
                <c:pt idx="0">
                  <c:v>77.739415519999994</c:v>
                </c:pt>
                <c:pt idx="1">
                  <c:v>86.281251940000018</c:v>
                </c:pt>
                <c:pt idx="2">
                  <c:v>94.234218519999999</c:v>
                </c:pt>
                <c:pt idx="3">
                  <c:v>95.36575126000001</c:v>
                </c:pt>
                <c:pt idx="4">
                  <c:v>83.959084560000008</c:v>
                </c:pt>
                <c:pt idx="5">
                  <c:v>75.110992839999994</c:v>
                </c:pt>
                <c:pt idx="6">
                  <c:v>80.902979039999991</c:v>
                </c:pt>
                <c:pt idx="7">
                  <c:v>87.296730040000014</c:v>
                </c:pt>
                <c:pt idx="8">
                  <c:v>94.307289960000006</c:v>
                </c:pt>
                <c:pt idx="9">
                  <c:v>96.134075960000018</c:v>
                </c:pt>
                <c:pt idx="10">
                  <c:v>86.885165900000018</c:v>
                </c:pt>
                <c:pt idx="11">
                  <c:v>85.564507079999998</c:v>
                </c:pt>
                <c:pt idx="12">
                  <c:v>79.80260912</c:v>
                </c:pt>
                <c:pt idx="13">
                  <c:v>88.286418220000016</c:v>
                </c:pt>
                <c:pt idx="14">
                  <c:v>100.97183512000001</c:v>
                </c:pt>
                <c:pt idx="15">
                  <c:v>108.62177014000002</c:v>
                </c:pt>
                <c:pt idx="16">
                  <c:v>113.50573624</c:v>
                </c:pt>
                <c:pt idx="17">
                  <c:v>116.36949194000003</c:v>
                </c:pt>
                <c:pt idx="18">
                  <c:v>115.33037308</c:v>
                </c:pt>
                <c:pt idx="19">
                  <c:v>113.89795794</c:v>
                </c:pt>
                <c:pt idx="20">
                  <c:v>111.53173278000001</c:v>
                </c:pt>
                <c:pt idx="21">
                  <c:v>101.98194031999999</c:v>
                </c:pt>
                <c:pt idx="22">
                  <c:v>105.5345018</c:v>
                </c:pt>
                <c:pt idx="23">
                  <c:v>108.09200220000001</c:v>
                </c:pt>
                <c:pt idx="24">
                  <c:v>112.28178962000001</c:v>
                </c:pt>
                <c:pt idx="25">
                  <c:v>112.82982542000002</c:v>
                </c:pt>
                <c:pt idx="26">
                  <c:v>120.09506080000003</c:v>
                </c:pt>
                <c:pt idx="27">
                  <c:v>123.63902564000001</c:v>
                </c:pt>
                <c:pt idx="28">
                  <c:v>131.78434204000001</c:v>
                </c:pt>
                <c:pt idx="29">
                  <c:v>137.12715380000003</c:v>
                </c:pt>
                <c:pt idx="30">
                  <c:v>142.77622086</c:v>
                </c:pt>
                <c:pt idx="31">
                  <c:v>143.72722416000002</c:v>
                </c:pt>
                <c:pt idx="32">
                  <c:v>141.88861778</c:v>
                </c:pt>
                <c:pt idx="33">
                  <c:v>146.71455656000001</c:v>
                </c:pt>
                <c:pt idx="34">
                  <c:v>152.68707220000005</c:v>
                </c:pt>
                <c:pt idx="35">
                  <c:v>156.67591315999999</c:v>
                </c:pt>
                <c:pt idx="36">
                  <c:v>153.14376870000001</c:v>
                </c:pt>
                <c:pt idx="37">
                  <c:v>144.94364872000003</c:v>
                </c:pt>
                <c:pt idx="38">
                  <c:v>134.10006194000002</c:v>
                </c:pt>
                <c:pt idx="39">
                  <c:v>116.38131232000001</c:v>
                </c:pt>
                <c:pt idx="40">
                  <c:v>107.58694960000001</c:v>
                </c:pt>
                <c:pt idx="41">
                  <c:v>104.73716344</c:v>
                </c:pt>
                <c:pt idx="42">
                  <c:v>107.458</c:v>
                </c:pt>
                <c:pt idx="43">
                  <c:v>112.48918356000001</c:v>
                </c:pt>
                <c:pt idx="44">
                  <c:v>118.29836304</c:v>
                </c:pt>
                <c:pt idx="45">
                  <c:v>126.57370362</c:v>
                </c:pt>
                <c:pt idx="46">
                  <c:v>133.55739904000001</c:v>
                </c:pt>
                <c:pt idx="47">
                  <c:v>135.71945400000001</c:v>
                </c:pt>
                <c:pt idx="48">
                  <c:v>135.18646232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0-404E-9440-DD1A7DA521A5}"/>
            </c:ext>
          </c:extLst>
        </c:ser>
        <c:ser>
          <c:idx val="1"/>
          <c:order val="1"/>
          <c:tx>
            <c:strRef>
              <c:f>Intensity_estimates!$F$5</c:f>
              <c:strCache>
                <c:ptCount val="1"/>
                <c:pt idx="0">
                  <c:v>Electricity</c:v>
                </c:pt>
              </c:strCache>
            </c:strRef>
          </c:tx>
          <c:cat>
            <c:numRef>
              <c:f>Intensity_estimates!$D$6:$D$54</c:f>
              <c:numCache>
                <c:formatCode>General</c:formatCode>
                <c:ptCount val="49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</c:numCache>
            </c:numRef>
          </c:cat>
          <c:val>
            <c:numRef>
              <c:f>Intensity_estimates!$F$6:$F$54</c:f>
              <c:numCache>
                <c:formatCode>General</c:formatCode>
                <c:ptCount val="49"/>
                <c:pt idx="7">
                  <c:v>39.032527105921602</c:v>
                </c:pt>
                <c:pt idx="12">
                  <c:v>40.944803580308303</c:v>
                </c:pt>
                <c:pt idx="17">
                  <c:v>53.292563600782771</c:v>
                </c:pt>
                <c:pt idx="22">
                  <c:v>66.32054176072235</c:v>
                </c:pt>
                <c:pt idx="27">
                  <c:v>79.01951883794824</c:v>
                </c:pt>
                <c:pt idx="32">
                  <c:v>113.80754055238933</c:v>
                </c:pt>
                <c:pt idx="37">
                  <c:v>203.37106473293244</c:v>
                </c:pt>
                <c:pt idx="42">
                  <c:v>91.264943769253236</c:v>
                </c:pt>
                <c:pt idx="47" formatCode="#,##0.00">
                  <c:v>253.79641984190249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50-404E-9440-DD1A7DA521A5}"/>
            </c:ext>
          </c:extLst>
        </c:ser>
        <c:ser>
          <c:idx val="2"/>
          <c:order val="2"/>
          <c:tx>
            <c:strRef>
              <c:f>Intensity_estimates!$G$5</c:f>
              <c:strCache>
                <c:ptCount val="1"/>
                <c:pt idx="0">
                  <c:v>Fuels</c:v>
                </c:pt>
              </c:strCache>
            </c:strRef>
          </c:tx>
          <c:cat>
            <c:numRef>
              <c:f>Intensity_estimates!$D$6:$D$54</c:f>
              <c:numCache>
                <c:formatCode>General</c:formatCode>
                <c:ptCount val="49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</c:numCache>
            </c:numRef>
          </c:cat>
          <c:val>
            <c:numRef>
              <c:f>Intensity_estimates!$G$6:$G$54</c:f>
              <c:numCache>
                <c:formatCode>General</c:formatCode>
                <c:ptCount val="49"/>
                <c:pt idx="7">
                  <c:v>470.40144244483696</c:v>
                </c:pt>
                <c:pt idx="12">
                  <c:v>328.05452137961959</c:v>
                </c:pt>
                <c:pt idx="17">
                  <c:v>479.18515679354778</c:v>
                </c:pt>
                <c:pt idx="22">
                  <c:v>478.7948250397248</c:v>
                </c:pt>
                <c:pt idx="27">
                  <c:v>495.89279736703878</c:v>
                </c:pt>
                <c:pt idx="32">
                  <c:v>633.5611563621336</c:v>
                </c:pt>
                <c:pt idx="37">
                  <c:v>493.05448429068298</c:v>
                </c:pt>
                <c:pt idx="42">
                  <c:v>316.50569314961626</c:v>
                </c:pt>
                <c:pt idx="47" formatCode="#,##0.00">
                  <c:v>899.94440877668296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50-404E-9440-DD1A7DA52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80864"/>
        <c:axId val="43102144"/>
      </c:lineChart>
      <c:catAx>
        <c:axId val="16938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02144"/>
        <c:crosses val="autoZero"/>
        <c:auto val="1"/>
        <c:lblAlgn val="ctr"/>
        <c:lblOffset val="100"/>
        <c:tickLblSkip val="5"/>
        <c:noMultiLvlLbl val="0"/>
      </c:catAx>
      <c:valAx>
        <c:axId val="4310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0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516622922134732"/>
          <c:y val="6.1259244002950339E-2"/>
          <c:w val="0.25538932633420824"/>
          <c:h val="0.24256087707346441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39129483814523"/>
          <c:y val="6.0659813356663747E-2"/>
          <c:w val="0.72639960629921252"/>
          <c:h val="0.79523549139690874"/>
        </c:manualLayout>
      </c:layout>
      <c:lineChart>
        <c:grouping val="standard"/>
        <c:varyColors val="0"/>
        <c:ser>
          <c:idx val="0"/>
          <c:order val="0"/>
          <c:tx>
            <c:strRef>
              <c:f>Intensity_estimates!$S$5</c:f>
              <c:strCache>
                <c:ptCount val="1"/>
                <c:pt idx="0">
                  <c:v>Electricity</c:v>
                </c:pt>
              </c:strCache>
            </c:strRef>
          </c:tx>
          <c:cat>
            <c:numRef>
              <c:f>Intensity_estimates!$R$6:$R$53</c:f>
              <c:numCache>
                <c:formatCode>General</c:formatCod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cat>
          <c:val>
            <c:numRef>
              <c:f>Intensity_estimates!$S$6:$S$53</c:f>
              <c:numCache>
                <c:formatCode>0.000</c:formatCode>
                <c:ptCount val="48"/>
                <c:pt idx="0">
                  <c:v>0.44712473294287891</c:v>
                </c:pt>
                <c:pt idx="1">
                  <c:v>0.44712473294287891</c:v>
                </c:pt>
                <c:pt idx="2">
                  <c:v>0.44712473294287891</c:v>
                </c:pt>
                <c:pt idx="3">
                  <c:v>0.44712473294287891</c:v>
                </c:pt>
                <c:pt idx="4">
                  <c:v>0.44712473294287891</c:v>
                </c:pt>
                <c:pt idx="5">
                  <c:v>0.44712473294287891</c:v>
                </c:pt>
                <c:pt idx="6">
                  <c:v>0.44712473294287891</c:v>
                </c:pt>
                <c:pt idx="7">
                  <c:v>0.44712473294287891</c:v>
                </c:pt>
                <c:pt idx="8">
                  <c:v>0.46031498661358089</c:v>
                </c:pt>
                <c:pt idx="9">
                  <c:v>0.47350524028428276</c:v>
                </c:pt>
                <c:pt idx="10">
                  <c:v>0.48669549395498468</c:v>
                </c:pt>
                <c:pt idx="11">
                  <c:v>0.49988574762568666</c:v>
                </c:pt>
                <c:pt idx="12">
                  <c:v>0.51307600129638853</c:v>
                </c:pt>
                <c:pt idx="13">
                  <c:v>0.50205278569278056</c:v>
                </c:pt>
                <c:pt idx="14">
                  <c:v>0.49102957008917242</c:v>
                </c:pt>
                <c:pt idx="15">
                  <c:v>0.48000635448556428</c:v>
                </c:pt>
                <c:pt idx="16">
                  <c:v>0.46898313888195631</c:v>
                </c:pt>
                <c:pt idx="17">
                  <c:v>0.45795992327834817</c:v>
                </c:pt>
                <c:pt idx="18">
                  <c:v>0.49205298120033225</c:v>
                </c:pt>
                <c:pt idx="19">
                  <c:v>0.52614603912231628</c:v>
                </c:pt>
                <c:pt idx="20">
                  <c:v>0.5602390970443003</c:v>
                </c:pt>
                <c:pt idx="21">
                  <c:v>0.59433215496628444</c:v>
                </c:pt>
                <c:pt idx="22">
                  <c:v>0.62842521288826847</c:v>
                </c:pt>
                <c:pt idx="23">
                  <c:v>0.63056311040402757</c:v>
                </c:pt>
                <c:pt idx="24">
                  <c:v>0.63270100791978656</c:v>
                </c:pt>
                <c:pt idx="25">
                  <c:v>0.63483890543554566</c:v>
                </c:pt>
                <c:pt idx="26">
                  <c:v>0.63697680295130477</c:v>
                </c:pt>
                <c:pt idx="27">
                  <c:v>0.63911470046706387</c:v>
                </c:pt>
                <c:pt idx="28">
                  <c:v>0.67170990008496934</c:v>
                </c:pt>
                <c:pt idx="29">
                  <c:v>0.70430509970287469</c:v>
                </c:pt>
                <c:pt idx="30">
                  <c:v>0.73690029932078005</c:v>
                </c:pt>
                <c:pt idx="31">
                  <c:v>0.76949549893868552</c:v>
                </c:pt>
                <c:pt idx="32">
                  <c:v>0.80209069855659088</c:v>
                </c:pt>
                <c:pt idx="33">
                  <c:v>0.92229342982362328</c:v>
                </c:pt>
                <c:pt idx="34">
                  <c:v>1.0424961610906556</c:v>
                </c:pt>
                <c:pt idx="35">
                  <c:v>1.162698892357688</c:v>
                </c:pt>
                <c:pt idx="36">
                  <c:v>1.2829016236247204</c:v>
                </c:pt>
                <c:pt idx="37">
                  <c:v>1.4031043548917526</c:v>
                </c:pt>
                <c:pt idx="38">
                  <c:v>1.2923450926707831</c:v>
                </c:pt>
                <c:pt idx="39">
                  <c:v>1.1815858304498135</c:v>
                </c:pt>
                <c:pt idx="40">
                  <c:v>1.070826568228844</c:v>
                </c:pt>
                <c:pt idx="41">
                  <c:v>0.96006730600787449</c:v>
                </c:pt>
                <c:pt idx="42">
                  <c:v>0.84930804378690494</c:v>
                </c:pt>
                <c:pt idx="43">
                  <c:v>1.0534479688728631</c:v>
                </c:pt>
                <c:pt idx="44">
                  <c:v>1.2575878939588212</c:v>
                </c:pt>
                <c:pt idx="45">
                  <c:v>1.4617278190447791</c:v>
                </c:pt>
                <c:pt idx="46">
                  <c:v>1.6658677441307372</c:v>
                </c:pt>
                <c:pt idx="47">
                  <c:v>1.8700076692166951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E-405D-B7E2-D34CCAA2F633}"/>
            </c:ext>
          </c:extLst>
        </c:ser>
        <c:ser>
          <c:idx val="1"/>
          <c:order val="1"/>
          <c:tx>
            <c:strRef>
              <c:f>Intensity_estimates!$T$5</c:f>
              <c:strCache>
                <c:ptCount val="1"/>
                <c:pt idx="0">
                  <c:v>Fuels</c:v>
                </c:pt>
              </c:strCache>
            </c:strRef>
          </c:tx>
          <c:marker>
            <c:symbol val="square"/>
            <c:size val="3"/>
          </c:marker>
          <c:cat>
            <c:numRef>
              <c:f>Intensity_estimates!$R$6:$R$53</c:f>
              <c:numCache>
                <c:formatCode>General</c:formatCod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cat>
          <c:val>
            <c:numRef>
              <c:f>Intensity_estimates!$T$6:$T$53</c:f>
              <c:numCache>
                <c:formatCode>0.000</c:formatCode>
                <c:ptCount val="48"/>
                <c:pt idx="0">
                  <c:v>5.388534510162013</c:v>
                </c:pt>
                <c:pt idx="1">
                  <c:v>5.388534510162013</c:v>
                </c:pt>
                <c:pt idx="2">
                  <c:v>5.388534510162013</c:v>
                </c:pt>
                <c:pt idx="3">
                  <c:v>5.388534510162013</c:v>
                </c:pt>
                <c:pt idx="4">
                  <c:v>5.388534510162013</c:v>
                </c:pt>
                <c:pt idx="5">
                  <c:v>5.388534510162013</c:v>
                </c:pt>
                <c:pt idx="6">
                  <c:v>5.388534510162013</c:v>
                </c:pt>
                <c:pt idx="7">
                  <c:v>5.388534510162013</c:v>
                </c:pt>
                <c:pt idx="8">
                  <c:v>5.2614600819850761</c:v>
                </c:pt>
                <c:pt idx="9">
                  <c:v>5.1343856538081383</c:v>
                </c:pt>
                <c:pt idx="10">
                  <c:v>5.0073112256311996</c:v>
                </c:pt>
                <c:pt idx="11">
                  <c:v>4.8802367974542626</c:v>
                </c:pt>
                <c:pt idx="12">
                  <c:v>4.7531623692773248</c:v>
                </c:pt>
                <c:pt idx="13">
                  <c:v>4.626087941100387</c:v>
                </c:pt>
                <c:pt idx="14">
                  <c:v>4.4990135129234492</c:v>
                </c:pt>
                <c:pt idx="15">
                  <c:v>4.3719390847465123</c:v>
                </c:pt>
                <c:pt idx="16">
                  <c:v>4.2448646565695745</c:v>
                </c:pt>
                <c:pt idx="17">
                  <c:v>4.1177902283926366</c:v>
                </c:pt>
                <c:pt idx="18">
                  <c:v>4.2016033587245785</c:v>
                </c:pt>
                <c:pt idx="19">
                  <c:v>4.2854164890565194</c:v>
                </c:pt>
                <c:pt idx="20">
                  <c:v>4.3692296193884612</c:v>
                </c:pt>
                <c:pt idx="21">
                  <c:v>4.453042749720403</c:v>
                </c:pt>
                <c:pt idx="22">
                  <c:v>4.5368558800523449</c:v>
                </c:pt>
                <c:pt idx="23">
                  <c:v>4.43164695790973</c:v>
                </c:pt>
                <c:pt idx="24">
                  <c:v>4.3264380357671142</c:v>
                </c:pt>
                <c:pt idx="25">
                  <c:v>4.2212291136244993</c:v>
                </c:pt>
                <c:pt idx="26">
                  <c:v>4.1160201914818844</c:v>
                </c:pt>
                <c:pt idx="27">
                  <c:v>4.0108112693392686</c:v>
                </c:pt>
                <c:pt idx="28">
                  <c:v>3.9498999177938159</c:v>
                </c:pt>
                <c:pt idx="29">
                  <c:v>3.8889885662483632</c:v>
                </c:pt>
                <c:pt idx="30">
                  <c:v>3.8280772147029101</c:v>
                </c:pt>
                <c:pt idx="31">
                  <c:v>3.7671658631574578</c:v>
                </c:pt>
                <c:pt idx="32">
                  <c:v>3.7062545116120047</c:v>
                </c:pt>
                <c:pt idx="33">
                  <c:v>3.6453431600665516</c:v>
                </c:pt>
                <c:pt idx="34">
                  <c:v>3.5844318085210993</c:v>
                </c:pt>
                <c:pt idx="35">
                  <c:v>3.5235204569756466</c:v>
                </c:pt>
                <c:pt idx="36">
                  <c:v>3.462609105430194</c:v>
                </c:pt>
                <c:pt idx="37">
                  <c:v>3.4016977538847408</c:v>
                </c:pt>
                <c:pt idx="38">
                  <c:v>3.3104361557025115</c:v>
                </c:pt>
                <c:pt idx="39">
                  <c:v>3.2191745575202813</c:v>
                </c:pt>
                <c:pt idx="40">
                  <c:v>3.1279129593380519</c:v>
                </c:pt>
                <c:pt idx="41">
                  <c:v>3.0366513611558221</c:v>
                </c:pt>
                <c:pt idx="42">
                  <c:v>2.9453897629735923</c:v>
                </c:pt>
                <c:pt idx="43">
                  <c:v>3.6824951720901331</c:v>
                </c:pt>
                <c:pt idx="44">
                  <c:v>4.419600581206673</c:v>
                </c:pt>
                <c:pt idx="45">
                  <c:v>5.1567059903232142</c:v>
                </c:pt>
                <c:pt idx="46">
                  <c:v>5.8938113994397545</c:v>
                </c:pt>
                <c:pt idx="47">
                  <c:v>6.6309168085562948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BE-405D-B7E2-D34CCAA2F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173568"/>
        <c:axId val="43103872"/>
      </c:lineChart>
      <c:catAx>
        <c:axId val="16817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103872"/>
        <c:crosses val="autoZero"/>
        <c:auto val="1"/>
        <c:lblAlgn val="ctr"/>
        <c:lblOffset val="100"/>
        <c:noMultiLvlLbl val="0"/>
      </c:catAx>
      <c:valAx>
        <c:axId val="4310387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68173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8912423447069118"/>
          <c:y val="0.49035688247302422"/>
          <c:w val="0.19420909886264218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6</xdr:row>
      <xdr:rowOff>71437</xdr:rowOff>
    </xdr:from>
    <xdr:to>
      <xdr:col>15</xdr:col>
      <xdr:colOff>419100</xdr:colOff>
      <xdr:row>23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27</xdr:row>
      <xdr:rowOff>23812</xdr:rowOff>
    </xdr:from>
    <xdr:to>
      <xdr:col>15</xdr:col>
      <xdr:colOff>466725</xdr:colOff>
      <xdr:row>44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idential%20Floor%20Space/AHS/AHS_summary_results_1208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/commercial_indicators_073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vised%20FY04\Data\Fowler\transportation_indicator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g086/My%20Documents/OIT/MECS98/98MEC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sidential%20Floor%20Space/startsal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ELECNEA_HAP_0628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ALLFOSNEA_HAP_0628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nstruction_200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d37336/LOCALS~1/Temp/Temporary%20Directory%201%20for%20ECN_2007_US_23I1.zip/Construction_200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onstruction_2012_EC1223I1_20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NonMan_output_data_0104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S_tables"/>
      <sheetName val="Final Floorspace Estimates"/>
      <sheetName val="Wgted_Floorspace"/>
      <sheetName val="RECS_intensity_data"/>
      <sheetName val="Stock_85to95"/>
      <sheetName val="Compare_PWT"/>
      <sheetName val="Time_series"/>
      <sheetName val="Survival_curve"/>
      <sheetName val="Survival_curve_MF"/>
      <sheetName val="Survival_curve_MH"/>
      <sheetName val="Total_stock"/>
      <sheetName val="Total_stock_SF"/>
      <sheetName val="Total_stock_MF"/>
      <sheetName val="Total_stock_MH"/>
      <sheetName val="mhstabplcmnt"/>
      <sheetName val="Sheet4"/>
      <sheetName val="Comps Ann"/>
      <sheetName val="SFTotalMedAvgSqFt"/>
      <sheetName val="Compare_size"/>
      <sheetName val="Compare_FS"/>
      <sheetName val="RECS_4_adj"/>
      <sheetName val="Estimate"/>
      <sheetName val="REC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Commercial_Total"/>
      <sheetName val="Report_tables"/>
      <sheetName val="Regional_intensity (aggregate)"/>
      <sheetName val="Adjusted_Supplier_Data"/>
      <sheetName val="SEDS_CensusDiv"/>
      <sheetName val="AER09_Table2.1c"/>
      <sheetName val="AER10_Table2.1c"/>
      <sheetName val="Conversion_Factors"/>
      <sheetName val="Weather_factors_new"/>
      <sheetName val="Weather_factors_old"/>
      <sheetName val="CDD_by_Division10"/>
      <sheetName val="HDD_by_Division10"/>
      <sheetName val="Floorspace_estimates"/>
      <sheetName val="Regional_Floorspace"/>
      <sheetName val="Charts (www)"/>
      <sheetName val="Charts (other-not updated)"/>
    </sheetNames>
    <sheetDataSet>
      <sheetData sheetId="0"/>
      <sheetData sheetId="1">
        <row r="6">
          <cell r="F6">
            <v>1985</v>
          </cell>
          <cell r="M6">
            <v>37</v>
          </cell>
          <cell r="U6" t="str">
            <v>1985 = 1</v>
          </cell>
        </row>
        <row r="7">
          <cell r="F7">
            <v>1996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Total_Transportation "/>
      <sheetName val="GPERS2000"/>
      <sheetName val="Charts (www)"/>
      <sheetName val="Passenger_Total"/>
      <sheetName val="Passenger-Highway"/>
      <sheetName val="Personal_vehicles"/>
      <sheetName val="Busses"/>
      <sheetName val="Passenger-Air"/>
      <sheetName val="Passenger-Rail"/>
      <sheetName val="Urban_Rail"/>
      <sheetName val="Freight_Total"/>
      <sheetName val="Freight-Trucks"/>
      <sheetName val="Pipelines"/>
      <sheetName val="GPERS"/>
      <sheetName val="Monthly_indicators"/>
      <sheetName val="Passenger-based Activity"/>
      <sheetName val="Passenger-based Energy Use"/>
      <sheetName val="Freight-based Activity"/>
      <sheetName val="Freight-based Energy Use"/>
      <sheetName val="FuelConsump"/>
      <sheetName val="Fuel Heat Content"/>
    </sheetNames>
    <sheetDataSet>
      <sheetData sheetId="0"/>
      <sheetData sheetId="1">
        <row r="16">
          <cell r="F16" t="str">
            <v>Delivered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Fuel"/>
      <sheetName val="1stUse"/>
      <sheetName val="Byprod"/>
      <sheetName val="EndUse"/>
      <sheetName val="Intensity"/>
      <sheetName val="Exp"/>
      <sheetName val="E_EGS"/>
      <sheetName val="Price"/>
      <sheetName val="NonFuel"/>
      <sheetName val="Offsite"/>
      <sheetName val="onsite"/>
      <sheetName val="sales"/>
      <sheetName val="elec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"/>
      <sheetName val="StartsAnn Percent Change"/>
      <sheetName val="StartsUA "/>
      <sheetName val="StartsUA Prelim"/>
      <sheetName val="StartsUA First"/>
      <sheetName val="StartsUA Second"/>
      <sheetName val="StartsSA  "/>
      <sheetName val="StartsSA Percent Change"/>
      <sheetName val="ST -Curr to Year ago % Change "/>
      <sheetName val="StartsSA  Prelim"/>
      <sheetName val="StartsSA First"/>
      <sheetName val="StartsSA Second"/>
      <sheetName val="Starts Seas 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LECNEA"/>
    </sheetNames>
    <sheetDataSet>
      <sheetData sheetId="0"/>
      <sheetData sheetId="1">
        <row r="6">
          <cell r="C6">
            <v>4.2240000000000002</v>
          </cell>
        </row>
        <row r="27">
          <cell r="AI27">
            <v>46.924000000000007</v>
          </cell>
          <cell r="AJ27">
            <v>55.427000000000007</v>
          </cell>
          <cell r="AK27">
            <v>60.844999999999999</v>
          </cell>
          <cell r="AL27">
            <v>63.607000000000006</v>
          </cell>
          <cell r="AM27">
            <v>65.689000000000007</v>
          </cell>
          <cell r="AN27">
            <v>67.718000000000004</v>
          </cell>
          <cell r="AO27">
            <v>68.962999999999994</v>
          </cell>
          <cell r="AP27">
            <v>70.581000000000003</v>
          </cell>
          <cell r="AQ27">
            <v>73.766000000000005</v>
          </cell>
          <cell r="AR27">
            <v>76.298999999999992</v>
          </cell>
          <cell r="AS27">
            <v>80.513999999999996</v>
          </cell>
          <cell r="AT27">
            <v>86.722000000000008</v>
          </cell>
          <cell r="AU27">
            <v>91.995000000000005</v>
          </cell>
          <cell r="AV27">
            <v>97.228000000000009</v>
          </cell>
          <cell r="AW27">
            <v>92.242999999999995</v>
          </cell>
          <cell r="AX27">
            <v>95.317999999999998</v>
          </cell>
          <cell r="AY27">
            <v>93.320000000000007</v>
          </cell>
          <cell r="AZ27">
            <v>94.358000000000004</v>
          </cell>
          <cell r="BA27">
            <v>107.41199999999999</v>
          </cell>
          <cell r="BB27">
            <v>111.89500000000001</v>
          </cell>
          <cell r="BC27">
            <v>123.621</v>
          </cell>
          <cell r="BD27">
            <v>137.01499999999999</v>
          </cell>
          <cell r="BE27">
            <v>134.02799999999999</v>
          </cell>
          <cell r="BF27">
            <v>142.21899999999997</v>
          </cell>
          <cell r="BG27">
            <v>121.75799999999998</v>
          </cell>
          <cell r="BH27">
            <v>122.35599999999999</v>
          </cell>
          <cell r="BI27">
            <v>117.529</v>
          </cell>
          <cell r="BJ27">
            <v>111.55599999999998</v>
          </cell>
        </row>
        <row r="28">
          <cell r="AI28">
            <v>55.314999999999998</v>
          </cell>
          <cell r="AJ28">
            <v>58.414000000000001</v>
          </cell>
          <cell r="AK28">
            <v>64.259</v>
          </cell>
          <cell r="AL28">
            <v>66.432000000000002</v>
          </cell>
          <cell r="AM28">
            <v>70.551999999999992</v>
          </cell>
          <cell r="AN28">
            <v>75.835999999999999</v>
          </cell>
          <cell r="AO28">
            <v>80.210999999999999</v>
          </cell>
          <cell r="AP28">
            <v>88.477999999999994</v>
          </cell>
          <cell r="AQ28">
            <v>95.4</v>
          </cell>
          <cell r="AR28">
            <v>98.591999999999999</v>
          </cell>
          <cell r="AS28">
            <v>107.79900000000001</v>
          </cell>
          <cell r="AT28">
            <v>119.41</v>
          </cell>
          <cell r="AU28">
            <v>131.20499999999998</v>
          </cell>
          <cell r="AV28">
            <v>130.69800000000001</v>
          </cell>
          <cell r="AW28">
            <v>141.452</v>
          </cell>
          <cell r="AX28">
            <v>154.63800000000001</v>
          </cell>
          <cell r="AY28">
            <v>158.94799999999998</v>
          </cell>
          <cell r="AZ28">
            <v>159.58600000000001</v>
          </cell>
          <cell r="BA28">
            <v>172.33200000000002</v>
          </cell>
          <cell r="BB28">
            <v>177.48599999999999</v>
          </cell>
          <cell r="BC28">
            <v>202.84500000000003</v>
          </cell>
          <cell r="BD28">
            <v>225.501</v>
          </cell>
          <cell r="BE28">
            <v>231.92500000000001</v>
          </cell>
          <cell r="BF28">
            <v>243.953</v>
          </cell>
          <cell r="BG28">
            <v>230.67700000000002</v>
          </cell>
          <cell r="BH28">
            <v>241.96400000000003</v>
          </cell>
          <cell r="BI28">
            <v>265.29900000000004</v>
          </cell>
          <cell r="BJ28">
            <v>272.56799999999998</v>
          </cell>
        </row>
        <row r="29">
          <cell r="AI29">
            <v>21.358000000000001</v>
          </cell>
          <cell r="AJ29">
            <v>23.164999999999999</v>
          </cell>
          <cell r="AK29">
            <v>24.422000000000001</v>
          </cell>
          <cell r="AL29">
            <v>25.452000000000002</v>
          </cell>
          <cell r="AM29">
            <v>27.134999999999998</v>
          </cell>
          <cell r="AN29">
            <v>28.768999999999998</v>
          </cell>
          <cell r="AO29">
            <v>30.138999999999999</v>
          </cell>
          <cell r="AP29">
            <v>31.513000000000002</v>
          </cell>
          <cell r="AQ29">
            <v>32.277000000000001</v>
          </cell>
          <cell r="AR29">
            <v>32.483000000000004</v>
          </cell>
          <cell r="AS29">
            <v>32.826000000000001</v>
          </cell>
          <cell r="AT29">
            <v>33.270000000000003</v>
          </cell>
          <cell r="AU29">
            <v>33.298999999999999</v>
          </cell>
          <cell r="AV29">
            <v>34.319000000000003</v>
          </cell>
          <cell r="AW29">
            <v>35.679000000000002</v>
          </cell>
          <cell r="AX29">
            <v>38.140999999999998</v>
          </cell>
          <cell r="AY29">
            <v>41.178000000000004</v>
          </cell>
          <cell r="AZ29">
            <v>42.378999999999998</v>
          </cell>
          <cell r="BA29">
            <v>43.267000000000003</v>
          </cell>
          <cell r="BB29">
            <v>44.809000000000005</v>
          </cell>
          <cell r="BC29">
            <v>50.859000000000002</v>
          </cell>
          <cell r="BD29">
            <v>53.384</v>
          </cell>
          <cell r="BE29">
            <v>52.995999999999995</v>
          </cell>
          <cell r="BF29">
            <v>56.680999999999997</v>
          </cell>
          <cell r="BG29">
            <v>55.085000000000001</v>
          </cell>
          <cell r="BH29">
            <v>61.390999999999998</v>
          </cell>
          <cell r="BI29">
            <v>73.323000000000008</v>
          </cell>
          <cell r="BJ29">
            <v>77.944000000000017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FOS"/>
    </sheetNames>
    <sheetDataSet>
      <sheetData sheetId="0">
        <row r="6">
          <cell r="AD6">
            <v>45.786999999999999</v>
          </cell>
        </row>
        <row r="27">
          <cell r="AI27">
            <v>166.93199999999999</v>
          </cell>
          <cell r="AJ27">
            <v>178.07299999999998</v>
          </cell>
          <cell r="AK27">
            <v>196.69099999999997</v>
          </cell>
          <cell r="AL27">
            <v>216.501</v>
          </cell>
          <cell r="AM27">
            <v>233.75299999999999</v>
          </cell>
          <cell r="AN27">
            <v>252.57599999999999</v>
          </cell>
          <cell r="AO27">
            <v>276.67200000000003</v>
          </cell>
          <cell r="AP27">
            <v>288.11</v>
          </cell>
          <cell r="AQ27">
            <v>304.36900000000003</v>
          </cell>
          <cell r="AR27">
            <v>316.31299999999999</v>
          </cell>
          <cell r="AS27">
            <v>319.43800000000005</v>
          </cell>
          <cell r="AT27">
            <v>337.40999999999997</v>
          </cell>
          <cell r="AU27">
            <v>348.63100000000003</v>
          </cell>
          <cell r="AV27">
            <v>355.92899999999997</v>
          </cell>
          <cell r="AW27">
            <v>359.20299999999997</v>
          </cell>
          <cell r="AX27">
            <v>394.65299999999996</v>
          </cell>
          <cell r="AY27">
            <v>287.37899999999996</v>
          </cell>
          <cell r="AZ27">
            <v>313.37199999999996</v>
          </cell>
          <cell r="BA27">
            <v>373.68799999999999</v>
          </cell>
          <cell r="BB27">
            <v>322.18799999999999</v>
          </cell>
          <cell r="BC27">
            <v>410.92399999999998</v>
          </cell>
          <cell r="BD27">
            <v>320.77399999999994</v>
          </cell>
          <cell r="BE27">
            <v>269.39100000000002</v>
          </cell>
          <cell r="BF27">
            <v>237.63799999999998</v>
          </cell>
          <cell r="BG27">
            <v>249.25900000000001</v>
          </cell>
          <cell r="BH27">
            <v>215.2</v>
          </cell>
          <cell r="BI27">
            <v>217.19900000000001</v>
          </cell>
          <cell r="BJ27">
            <v>183.43600000000001</v>
          </cell>
        </row>
        <row r="28">
          <cell r="AI28">
            <v>418.90800000000002</v>
          </cell>
          <cell r="AJ28">
            <v>431.48900000000003</v>
          </cell>
          <cell r="AK28">
            <v>451.22199999999998</v>
          </cell>
          <cell r="AL28">
            <v>443.01499999999999</v>
          </cell>
          <cell r="AM28">
            <v>441.12500000000006</v>
          </cell>
          <cell r="AN28">
            <v>449.875</v>
          </cell>
          <cell r="AO28">
            <v>475.78300000000002</v>
          </cell>
          <cell r="AP28">
            <v>505.16399999999999</v>
          </cell>
          <cell r="AQ28">
            <v>536.62300000000005</v>
          </cell>
          <cell r="AR28">
            <v>530.41699999999992</v>
          </cell>
          <cell r="AS28">
            <v>554.80499999999995</v>
          </cell>
          <cell r="AT28">
            <v>589.67200000000003</v>
          </cell>
          <cell r="AU28">
            <v>618.94000000000005</v>
          </cell>
          <cell r="AV28">
            <v>613.71100000000001</v>
          </cell>
          <cell r="AW28">
            <v>645.05799999999999</v>
          </cell>
          <cell r="AX28">
            <v>706.14699999999993</v>
          </cell>
          <cell r="AY28">
            <v>721.36299999999994</v>
          </cell>
          <cell r="AZ28">
            <v>706.15499999999997</v>
          </cell>
          <cell r="BA28">
            <v>755.50400000000013</v>
          </cell>
          <cell r="BB28">
            <v>787.49600000000009</v>
          </cell>
          <cell r="BC28">
            <v>820.77</v>
          </cell>
          <cell r="BD28">
            <v>853.88400000000001</v>
          </cell>
          <cell r="BE28">
            <v>820.10900000000004</v>
          </cell>
          <cell r="BF28">
            <v>792.41800000000012</v>
          </cell>
          <cell r="BG28">
            <v>689.91</v>
          </cell>
          <cell r="BH28">
            <v>692.46899999999994</v>
          </cell>
          <cell r="BI28">
            <v>709.51</v>
          </cell>
          <cell r="BJ28">
            <v>683.00199999999995</v>
          </cell>
        </row>
        <row r="29">
          <cell r="AI29">
            <v>278.18800000000005</v>
          </cell>
          <cell r="AJ29">
            <v>302.089</v>
          </cell>
          <cell r="AK29">
            <v>285.36500000000001</v>
          </cell>
          <cell r="AL29">
            <v>287.95599999999996</v>
          </cell>
          <cell r="AM29">
            <v>300.08499999999998</v>
          </cell>
          <cell r="AN29">
            <v>293.14099999999996</v>
          </cell>
          <cell r="AO29">
            <v>297.46800000000002</v>
          </cell>
          <cell r="AP29">
            <v>301.82800000000003</v>
          </cell>
          <cell r="AQ29">
            <v>292.46600000000001</v>
          </cell>
          <cell r="AR29">
            <v>279.93400000000003</v>
          </cell>
          <cell r="AS29">
            <v>292.24200000000002</v>
          </cell>
          <cell r="AT29">
            <v>299.59899999999999</v>
          </cell>
          <cell r="AU29">
            <v>290.55399999999997</v>
          </cell>
          <cell r="AV29">
            <v>300.09299999999996</v>
          </cell>
          <cell r="AW29">
            <v>317.96699999999998</v>
          </cell>
          <cell r="AX29">
            <v>322.09000000000003</v>
          </cell>
          <cell r="AY29">
            <v>299.173</v>
          </cell>
          <cell r="AZ29">
            <v>284.67</v>
          </cell>
          <cell r="BA29">
            <v>302.26100000000002</v>
          </cell>
          <cell r="BB29">
            <v>319.34800000000001</v>
          </cell>
          <cell r="BC29">
            <v>327.43199999999996</v>
          </cell>
          <cell r="BD29">
            <v>308.35499999999996</v>
          </cell>
          <cell r="BE29">
            <v>312.80000000000007</v>
          </cell>
          <cell r="BF29">
            <v>326.71100000000001</v>
          </cell>
          <cell r="BG29">
            <v>292.04500000000002</v>
          </cell>
          <cell r="BH29">
            <v>278.983</v>
          </cell>
          <cell r="BI29">
            <v>330.44099999999997</v>
          </cell>
          <cell r="BJ29">
            <v>314.02800000000002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N_2002_US_23I04A_with_ann"/>
    </sheetNames>
    <sheetDataSet>
      <sheetData sheetId="0">
        <row r="36">
          <cell r="AN36">
            <v>2595.9500000000003</v>
          </cell>
          <cell r="AO36">
            <v>1024.7670000000001</v>
          </cell>
          <cell r="AQ36">
            <v>8023.6909999999998</v>
          </cell>
          <cell r="AR36">
            <v>2885.788</v>
          </cell>
          <cell r="AS36">
            <v>868.36099999999999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N_2007_US_23I1_with_ann"/>
    </sheetNames>
    <sheetDataSet>
      <sheetData sheetId="0">
        <row r="36">
          <cell r="BE36">
            <v>5773.6869999999999</v>
          </cell>
          <cell r="BI36">
            <v>17977.313000000002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gy Cost"/>
      <sheetName val="EC1223I1"/>
    </sheetNames>
    <sheetDataSet>
      <sheetData sheetId="0">
        <row r="35">
          <cell r="H35">
            <v>14795.421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10"/>
      <sheetName val="Sheet4_pivot1"/>
      <sheetName val="Output_2005"/>
      <sheetName val="Piv_table_from_ind14 data (2016"/>
      <sheetName val="ind14_data_from_BLS"/>
      <sheetName val="Nonmanufacturing_BLS"/>
      <sheetName val="Sheet2"/>
      <sheetName val="NAICS_3D_pivot2"/>
      <sheetName val="Stubs"/>
      <sheetName val="ip_sa"/>
      <sheetName val="Indicators_NonMan_2018_BEA"/>
      <sheetName val="Indicators_Data_2011_update"/>
      <sheetName val="Compare_311a"/>
      <sheetName val="Compare_311"/>
      <sheetName val="Compare_313"/>
      <sheetName val="Compare_313a"/>
      <sheetName val="Compare_315"/>
      <sheetName val="Compare_321"/>
      <sheetName val="Compare_322"/>
      <sheetName val="Compare_323"/>
      <sheetName val="Compare_324"/>
      <sheetName val="Compare_325"/>
      <sheetName val="Compare_326"/>
      <sheetName val="Compare_327"/>
      <sheetName val="Compare_331"/>
      <sheetName val="Compare_332"/>
      <sheetName val="Compare_333"/>
      <sheetName val="Compare_334"/>
      <sheetName val="Compare_335"/>
      <sheetName val="Compare_336"/>
      <sheetName val="Compare_337"/>
      <sheetName val="Compare_339"/>
      <sheetName val="Compare_211"/>
      <sheetName val="Compare_212"/>
      <sheetName val="Compare_213"/>
      <sheetName val="Compare_Construction"/>
      <sheetName val="Compare_Farms"/>
      <sheetName val="Indicators_Data_revised_old"/>
      <sheetName val="Indicators_Data_revi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M5">
            <v>514801.42218000005</v>
          </cell>
          <cell r="Y5">
            <v>777394.15519999992</v>
          </cell>
        </row>
        <row r="6">
          <cell r="M6">
            <v>515897.19180000003</v>
          </cell>
          <cell r="Y6">
            <v>862812.51940000011</v>
          </cell>
        </row>
        <row r="7">
          <cell r="M7">
            <v>522217.23677999998</v>
          </cell>
          <cell r="Y7">
            <v>942342.18519999995</v>
          </cell>
        </row>
        <row r="8">
          <cell r="M8">
            <v>541066.68792000005</v>
          </cell>
          <cell r="Y8">
            <v>953657.51260000002</v>
          </cell>
        </row>
        <row r="9">
          <cell r="M9">
            <v>512183.75031000003</v>
          </cell>
          <cell r="Y9">
            <v>839590.8456</v>
          </cell>
        </row>
        <row r="10">
          <cell r="M10">
            <v>473737.73238000006</v>
          </cell>
          <cell r="Y10">
            <v>751109.92839999986</v>
          </cell>
        </row>
        <row r="11">
          <cell r="M11">
            <v>526605.84944999998</v>
          </cell>
          <cell r="Y11">
            <v>809029.79039999994</v>
          </cell>
        </row>
        <row r="12">
          <cell r="M12">
            <v>538648.24689000007</v>
          </cell>
          <cell r="Y12">
            <v>872967.30040000007</v>
          </cell>
        </row>
        <row r="13">
          <cell r="M13">
            <v>557470.02708000003</v>
          </cell>
          <cell r="Y13">
            <v>943072.8996</v>
          </cell>
        </row>
        <row r="14">
          <cell r="M14">
            <v>558599.00184000004</v>
          </cell>
          <cell r="Y14">
            <v>961340.75960000011</v>
          </cell>
        </row>
        <row r="15">
          <cell r="M15">
            <v>529212.45293999999</v>
          </cell>
          <cell r="Y15">
            <v>868851.6590000001</v>
          </cell>
        </row>
        <row r="16">
          <cell r="M16">
            <v>499986.39555000002</v>
          </cell>
          <cell r="Y16">
            <v>855645.07079999999</v>
          </cell>
        </row>
        <row r="17">
          <cell r="M17">
            <v>469282.70942999999</v>
          </cell>
          <cell r="Y17">
            <v>798026.09119999991</v>
          </cell>
        </row>
        <row r="18">
          <cell r="M18">
            <v>501773.93892000004</v>
          </cell>
          <cell r="Y18">
            <v>882864.18220000016</v>
          </cell>
        </row>
        <row r="19">
          <cell r="M19">
            <v>554315.53878000006</v>
          </cell>
          <cell r="Y19">
            <v>1009718.3512</v>
          </cell>
        </row>
        <row r="20">
          <cell r="M20">
            <v>593602.75358999998</v>
          </cell>
          <cell r="Y20">
            <v>1086217.7014000001</v>
          </cell>
        </row>
        <row r="21">
          <cell r="M21">
            <v>611682.95232000004</v>
          </cell>
          <cell r="Y21">
            <v>1135057.3624</v>
          </cell>
        </row>
        <row r="22">
          <cell r="M22">
            <v>630078.59988000011</v>
          </cell>
          <cell r="Y22">
            <v>1163694.9194000002</v>
          </cell>
        </row>
        <row r="23">
          <cell r="M23">
            <v>651423.97071000002</v>
          </cell>
          <cell r="Y23">
            <v>1153303.7308</v>
          </cell>
        </row>
        <row r="24">
          <cell r="M24">
            <v>656681.45121000009</v>
          </cell>
          <cell r="Y24">
            <v>1138979.5793999999</v>
          </cell>
        </row>
        <row r="25">
          <cell r="M25">
            <v>646100.07993000001</v>
          </cell>
          <cell r="Y25">
            <v>1115317.3278000001</v>
          </cell>
        </row>
        <row r="26">
          <cell r="M26">
            <v>597913.88760000002</v>
          </cell>
          <cell r="Y26">
            <v>1019819.4031999999</v>
          </cell>
        </row>
        <row r="27">
          <cell r="M27">
            <v>605999.33918999997</v>
          </cell>
          <cell r="Y27">
            <v>1055345.0179999999</v>
          </cell>
        </row>
        <row r="28">
          <cell r="M28">
            <v>621799.45163999998</v>
          </cell>
          <cell r="Y28">
            <v>1080920.0220000001</v>
          </cell>
        </row>
        <row r="29">
          <cell r="M29">
            <v>651816.89820000005</v>
          </cell>
          <cell r="Y29">
            <v>1122817.8962000001</v>
          </cell>
        </row>
        <row r="30">
          <cell r="M30">
            <v>655397.51913000003</v>
          </cell>
          <cell r="Y30">
            <v>1128298.2542000001</v>
          </cell>
        </row>
        <row r="31">
          <cell r="M31">
            <v>684916.88858999999</v>
          </cell>
          <cell r="Y31">
            <v>1200950.6080000002</v>
          </cell>
        </row>
        <row r="32">
          <cell r="M32">
            <v>691353.15156000003</v>
          </cell>
          <cell r="Y32">
            <v>1236390.2564000001</v>
          </cell>
        </row>
        <row r="33">
          <cell r="M33">
            <v>723019.78674000001</v>
          </cell>
          <cell r="Y33">
            <v>1317843.4204000002</v>
          </cell>
        </row>
        <row r="34">
          <cell r="M34">
            <v>752832.46826999995</v>
          </cell>
          <cell r="Y34">
            <v>1371271.5380000002</v>
          </cell>
        </row>
        <row r="35">
          <cell r="M35">
            <v>783314.78679000004</v>
          </cell>
          <cell r="Y35">
            <v>1427762.2085999998</v>
          </cell>
        </row>
        <row r="36">
          <cell r="M36">
            <v>767199.22551000002</v>
          </cell>
          <cell r="Y36">
            <v>1437272.2416000001</v>
          </cell>
        </row>
        <row r="37">
          <cell r="M37">
            <v>742306.43888999999</v>
          </cell>
          <cell r="Y37">
            <v>1418886.1777999999</v>
          </cell>
        </row>
        <row r="38">
          <cell r="M38">
            <v>754398.64404000004</v>
          </cell>
          <cell r="Y38">
            <v>1467145.5656000001</v>
          </cell>
        </row>
        <row r="39">
          <cell r="M39">
            <v>781328.01257999986</v>
          </cell>
          <cell r="Y39">
            <v>1526870.7220000003</v>
          </cell>
        </row>
        <row r="40">
          <cell r="M40">
            <v>784797.94971000007</v>
          </cell>
          <cell r="Y40">
            <v>1566759.1316</v>
          </cell>
        </row>
        <row r="41">
          <cell r="M41">
            <v>768400.14474000013</v>
          </cell>
          <cell r="Y41">
            <v>1531437.6869999999</v>
          </cell>
        </row>
        <row r="42">
          <cell r="M42">
            <v>744697.20897000004</v>
          </cell>
          <cell r="Y42">
            <v>1449436.4872000001</v>
          </cell>
        </row>
        <row r="43">
          <cell r="M43">
            <v>672105.23873999994</v>
          </cell>
          <cell r="Y43">
            <v>1341000.6194000002</v>
          </cell>
        </row>
        <row r="44">
          <cell r="M44">
            <v>577193.88024000009</v>
          </cell>
          <cell r="Y44">
            <v>1163813.1232</v>
          </cell>
        </row>
        <row r="45">
          <cell r="M45">
            <v>547486.34831999999</v>
          </cell>
          <cell r="Y45">
            <v>1075869.496</v>
          </cell>
        </row>
        <row r="46">
          <cell r="M46">
            <v>538664.84946000006</v>
          </cell>
          <cell r="Y46">
            <v>1047371.6344</v>
          </cell>
        </row>
        <row r="47">
          <cell r="M47">
            <v>553419</v>
          </cell>
          <cell r="Y47">
            <v>1074580</v>
          </cell>
        </row>
        <row r="48">
          <cell r="M48">
            <v>567171.46214999992</v>
          </cell>
          <cell r="Y48">
            <v>1124891.8356000001</v>
          </cell>
        </row>
        <row r="49">
          <cell r="M49">
            <v>577747.29924000008</v>
          </cell>
          <cell r="Y49">
            <v>1182983.6303999999</v>
          </cell>
        </row>
        <row r="50">
          <cell r="M50">
            <v>604610.25750000007</v>
          </cell>
          <cell r="Y50">
            <v>1265737.0362</v>
          </cell>
        </row>
        <row r="51">
          <cell r="M51">
            <v>625225.11525000003</v>
          </cell>
          <cell r="Y51">
            <v>1335573.9904</v>
          </cell>
        </row>
        <row r="52">
          <cell r="M52">
            <v>639641.68019999994</v>
          </cell>
          <cell r="Y52">
            <v>1357194.54</v>
          </cell>
        </row>
        <row r="53">
          <cell r="M53">
            <v>653687.45441999997</v>
          </cell>
          <cell r="Y53">
            <v>1351864.6232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state/seds/seds-data-complete.cf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eia.gov/state/seds/seds-data-complete.cf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www.eia.gov/petroleu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petroleu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G38"/>
  <sheetViews>
    <sheetView workbookViewId="0">
      <selection activeCell="C24" sqref="C24"/>
    </sheetView>
  </sheetViews>
  <sheetFormatPr defaultRowHeight="12.75" x14ac:dyDescent="0.2"/>
  <cols>
    <col min="5" max="5" width="11.28515625" customWidth="1"/>
  </cols>
  <sheetData>
    <row r="4" spans="4:33" x14ac:dyDescent="0.2">
      <c r="F4">
        <v>1958</v>
      </c>
      <c r="G4">
        <f>F4+1</f>
        <v>1959</v>
      </c>
      <c r="H4">
        <f t="shared" ref="H4:AG4" si="0">G4+1</f>
        <v>1960</v>
      </c>
      <c r="I4">
        <f t="shared" si="0"/>
        <v>1961</v>
      </c>
      <c r="J4">
        <f t="shared" si="0"/>
        <v>1962</v>
      </c>
      <c r="K4">
        <f t="shared" si="0"/>
        <v>1963</v>
      </c>
      <c r="L4">
        <f t="shared" si="0"/>
        <v>1964</v>
      </c>
      <c r="M4">
        <f t="shared" si="0"/>
        <v>1965</v>
      </c>
      <c r="N4">
        <f t="shared" si="0"/>
        <v>1966</v>
      </c>
      <c r="O4">
        <f t="shared" si="0"/>
        <v>1967</v>
      </c>
      <c r="P4">
        <f t="shared" si="0"/>
        <v>1968</v>
      </c>
      <c r="Q4">
        <f t="shared" si="0"/>
        <v>1969</v>
      </c>
      <c r="R4">
        <f t="shared" si="0"/>
        <v>1970</v>
      </c>
      <c r="S4">
        <f t="shared" si="0"/>
        <v>1971</v>
      </c>
      <c r="T4">
        <f t="shared" si="0"/>
        <v>1972</v>
      </c>
      <c r="U4">
        <f t="shared" si="0"/>
        <v>1973</v>
      </c>
      <c r="V4">
        <f t="shared" si="0"/>
        <v>1974</v>
      </c>
      <c r="W4">
        <f t="shared" si="0"/>
        <v>1975</v>
      </c>
      <c r="X4">
        <f t="shared" si="0"/>
        <v>1976</v>
      </c>
      <c r="Y4">
        <f t="shared" si="0"/>
        <v>1977</v>
      </c>
      <c r="Z4">
        <f t="shared" si="0"/>
        <v>1978</v>
      </c>
      <c r="AA4">
        <f t="shared" si="0"/>
        <v>1979</v>
      </c>
      <c r="AB4">
        <f t="shared" si="0"/>
        <v>1980</v>
      </c>
      <c r="AC4">
        <f t="shared" si="0"/>
        <v>1981</v>
      </c>
      <c r="AD4">
        <f t="shared" si="0"/>
        <v>1982</v>
      </c>
      <c r="AE4">
        <f t="shared" si="0"/>
        <v>1983</v>
      </c>
      <c r="AF4">
        <f t="shared" si="0"/>
        <v>1984</v>
      </c>
      <c r="AG4">
        <f t="shared" si="0"/>
        <v>1985</v>
      </c>
    </row>
    <row r="5" spans="4:33" x14ac:dyDescent="0.2">
      <c r="D5" t="s">
        <v>0</v>
      </c>
      <c r="E5" t="s">
        <v>1</v>
      </c>
      <c r="F5">
        <f>[6]ELECNEA!AI27</f>
        <v>46.924000000000007</v>
      </c>
      <c r="G5">
        <f>[6]ELECNEA!AJ27</f>
        <v>55.427000000000007</v>
      </c>
      <c r="H5">
        <f>[6]ELECNEA!AK27</f>
        <v>60.844999999999999</v>
      </c>
      <c r="I5">
        <f>[6]ELECNEA!AL27</f>
        <v>63.607000000000006</v>
      </c>
      <c r="J5">
        <f>[6]ELECNEA!AM27</f>
        <v>65.689000000000007</v>
      </c>
      <c r="K5">
        <f>[6]ELECNEA!AN27</f>
        <v>67.718000000000004</v>
      </c>
      <c r="L5">
        <f>[6]ELECNEA!AO27</f>
        <v>68.962999999999994</v>
      </c>
      <c r="M5">
        <f>[6]ELECNEA!AP27</f>
        <v>70.581000000000003</v>
      </c>
      <c r="N5">
        <f>[6]ELECNEA!AQ27</f>
        <v>73.766000000000005</v>
      </c>
      <c r="O5">
        <f>[6]ELECNEA!AR27</f>
        <v>76.298999999999992</v>
      </c>
      <c r="P5">
        <f>[6]ELECNEA!AS27</f>
        <v>80.513999999999996</v>
      </c>
      <c r="Q5">
        <f>[6]ELECNEA!AT27</f>
        <v>86.722000000000008</v>
      </c>
      <c r="R5">
        <f>[6]ELECNEA!AU27</f>
        <v>91.995000000000005</v>
      </c>
      <c r="S5">
        <f>[6]ELECNEA!AV27</f>
        <v>97.228000000000009</v>
      </c>
      <c r="T5">
        <f>[6]ELECNEA!AW27</f>
        <v>92.242999999999995</v>
      </c>
      <c r="U5">
        <f>[6]ELECNEA!AX27</f>
        <v>95.317999999999998</v>
      </c>
      <c r="V5">
        <f>[6]ELECNEA!AY27</f>
        <v>93.320000000000007</v>
      </c>
      <c r="W5">
        <f>[6]ELECNEA!AZ27</f>
        <v>94.358000000000004</v>
      </c>
      <c r="X5">
        <f>[6]ELECNEA!BA27</f>
        <v>107.41199999999999</v>
      </c>
      <c r="Y5">
        <f>[6]ELECNEA!BB27</f>
        <v>111.89500000000001</v>
      </c>
      <c r="Z5">
        <f>[6]ELECNEA!BC27</f>
        <v>123.621</v>
      </c>
      <c r="AA5">
        <f>[6]ELECNEA!BD27</f>
        <v>137.01499999999999</v>
      </c>
      <c r="AB5">
        <f>[6]ELECNEA!BE27</f>
        <v>134.02799999999999</v>
      </c>
      <c r="AC5">
        <f>[6]ELECNEA!BF27</f>
        <v>142.21899999999997</v>
      </c>
      <c r="AD5">
        <f>[6]ELECNEA!BG27</f>
        <v>121.75799999999998</v>
      </c>
      <c r="AE5">
        <f>[6]ELECNEA!BH27</f>
        <v>122.35599999999999</v>
      </c>
      <c r="AF5">
        <f>[6]ELECNEA!BI27</f>
        <v>117.529</v>
      </c>
      <c r="AG5">
        <f>[6]ELECNEA!BJ27</f>
        <v>111.55599999999998</v>
      </c>
    </row>
    <row r="6" spans="4:33" x14ac:dyDescent="0.2">
      <c r="E6" t="s">
        <v>2</v>
      </c>
      <c r="F6">
        <f>[6]ELECNEA!AI28</f>
        <v>55.314999999999998</v>
      </c>
      <c r="G6">
        <f>[6]ELECNEA!AJ28</f>
        <v>58.414000000000001</v>
      </c>
      <c r="H6">
        <f>[6]ELECNEA!AK28</f>
        <v>64.259</v>
      </c>
      <c r="I6">
        <f>[6]ELECNEA!AL28</f>
        <v>66.432000000000002</v>
      </c>
      <c r="J6">
        <f>[6]ELECNEA!AM28</f>
        <v>70.551999999999992</v>
      </c>
      <c r="K6">
        <f>[6]ELECNEA!AN28</f>
        <v>75.835999999999999</v>
      </c>
      <c r="L6">
        <f>[6]ELECNEA!AO28</f>
        <v>80.210999999999999</v>
      </c>
      <c r="M6">
        <f>[6]ELECNEA!AP28</f>
        <v>88.477999999999994</v>
      </c>
      <c r="N6">
        <f>[6]ELECNEA!AQ28</f>
        <v>95.4</v>
      </c>
      <c r="O6">
        <f>[6]ELECNEA!AR28</f>
        <v>98.591999999999999</v>
      </c>
      <c r="P6">
        <f>[6]ELECNEA!AS28</f>
        <v>107.79900000000001</v>
      </c>
      <c r="Q6">
        <f>[6]ELECNEA!AT28</f>
        <v>119.41</v>
      </c>
      <c r="R6">
        <f>[6]ELECNEA!AU28</f>
        <v>131.20499999999998</v>
      </c>
      <c r="S6">
        <f>[6]ELECNEA!AV28</f>
        <v>130.69800000000001</v>
      </c>
      <c r="T6">
        <f>[6]ELECNEA!AW28</f>
        <v>141.452</v>
      </c>
      <c r="U6">
        <f>[6]ELECNEA!AX28</f>
        <v>154.63800000000001</v>
      </c>
      <c r="V6">
        <f>[6]ELECNEA!AY28</f>
        <v>158.94799999999998</v>
      </c>
      <c r="W6">
        <f>[6]ELECNEA!AZ28</f>
        <v>159.58600000000001</v>
      </c>
      <c r="X6">
        <f>[6]ELECNEA!BA28</f>
        <v>172.33200000000002</v>
      </c>
      <c r="Y6">
        <f>[6]ELECNEA!BB28</f>
        <v>177.48599999999999</v>
      </c>
      <c r="Z6">
        <f>[6]ELECNEA!BC28</f>
        <v>202.84500000000003</v>
      </c>
      <c r="AA6">
        <f>[6]ELECNEA!BD28</f>
        <v>225.501</v>
      </c>
      <c r="AB6">
        <f>[6]ELECNEA!BE28</f>
        <v>231.92500000000001</v>
      </c>
      <c r="AC6">
        <f>[6]ELECNEA!BF28</f>
        <v>243.953</v>
      </c>
      <c r="AD6">
        <f>[6]ELECNEA!BG28</f>
        <v>230.67700000000002</v>
      </c>
      <c r="AE6">
        <f>[6]ELECNEA!BH28</f>
        <v>241.96400000000003</v>
      </c>
      <c r="AF6">
        <f>[6]ELECNEA!BI28</f>
        <v>265.29900000000004</v>
      </c>
      <c r="AG6">
        <f>[6]ELECNEA!BJ28</f>
        <v>272.56799999999998</v>
      </c>
    </row>
    <row r="7" spans="4:33" x14ac:dyDescent="0.2">
      <c r="E7" t="s">
        <v>3</v>
      </c>
      <c r="F7">
        <f>[6]ELECNEA!AI29</f>
        <v>21.358000000000001</v>
      </c>
      <c r="G7">
        <f>[6]ELECNEA!AJ29</f>
        <v>23.164999999999999</v>
      </c>
      <c r="H7">
        <f>[6]ELECNEA!AK29</f>
        <v>24.422000000000001</v>
      </c>
      <c r="I7">
        <f>[6]ELECNEA!AL29</f>
        <v>25.452000000000002</v>
      </c>
      <c r="J7">
        <f>[6]ELECNEA!AM29</f>
        <v>27.134999999999998</v>
      </c>
      <c r="K7">
        <f>[6]ELECNEA!AN29</f>
        <v>28.768999999999998</v>
      </c>
      <c r="L7">
        <f>[6]ELECNEA!AO29</f>
        <v>30.138999999999999</v>
      </c>
      <c r="M7">
        <f>[6]ELECNEA!AP29</f>
        <v>31.513000000000002</v>
      </c>
      <c r="N7">
        <f>[6]ELECNEA!AQ29</f>
        <v>32.277000000000001</v>
      </c>
      <c r="O7">
        <f>[6]ELECNEA!AR29</f>
        <v>32.483000000000004</v>
      </c>
      <c r="P7">
        <f>[6]ELECNEA!AS29</f>
        <v>32.826000000000001</v>
      </c>
      <c r="Q7">
        <f>[6]ELECNEA!AT29</f>
        <v>33.270000000000003</v>
      </c>
      <c r="R7">
        <f>[6]ELECNEA!AU29</f>
        <v>33.298999999999999</v>
      </c>
      <c r="S7">
        <f>[6]ELECNEA!AV29</f>
        <v>34.319000000000003</v>
      </c>
      <c r="T7">
        <f>[6]ELECNEA!AW29</f>
        <v>35.679000000000002</v>
      </c>
      <c r="U7">
        <f>[6]ELECNEA!AX29</f>
        <v>38.140999999999998</v>
      </c>
      <c r="V7">
        <f>[6]ELECNEA!AY29</f>
        <v>41.178000000000004</v>
      </c>
      <c r="W7">
        <f>[6]ELECNEA!AZ29</f>
        <v>42.378999999999998</v>
      </c>
      <c r="X7">
        <f>[6]ELECNEA!BA29</f>
        <v>43.267000000000003</v>
      </c>
      <c r="Y7">
        <f>[6]ELECNEA!BB29</f>
        <v>44.809000000000005</v>
      </c>
      <c r="Z7">
        <f>[6]ELECNEA!BC29</f>
        <v>50.859000000000002</v>
      </c>
      <c r="AA7">
        <f>[6]ELECNEA!BD29</f>
        <v>53.384</v>
      </c>
      <c r="AB7">
        <f>[6]ELECNEA!BE29</f>
        <v>52.995999999999995</v>
      </c>
      <c r="AC7">
        <f>[6]ELECNEA!BF29</f>
        <v>56.680999999999997</v>
      </c>
      <c r="AD7">
        <f>[6]ELECNEA!BG29</f>
        <v>55.085000000000001</v>
      </c>
      <c r="AE7">
        <f>[6]ELECNEA!BH29</f>
        <v>61.390999999999998</v>
      </c>
      <c r="AF7">
        <f>[6]ELECNEA!BI29</f>
        <v>73.323000000000008</v>
      </c>
      <c r="AG7">
        <f>[6]ELECNEA!BJ29</f>
        <v>77.944000000000017</v>
      </c>
    </row>
    <row r="8" spans="4:33" x14ac:dyDescent="0.2">
      <c r="D8" t="s">
        <v>4</v>
      </c>
      <c r="E8" t="s">
        <v>1</v>
      </c>
      <c r="F8">
        <f>[7]ALLFOS!AI27</f>
        <v>166.93199999999999</v>
      </c>
      <c r="G8">
        <f>[7]ALLFOS!AJ27</f>
        <v>178.07299999999998</v>
      </c>
      <c r="H8">
        <f>[7]ALLFOS!AK27</f>
        <v>196.69099999999997</v>
      </c>
      <c r="I8">
        <f>[7]ALLFOS!AL27</f>
        <v>216.501</v>
      </c>
      <c r="J8">
        <f>[7]ALLFOS!AM27</f>
        <v>233.75299999999999</v>
      </c>
      <c r="K8">
        <f>[7]ALLFOS!AN27</f>
        <v>252.57599999999999</v>
      </c>
      <c r="L8">
        <f>[7]ALLFOS!AO27</f>
        <v>276.67200000000003</v>
      </c>
      <c r="M8">
        <f>[7]ALLFOS!AP27</f>
        <v>288.11</v>
      </c>
      <c r="N8">
        <f>[7]ALLFOS!AQ27</f>
        <v>304.36900000000003</v>
      </c>
      <c r="O8">
        <f>[7]ALLFOS!AR27</f>
        <v>316.31299999999999</v>
      </c>
      <c r="P8">
        <f>[7]ALLFOS!AS27</f>
        <v>319.43800000000005</v>
      </c>
      <c r="Q8">
        <f>[7]ALLFOS!AT27</f>
        <v>337.40999999999997</v>
      </c>
      <c r="R8">
        <f>[7]ALLFOS!AU27</f>
        <v>348.63100000000003</v>
      </c>
      <c r="S8">
        <f>[7]ALLFOS!AV27</f>
        <v>355.92899999999997</v>
      </c>
      <c r="T8">
        <f>[7]ALLFOS!AW27</f>
        <v>359.20299999999997</v>
      </c>
      <c r="U8">
        <f>[7]ALLFOS!AX27</f>
        <v>394.65299999999996</v>
      </c>
      <c r="V8">
        <f>[7]ALLFOS!AY27</f>
        <v>287.37899999999996</v>
      </c>
      <c r="W8">
        <f>[7]ALLFOS!AZ27</f>
        <v>313.37199999999996</v>
      </c>
      <c r="X8">
        <f>[7]ALLFOS!BA27</f>
        <v>373.68799999999999</v>
      </c>
      <c r="Y8">
        <f>[7]ALLFOS!BB27</f>
        <v>322.18799999999999</v>
      </c>
      <c r="Z8">
        <f>[7]ALLFOS!BC27</f>
        <v>410.92399999999998</v>
      </c>
      <c r="AA8">
        <f>[7]ALLFOS!BD27</f>
        <v>320.77399999999994</v>
      </c>
      <c r="AB8">
        <f>[7]ALLFOS!BE27</f>
        <v>269.39100000000002</v>
      </c>
      <c r="AC8">
        <f>[7]ALLFOS!BF27</f>
        <v>237.63799999999998</v>
      </c>
      <c r="AD8">
        <f>[7]ALLFOS!BG27</f>
        <v>249.25900000000001</v>
      </c>
      <c r="AE8">
        <f>[7]ALLFOS!BH27</f>
        <v>215.2</v>
      </c>
      <c r="AF8">
        <f>[7]ALLFOS!BI27</f>
        <v>217.19900000000001</v>
      </c>
      <c r="AG8">
        <f>[7]ALLFOS!BJ27</f>
        <v>183.43600000000001</v>
      </c>
    </row>
    <row r="9" spans="4:33" x14ac:dyDescent="0.2">
      <c r="E9" t="s">
        <v>2</v>
      </c>
      <c r="F9">
        <f>[7]ALLFOS!AI28</f>
        <v>418.90800000000002</v>
      </c>
      <c r="G9">
        <f>[7]ALLFOS!AJ28</f>
        <v>431.48900000000003</v>
      </c>
      <c r="H9">
        <f>[7]ALLFOS!AK28</f>
        <v>451.22199999999998</v>
      </c>
      <c r="I9">
        <f>[7]ALLFOS!AL28</f>
        <v>443.01499999999999</v>
      </c>
      <c r="J9">
        <f>[7]ALLFOS!AM28</f>
        <v>441.12500000000006</v>
      </c>
      <c r="K9">
        <f>[7]ALLFOS!AN28</f>
        <v>449.875</v>
      </c>
      <c r="L9">
        <f>[7]ALLFOS!AO28</f>
        <v>475.78300000000002</v>
      </c>
      <c r="M9">
        <f>[7]ALLFOS!AP28</f>
        <v>505.16399999999999</v>
      </c>
      <c r="N9">
        <f>[7]ALLFOS!AQ28</f>
        <v>536.62300000000005</v>
      </c>
      <c r="O9">
        <f>[7]ALLFOS!AR28</f>
        <v>530.41699999999992</v>
      </c>
      <c r="P9">
        <f>[7]ALLFOS!AS28</f>
        <v>554.80499999999995</v>
      </c>
      <c r="Q9">
        <f>[7]ALLFOS!AT28</f>
        <v>589.67200000000003</v>
      </c>
      <c r="R9">
        <f>[7]ALLFOS!AU28</f>
        <v>618.94000000000005</v>
      </c>
      <c r="S9">
        <f>[7]ALLFOS!AV28</f>
        <v>613.71100000000001</v>
      </c>
      <c r="T9">
        <f>[7]ALLFOS!AW28</f>
        <v>645.05799999999999</v>
      </c>
      <c r="U9">
        <f>[7]ALLFOS!AX28</f>
        <v>706.14699999999993</v>
      </c>
      <c r="V9">
        <f>[7]ALLFOS!AY28</f>
        <v>721.36299999999994</v>
      </c>
      <c r="W9">
        <f>[7]ALLFOS!AZ28</f>
        <v>706.15499999999997</v>
      </c>
      <c r="X9">
        <f>[7]ALLFOS!BA28</f>
        <v>755.50400000000013</v>
      </c>
      <c r="Y9">
        <f>[7]ALLFOS!BB28</f>
        <v>787.49600000000009</v>
      </c>
      <c r="Z9">
        <f>[7]ALLFOS!BC28</f>
        <v>820.77</v>
      </c>
      <c r="AA9">
        <f>[7]ALLFOS!BD28</f>
        <v>853.88400000000001</v>
      </c>
      <c r="AB9">
        <f>[7]ALLFOS!BE28</f>
        <v>820.10900000000004</v>
      </c>
      <c r="AC9">
        <f>[7]ALLFOS!BF28</f>
        <v>792.41800000000012</v>
      </c>
      <c r="AD9">
        <f>[7]ALLFOS!BG28</f>
        <v>689.91</v>
      </c>
      <c r="AE9">
        <f>[7]ALLFOS!BH28</f>
        <v>692.46899999999994</v>
      </c>
      <c r="AF9">
        <f>[7]ALLFOS!BI28</f>
        <v>709.51</v>
      </c>
      <c r="AG9">
        <f>[7]ALLFOS!BJ28</f>
        <v>683.00199999999995</v>
      </c>
    </row>
    <row r="10" spans="4:33" x14ac:dyDescent="0.2">
      <c r="E10" t="s">
        <v>3</v>
      </c>
      <c r="F10">
        <f>[7]ALLFOS!AI29</f>
        <v>278.18800000000005</v>
      </c>
      <c r="G10">
        <f>[7]ALLFOS!AJ29</f>
        <v>302.089</v>
      </c>
      <c r="H10">
        <f>[7]ALLFOS!AK29</f>
        <v>285.36500000000001</v>
      </c>
      <c r="I10">
        <f>[7]ALLFOS!AL29</f>
        <v>287.95599999999996</v>
      </c>
      <c r="J10">
        <f>[7]ALLFOS!AM29</f>
        <v>300.08499999999998</v>
      </c>
      <c r="K10">
        <f>[7]ALLFOS!AN29</f>
        <v>293.14099999999996</v>
      </c>
      <c r="L10">
        <f>[7]ALLFOS!AO29</f>
        <v>297.46800000000002</v>
      </c>
      <c r="M10">
        <f>[7]ALLFOS!AP29</f>
        <v>301.82800000000003</v>
      </c>
      <c r="N10">
        <f>[7]ALLFOS!AQ29</f>
        <v>292.46600000000001</v>
      </c>
      <c r="O10">
        <f>[7]ALLFOS!AR29</f>
        <v>279.93400000000003</v>
      </c>
      <c r="P10">
        <f>[7]ALLFOS!AS29</f>
        <v>292.24200000000002</v>
      </c>
      <c r="Q10">
        <f>[7]ALLFOS!AT29</f>
        <v>299.59899999999999</v>
      </c>
      <c r="R10">
        <f>[7]ALLFOS!AU29</f>
        <v>290.55399999999997</v>
      </c>
      <c r="S10">
        <f>[7]ALLFOS!AV29</f>
        <v>300.09299999999996</v>
      </c>
      <c r="T10">
        <f>[7]ALLFOS!AW29</f>
        <v>317.96699999999998</v>
      </c>
      <c r="U10">
        <f>[7]ALLFOS!AX29</f>
        <v>322.09000000000003</v>
      </c>
      <c r="V10">
        <f>[7]ALLFOS!AY29</f>
        <v>299.173</v>
      </c>
      <c r="W10">
        <f>[7]ALLFOS!AZ29</f>
        <v>284.67</v>
      </c>
      <c r="X10">
        <f>[7]ALLFOS!BA29</f>
        <v>302.26100000000002</v>
      </c>
      <c r="Y10">
        <f>[7]ALLFOS!BB29</f>
        <v>319.34800000000001</v>
      </c>
      <c r="Z10">
        <f>[7]ALLFOS!BC29</f>
        <v>327.43199999999996</v>
      </c>
      <c r="AA10">
        <f>[7]ALLFOS!BD29</f>
        <v>308.35499999999996</v>
      </c>
      <c r="AB10">
        <f>[7]ALLFOS!BE29</f>
        <v>312.80000000000007</v>
      </c>
      <c r="AC10">
        <f>[7]ALLFOS!BF29</f>
        <v>326.71100000000001</v>
      </c>
      <c r="AD10">
        <f>[7]ALLFOS!BG29</f>
        <v>292.04500000000002</v>
      </c>
      <c r="AE10">
        <f>[7]ALLFOS!BH29</f>
        <v>278.983</v>
      </c>
      <c r="AF10">
        <f>[7]ALLFOS!BI29</f>
        <v>330.44099999999997</v>
      </c>
      <c r="AG10">
        <f>[7]ALLFOS!BJ29</f>
        <v>314.02800000000002</v>
      </c>
    </row>
    <row r="13" spans="4:33" x14ac:dyDescent="0.2">
      <c r="D13">
        <v>1960</v>
      </c>
      <c r="E13">
        <f t="array" ref="E13:J38">TRANSPOSE(H5:AG10)</f>
        <v>60.844999999999999</v>
      </c>
      <c r="F13">
        <v>64.259</v>
      </c>
      <c r="G13">
        <v>24.422000000000001</v>
      </c>
      <c r="H13">
        <v>196.69099999999997</v>
      </c>
      <c r="I13">
        <v>451.22199999999998</v>
      </c>
      <c r="J13">
        <v>285.36500000000001</v>
      </c>
    </row>
    <row r="14" spans="4:33" x14ac:dyDescent="0.2">
      <c r="D14">
        <f>D13+1</f>
        <v>1961</v>
      </c>
      <c r="E14">
        <v>63.607000000000006</v>
      </c>
      <c r="F14">
        <v>66.432000000000002</v>
      </c>
      <c r="G14">
        <v>25.452000000000002</v>
      </c>
      <c r="H14">
        <v>216.501</v>
      </c>
      <c r="I14">
        <v>443.01499999999999</v>
      </c>
      <c r="J14">
        <v>287.95599999999996</v>
      </c>
    </row>
    <row r="15" spans="4:33" x14ac:dyDescent="0.2">
      <c r="D15">
        <f t="shared" ref="D15:D38" si="1">D14+1</f>
        <v>1962</v>
      </c>
      <c r="E15">
        <v>65.689000000000007</v>
      </c>
      <c r="F15">
        <v>70.551999999999992</v>
      </c>
      <c r="G15">
        <v>27.134999999999998</v>
      </c>
      <c r="H15">
        <v>233.75299999999999</v>
      </c>
      <c r="I15">
        <v>441.12500000000006</v>
      </c>
      <c r="J15">
        <v>300.08499999999998</v>
      </c>
    </row>
    <row r="16" spans="4:33" x14ac:dyDescent="0.2">
      <c r="D16">
        <f t="shared" si="1"/>
        <v>1963</v>
      </c>
      <c r="E16">
        <v>67.718000000000004</v>
      </c>
      <c r="F16">
        <v>75.835999999999999</v>
      </c>
      <c r="G16">
        <v>28.768999999999998</v>
      </c>
      <c r="H16">
        <v>252.57599999999999</v>
      </c>
      <c r="I16">
        <v>449.875</v>
      </c>
      <c r="J16">
        <v>293.14099999999996</v>
      </c>
    </row>
    <row r="17" spans="4:10" x14ac:dyDescent="0.2">
      <c r="D17">
        <f t="shared" si="1"/>
        <v>1964</v>
      </c>
      <c r="E17">
        <v>68.962999999999994</v>
      </c>
      <c r="F17">
        <v>80.210999999999999</v>
      </c>
      <c r="G17">
        <v>30.138999999999999</v>
      </c>
      <c r="H17">
        <v>276.67200000000003</v>
      </c>
      <c r="I17">
        <v>475.78300000000002</v>
      </c>
      <c r="J17">
        <v>297.46800000000002</v>
      </c>
    </row>
    <row r="18" spans="4:10" x14ac:dyDescent="0.2">
      <c r="D18">
        <f t="shared" si="1"/>
        <v>1965</v>
      </c>
      <c r="E18">
        <v>70.581000000000003</v>
      </c>
      <c r="F18">
        <v>88.477999999999994</v>
      </c>
      <c r="G18">
        <v>31.513000000000002</v>
      </c>
      <c r="H18">
        <v>288.11</v>
      </c>
      <c r="I18">
        <v>505.16399999999999</v>
      </c>
      <c r="J18">
        <v>301.82800000000003</v>
      </c>
    </row>
    <row r="19" spans="4:10" x14ac:dyDescent="0.2">
      <c r="D19">
        <f t="shared" si="1"/>
        <v>1966</v>
      </c>
      <c r="E19">
        <v>73.766000000000005</v>
      </c>
      <c r="F19">
        <v>95.4</v>
      </c>
      <c r="G19">
        <v>32.277000000000001</v>
      </c>
      <c r="H19">
        <v>304.36900000000003</v>
      </c>
      <c r="I19">
        <v>536.62300000000005</v>
      </c>
      <c r="J19">
        <v>292.46600000000001</v>
      </c>
    </row>
    <row r="20" spans="4:10" x14ac:dyDescent="0.2">
      <c r="D20">
        <f t="shared" si="1"/>
        <v>1967</v>
      </c>
      <c r="E20">
        <v>76.298999999999992</v>
      </c>
      <c r="F20">
        <v>98.591999999999999</v>
      </c>
      <c r="G20">
        <v>32.483000000000004</v>
      </c>
      <c r="H20">
        <v>316.31299999999999</v>
      </c>
      <c r="I20">
        <v>530.41699999999992</v>
      </c>
      <c r="J20">
        <v>279.93400000000003</v>
      </c>
    </row>
    <row r="21" spans="4:10" x14ac:dyDescent="0.2">
      <c r="D21">
        <f t="shared" si="1"/>
        <v>1968</v>
      </c>
      <c r="E21">
        <v>80.513999999999996</v>
      </c>
      <c r="F21">
        <v>107.79900000000001</v>
      </c>
      <c r="G21">
        <v>32.826000000000001</v>
      </c>
      <c r="H21">
        <v>319.43800000000005</v>
      </c>
      <c r="I21">
        <v>554.80499999999995</v>
      </c>
      <c r="J21">
        <v>292.24200000000002</v>
      </c>
    </row>
    <row r="22" spans="4:10" x14ac:dyDescent="0.2">
      <c r="D22">
        <f t="shared" si="1"/>
        <v>1969</v>
      </c>
      <c r="E22">
        <v>86.722000000000008</v>
      </c>
      <c r="F22">
        <v>119.41</v>
      </c>
      <c r="G22">
        <v>33.270000000000003</v>
      </c>
      <c r="H22">
        <v>337.40999999999997</v>
      </c>
      <c r="I22">
        <v>589.67200000000003</v>
      </c>
      <c r="J22">
        <v>299.59899999999999</v>
      </c>
    </row>
    <row r="23" spans="4:10" x14ac:dyDescent="0.2">
      <c r="D23">
        <f t="shared" si="1"/>
        <v>1970</v>
      </c>
      <c r="E23">
        <v>91.995000000000005</v>
      </c>
      <c r="F23">
        <v>131.20499999999998</v>
      </c>
      <c r="G23">
        <v>33.298999999999999</v>
      </c>
      <c r="H23">
        <v>348.63100000000003</v>
      </c>
      <c r="I23">
        <v>618.94000000000005</v>
      </c>
      <c r="J23">
        <v>290.55399999999997</v>
      </c>
    </row>
    <row r="24" spans="4:10" x14ac:dyDescent="0.2">
      <c r="D24">
        <f t="shared" si="1"/>
        <v>1971</v>
      </c>
      <c r="E24">
        <v>97.228000000000009</v>
      </c>
      <c r="F24">
        <v>130.69800000000001</v>
      </c>
      <c r="G24">
        <v>34.319000000000003</v>
      </c>
      <c r="H24">
        <v>355.92899999999997</v>
      </c>
      <c r="I24">
        <v>613.71100000000001</v>
      </c>
      <c r="J24">
        <v>300.09299999999996</v>
      </c>
    </row>
    <row r="25" spans="4:10" x14ac:dyDescent="0.2">
      <c r="D25">
        <f t="shared" si="1"/>
        <v>1972</v>
      </c>
      <c r="E25">
        <v>92.242999999999995</v>
      </c>
      <c r="F25">
        <v>141.452</v>
      </c>
      <c r="G25">
        <v>35.679000000000002</v>
      </c>
      <c r="H25">
        <v>359.20299999999997</v>
      </c>
      <c r="I25">
        <v>645.05799999999999</v>
      </c>
      <c r="J25">
        <v>317.96699999999998</v>
      </c>
    </row>
    <row r="26" spans="4:10" x14ac:dyDescent="0.2">
      <c r="D26">
        <f t="shared" si="1"/>
        <v>1973</v>
      </c>
      <c r="E26">
        <v>95.317999999999998</v>
      </c>
      <c r="F26">
        <v>154.63800000000001</v>
      </c>
      <c r="G26">
        <v>38.140999999999998</v>
      </c>
      <c r="H26">
        <v>394.65299999999996</v>
      </c>
      <c r="I26">
        <v>706.14699999999993</v>
      </c>
      <c r="J26">
        <v>322.09000000000003</v>
      </c>
    </row>
    <row r="27" spans="4:10" x14ac:dyDescent="0.2">
      <c r="D27">
        <f t="shared" si="1"/>
        <v>1974</v>
      </c>
      <c r="E27">
        <v>93.320000000000007</v>
      </c>
      <c r="F27">
        <v>158.94799999999998</v>
      </c>
      <c r="G27">
        <v>41.178000000000004</v>
      </c>
      <c r="H27">
        <v>287.37899999999996</v>
      </c>
      <c r="I27">
        <v>721.36299999999994</v>
      </c>
      <c r="J27">
        <v>299.173</v>
      </c>
    </row>
    <row r="28" spans="4:10" x14ac:dyDescent="0.2">
      <c r="D28">
        <f t="shared" si="1"/>
        <v>1975</v>
      </c>
      <c r="E28">
        <v>94.358000000000004</v>
      </c>
      <c r="F28">
        <v>159.58600000000001</v>
      </c>
      <c r="G28">
        <v>42.378999999999998</v>
      </c>
      <c r="H28">
        <v>313.37199999999996</v>
      </c>
      <c r="I28">
        <v>706.15499999999997</v>
      </c>
      <c r="J28">
        <v>284.67</v>
      </c>
    </row>
    <row r="29" spans="4:10" x14ac:dyDescent="0.2">
      <c r="D29">
        <f t="shared" si="1"/>
        <v>1976</v>
      </c>
      <c r="E29">
        <v>107.41199999999999</v>
      </c>
      <c r="F29">
        <v>172.33200000000002</v>
      </c>
      <c r="G29">
        <v>43.267000000000003</v>
      </c>
      <c r="H29">
        <v>373.68799999999999</v>
      </c>
      <c r="I29">
        <v>755.50400000000013</v>
      </c>
      <c r="J29">
        <v>302.26100000000002</v>
      </c>
    </row>
    <row r="30" spans="4:10" x14ac:dyDescent="0.2">
      <c r="D30">
        <f t="shared" si="1"/>
        <v>1977</v>
      </c>
      <c r="E30">
        <v>111.89500000000001</v>
      </c>
      <c r="F30">
        <v>177.48599999999999</v>
      </c>
      <c r="G30">
        <v>44.809000000000005</v>
      </c>
      <c r="H30">
        <v>322.18799999999999</v>
      </c>
      <c r="I30">
        <v>787.49600000000009</v>
      </c>
      <c r="J30">
        <v>319.34800000000001</v>
      </c>
    </row>
    <row r="31" spans="4:10" x14ac:dyDescent="0.2">
      <c r="D31">
        <f t="shared" si="1"/>
        <v>1978</v>
      </c>
      <c r="E31">
        <v>123.621</v>
      </c>
      <c r="F31">
        <v>202.84500000000003</v>
      </c>
      <c r="G31">
        <v>50.859000000000002</v>
      </c>
      <c r="H31">
        <v>410.92399999999998</v>
      </c>
      <c r="I31">
        <v>820.77</v>
      </c>
      <c r="J31">
        <v>327.43199999999996</v>
      </c>
    </row>
    <row r="32" spans="4:10" x14ac:dyDescent="0.2">
      <c r="D32">
        <f t="shared" si="1"/>
        <v>1979</v>
      </c>
      <c r="E32">
        <v>137.01499999999999</v>
      </c>
      <c r="F32">
        <v>225.501</v>
      </c>
      <c r="G32">
        <v>53.384</v>
      </c>
      <c r="H32">
        <v>320.77399999999994</v>
      </c>
      <c r="I32">
        <v>853.88400000000001</v>
      </c>
      <c r="J32">
        <v>308.35499999999996</v>
      </c>
    </row>
    <row r="33" spans="4:10" x14ac:dyDescent="0.2">
      <c r="D33">
        <f t="shared" si="1"/>
        <v>1980</v>
      </c>
      <c r="E33">
        <v>134.02799999999999</v>
      </c>
      <c r="F33">
        <v>231.92500000000001</v>
      </c>
      <c r="G33">
        <v>52.995999999999995</v>
      </c>
      <c r="H33">
        <v>269.39100000000002</v>
      </c>
      <c r="I33">
        <v>820.10900000000004</v>
      </c>
      <c r="J33">
        <v>312.80000000000007</v>
      </c>
    </row>
    <row r="34" spans="4:10" x14ac:dyDescent="0.2">
      <c r="D34">
        <f t="shared" si="1"/>
        <v>1981</v>
      </c>
      <c r="E34">
        <v>142.21899999999997</v>
      </c>
      <c r="F34">
        <v>243.953</v>
      </c>
      <c r="G34">
        <v>56.680999999999997</v>
      </c>
      <c r="H34">
        <v>237.63799999999998</v>
      </c>
      <c r="I34">
        <v>792.41800000000012</v>
      </c>
      <c r="J34">
        <v>326.71100000000001</v>
      </c>
    </row>
    <row r="35" spans="4:10" x14ac:dyDescent="0.2">
      <c r="D35">
        <f t="shared" si="1"/>
        <v>1982</v>
      </c>
      <c r="E35">
        <v>121.75799999999998</v>
      </c>
      <c r="F35">
        <v>230.67700000000002</v>
      </c>
      <c r="G35">
        <v>55.085000000000001</v>
      </c>
      <c r="H35">
        <v>249.25900000000001</v>
      </c>
      <c r="I35">
        <v>689.91</v>
      </c>
      <c r="J35">
        <v>292.04500000000002</v>
      </c>
    </row>
    <row r="36" spans="4:10" x14ac:dyDescent="0.2">
      <c r="D36">
        <f t="shared" si="1"/>
        <v>1983</v>
      </c>
      <c r="E36">
        <v>122.35599999999999</v>
      </c>
      <c r="F36">
        <v>241.96400000000003</v>
      </c>
      <c r="G36">
        <v>61.390999999999998</v>
      </c>
      <c r="H36">
        <v>215.2</v>
      </c>
      <c r="I36">
        <v>692.46899999999994</v>
      </c>
      <c r="J36">
        <v>278.983</v>
      </c>
    </row>
    <row r="37" spans="4:10" x14ac:dyDescent="0.2">
      <c r="D37">
        <f t="shared" si="1"/>
        <v>1984</v>
      </c>
      <c r="E37">
        <v>117.529</v>
      </c>
      <c r="F37">
        <v>265.29900000000004</v>
      </c>
      <c r="G37">
        <v>73.323000000000008</v>
      </c>
      <c r="H37">
        <v>217.19900000000001</v>
      </c>
      <c r="I37">
        <v>709.51</v>
      </c>
      <c r="J37">
        <v>330.44099999999997</v>
      </c>
    </row>
    <row r="38" spans="4:10" x14ac:dyDescent="0.2">
      <c r="D38">
        <f t="shared" si="1"/>
        <v>1985</v>
      </c>
      <c r="E38">
        <v>111.55599999999998</v>
      </c>
      <c r="F38">
        <v>272.56799999999998</v>
      </c>
      <c r="G38">
        <v>77.944000000000017</v>
      </c>
      <c r="H38">
        <v>183.43600000000001</v>
      </c>
      <c r="I38">
        <v>683.00199999999995</v>
      </c>
      <c r="J38">
        <v>314.02800000000002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J60"/>
  <sheetViews>
    <sheetView topLeftCell="A36" workbookViewId="0">
      <selection activeCell="D52" sqref="D52"/>
    </sheetView>
  </sheetViews>
  <sheetFormatPr defaultRowHeight="12.75" x14ac:dyDescent="0.2"/>
  <cols>
    <col min="4" max="4" width="10.42578125" customWidth="1"/>
    <col min="5" max="5" width="11" customWidth="1"/>
    <col min="6" max="6" width="11.28515625" customWidth="1"/>
    <col min="8" max="8" width="10.42578125" customWidth="1"/>
    <col min="10" max="10" width="10" customWidth="1"/>
    <col min="12" max="12" width="23.7109375" customWidth="1"/>
  </cols>
  <sheetData>
    <row r="3" spans="1:36" x14ac:dyDescent="0.2">
      <c r="L3" t="s">
        <v>246</v>
      </c>
    </row>
    <row r="5" spans="1:36" x14ac:dyDescent="0.2">
      <c r="D5" t="s">
        <v>5</v>
      </c>
      <c r="E5" t="s">
        <v>244</v>
      </c>
    </row>
    <row r="6" spans="1:36" x14ac:dyDescent="0.2">
      <c r="M6" s="58" t="s">
        <v>0</v>
      </c>
      <c r="N6" s="58"/>
      <c r="O6" s="58"/>
      <c r="P6" s="58"/>
      <c r="Q6" s="58" t="s">
        <v>7</v>
      </c>
      <c r="R6" s="58"/>
      <c r="S6" s="58"/>
      <c r="T6" s="58"/>
      <c r="U6" s="58" t="s">
        <v>13</v>
      </c>
      <c r="V6" s="58"/>
      <c r="W6" s="58"/>
      <c r="X6" s="58"/>
      <c r="Y6" s="58" t="s">
        <v>14</v>
      </c>
      <c r="Z6" s="58"/>
      <c r="AA6" s="58"/>
      <c r="AB6" s="58"/>
      <c r="AC6" s="58" t="s">
        <v>9</v>
      </c>
      <c r="AD6" s="58"/>
      <c r="AE6" s="58"/>
      <c r="AF6" s="58"/>
      <c r="AH6" t="s">
        <v>41</v>
      </c>
    </row>
    <row r="7" spans="1:36" x14ac:dyDescent="0.2">
      <c r="B7" t="s">
        <v>239</v>
      </c>
      <c r="D7" t="s">
        <v>238</v>
      </c>
      <c r="E7" t="s">
        <v>240</v>
      </c>
      <c r="F7" t="s">
        <v>242</v>
      </c>
      <c r="G7" t="s">
        <v>241</v>
      </c>
      <c r="H7" t="s">
        <v>243</v>
      </c>
      <c r="M7" s="2">
        <v>1992</v>
      </c>
      <c r="N7" s="2">
        <v>1987</v>
      </c>
      <c r="O7" s="2">
        <v>1982</v>
      </c>
      <c r="P7" s="2">
        <v>1977</v>
      </c>
      <c r="Q7" s="2">
        <v>1992</v>
      </c>
      <c r="R7" s="2">
        <v>1987</v>
      </c>
      <c r="S7" s="2">
        <v>1982</v>
      </c>
      <c r="T7" s="2">
        <v>1977</v>
      </c>
      <c r="U7" s="2">
        <v>1992</v>
      </c>
      <c r="V7" s="2">
        <v>1987</v>
      </c>
      <c r="W7" s="2">
        <v>1982</v>
      </c>
      <c r="X7" s="2">
        <v>1977</v>
      </c>
      <c r="Y7" s="2">
        <v>1992</v>
      </c>
      <c r="Z7" s="2">
        <v>1987</v>
      </c>
      <c r="AA7" s="2">
        <v>1982</v>
      </c>
      <c r="AB7" s="2">
        <v>1977</v>
      </c>
      <c r="AC7" s="2">
        <v>1992</v>
      </c>
      <c r="AD7" s="2">
        <v>1987</v>
      </c>
      <c r="AE7" s="2">
        <v>1982</v>
      </c>
      <c r="AF7" s="2">
        <v>1977</v>
      </c>
      <c r="AH7">
        <v>1992</v>
      </c>
      <c r="AI7">
        <v>1987</v>
      </c>
      <c r="AJ7" t="s">
        <v>42</v>
      </c>
    </row>
    <row r="8" spans="1:36" x14ac:dyDescent="0.2">
      <c r="D8" t="s">
        <v>6</v>
      </c>
      <c r="E8" t="s">
        <v>7</v>
      </c>
      <c r="F8" t="s">
        <v>10</v>
      </c>
      <c r="G8" t="s">
        <v>8</v>
      </c>
      <c r="H8" t="s">
        <v>11</v>
      </c>
      <c r="I8" t="s">
        <v>9</v>
      </c>
      <c r="J8" t="s">
        <v>221</v>
      </c>
      <c r="K8">
        <v>1</v>
      </c>
      <c r="L8" t="s">
        <v>12</v>
      </c>
      <c r="M8">
        <v>132.5</v>
      </c>
      <c r="N8">
        <v>89.5</v>
      </c>
      <c r="O8">
        <v>66.400000000000006</v>
      </c>
      <c r="P8">
        <v>48.7</v>
      </c>
      <c r="Q8">
        <v>22.2</v>
      </c>
      <c r="R8">
        <v>16.8</v>
      </c>
      <c r="S8">
        <v>13.7</v>
      </c>
      <c r="T8">
        <v>24.4</v>
      </c>
      <c r="U8">
        <v>418.6</v>
      </c>
      <c r="V8">
        <v>323.7</v>
      </c>
      <c r="W8" s="1">
        <v>256.5</v>
      </c>
      <c r="X8" s="1">
        <v>213.9</v>
      </c>
      <c r="Y8">
        <v>44.6</v>
      </c>
      <c r="Z8">
        <v>32.9</v>
      </c>
      <c r="AA8" s="5">
        <f>$AJ8*W8</f>
        <v>24.1811446403715</v>
      </c>
      <c r="AB8" s="5">
        <f>$AJ8*X8</f>
        <v>20.165094887233778</v>
      </c>
      <c r="AC8">
        <v>29</v>
      </c>
      <c r="AD8">
        <v>30.3</v>
      </c>
      <c r="AE8">
        <v>27.9</v>
      </c>
      <c r="AF8">
        <v>70.900000000000006</v>
      </c>
      <c r="AH8">
        <f>Y8/(U8+Y8)</f>
        <v>9.6286701208981001E-2</v>
      </c>
      <c r="AI8">
        <f>Z8/(V8+Z8)</f>
        <v>9.2260235558048242E-2</v>
      </c>
      <c r="AJ8">
        <f>AVERAGE(AH8,AI8)</f>
        <v>9.4273468383514622E-2</v>
      </c>
    </row>
    <row r="9" spans="1:36" x14ac:dyDescent="0.2">
      <c r="C9">
        <v>1972</v>
      </c>
      <c r="K9">
        <f>K8+1</f>
        <v>2</v>
      </c>
      <c r="L9" t="s">
        <v>15</v>
      </c>
      <c r="M9">
        <v>19</v>
      </c>
      <c r="N9">
        <v>19.8</v>
      </c>
      <c r="O9">
        <v>26.9</v>
      </c>
      <c r="P9">
        <v>10.1</v>
      </c>
      <c r="Q9">
        <v>3</v>
      </c>
      <c r="R9">
        <v>2.9</v>
      </c>
      <c r="S9">
        <v>3.1</v>
      </c>
      <c r="T9">
        <v>4.4000000000000004</v>
      </c>
      <c r="U9">
        <v>38</v>
      </c>
      <c r="V9">
        <v>46.6</v>
      </c>
      <c r="W9" s="1">
        <v>31.9</v>
      </c>
      <c r="X9" s="1">
        <v>22.3</v>
      </c>
      <c r="Y9">
        <v>7.4</v>
      </c>
      <c r="Z9">
        <v>5.5</v>
      </c>
      <c r="AA9" s="5">
        <f t="shared" ref="AA9:AA33" si="0">$AJ9*W9</f>
        <v>4.2835609257020133</v>
      </c>
      <c r="AB9" s="5">
        <f t="shared" ref="AB9:AB33" si="1">$AJ9*X9</f>
        <v>2.9944642207885552</v>
      </c>
      <c r="AC9">
        <v>3.6</v>
      </c>
      <c r="AD9">
        <v>5.2</v>
      </c>
      <c r="AE9">
        <v>5.2</v>
      </c>
      <c r="AF9">
        <v>9.6</v>
      </c>
      <c r="AH9">
        <f t="shared" ref="AH9:AH33" si="2">Y9/(U9+Y9)</f>
        <v>0.16299559471365641</v>
      </c>
      <c r="AI9">
        <f t="shared" ref="AI9:AI33" si="3">Z9/(V9+Z9)</f>
        <v>0.10556621880998081</v>
      </c>
      <c r="AJ9">
        <f t="shared" ref="AJ9:AJ33" si="4">AVERAGE(AH9,AI9)</f>
        <v>0.13428090676181861</v>
      </c>
    </row>
    <row r="10" spans="1:36" x14ac:dyDescent="0.2">
      <c r="C10">
        <v>1977</v>
      </c>
      <c r="D10" s="3">
        <v>468</v>
      </c>
      <c r="E10" s="3">
        <v>227</v>
      </c>
      <c r="F10" s="3">
        <v>2573</v>
      </c>
      <c r="G10" s="3">
        <f>$AB$35</f>
        <v>779.30086830832181</v>
      </c>
      <c r="H10" s="3">
        <f>348+I10</f>
        <v>472</v>
      </c>
      <c r="I10">
        <v>124</v>
      </c>
      <c r="J10">
        <f>G10/F10</f>
        <v>0.30287635767909904</v>
      </c>
      <c r="K10">
        <f t="shared" ref="K10:K16" si="5">K9+1</f>
        <v>3</v>
      </c>
      <c r="L10" t="s">
        <v>16</v>
      </c>
      <c r="M10">
        <v>114.9</v>
      </c>
      <c r="N10">
        <v>143</v>
      </c>
      <c r="O10">
        <v>70.5</v>
      </c>
      <c r="P10">
        <v>65.5</v>
      </c>
      <c r="Q10">
        <v>81.099999999999994</v>
      </c>
      <c r="R10">
        <v>30.5</v>
      </c>
      <c r="S10">
        <v>15.2</v>
      </c>
      <c r="T10">
        <v>23.1</v>
      </c>
      <c r="U10">
        <v>119.1</v>
      </c>
      <c r="V10">
        <v>168.9</v>
      </c>
      <c r="W10" s="1">
        <v>67.2</v>
      </c>
      <c r="X10" s="1">
        <v>98.6</v>
      </c>
      <c r="Y10">
        <v>16.600000000000001</v>
      </c>
      <c r="Z10">
        <v>18.5</v>
      </c>
      <c r="AA10" s="5">
        <f t="shared" si="0"/>
        <v>7.4272122336530861</v>
      </c>
      <c r="AB10" s="5">
        <f t="shared" si="1"/>
        <v>10.897665569020747</v>
      </c>
      <c r="AC10">
        <v>7.2</v>
      </c>
      <c r="AD10">
        <v>18.100000000000001</v>
      </c>
      <c r="AE10">
        <v>9.4</v>
      </c>
      <c r="AF10">
        <v>44.8</v>
      </c>
      <c r="AH10">
        <f t="shared" si="2"/>
        <v>0.1223286661753869</v>
      </c>
      <c r="AI10">
        <f t="shared" si="3"/>
        <v>9.8719316969050161E-2</v>
      </c>
      <c r="AJ10">
        <f t="shared" si="4"/>
        <v>0.11052399157221854</v>
      </c>
    </row>
    <row r="11" spans="1:36" x14ac:dyDescent="0.2">
      <c r="C11">
        <v>1982</v>
      </c>
      <c r="D11" s="56">
        <f>O35</f>
        <v>823.4</v>
      </c>
      <c r="E11" s="56">
        <f>S35</f>
        <v>265.5</v>
      </c>
      <c r="F11" s="3">
        <f>$W$35</f>
        <v>4534.0999999999995</v>
      </c>
      <c r="G11" s="3">
        <f>$AA$35</f>
        <v>1416.7471313555266</v>
      </c>
      <c r="H11" s="3">
        <f>AE35</f>
        <v>407.2000000000001</v>
      </c>
      <c r="J11">
        <f>G11/F11</f>
        <v>0.31246490623398837</v>
      </c>
      <c r="K11">
        <f t="shared" si="5"/>
        <v>4</v>
      </c>
      <c r="L11" t="s">
        <v>17</v>
      </c>
      <c r="M11">
        <v>31.2</v>
      </c>
      <c r="N11">
        <v>29.8</v>
      </c>
      <c r="O11">
        <v>24</v>
      </c>
      <c r="P11">
        <v>21.8</v>
      </c>
      <c r="Q11">
        <v>8.3000000000000007</v>
      </c>
      <c r="R11">
        <v>9.4</v>
      </c>
      <c r="S11">
        <v>7.2</v>
      </c>
      <c r="T11">
        <v>10.199999999999999</v>
      </c>
      <c r="U11">
        <v>88.9</v>
      </c>
      <c r="V11">
        <v>96.8</v>
      </c>
      <c r="W11" s="1">
        <v>90.6</v>
      </c>
      <c r="X11" s="1">
        <v>65.400000000000006</v>
      </c>
      <c r="Y11">
        <v>21.5</v>
      </c>
      <c r="Z11">
        <v>22.5</v>
      </c>
      <c r="AA11" s="5">
        <f t="shared" si="0"/>
        <v>17.3655984638653</v>
      </c>
      <c r="AB11" s="5">
        <f t="shared" si="1"/>
        <v>12.535432003717338</v>
      </c>
      <c r="AC11">
        <v>8.9</v>
      </c>
      <c r="AD11">
        <v>12.1</v>
      </c>
      <c r="AE11">
        <v>8.6999999999999993</v>
      </c>
      <c r="AF11">
        <v>20.3</v>
      </c>
      <c r="AH11">
        <f t="shared" si="2"/>
        <v>0.19474637681159418</v>
      </c>
      <c r="AI11">
        <f t="shared" si="3"/>
        <v>0.18860016764459347</v>
      </c>
      <c r="AJ11">
        <f t="shared" si="4"/>
        <v>0.19167327222809383</v>
      </c>
    </row>
    <row r="12" spans="1:36" x14ac:dyDescent="0.2">
      <c r="C12">
        <v>1987</v>
      </c>
      <c r="D12" s="3">
        <v>1089.3</v>
      </c>
      <c r="E12" s="3">
        <v>303.5</v>
      </c>
      <c r="F12" s="3">
        <v>4125.2</v>
      </c>
      <c r="G12" s="3">
        <v>1601.5</v>
      </c>
      <c r="H12" s="3">
        <v>519.20000000000005</v>
      </c>
      <c r="J12">
        <f t="shared" ref="J12:J18" si="6">G12/(G12+F12)</f>
        <v>0.27965494962194631</v>
      </c>
      <c r="K12">
        <f t="shared" si="5"/>
        <v>5</v>
      </c>
      <c r="L12" t="s">
        <v>36</v>
      </c>
      <c r="M12">
        <v>287.89999999999998</v>
      </c>
      <c r="N12">
        <v>123.9</v>
      </c>
      <c r="O12">
        <v>76.099999999999994</v>
      </c>
      <c r="P12">
        <v>54.8</v>
      </c>
      <c r="Q12">
        <v>44.2</v>
      </c>
      <c r="R12">
        <v>34.6</v>
      </c>
      <c r="S12">
        <v>19.3</v>
      </c>
      <c r="T12">
        <v>26.5</v>
      </c>
      <c r="U12">
        <v>353.2</v>
      </c>
      <c r="V12">
        <v>337.7</v>
      </c>
      <c r="W12" s="1">
        <v>213.7</v>
      </c>
      <c r="X12" s="1">
        <v>126.4</v>
      </c>
      <c r="Y12">
        <v>69.2</v>
      </c>
      <c r="Z12">
        <v>66.599999999999994</v>
      </c>
      <c r="AA12" s="5">
        <f t="shared" si="0"/>
        <v>35.106093104711476</v>
      </c>
      <c r="AB12" s="5">
        <f t="shared" si="1"/>
        <v>20.764670886455455</v>
      </c>
      <c r="AC12">
        <v>41.5</v>
      </c>
      <c r="AD12">
        <v>37.4</v>
      </c>
      <c r="AE12">
        <v>23.4</v>
      </c>
      <c r="AF12">
        <v>42.2</v>
      </c>
      <c r="AH12">
        <f t="shared" si="2"/>
        <v>0.1638257575757576</v>
      </c>
      <c r="AI12">
        <f t="shared" si="3"/>
        <v>0.16472916151372743</v>
      </c>
      <c r="AJ12">
        <f t="shared" si="4"/>
        <v>0.16427745954474252</v>
      </c>
    </row>
    <row r="13" spans="1:36" x14ac:dyDescent="0.2">
      <c r="C13">
        <v>1992</v>
      </c>
      <c r="D13" s="3">
        <v>1469</v>
      </c>
      <c r="E13" s="3">
        <v>464.2</v>
      </c>
      <c r="F13" s="3">
        <v>4479.8999999999996</v>
      </c>
      <c r="G13" s="3">
        <v>1760.9</v>
      </c>
      <c r="H13" s="3">
        <v>516.9</v>
      </c>
      <c r="J13">
        <f t="shared" si="6"/>
        <v>0.28215933854634023</v>
      </c>
      <c r="K13">
        <f t="shared" si="5"/>
        <v>6</v>
      </c>
      <c r="L13" t="s">
        <v>18</v>
      </c>
      <c r="M13">
        <v>124</v>
      </c>
      <c r="N13">
        <v>103.6</v>
      </c>
      <c r="O13">
        <v>82.8</v>
      </c>
      <c r="P13">
        <v>46.7</v>
      </c>
      <c r="Q13">
        <v>97.4</v>
      </c>
      <c r="R13">
        <v>76.2</v>
      </c>
      <c r="S13">
        <v>69.2</v>
      </c>
      <c r="T13">
        <v>35</v>
      </c>
      <c r="U13">
        <v>380.4</v>
      </c>
      <c r="V13">
        <v>398</v>
      </c>
      <c r="W13" s="1">
        <v>709.4</v>
      </c>
      <c r="X13" s="1">
        <v>438.5</v>
      </c>
      <c r="Y13">
        <v>486.3</v>
      </c>
      <c r="Z13">
        <v>488.2</v>
      </c>
      <c r="AA13" s="5">
        <f t="shared" si="0"/>
        <v>394.421168427015</v>
      </c>
      <c r="AB13" s="5">
        <f t="shared" si="1"/>
        <v>243.80276621827755</v>
      </c>
      <c r="AC13">
        <v>122.7</v>
      </c>
      <c r="AD13">
        <v>97.7</v>
      </c>
      <c r="AE13">
        <v>66</v>
      </c>
      <c r="AF13">
        <v>66.900000000000006</v>
      </c>
      <c r="AH13">
        <f t="shared" si="2"/>
        <v>0.5610938040844583</v>
      </c>
      <c r="AI13">
        <f t="shared" si="3"/>
        <v>0.55089144662604372</v>
      </c>
      <c r="AJ13">
        <f t="shared" si="4"/>
        <v>0.55599262535525096</v>
      </c>
    </row>
    <row r="14" spans="1:36" x14ac:dyDescent="0.2">
      <c r="C14">
        <v>1997</v>
      </c>
      <c r="D14" s="3">
        <v>1740.8</v>
      </c>
      <c r="E14" s="3">
        <v>514.79999999999995</v>
      </c>
      <c r="F14" s="3">
        <v>5335.6</v>
      </c>
      <c r="G14" s="3">
        <v>2117.1999999999998</v>
      </c>
      <c r="H14" s="3">
        <v>548.29999999999995</v>
      </c>
      <c r="J14">
        <f t="shared" si="6"/>
        <v>0.28408115070845852</v>
      </c>
      <c r="K14">
        <f t="shared" si="5"/>
        <v>7</v>
      </c>
      <c r="L14" t="s">
        <v>19</v>
      </c>
      <c r="M14">
        <v>18</v>
      </c>
      <c r="N14">
        <v>12.6</v>
      </c>
      <c r="O14">
        <v>8.9</v>
      </c>
      <c r="P14">
        <v>3.3</v>
      </c>
      <c r="Q14">
        <v>4.5999999999999996</v>
      </c>
      <c r="R14">
        <v>2.7</v>
      </c>
      <c r="S14">
        <v>2.5</v>
      </c>
      <c r="T14">
        <v>5.9</v>
      </c>
      <c r="U14">
        <v>38.9</v>
      </c>
      <c r="V14">
        <v>32</v>
      </c>
      <c r="W14" s="1">
        <v>52.4</v>
      </c>
      <c r="X14" s="1">
        <v>24.2</v>
      </c>
      <c r="Y14">
        <v>38.700000000000003</v>
      </c>
      <c r="Z14">
        <v>33.6</v>
      </c>
      <c r="AA14" s="5">
        <f t="shared" si="0"/>
        <v>26.485749308524014</v>
      </c>
      <c r="AB14" s="5">
        <f t="shared" si="1"/>
        <v>12.231968192104601</v>
      </c>
      <c r="AC14">
        <v>7.7</v>
      </c>
      <c r="AD14">
        <v>6.9</v>
      </c>
      <c r="AE14">
        <v>5.9</v>
      </c>
      <c r="AF14">
        <v>4</v>
      </c>
      <c r="AH14">
        <f t="shared" si="2"/>
        <v>0.49871134020618563</v>
      </c>
      <c r="AI14">
        <f t="shared" si="3"/>
        <v>0.51219512195121952</v>
      </c>
      <c r="AJ14">
        <f t="shared" si="4"/>
        <v>0.50545323107870255</v>
      </c>
    </row>
    <row r="15" spans="1:36" x14ac:dyDescent="0.2">
      <c r="C15">
        <v>2002</v>
      </c>
      <c r="D15" s="3">
        <f>[8]ECN_2002_US_23I04A_with_ann!$AN$36</f>
        <v>2595.9500000000003</v>
      </c>
      <c r="E15" s="3">
        <f>[8]ECN_2002_US_23I04A_with_ann!$AO$36</f>
        <v>1024.7670000000001</v>
      </c>
      <c r="F15" s="3">
        <f>[8]ECN_2002_US_23I04A_with_ann!$AQ$36</f>
        <v>8023.6909999999998</v>
      </c>
      <c r="G15" s="3">
        <f>[8]ECN_2002_US_23I04A_with_ann!$AR$36</f>
        <v>2885.788</v>
      </c>
      <c r="H15" s="3">
        <f>[8]ECN_2002_US_23I04A_with_ann!$AS$36</f>
        <v>868.36099999999999</v>
      </c>
      <c r="J15">
        <f t="shared" si="6"/>
        <v>0.26452115632653039</v>
      </c>
      <c r="K15">
        <f t="shared" si="5"/>
        <v>8</v>
      </c>
      <c r="L15" t="s">
        <v>20</v>
      </c>
      <c r="M15">
        <v>46.5</v>
      </c>
      <c r="N15">
        <v>32.1</v>
      </c>
      <c r="O15">
        <v>27.4</v>
      </c>
      <c r="P15">
        <v>16</v>
      </c>
      <c r="Q15">
        <v>10.5</v>
      </c>
      <c r="R15">
        <v>7.7</v>
      </c>
      <c r="S15">
        <v>7.6</v>
      </c>
      <c r="T15">
        <v>6.3</v>
      </c>
      <c r="U15">
        <v>256.5</v>
      </c>
      <c r="V15">
        <v>209.8</v>
      </c>
      <c r="W15" s="1">
        <v>382.1</v>
      </c>
      <c r="X15" s="1">
        <v>192.9</v>
      </c>
      <c r="Y15">
        <v>235.6</v>
      </c>
      <c r="Z15">
        <v>190.5</v>
      </c>
      <c r="AA15" s="5">
        <f t="shared" si="0"/>
        <v>182.38732663822597</v>
      </c>
      <c r="AB15" s="5">
        <f t="shared" si="1"/>
        <v>92.076721561145746</v>
      </c>
      <c r="AC15">
        <v>42.9</v>
      </c>
      <c r="AD15">
        <v>36.299999999999997</v>
      </c>
      <c r="AE15">
        <v>26.2</v>
      </c>
      <c r="AF15">
        <v>27.1</v>
      </c>
      <c r="AH15">
        <f t="shared" si="2"/>
        <v>0.47876447876447875</v>
      </c>
      <c r="AI15">
        <f t="shared" si="3"/>
        <v>0.4758930801898576</v>
      </c>
      <c r="AJ15">
        <f t="shared" si="4"/>
        <v>0.47732877947716817</v>
      </c>
    </row>
    <row r="16" spans="1:36" x14ac:dyDescent="0.2">
      <c r="A16" t="s">
        <v>237</v>
      </c>
      <c r="C16">
        <v>2007</v>
      </c>
      <c r="D16" s="3">
        <v>5749.3</v>
      </c>
      <c r="E16" s="3">
        <v>1709.2</v>
      </c>
      <c r="F16" s="3">
        <f>[9]ECN_2007_US_23I1_with_ann!$BI$36</f>
        <v>17977.313000000002</v>
      </c>
      <c r="G16" s="3">
        <v>5677.9</v>
      </c>
      <c r="H16" s="3">
        <v>1187.5</v>
      </c>
      <c r="J16">
        <f t="shared" si="6"/>
        <v>0.24002743074010785</v>
      </c>
      <c r="K16">
        <f t="shared" si="5"/>
        <v>9</v>
      </c>
      <c r="L16" t="s">
        <v>21</v>
      </c>
      <c r="M16">
        <v>74.3</v>
      </c>
      <c r="N16">
        <v>65.8</v>
      </c>
      <c r="O16">
        <v>105.8</v>
      </c>
      <c r="P16">
        <v>42.7</v>
      </c>
      <c r="Q16">
        <v>27.9</v>
      </c>
      <c r="R16">
        <v>5.4</v>
      </c>
      <c r="S16">
        <v>17</v>
      </c>
      <c r="T16">
        <v>16.2</v>
      </c>
      <c r="U16">
        <v>257.10000000000002</v>
      </c>
      <c r="V16">
        <v>213.3</v>
      </c>
      <c r="W16" s="1">
        <v>465.3</v>
      </c>
      <c r="X16" s="1">
        <v>276.60000000000002</v>
      </c>
      <c r="Y16">
        <v>361.7</v>
      </c>
      <c r="Z16">
        <v>299.3</v>
      </c>
      <c r="AA16" s="5">
        <f t="shared" si="0"/>
        <v>271.82930547425309</v>
      </c>
      <c r="AB16" s="5">
        <f t="shared" si="1"/>
        <v>161.59034148759599</v>
      </c>
      <c r="AC16">
        <v>59.4</v>
      </c>
      <c r="AD16">
        <v>52.5</v>
      </c>
      <c r="AE16">
        <v>51.3</v>
      </c>
      <c r="AF16">
        <v>50</v>
      </c>
      <c r="AH16">
        <f t="shared" si="2"/>
        <v>0.5845184227537169</v>
      </c>
      <c r="AI16">
        <f t="shared" si="3"/>
        <v>0.58388607101053458</v>
      </c>
      <c r="AJ16">
        <f t="shared" si="4"/>
        <v>0.58420224688212574</v>
      </c>
    </row>
    <row r="17" spans="3:36" x14ac:dyDescent="0.2">
      <c r="C17">
        <v>2012</v>
      </c>
      <c r="D17" s="3">
        <v>2697.7</v>
      </c>
      <c r="E17" s="3">
        <v>845.9</v>
      </c>
      <c r="F17" s="3">
        <f>'[10]Energy Cost'!$H$35</f>
        <v>14795.421</v>
      </c>
      <c r="G17" s="3">
        <v>4942.8</v>
      </c>
      <c r="H17" s="3">
        <v>828.6</v>
      </c>
      <c r="J17">
        <f t="shared" si="6"/>
        <v>0.25041770481747061</v>
      </c>
      <c r="K17">
        <v>10</v>
      </c>
      <c r="L17" t="s">
        <v>22</v>
      </c>
      <c r="M17">
        <v>175.5</v>
      </c>
      <c r="N17">
        <v>119.5</v>
      </c>
      <c r="O17">
        <v>83.1</v>
      </c>
      <c r="P17">
        <v>41.3</v>
      </c>
      <c r="Q17">
        <v>44</v>
      </c>
      <c r="R17">
        <v>32.5</v>
      </c>
      <c r="S17">
        <v>29.9</v>
      </c>
      <c r="T17">
        <v>26.1</v>
      </c>
      <c r="U17">
        <v>624.6</v>
      </c>
      <c r="V17">
        <v>519</v>
      </c>
      <c r="W17" s="1">
        <v>434.3</v>
      </c>
      <c r="X17" s="1">
        <v>227</v>
      </c>
      <c r="Y17">
        <v>60.9</v>
      </c>
      <c r="Z17">
        <v>48.6</v>
      </c>
      <c r="AA17" s="5">
        <f t="shared" si="0"/>
        <v>37.88484483787547</v>
      </c>
      <c r="AB17" s="5">
        <f t="shared" si="1"/>
        <v>19.801657329490517</v>
      </c>
      <c r="AC17">
        <v>43.8</v>
      </c>
      <c r="AD17">
        <v>46.7</v>
      </c>
      <c r="AE17">
        <v>31.9</v>
      </c>
      <c r="AF17">
        <v>24.1</v>
      </c>
      <c r="AH17">
        <f t="shared" si="2"/>
        <v>8.8840262582056892E-2</v>
      </c>
      <c r="AI17">
        <f t="shared" si="3"/>
        <v>8.5623678646934459E-2</v>
      </c>
      <c r="AJ17">
        <f t="shared" si="4"/>
        <v>8.7231970614495669E-2</v>
      </c>
    </row>
    <row r="18" spans="3:36" x14ac:dyDescent="0.2">
      <c r="C18">
        <v>2017</v>
      </c>
      <c r="D18" s="3">
        <v>7925.7650000000003</v>
      </c>
      <c r="E18" s="3">
        <v>2554.7719999999999</v>
      </c>
      <c r="F18" s="3">
        <v>29038.09</v>
      </c>
      <c r="G18" s="3">
        <v>7692.09</v>
      </c>
      <c r="H18" s="3">
        <v>1998.7</v>
      </c>
      <c r="J18">
        <f t="shared" si="6"/>
        <v>0.20942151658391001</v>
      </c>
      <c r="K18">
        <v>11</v>
      </c>
      <c r="L18" t="s">
        <v>23</v>
      </c>
      <c r="M18">
        <v>27.7</v>
      </c>
      <c r="N18">
        <v>19.8</v>
      </c>
      <c r="O18">
        <v>13.8</v>
      </c>
      <c r="P18">
        <v>5.8</v>
      </c>
      <c r="Q18">
        <v>6.9</v>
      </c>
      <c r="R18">
        <v>4.5</v>
      </c>
      <c r="S18">
        <v>4.4000000000000004</v>
      </c>
      <c r="T18">
        <v>4.4000000000000004</v>
      </c>
      <c r="U18">
        <v>124.4</v>
      </c>
      <c r="V18">
        <v>114</v>
      </c>
      <c r="W18" s="1">
        <v>91.2</v>
      </c>
      <c r="X18" s="1">
        <v>54.9</v>
      </c>
      <c r="Y18">
        <v>15.5</v>
      </c>
      <c r="Z18">
        <v>15.3</v>
      </c>
      <c r="AA18" s="5">
        <f t="shared" si="0"/>
        <v>10.448003794556604</v>
      </c>
      <c r="AB18" s="5">
        <f t="shared" si="1"/>
        <v>6.2894233368547967</v>
      </c>
      <c r="AC18">
        <v>8.9</v>
      </c>
      <c r="AD18">
        <v>8.5</v>
      </c>
      <c r="AE18">
        <v>6.7</v>
      </c>
      <c r="AF18">
        <v>6</v>
      </c>
      <c r="AH18">
        <f t="shared" si="2"/>
        <v>0.11079342387419586</v>
      </c>
      <c r="AI18">
        <f t="shared" si="3"/>
        <v>0.11832946635730858</v>
      </c>
      <c r="AJ18">
        <f t="shared" si="4"/>
        <v>0.11456144511575223</v>
      </c>
    </row>
    <row r="19" spans="3:36" x14ac:dyDescent="0.2">
      <c r="L19" t="s">
        <v>24</v>
      </c>
      <c r="M19">
        <v>105.7</v>
      </c>
      <c r="N19">
        <v>81.099999999999994</v>
      </c>
      <c r="O19">
        <v>56.6</v>
      </c>
      <c r="P19">
        <v>28</v>
      </c>
      <c r="Q19">
        <v>19.3</v>
      </c>
      <c r="R19">
        <v>16.899999999999999</v>
      </c>
      <c r="S19">
        <v>13.7</v>
      </c>
      <c r="T19">
        <v>8.9</v>
      </c>
      <c r="U19">
        <v>383.3</v>
      </c>
      <c r="V19">
        <v>337.7</v>
      </c>
      <c r="W19" s="1">
        <v>294.7</v>
      </c>
      <c r="X19" s="1">
        <v>140.5</v>
      </c>
      <c r="Y19">
        <v>40</v>
      </c>
      <c r="Z19">
        <v>25.3</v>
      </c>
      <c r="AA19" s="5">
        <f t="shared" si="0"/>
        <v>24.193779503038893</v>
      </c>
      <c r="AB19" s="5">
        <f t="shared" si="1"/>
        <v>11.534530099005648</v>
      </c>
      <c r="AC19">
        <v>19.2</v>
      </c>
      <c r="AD19">
        <v>28.7</v>
      </c>
      <c r="AE19">
        <v>22.8</v>
      </c>
      <c r="AF19">
        <v>13.9</v>
      </c>
      <c r="AH19">
        <f t="shared" si="2"/>
        <v>9.4495629577132062E-2</v>
      </c>
      <c r="AI19">
        <f t="shared" si="3"/>
        <v>6.9696969696969702E-2</v>
      </c>
      <c r="AJ19">
        <f t="shared" si="4"/>
        <v>8.2096299637050882E-2</v>
      </c>
    </row>
    <row r="20" spans="3:36" x14ac:dyDescent="0.2">
      <c r="L20" t="s">
        <v>25</v>
      </c>
      <c r="M20">
        <v>16</v>
      </c>
      <c r="N20">
        <v>13</v>
      </c>
      <c r="O20">
        <v>8</v>
      </c>
      <c r="P20">
        <v>6.2</v>
      </c>
      <c r="Q20">
        <v>5.6</v>
      </c>
      <c r="R20">
        <v>3.2</v>
      </c>
      <c r="S20">
        <v>2.4</v>
      </c>
      <c r="T20">
        <v>3.6</v>
      </c>
      <c r="U20">
        <v>99.5</v>
      </c>
      <c r="V20">
        <v>100.8</v>
      </c>
      <c r="W20" s="1">
        <v>72</v>
      </c>
      <c r="X20" s="1">
        <v>54.5</v>
      </c>
      <c r="Y20">
        <v>21.9</v>
      </c>
      <c r="Z20">
        <v>15.3</v>
      </c>
      <c r="AA20" s="5">
        <f t="shared" si="0"/>
        <v>11.238419983908662</v>
      </c>
      <c r="AB20" s="5">
        <f t="shared" si="1"/>
        <v>8.5068595711530843</v>
      </c>
      <c r="AC20">
        <v>10.6</v>
      </c>
      <c r="AD20">
        <v>10.1</v>
      </c>
      <c r="AE20">
        <v>6.7</v>
      </c>
      <c r="AF20">
        <v>6.8</v>
      </c>
      <c r="AH20">
        <f t="shared" si="2"/>
        <v>0.1803953871499176</v>
      </c>
      <c r="AI20">
        <f t="shared" si="3"/>
        <v>0.13178294573643412</v>
      </c>
      <c r="AJ20">
        <f t="shared" si="4"/>
        <v>0.15608916644317586</v>
      </c>
    </row>
    <row r="21" spans="3:36" x14ac:dyDescent="0.2">
      <c r="L21" t="s">
        <v>26</v>
      </c>
      <c r="M21">
        <v>31.5</v>
      </c>
      <c r="N21">
        <v>23.3</v>
      </c>
      <c r="O21">
        <v>17.100000000000001</v>
      </c>
      <c r="P21">
        <v>8.6999999999999993</v>
      </c>
      <c r="Q21">
        <v>6.1</v>
      </c>
      <c r="R21">
        <v>6.7</v>
      </c>
      <c r="S21">
        <v>5.3</v>
      </c>
      <c r="T21">
        <v>3.8</v>
      </c>
      <c r="U21">
        <v>134.30000000000001</v>
      </c>
      <c r="V21">
        <v>139.4</v>
      </c>
      <c r="W21" s="1">
        <v>116.9</v>
      </c>
      <c r="X21" s="1">
        <v>66</v>
      </c>
      <c r="Y21">
        <v>10.8</v>
      </c>
      <c r="Z21">
        <v>12.1</v>
      </c>
      <c r="AA21" s="5">
        <f t="shared" si="0"/>
        <v>9.0188007132897976</v>
      </c>
      <c r="AB21" s="5">
        <f t="shared" si="1"/>
        <v>5.0918806422337601</v>
      </c>
      <c r="AC21">
        <v>8.6999999999999993</v>
      </c>
      <c r="AD21">
        <v>11.1</v>
      </c>
      <c r="AE21">
        <v>7.6</v>
      </c>
      <c r="AF21">
        <v>7.9</v>
      </c>
      <c r="AH21">
        <f t="shared" si="2"/>
        <v>7.4431426602343198E-2</v>
      </c>
      <c r="AI21">
        <f t="shared" si="3"/>
        <v>7.986798679867986E-2</v>
      </c>
      <c r="AJ21">
        <f t="shared" si="4"/>
        <v>7.7149706700511522E-2</v>
      </c>
    </row>
    <row r="22" spans="3:36" x14ac:dyDescent="0.2">
      <c r="L22" t="s">
        <v>27</v>
      </c>
      <c r="M22">
        <v>6.5</v>
      </c>
      <c r="N22">
        <v>5.2</v>
      </c>
      <c r="O22">
        <v>3.1</v>
      </c>
      <c r="P22">
        <v>1.5</v>
      </c>
      <c r="Q22">
        <v>2</v>
      </c>
      <c r="R22">
        <v>1.1000000000000001</v>
      </c>
      <c r="S22">
        <v>0.9</v>
      </c>
      <c r="T22">
        <v>0.5</v>
      </c>
      <c r="U22">
        <v>28.7</v>
      </c>
      <c r="V22">
        <v>26</v>
      </c>
      <c r="W22" s="1">
        <v>18.899999999999999</v>
      </c>
      <c r="X22" s="1">
        <v>10.6</v>
      </c>
      <c r="Y22">
        <v>2.2000000000000002</v>
      </c>
      <c r="Z22">
        <v>1.8</v>
      </c>
      <c r="AA22" s="5">
        <f t="shared" si="0"/>
        <v>1.2846860375777049</v>
      </c>
      <c r="AB22" s="5">
        <f t="shared" si="1"/>
        <v>0.72051174594305156</v>
      </c>
      <c r="AC22">
        <v>1.3</v>
      </c>
      <c r="AD22">
        <v>2.5</v>
      </c>
      <c r="AE22">
        <v>1.5</v>
      </c>
      <c r="AF22">
        <v>1.2</v>
      </c>
      <c r="AH22">
        <f t="shared" si="2"/>
        <v>7.1197411003236261E-2</v>
      </c>
      <c r="AI22">
        <f t="shared" si="3"/>
        <v>6.4748201438848921E-2</v>
      </c>
      <c r="AJ22">
        <f t="shared" si="4"/>
        <v>6.7972806221042598E-2</v>
      </c>
    </row>
    <row r="23" spans="3:36" x14ac:dyDescent="0.2">
      <c r="D23" t="s">
        <v>43</v>
      </c>
      <c r="K23">
        <v>12</v>
      </c>
      <c r="L23" t="s">
        <v>28</v>
      </c>
      <c r="M23">
        <v>33.1</v>
      </c>
      <c r="N23">
        <v>27</v>
      </c>
      <c r="O23">
        <v>17.5</v>
      </c>
      <c r="P23">
        <v>6.5</v>
      </c>
      <c r="Q23">
        <v>8.3000000000000007</v>
      </c>
      <c r="R23">
        <v>5.5</v>
      </c>
      <c r="S23">
        <v>4.4000000000000004</v>
      </c>
      <c r="T23">
        <v>2.2999999999999998</v>
      </c>
      <c r="U23">
        <v>142.6</v>
      </c>
      <c r="V23">
        <v>119.9</v>
      </c>
      <c r="W23" s="1">
        <v>87.8</v>
      </c>
      <c r="X23" s="1">
        <v>47</v>
      </c>
      <c r="Y23">
        <v>12.7</v>
      </c>
      <c r="Z23">
        <v>10.1</v>
      </c>
      <c r="AA23" s="5">
        <f t="shared" si="0"/>
        <v>7.0007116251424044</v>
      </c>
      <c r="AB23" s="5">
        <f t="shared" si="1"/>
        <v>3.7475335578780524</v>
      </c>
      <c r="AC23">
        <v>6.7</v>
      </c>
      <c r="AD23">
        <v>10.6</v>
      </c>
      <c r="AE23">
        <v>9.5</v>
      </c>
      <c r="AF23">
        <v>8.1999999999999993</v>
      </c>
      <c r="AH23">
        <f t="shared" si="2"/>
        <v>8.1777205408886028E-2</v>
      </c>
      <c r="AI23">
        <f t="shared" si="3"/>
        <v>7.7692307692307686E-2</v>
      </c>
      <c r="AJ23">
        <f t="shared" si="4"/>
        <v>7.9734756550596864E-2</v>
      </c>
    </row>
    <row r="24" spans="3:36" x14ac:dyDescent="0.2">
      <c r="D24" t="s">
        <v>6</v>
      </c>
      <c r="E24" t="s">
        <v>7</v>
      </c>
      <c r="F24" t="s">
        <v>10</v>
      </c>
      <c r="G24" t="s">
        <v>8</v>
      </c>
      <c r="H24" t="s">
        <v>11</v>
      </c>
      <c r="I24" t="s">
        <v>9</v>
      </c>
      <c r="K24">
        <v>13</v>
      </c>
      <c r="L24" t="s">
        <v>29</v>
      </c>
      <c r="M24">
        <v>13</v>
      </c>
      <c r="N24">
        <v>11.2</v>
      </c>
      <c r="O24">
        <v>6.2</v>
      </c>
      <c r="P24">
        <v>4.0999999999999996</v>
      </c>
      <c r="Q24">
        <v>3.5</v>
      </c>
      <c r="R24">
        <v>2.2000000000000002</v>
      </c>
      <c r="S24">
        <v>1.9</v>
      </c>
      <c r="T24">
        <v>2.1</v>
      </c>
      <c r="U24">
        <v>49.7</v>
      </c>
      <c r="V24">
        <v>43.8</v>
      </c>
      <c r="W24" s="1">
        <v>27.5</v>
      </c>
      <c r="X24" s="1">
        <v>22.5</v>
      </c>
      <c r="Y24">
        <v>2.2000000000000002</v>
      </c>
      <c r="Z24">
        <v>2.7</v>
      </c>
      <c r="AA24" s="5">
        <f t="shared" si="0"/>
        <v>1.3812387345391262</v>
      </c>
      <c r="AB24" s="5">
        <f t="shared" si="1"/>
        <v>1.130104419168376</v>
      </c>
      <c r="AC24">
        <v>2.2999999999999998</v>
      </c>
      <c r="AD24">
        <v>3.2</v>
      </c>
      <c r="AE24">
        <v>2.1</v>
      </c>
      <c r="AF24">
        <v>2.7</v>
      </c>
      <c r="AH24">
        <f t="shared" si="2"/>
        <v>4.238921001926782E-2</v>
      </c>
      <c r="AI24">
        <f t="shared" si="3"/>
        <v>5.8064516129032261E-2</v>
      </c>
      <c r="AJ24">
        <f t="shared" si="4"/>
        <v>5.0226863074150044E-2</v>
      </c>
    </row>
    <row r="25" spans="3:36" x14ac:dyDescent="0.2">
      <c r="C25">
        <v>1972</v>
      </c>
      <c r="K25">
        <v>14</v>
      </c>
      <c r="L25" t="s">
        <v>30</v>
      </c>
      <c r="M25">
        <v>56.1</v>
      </c>
      <c r="N25">
        <v>40</v>
      </c>
      <c r="O25">
        <v>27.9</v>
      </c>
      <c r="P25">
        <v>13.4</v>
      </c>
      <c r="Q25">
        <v>26.4</v>
      </c>
      <c r="R25">
        <v>12.5</v>
      </c>
      <c r="S25">
        <v>11.3</v>
      </c>
      <c r="T25">
        <v>5.7</v>
      </c>
      <c r="U25">
        <v>192</v>
      </c>
      <c r="V25">
        <v>170.6</v>
      </c>
      <c r="W25" s="1">
        <v>151.9</v>
      </c>
      <c r="X25" s="1">
        <v>75.2</v>
      </c>
      <c r="Y25">
        <v>12.1</v>
      </c>
      <c r="Z25">
        <v>13.4</v>
      </c>
      <c r="AA25" s="5">
        <f t="shared" si="0"/>
        <v>10.033811564024454</v>
      </c>
      <c r="AB25" s="5">
        <f t="shared" si="1"/>
        <v>4.9673642502609541</v>
      </c>
      <c r="AC25">
        <v>12.6</v>
      </c>
      <c r="AD25">
        <v>15.8</v>
      </c>
      <c r="AE25">
        <v>12.8</v>
      </c>
      <c r="AF25">
        <v>9.9</v>
      </c>
      <c r="AH25">
        <f t="shared" si="2"/>
        <v>5.9284664380205784E-2</v>
      </c>
      <c r="AI25">
        <f t="shared" si="3"/>
        <v>7.2826086956521735E-2</v>
      </c>
      <c r="AJ25">
        <f t="shared" si="4"/>
        <v>6.6055375668363753E-2</v>
      </c>
    </row>
    <row r="26" spans="3:36" x14ac:dyDescent="0.2">
      <c r="C26">
        <v>1977</v>
      </c>
      <c r="D26">
        <v>468</v>
      </c>
      <c r="E26">
        <v>227</v>
      </c>
      <c r="F26">
        <v>2573</v>
      </c>
      <c r="H26">
        <v>348</v>
      </c>
      <c r="I26">
        <v>124</v>
      </c>
      <c r="K26">
        <v>15</v>
      </c>
      <c r="L26" t="s">
        <v>31</v>
      </c>
      <c r="M26">
        <v>36.799999999999997</v>
      </c>
      <c r="N26">
        <v>27.1</v>
      </c>
      <c r="O26">
        <v>22</v>
      </c>
      <c r="P26">
        <v>6.6</v>
      </c>
      <c r="Q26">
        <v>14.6</v>
      </c>
      <c r="R26">
        <v>10.199999999999999</v>
      </c>
      <c r="S26">
        <v>11.1</v>
      </c>
      <c r="T26">
        <v>3.6</v>
      </c>
      <c r="U26">
        <v>231.8</v>
      </c>
      <c r="V26">
        <v>215.7</v>
      </c>
      <c r="W26" s="1">
        <v>198.5</v>
      </c>
      <c r="X26" s="1">
        <v>74.5</v>
      </c>
      <c r="Y26">
        <v>59.9</v>
      </c>
      <c r="Z26">
        <v>47.3</v>
      </c>
      <c r="AA26" s="5">
        <f t="shared" si="0"/>
        <v>38.230689996102562</v>
      </c>
      <c r="AB26" s="5">
        <f t="shared" si="1"/>
        <v>14.348546119444034</v>
      </c>
      <c r="AC26">
        <v>24.2</v>
      </c>
      <c r="AD26">
        <v>22.6</v>
      </c>
      <c r="AE26">
        <v>15.6</v>
      </c>
      <c r="AF26">
        <v>8.4</v>
      </c>
      <c r="AH26">
        <f t="shared" si="2"/>
        <v>0.20534796023311622</v>
      </c>
      <c r="AI26">
        <f t="shared" si="3"/>
        <v>0.17984790874524714</v>
      </c>
      <c r="AJ26">
        <f t="shared" si="4"/>
        <v>0.19259793448918167</v>
      </c>
    </row>
    <row r="27" spans="3:36" x14ac:dyDescent="0.2">
      <c r="C27">
        <v>1982</v>
      </c>
      <c r="K27">
        <v>16</v>
      </c>
      <c r="L27" t="s">
        <v>32</v>
      </c>
      <c r="M27">
        <v>6.9</v>
      </c>
      <c r="N27">
        <v>5.2</v>
      </c>
      <c r="O27">
        <v>3.4</v>
      </c>
      <c r="P27">
        <v>3.5</v>
      </c>
      <c r="Q27">
        <v>1.5</v>
      </c>
      <c r="R27">
        <v>0.9</v>
      </c>
      <c r="S27">
        <v>0.8</v>
      </c>
      <c r="T27">
        <v>0.9</v>
      </c>
      <c r="U27">
        <v>40.299999999999997</v>
      </c>
      <c r="V27">
        <v>37.200000000000003</v>
      </c>
      <c r="W27" s="1">
        <v>43.4</v>
      </c>
      <c r="X27" s="1">
        <v>33.1</v>
      </c>
      <c r="Y27">
        <v>20.100000000000001</v>
      </c>
      <c r="Z27">
        <v>14.6</v>
      </c>
      <c r="AA27" s="5">
        <f t="shared" si="0"/>
        <v>13.337573832110255</v>
      </c>
      <c r="AB27" s="5">
        <f t="shared" si="1"/>
        <v>10.172204927254596</v>
      </c>
      <c r="AC27">
        <v>5.8</v>
      </c>
      <c r="AD27">
        <v>4.4000000000000004</v>
      </c>
      <c r="AE27">
        <v>3.5</v>
      </c>
      <c r="AF27">
        <v>4</v>
      </c>
      <c r="AH27">
        <f t="shared" si="2"/>
        <v>0.33278145695364242</v>
      </c>
      <c r="AI27">
        <f t="shared" si="3"/>
        <v>0.28185328185328185</v>
      </c>
      <c r="AJ27">
        <f t="shared" si="4"/>
        <v>0.3073173694034621</v>
      </c>
    </row>
    <row r="28" spans="3:36" x14ac:dyDescent="0.2">
      <c r="C28">
        <v>1987</v>
      </c>
      <c r="D28">
        <v>1089.3</v>
      </c>
      <c r="E28">
        <v>303.5</v>
      </c>
      <c r="F28">
        <v>4125.2</v>
      </c>
      <c r="G28">
        <v>1601.5</v>
      </c>
      <c r="H28">
        <v>519.20000000000005</v>
      </c>
      <c r="K28">
        <v>17</v>
      </c>
      <c r="L28" t="s">
        <v>33</v>
      </c>
      <c r="M28">
        <v>12.5</v>
      </c>
      <c r="N28">
        <v>12.2</v>
      </c>
      <c r="O28">
        <v>9.3000000000000007</v>
      </c>
      <c r="P28">
        <v>5.3</v>
      </c>
      <c r="Q28">
        <v>3.8</v>
      </c>
      <c r="R28">
        <v>3.3</v>
      </c>
      <c r="S28">
        <v>3.3</v>
      </c>
      <c r="T28">
        <v>1.1000000000000001</v>
      </c>
      <c r="U28">
        <v>46.4</v>
      </c>
      <c r="V28">
        <v>50</v>
      </c>
      <c r="W28" s="1">
        <v>45.2</v>
      </c>
      <c r="X28" s="1">
        <v>50.5</v>
      </c>
      <c r="Y28">
        <v>9.1</v>
      </c>
      <c r="Z28">
        <v>10</v>
      </c>
      <c r="AA28" s="5">
        <f t="shared" si="0"/>
        <v>7.4722522522522521</v>
      </c>
      <c r="AB28" s="5">
        <f t="shared" si="1"/>
        <v>8.3484234234234229</v>
      </c>
      <c r="AC28">
        <v>3.7</v>
      </c>
      <c r="AD28">
        <v>4.5</v>
      </c>
      <c r="AE28">
        <v>4.7</v>
      </c>
      <c r="AF28">
        <v>3.5</v>
      </c>
      <c r="AH28">
        <f t="shared" si="2"/>
        <v>0.16396396396396395</v>
      </c>
      <c r="AI28">
        <f t="shared" si="3"/>
        <v>0.16666666666666666</v>
      </c>
      <c r="AJ28">
        <f t="shared" si="4"/>
        <v>0.16531531531531529</v>
      </c>
    </row>
    <row r="29" spans="3:36" x14ac:dyDescent="0.2">
      <c r="C29">
        <v>1992</v>
      </c>
      <c r="D29">
        <v>1469</v>
      </c>
      <c r="E29">
        <v>464.2</v>
      </c>
      <c r="F29">
        <v>4479.8999999999996</v>
      </c>
      <c r="G29">
        <v>1760.9</v>
      </c>
      <c r="H29">
        <v>516.9</v>
      </c>
      <c r="K29">
        <v>18</v>
      </c>
      <c r="L29" t="s">
        <v>34</v>
      </c>
      <c r="M29">
        <v>12</v>
      </c>
      <c r="N29">
        <v>12.8</v>
      </c>
      <c r="O29">
        <v>8.6</v>
      </c>
      <c r="P29">
        <v>3.6</v>
      </c>
      <c r="Q29">
        <v>3</v>
      </c>
      <c r="R29">
        <v>3.6</v>
      </c>
      <c r="S29">
        <v>2.8</v>
      </c>
      <c r="T29">
        <v>1.5</v>
      </c>
      <c r="U29">
        <v>27.7</v>
      </c>
      <c r="V29">
        <v>32.4</v>
      </c>
      <c r="W29" s="1">
        <v>29.1</v>
      </c>
      <c r="X29" s="1">
        <v>13.5</v>
      </c>
      <c r="Y29">
        <v>1.5</v>
      </c>
      <c r="Z29">
        <v>2.2000000000000002</v>
      </c>
      <c r="AA29" s="5">
        <f t="shared" si="0"/>
        <v>1.6725760155198355</v>
      </c>
      <c r="AB29" s="5">
        <f t="shared" si="1"/>
        <v>0.77593732678755245</v>
      </c>
      <c r="AC29">
        <v>1.4</v>
      </c>
      <c r="AD29">
        <v>1.9</v>
      </c>
      <c r="AE29">
        <v>2.6</v>
      </c>
      <c r="AF29">
        <v>1.6</v>
      </c>
      <c r="AH29">
        <f t="shared" si="2"/>
        <v>5.1369863013698634E-2</v>
      </c>
      <c r="AI29">
        <f t="shared" si="3"/>
        <v>6.358381502890173E-2</v>
      </c>
      <c r="AJ29">
        <f t="shared" si="4"/>
        <v>5.7476839021300186E-2</v>
      </c>
    </row>
    <row r="30" spans="3:36" x14ac:dyDescent="0.2">
      <c r="C30">
        <v>1997</v>
      </c>
      <c r="D30">
        <v>1740.8</v>
      </c>
      <c r="E30">
        <v>514.79999999999995</v>
      </c>
      <c r="F30">
        <v>5335.6</v>
      </c>
      <c r="G30">
        <v>2117.1999999999998</v>
      </c>
      <c r="H30">
        <v>548.29999999999995</v>
      </c>
      <c r="K30">
        <v>19</v>
      </c>
      <c r="L30" t="s">
        <v>35</v>
      </c>
      <c r="M30">
        <v>23.1</v>
      </c>
      <c r="N30">
        <v>23.1</v>
      </c>
      <c r="O30">
        <v>25.6</v>
      </c>
      <c r="P30">
        <v>8</v>
      </c>
      <c r="Q30">
        <v>3.6</v>
      </c>
      <c r="R30">
        <v>3.7</v>
      </c>
      <c r="S30">
        <v>9.1999999999999993</v>
      </c>
      <c r="T30">
        <v>3.1</v>
      </c>
      <c r="U30">
        <v>141.80000000000001</v>
      </c>
      <c r="V30">
        <v>160.1</v>
      </c>
      <c r="W30" s="1">
        <v>470.5</v>
      </c>
      <c r="X30" s="1">
        <v>172</v>
      </c>
      <c r="Y30">
        <v>165.5</v>
      </c>
      <c r="Z30">
        <v>188.8</v>
      </c>
      <c r="AA30" s="5">
        <f t="shared" si="0"/>
        <v>253.99729117041826</v>
      </c>
      <c r="AB30" s="5">
        <f t="shared" si="1"/>
        <v>92.853419939026438</v>
      </c>
      <c r="AC30">
        <v>22.9</v>
      </c>
      <c r="AD30">
        <v>32.799999999999997</v>
      </c>
      <c r="AE30">
        <v>40.5</v>
      </c>
      <c r="AF30">
        <v>23.5</v>
      </c>
      <c r="AH30">
        <f t="shared" si="2"/>
        <v>0.53856166612430845</v>
      </c>
      <c r="AI30">
        <f t="shared" si="3"/>
        <v>0.54112926339925482</v>
      </c>
      <c r="AJ30">
        <f t="shared" si="4"/>
        <v>0.53984546476178163</v>
      </c>
    </row>
    <row r="31" spans="3:36" x14ac:dyDescent="0.2">
      <c r="C31">
        <v>2002</v>
      </c>
      <c r="K31">
        <v>20</v>
      </c>
      <c r="L31" t="s">
        <v>39</v>
      </c>
      <c r="M31">
        <v>2.7</v>
      </c>
      <c r="N31">
        <v>2.2999999999999998</v>
      </c>
      <c r="O31">
        <v>1.3</v>
      </c>
      <c r="P31">
        <v>0.8</v>
      </c>
      <c r="Q31">
        <v>1.7</v>
      </c>
      <c r="R31">
        <v>0.5</v>
      </c>
      <c r="S31">
        <v>0.5</v>
      </c>
      <c r="T31">
        <v>0.4</v>
      </c>
      <c r="U31">
        <v>14.6</v>
      </c>
      <c r="V31">
        <v>15.4</v>
      </c>
      <c r="W31" s="1">
        <v>16.899999999999999</v>
      </c>
      <c r="X31" s="1">
        <v>8.1</v>
      </c>
      <c r="Y31">
        <v>8.1</v>
      </c>
      <c r="Z31">
        <v>9.3000000000000007</v>
      </c>
      <c r="AA31" s="5">
        <f t="shared" si="0"/>
        <v>6.1967771852538833</v>
      </c>
      <c r="AB31" s="5">
        <f t="shared" si="1"/>
        <v>2.9700529704471275</v>
      </c>
      <c r="AC31">
        <v>2.2000000000000002</v>
      </c>
      <c r="AD31">
        <v>2.4</v>
      </c>
      <c r="AE31">
        <v>1.4</v>
      </c>
      <c r="AF31">
        <v>1</v>
      </c>
      <c r="AH31">
        <f t="shared" si="2"/>
        <v>0.35682819383259912</v>
      </c>
      <c r="AI31">
        <f t="shared" si="3"/>
        <v>0.37651821862348178</v>
      </c>
      <c r="AJ31">
        <f t="shared" si="4"/>
        <v>0.36667320622804045</v>
      </c>
    </row>
    <row r="32" spans="3:36" x14ac:dyDescent="0.2">
      <c r="C32">
        <v>2007</v>
      </c>
      <c r="K32">
        <v>21</v>
      </c>
      <c r="L32" t="s">
        <v>37</v>
      </c>
      <c r="M32">
        <v>13.7</v>
      </c>
      <c r="N32">
        <v>11.7</v>
      </c>
      <c r="O32">
        <v>7.9</v>
      </c>
      <c r="P32">
        <v>3.3</v>
      </c>
      <c r="Q32">
        <v>4.3</v>
      </c>
      <c r="R32">
        <v>3.4</v>
      </c>
      <c r="S32">
        <v>2.4</v>
      </c>
      <c r="T32">
        <v>1.4</v>
      </c>
      <c r="U32">
        <v>47.1</v>
      </c>
      <c r="V32">
        <v>42.7</v>
      </c>
      <c r="W32" s="1">
        <v>32.299999999999997</v>
      </c>
      <c r="X32" s="1">
        <v>15.1</v>
      </c>
      <c r="Y32">
        <v>6</v>
      </c>
      <c r="Z32">
        <v>4.7</v>
      </c>
      <c r="AA32" s="5">
        <f t="shared" si="0"/>
        <v>3.4262300650790243</v>
      </c>
      <c r="AB32" s="5">
        <f t="shared" si="1"/>
        <v>1.6017360366158906</v>
      </c>
      <c r="AC32">
        <v>6.1</v>
      </c>
      <c r="AD32">
        <v>3.7</v>
      </c>
      <c r="AE32">
        <v>3.7</v>
      </c>
      <c r="AF32">
        <v>3.2</v>
      </c>
      <c r="AH32">
        <f t="shared" si="2"/>
        <v>0.11299435028248588</v>
      </c>
      <c r="AI32">
        <f t="shared" si="3"/>
        <v>9.9156118143459912E-2</v>
      </c>
      <c r="AJ32">
        <f t="shared" si="4"/>
        <v>0.10607523421297289</v>
      </c>
    </row>
    <row r="33" spans="3:36" x14ac:dyDescent="0.2">
      <c r="K33">
        <v>22</v>
      </c>
      <c r="L33" t="s">
        <v>38</v>
      </c>
      <c r="M33">
        <v>47.9</v>
      </c>
      <c r="N33">
        <v>33.9</v>
      </c>
      <c r="O33">
        <v>23.2</v>
      </c>
      <c r="P33">
        <v>13.1</v>
      </c>
      <c r="Q33">
        <v>10.199999999999999</v>
      </c>
      <c r="R33">
        <v>6.7</v>
      </c>
      <c r="S33">
        <v>6.4</v>
      </c>
      <c r="T33">
        <v>6.1</v>
      </c>
      <c r="U33">
        <v>200.4</v>
      </c>
      <c r="V33">
        <v>174.7</v>
      </c>
      <c r="W33" s="1">
        <v>133.9</v>
      </c>
      <c r="X33" s="1">
        <v>76.400000000000006</v>
      </c>
      <c r="Y33">
        <v>30.7</v>
      </c>
      <c r="Z33">
        <v>22.2</v>
      </c>
      <c r="AA33" s="5">
        <f t="shared" si="0"/>
        <v>16.442284828515731</v>
      </c>
      <c r="AB33" s="5">
        <f t="shared" si="1"/>
        <v>9.381557586994786</v>
      </c>
      <c r="AC33">
        <v>15.4</v>
      </c>
      <c r="AD33">
        <v>13.2</v>
      </c>
      <c r="AE33">
        <v>9.6</v>
      </c>
      <c r="AF33">
        <v>10.6</v>
      </c>
      <c r="AH33">
        <f t="shared" si="2"/>
        <v>0.13284292514063176</v>
      </c>
      <c r="AI33">
        <f t="shared" si="3"/>
        <v>0.11274758760792282</v>
      </c>
      <c r="AJ33">
        <f t="shared" si="4"/>
        <v>0.1227952563742773</v>
      </c>
    </row>
    <row r="34" spans="3:36" x14ac:dyDescent="0.2">
      <c r="K34">
        <v>23</v>
      </c>
    </row>
    <row r="35" spans="3:36" x14ac:dyDescent="0.2">
      <c r="D35" t="s">
        <v>44</v>
      </c>
      <c r="K35">
        <v>24</v>
      </c>
      <c r="L35" t="s">
        <v>40</v>
      </c>
      <c r="M35">
        <f>SUM(M8:M34)</f>
        <v>1469</v>
      </c>
      <c r="N35">
        <f t="shared" ref="N35:P35" si="7">SUM(N8:N34)</f>
        <v>1088.5000000000002</v>
      </c>
      <c r="O35">
        <f t="shared" si="7"/>
        <v>823.4</v>
      </c>
      <c r="P35">
        <f t="shared" si="7"/>
        <v>469.30000000000013</v>
      </c>
      <c r="Q35">
        <f t="shared" ref="Q35" si="8">SUM(Q8:Q34)</f>
        <v>464.00000000000011</v>
      </c>
      <c r="R35">
        <f t="shared" ref="R35" si="9">SUM(R8:R34)</f>
        <v>303.59999999999991</v>
      </c>
      <c r="S35">
        <f t="shared" ref="S35" si="10">SUM(S8:S34)</f>
        <v>265.5</v>
      </c>
      <c r="T35">
        <f t="shared" ref="T35" si="11">SUM(T8:T34)</f>
        <v>227.5</v>
      </c>
      <c r="U35">
        <f t="shared" ref="U35" si="12">SUM(U8:U34)</f>
        <v>4479.9000000000005</v>
      </c>
      <c r="V35">
        <f t="shared" ref="V35" si="13">SUM(V8:V34)</f>
        <v>4126.2</v>
      </c>
      <c r="W35">
        <f t="shared" ref="W35" si="14">SUM(W8:W34)</f>
        <v>4534.0999999999995</v>
      </c>
      <c r="X35">
        <f t="shared" ref="X35" si="15">SUM(X8:X34)</f>
        <v>2600.1999999999998</v>
      </c>
      <c r="Y35">
        <f t="shared" ref="Y35" si="16">SUM(Y8:Y34)</f>
        <v>1760.8000000000002</v>
      </c>
      <c r="Z35">
        <f t="shared" ref="Z35:AB35" si="17">SUM(Z8:Z34)</f>
        <v>1601.2999999999997</v>
      </c>
      <c r="AA35">
        <f t="shared" si="17"/>
        <v>1416.7471313555266</v>
      </c>
      <c r="AB35">
        <f t="shared" si="17"/>
        <v>779.30086830832181</v>
      </c>
      <c r="AC35">
        <f t="shared" ref="AC35" si="18">SUM(AC8:AC34)</f>
        <v>518.69999999999993</v>
      </c>
      <c r="AD35">
        <f t="shared" ref="AD35" si="19">SUM(AD8:AD34)</f>
        <v>519.20000000000005</v>
      </c>
      <c r="AE35">
        <f t="shared" ref="AE35" si="20">SUM(AE8:AE34)</f>
        <v>407.2000000000001</v>
      </c>
      <c r="AF35">
        <f t="shared" ref="AF35" si="21">SUM(AF8:AF34)</f>
        <v>472.3</v>
      </c>
    </row>
    <row r="36" spans="3:36" x14ac:dyDescent="0.2">
      <c r="D36" t="s">
        <v>6</v>
      </c>
      <c r="E36" t="s">
        <v>7</v>
      </c>
      <c r="F36" t="s">
        <v>10</v>
      </c>
      <c r="G36" t="s">
        <v>8</v>
      </c>
      <c r="H36" t="s">
        <v>11</v>
      </c>
      <c r="I36" t="s">
        <v>9</v>
      </c>
      <c r="K36">
        <v>25</v>
      </c>
      <c r="W36">
        <f>W35/X35</f>
        <v>1.7437504807322513</v>
      </c>
      <c r="AA36">
        <f>AA35/AB35</f>
        <v>1.8179719656041833</v>
      </c>
    </row>
    <row r="37" spans="3:36" x14ac:dyDescent="0.2">
      <c r="C37">
        <v>1972</v>
      </c>
      <c r="K37">
        <v>26</v>
      </c>
    </row>
    <row r="38" spans="3:36" x14ac:dyDescent="0.2">
      <c r="C38">
        <v>1977</v>
      </c>
      <c r="D38">
        <f>'stb0304'!$M$14</f>
        <v>11.99</v>
      </c>
      <c r="E38">
        <f>'stb0304'!$I$14</f>
        <v>2</v>
      </c>
      <c r="F38">
        <v>2573</v>
      </c>
      <c r="G38" s="4">
        <f>Petroleum_prices!$M$5</f>
        <v>2.3837944808869374</v>
      </c>
      <c r="H38" s="4">
        <f>Petroleum_prices!$N$5</f>
        <v>4.7675889617738747</v>
      </c>
      <c r="I38">
        <v>124</v>
      </c>
    </row>
    <row r="39" spans="3:36" x14ac:dyDescent="0.2">
      <c r="C39">
        <v>1982</v>
      </c>
      <c r="D39">
        <f>'stb0304'!$M$19</f>
        <v>20.11</v>
      </c>
      <c r="E39">
        <f>'stb0304'!$I$19</f>
        <v>4.7</v>
      </c>
      <c r="G39" s="4">
        <f>Petroleum_prices!$M$10</f>
        <v>5.4512330964061562</v>
      </c>
      <c r="H39" s="4">
        <f>Petroleum_prices!$N$10</f>
        <v>10.902466192812312</v>
      </c>
    </row>
    <row r="40" spans="3:36" x14ac:dyDescent="0.2">
      <c r="C40">
        <v>1987</v>
      </c>
      <c r="D40">
        <f>'stb0304'!$M$24</f>
        <v>20.440000000000001</v>
      </c>
      <c r="E40">
        <f>'stb0304'!$I$24</f>
        <v>4.6399999999999997</v>
      </c>
      <c r="F40">
        <v>4125.2</v>
      </c>
      <c r="G40" s="4">
        <f>Petroleum_prices!$M$15</f>
        <v>4.1140235004452705</v>
      </c>
      <c r="H40" s="4">
        <f>Petroleum_prices!$N$15</f>
        <v>8.2280470008905411</v>
      </c>
    </row>
    <row r="41" spans="3:36" x14ac:dyDescent="0.2">
      <c r="C41">
        <v>1992</v>
      </c>
      <c r="D41">
        <f>'stb0304'!$M$29</f>
        <v>22.15</v>
      </c>
      <c r="E41">
        <f>'stb0304'!$I$29</f>
        <v>4.75</v>
      </c>
      <c r="F41">
        <v>4479.8999999999996</v>
      </c>
      <c r="G41" s="4">
        <f>Petroleum_prices!$M$20</f>
        <v>4.8875414045277097</v>
      </c>
      <c r="H41" s="4">
        <f>Petroleum_prices!$N$20</f>
        <v>9.7750828090554194</v>
      </c>
    </row>
    <row r="42" spans="3:36" x14ac:dyDescent="0.2">
      <c r="C42">
        <v>1997</v>
      </c>
      <c r="D42">
        <f>'stb0304'!$M$34</f>
        <v>22.03</v>
      </c>
      <c r="E42">
        <f>'stb0304'!$I$34</f>
        <v>5.67</v>
      </c>
      <c r="F42">
        <v>5335.6</v>
      </c>
      <c r="G42" s="4">
        <f>Petroleum_prices!$M$25</f>
        <v>5.4949127434165712</v>
      </c>
      <c r="H42" s="4">
        <f>Petroleum_prices!$N$25</f>
        <v>10.989825486833142</v>
      </c>
    </row>
    <row r="43" spans="3:36" x14ac:dyDescent="0.2">
      <c r="C43">
        <v>2002</v>
      </c>
      <c r="D43">
        <f>'stb0304'!$M$39</f>
        <v>22.81</v>
      </c>
      <c r="E43">
        <f>'stb0304'!$I$39</f>
        <v>6.49</v>
      </c>
      <c r="G43" s="4">
        <f>Petroleum_prices!$M$30</f>
        <v>6.3951842375204127</v>
      </c>
      <c r="H43" s="4">
        <f>Petroleum_prices!$N$30</f>
        <v>12.790368475040825</v>
      </c>
    </row>
    <row r="44" spans="3:36" x14ac:dyDescent="0.2">
      <c r="C44">
        <v>2007</v>
      </c>
      <c r="D44">
        <f>'stb0304'!$M$44</f>
        <v>28.27</v>
      </c>
      <c r="E44">
        <f>'stb0304'!$I$44</f>
        <v>10.98</v>
      </c>
      <c r="G44" s="4">
        <f>Petroleum_prices!$M$35</f>
        <v>17.384731238562601</v>
      </c>
      <c r="H44" s="4">
        <f>Petroleum_prices!$N$35</f>
        <v>34.769462477125202</v>
      </c>
    </row>
    <row r="45" spans="3:36" x14ac:dyDescent="0.2">
      <c r="C45">
        <v>2012</v>
      </c>
      <c r="D45" s="4">
        <f>(10.09/9.65)*D44</f>
        <v>29.558994818652845</v>
      </c>
      <c r="E45" s="4">
        <f>(8.1/11.34)*E44</f>
        <v>7.8428571428571434</v>
      </c>
      <c r="G45" s="4">
        <f>Petroleum_prices!$M$40</f>
        <v>24.352829052066813</v>
      </c>
      <c r="H45" s="4">
        <f>Petroleum_prices!$N$40</f>
        <v>48.705658104133626</v>
      </c>
    </row>
    <row r="46" spans="3:36" x14ac:dyDescent="0.2">
      <c r="C46">
        <v>2017</v>
      </c>
      <c r="D46" s="4">
        <f>(10.66/10.09)*D45</f>
        <v>31.228829015544036</v>
      </c>
      <c r="E46" s="4">
        <f>(7.88/8.1)*E45</f>
        <v>7.629841269841271</v>
      </c>
      <c r="G46" s="4">
        <f>Petroleum_prices!$M$45</f>
        <v>14.080242116486247</v>
      </c>
      <c r="H46" s="4">
        <f>Petroleum_prices!$N$45</f>
        <v>28.160484232972493</v>
      </c>
    </row>
    <row r="49" spans="3:11" x14ac:dyDescent="0.2">
      <c r="D49" s="57" t="s">
        <v>245</v>
      </c>
    </row>
    <row r="50" spans="3:11" x14ac:dyDescent="0.2">
      <c r="D50" t="s">
        <v>6</v>
      </c>
      <c r="E50" t="s">
        <v>7</v>
      </c>
      <c r="F50" t="s">
        <v>10</v>
      </c>
      <c r="G50" t="s">
        <v>8</v>
      </c>
      <c r="H50" t="s">
        <v>11</v>
      </c>
      <c r="I50" t="s">
        <v>9</v>
      </c>
      <c r="J50" t="s">
        <v>222</v>
      </c>
      <c r="K50" t="s">
        <v>220</v>
      </c>
    </row>
    <row r="51" spans="3:11" x14ac:dyDescent="0.2">
      <c r="C51">
        <v>1972</v>
      </c>
    </row>
    <row r="52" spans="3:11" x14ac:dyDescent="0.2">
      <c r="C52">
        <v>1977</v>
      </c>
      <c r="D52" s="52">
        <f t="shared" ref="D52:E60" si="22">D10/D38</f>
        <v>39.032527105921602</v>
      </c>
      <c r="E52" s="52">
        <f t="shared" si="22"/>
        <v>113.5</v>
      </c>
      <c r="F52" s="52">
        <v>2573</v>
      </c>
      <c r="G52" s="52">
        <f t="shared" ref="G52:H60" si="23">G10/G38</f>
        <v>326.91613079763812</v>
      </c>
      <c r="H52" s="52">
        <f t="shared" si="23"/>
        <v>99.001823308270929</v>
      </c>
      <c r="I52" s="52">
        <v>124</v>
      </c>
      <c r="J52" s="52">
        <f t="shared" ref="J52:J60" si="24">G10/F10*H52</f>
        <v>29.985311647198831</v>
      </c>
      <c r="K52" s="52">
        <f>E52+G52+J52</f>
        <v>470.40144244483696</v>
      </c>
    </row>
    <row r="53" spans="3:11" x14ac:dyDescent="0.2">
      <c r="C53">
        <v>1982</v>
      </c>
      <c r="D53" s="52">
        <f t="shared" si="22"/>
        <v>40.944803580308303</v>
      </c>
      <c r="E53" s="52">
        <f t="shared" si="22"/>
        <v>56.48936170212766</v>
      </c>
      <c r="F53" s="52"/>
      <c r="G53" s="52">
        <f t="shared" si="23"/>
        <v>259.89479926836145</v>
      </c>
      <c r="H53" s="52">
        <f t="shared" si="23"/>
        <v>37.349347642871443</v>
      </c>
      <c r="I53" s="52"/>
      <c r="J53" s="52">
        <f t="shared" si="24"/>
        <v>11.67036040913046</v>
      </c>
      <c r="K53" s="52">
        <f t="shared" ref="K53:K58" si="25">E53+G53+J53</f>
        <v>328.05452137961959</v>
      </c>
    </row>
    <row r="54" spans="3:11" x14ac:dyDescent="0.2">
      <c r="C54">
        <v>1987</v>
      </c>
      <c r="D54" s="52">
        <f t="shared" si="22"/>
        <v>53.292563600782771</v>
      </c>
      <c r="E54" s="52">
        <f t="shared" si="22"/>
        <v>65.409482758620697</v>
      </c>
      <c r="F54" s="52">
        <v>4125.2</v>
      </c>
      <c r="G54" s="52">
        <f t="shared" si="23"/>
        <v>389.27828191226081</v>
      </c>
      <c r="H54" s="52">
        <f t="shared" si="23"/>
        <v>63.10124382417915</v>
      </c>
      <c r="I54" s="52"/>
      <c r="J54" s="52">
        <f t="shared" si="24"/>
        <v>24.497392122666273</v>
      </c>
      <c r="K54" s="52">
        <f t="shared" si="25"/>
        <v>479.18515679354778</v>
      </c>
    </row>
    <row r="55" spans="3:11" x14ac:dyDescent="0.2">
      <c r="C55">
        <v>1992</v>
      </c>
      <c r="D55" s="52">
        <f t="shared" si="22"/>
        <v>66.32054176072235</v>
      </c>
      <c r="E55" s="52">
        <f t="shared" si="22"/>
        <v>97.726315789473688</v>
      </c>
      <c r="F55" s="52">
        <v>4479.8999999999996</v>
      </c>
      <c r="G55" s="52">
        <f t="shared" si="23"/>
        <v>360.28339286675742</v>
      </c>
      <c r="H55" s="52">
        <f t="shared" si="23"/>
        <v>52.879347428254555</v>
      </c>
      <c r="I55" s="52"/>
      <c r="J55" s="52">
        <f t="shared" si="24"/>
        <v>20.785116383493705</v>
      </c>
      <c r="K55" s="52">
        <f t="shared" si="25"/>
        <v>478.7948250397248</v>
      </c>
    </row>
    <row r="56" spans="3:11" x14ac:dyDescent="0.2">
      <c r="C56">
        <v>1997</v>
      </c>
      <c r="D56" s="52">
        <f t="shared" si="22"/>
        <v>79.01951883794824</v>
      </c>
      <c r="E56" s="52">
        <f t="shared" si="22"/>
        <v>90.793650793650784</v>
      </c>
      <c r="F56" s="52">
        <v>5335.6</v>
      </c>
      <c r="G56" s="52">
        <f t="shared" si="23"/>
        <v>385.30184169650499</v>
      </c>
      <c r="H56" s="52">
        <f t="shared" si="23"/>
        <v>49.89160206928814</v>
      </c>
      <c r="I56" s="52"/>
      <c r="J56" s="52">
        <f t="shared" si="24"/>
        <v>19.797304876882983</v>
      </c>
      <c r="K56" s="52">
        <f t="shared" si="25"/>
        <v>495.89279736703878</v>
      </c>
    </row>
    <row r="57" spans="3:11" x14ac:dyDescent="0.2">
      <c r="C57">
        <v>2002</v>
      </c>
      <c r="D57" s="52">
        <f t="shared" si="22"/>
        <v>113.80754055238933</v>
      </c>
      <c r="E57" s="52">
        <f t="shared" si="22"/>
        <v>157.89938366718027</v>
      </c>
      <c r="F57" s="52"/>
      <c r="G57" s="52">
        <f t="shared" si="23"/>
        <v>451.24391930245605</v>
      </c>
      <c r="H57" s="52">
        <f t="shared" si="23"/>
        <v>67.891789176717069</v>
      </c>
      <c r="I57" s="52"/>
      <c r="J57" s="52">
        <f t="shared" si="24"/>
        <v>24.417853392497296</v>
      </c>
      <c r="K57" s="52">
        <f t="shared" si="25"/>
        <v>633.5611563621336</v>
      </c>
    </row>
    <row r="58" spans="3:11" x14ac:dyDescent="0.2">
      <c r="C58">
        <v>2007</v>
      </c>
      <c r="D58" s="52">
        <f t="shared" si="22"/>
        <v>203.37106473293244</v>
      </c>
      <c r="E58" s="52">
        <f t="shared" si="22"/>
        <v>155.6648451730419</v>
      </c>
      <c r="F58" s="52"/>
      <c r="G58" s="52">
        <f t="shared" si="23"/>
        <v>326.60269072238231</v>
      </c>
      <c r="H58" s="52">
        <f t="shared" si="23"/>
        <v>34.153533457161011</v>
      </c>
      <c r="I58" s="52"/>
      <c r="J58" s="52">
        <f t="shared" si="24"/>
        <v>10.78694839525876</v>
      </c>
      <c r="K58" s="52">
        <f t="shared" si="25"/>
        <v>493.05448429068298</v>
      </c>
    </row>
    <row r="59" spans="3:11" x14ac:dyDescent="0.2">
      <c r="C59">
        <v>2012</v>
      </c>
      <c r="D59" s="52">
        <f t="shared" si="22"/>
        <v>91.264943769253236</v>
      </c>
      <c r="E59" s="52">
        <f t="shared" si="22"/>
        <v>107.85610200364297</v>
      </c>
      <c r="F59" s="52"/>
      <c r="G59" s="52">
        <f t="shared" si="23"/>
        <v>202.96615187632614</v>
      </c>
      <c r="H59" s="52">
        <f t="shared" si="23"/>
        <v>17.012397168075164</v>
      </c>
      <c r="I59" s="52"/>
      <c r="J59" s="52">
        <f t="shared" si="24"/>
        <v>5.6834392696471383</v>
      </c>
      <c r="K59" s="52">
        <f t="shared" ref="K59:K60" si="26">E59+G59+J59</f>
        <v>316.50569314961626</v>
      </c>
    </row>
    <row r="60" spans="3:11" x14ac:dyDescent="0.2">
      <c r="C60">
        <v>2017</v>
      </c>
      <c r="D60" s="52">
        <f t="shared" si="22"/>
        <v>253.79641984190249</v>
      </c>
      <c r="E60" s="52">
        <f t="shared" si="22"/>
        <v>334.83946908546221</v>
      </c>
      <c r="G60" s="52">
        <f t="shared" si="23"/>
        <v>546.30381611076848</v>
      </c>
      <c r="H60" s="52">
        <f t="shared" si="23"/>
        <v>70.975342024117822</v>
      </c>
      <c r="J60" s="52">
        <f t="shared" si="24"/>
        <v>18.801123580452312</v>
      </c>
      <c r="K60" s="52">
        <f t="shared" si="26"/>
        <v>899.94440877668296</v>
      </c>
    </row>
  </sheetData>
  <mergeCells count="5">
    <mergeCell ref="M6:P6"/>
    <mergeCell ref="Q6:T6"/>
    <mergeCell ref="U6:X6"/>
    <mergeCell ref="Y6:AB6"/>
    <mergeCell ref="AC6:AF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:V38"/>
  <sheetViews>
    <sheetView topLeftCell="K8" workbookViewId="0">
      <selection activeCell="P16" sqref="P16"/>
    </sheetView>
  </sheetViews>
  <sheetFormatPr defaultRowHeight="12.75" x14ac:dyDescent="0.2"/>
  <cols>
    <col min="10" max="10" width="11.85546875" customWidth="1"/>
    <col min="11" max="11" width="12.140625" customWidth="1"/>
    <col min="12" max="12" width="10.5703125" customWidth="1"/>
    <col min="13" max="13" width="11.85546875" customWidth="1"/>
    <col min="14" max="14" width="11.28515625" customWidth="1"/>
    <col min="15" max="15" width="14.42578125" customWidth="1"/>
    <col min="18" max="18" width="10.85546875" customWidth="1"/>
    <col min="19" max="19" width="11.28515625" customWidth="1"/>
    <col min="20" max="20" width="14.140625" customWidth="1"/>
    <col min="21" max="21" width="11.85546875" customWidth="1"/>
    <col min="22" max="22" width="10" customWidth="1"/>
  </cols>
  <sheetData>
    <row r="7" spans="2:16" x14ac:dyDescent="0.2">
      <c r="M7" s="59" t="s">
        <v>229</v>
      </c>
      <c r="N7" s="59"/>
    </row>
    <row r="8" spans="2:16" ht="13.5" thickBot="1" x14ac:dyDescent="0.25">
      <c r="C8" t="str">
        <f>Construction!D8</f>
        <v xml:space="preserve">  Electricity</v>
      </c>
      <c r="D8" t="str">
        <f>Construction!E8</f>
        <v>Natural Gas</v>
      </c>
      <c r="E8" t="str">
        <f>Construction!F8</f>
        <v>On-Road</v>
      </c>
      <c r="F8" t="str">
        <f>Construction!G8</f>
        <v>Off-road</v>
      </c>
      <c r="G8" t="str">
        <f>Construction!H8</f>
        <v>Lubricating</v>
      </c>
      <c r="K8" s="40" t="s">
        <v>6</v>
      </c>
      <c r="L8" s="40" t="s">
        <v>7</v>
      </c>
      <c r="M8" s="40" t="s">
        <v>10</v>
      </c>
      <c r="N8" s="40" t="s">
        <v>233</v>
      </c>
      <c r="O8" s="40" t="s">
        <v>228</v>
      </c>
      <c r="P8" s="41"/>
    </row>
    <row r="9" spans="2:16" x14ac:dyDescent="0.2">
      <c r="B9">
        <f>Construction!C10</f>
        <v>1977</v>
      </c>
      <c r="C9">
        <f>Construction!D10</f>
        <v>468</v>
      </c>
      <c r="D9">
        <f>Construction!E10</f>
        <v>227</v>
      </c>
      <c r="E9">
        <f>Construction!F10</f>
        <v>2573</v>
      </c>
      <c r="F9">
        <f>Construction!G10</f>
        <v>779.30086830832181</v>
      </c>
      <c r="G9">
        <f>Construction!H10</f>
        <v>472</v>
      </c>
      <c r="J9" s="48">
        <f>B9</f>
        <v>1977</v>
      </c>
      <c r="K9" s="39">
        <f>C9</f>
        <v>468</v>
      </c>
      <c r="L9" s="39">
        <f t="shared" ref="L9:O15" si="0">D9</f>
        <v>227</v>
      </c>
      <c r="M9" s="39">
        <f t="shared" si="0"/>
        <v>2573</v>
      </c>
      <c r="N9" s="39">
        <f t="shared" si="0"/>
        <v>779.30086830832181</v>
      </c>
      <c r="O9" s="39">
        <f t="shared" si="0"/>
        <v>472</v>
      </c>
    </row>
    <row r="10" spans="2:16" x14ac:dyDescent="0.2">
      <c r="B10">
        <f>Construction!C11</f>
        <v>1982</v>
      </c>
      <c r="C10">
        <f>Construction!D11</f>
        <v>823.4</v>
      </c>
      <c r="D10">
        <f>Construction!E11</f>
        <v>265.5</v>
      </c>
      <c r="E10">
        <f>Construction!F11</f>
        <v>4534.0999999999995</v>
      </c>
      <c r="F10">
        <f>Construction!G11</f>
        <v>1416.7471313555266</v>
      </c>
      <c r="G10">
        <f>Construction!H11</f>
        <v>407.2000000000001</v>
      </c>
      <c r="J10" s="48">
        <f t="shared" ref="J10:J15" si="1">B10</f>
        <v>1982</v>
      </c>
      <c r="K10" s="39">
        <f t="shared" ref="K10:K15" si="2">C10</f>
        <v>823.4</v>
      </c>
      <c r="L10" s="39">
        <f t="shared" si="0"/>
        <v>265.5</v>
      </c>
      <c r="M10" s="39">
        <f t="shared" si="0"/>
        <v>4534.0999999999995</v>
      </c>
      <c r="N10" s="39">
        <f t="shared" si="0"/>
        <v>1416.7471313555266</v>
      </c>
      <c r="O10" s="39">
        <f t="shared" si="0"/>
        <v>407.2000000000001</v>
      </c>
    </row>
    <row r="11" spans="2:16" x14ac:dyDescent="0.2">
      <c r="B11">
        <f>Construction!C12</f>
        <v>1987</v>
      </c>
      <c r="C11">
        <f>Construction!D12</f>
        <v>1089.3</v>
      </c>
      <c r="D11">
        <f>Construction!E12</f>
        <v>303.5</v>
      </c>
      <c r="E11">
        <f>Construction!F12</f>
        <v>4125.2</v>
      </c>
      <c r="F11">
        <f>Construction!G12</f>
        <v>1601.5</v>
      </c>
      <c r="G11">
        <f>Construction!H12</f>
        <v>519.20000000000005</v>
      </c>
      <c r="J11" s="48">
        <f t="shared" si="1"/>
        <v>1987</v>
      </c>
      <c r="K11" s="39">
        <f t="shared" si="2"/>
        <v>1089.3</v>
      </c>
      <c r="L11" s="39">
        <f t="shared" si="0"/>
        <v>303.5</v>
      </c>
      <c r="M11" s="39">
        <f t="shared" si="0"/>
        <v>4125.2</v>
      </c>
      <c r="N11" s="39">
        <f t="shared" si="0"/>
        <v>1601.5</v>
      </c>
      <c r="O11" s="39">
        <f t="shared" si="0"/>
        <v>519.20000000000005</v>
      </c>
    </row>
    <row r="12" spans="2:16" x14ac:dyDescent="0.2">
      <c r="B12">
        <f>Construction!C13</f>
        <v>1992</v>
      </c>
      <c r="C12">
        <f>Construction!D13</f>
        <v>1469</v>
      </c>
      <c r="D12">
        <f>Construction!E13</f>
        <v>464.2</v>
      </c>
      <c r="E12">
        <f>Construction!F13</f>
        <v>4479.8999999999996</v>
      </c>
      <c r="F12">
        <f>Construction!G13</f>
        <v>1760.9</v>
      </c>
      <c r="G12">
        <f>Construction!H13</f>
        <v>516.9</v>
      </c>
      <c r="J12" s="48">
        <f t="shared" si="1"/>
        <v>1992</v>
      </c>
      <c r="K12" s="39">
        <f t="shared" si="2"/>
        <v>1469</v>
      </c>
      <c r="L12" s="39">
        <f t="shared" si="0"/>
        <v>464.2</v>
      </c>
      <c r="M12" s="39">
        <f t="shared" si="0"/>
        <v>4479.8999999999996</v>
      </c>
      <c r="N12" s="39">
        <f t="shared" si="0"/>
        <v>1760.9</v>
      </c>
      <c r="O12" s="39">
        <f t="shared" si="0"/>
        <v>516.9</v>
      </c>
    </row>
    <row r="13" spans="2:16" x14ac:dyDescent="0.2">
      <c r="B13">
        <f>Construction!C14</f>
        <v>1997</v>
      </c>
      <c r="C13">
        <f>Construction!D14</f>
        <v>1740.8</v>
      </c>
      <c r="D13">
        <f>Construction!E14</f>
        <v>514.79999999999995</v>
      </c>
      <c r="E13">
        <f>Construction!F14</f>
        <v>5335.6</v>
      </c>
      <c r="F13">
        <f>Construction!G14</f>
        <v>2117.1999999999998</v>
      </c>
      <c r="G13">
        <f>Construction!H14</f>
        <v>548.29999999999995</v>
      </c>
      <c r="J13" s="48">
        <f t="shared" si="1"/>
        <v>1997</v>
      </c>
      <c r="K13" s="39">
        <f t="shared" si="2"/>
        <v>1740.8</v>
      </c>
      <c r="L13" s="39">
        <f t="shared" si="0"/>
        <v>514.79999999999995</v>
      </c>
      <c r="M13" s="39">
        <f t="shared" si="0"/>
        <v>5335.6</v>
      </c>
      <c r="N13" s="39">
        <f t="shared" si="0"/>
        <v>2117.1999999999998</v>
      </c>
      <c r="O13" s="39">
        <f t="shared" si="0"/>
        <v>548.29999999999995</v>
      </c>
    </row>
    <row r="14" spans="2:16" x14ac:dyDescent="0.2">
      <c r="B14">
        <f>Construction!C15</f>
        <v>2002</v>
      </c>
      <c r="C14">
        <f>Construction!D15</f>
        <v>2595.9500000000003</v>
      </c>
      <c r="D14">
        <f>Construction!E15</f>
        <v>1024.7670000000001</v>
      </c>
      <c r="E14">
        <f>Construction!F15</f>
        <v>8023.6909999999998</v>
      </c>
      <c r="F14">
        <f>Construction!G15</f>
        <v>2885.788</v>
      </c>
      <c r="G14">
        <f>Construction!H15</f>
        <v>868.36099999999999</v>
      </c>
      <c r="J14" s="48">
        <f t="shared" si="1"/>
        <v>2002</v>
      </c>
      <c r="K14" s="39">
        <f t="shared" si="2"/>
        <v>2595.9500000000003</v>
      </c>
      <c r="L14" s="39">
        <f t="shared" si="0"/>
        <v>1024.7670000000001</v>
      </c>
      <c r="M14" s="39">
        <f t="shared" si="0"/>
        <v>8023.6909999999998</v>
      </c>
      <c r="N14" s="39">
        <f t="shared" si="0"/>
        <v>2885.788</v>
      </c>
      <c r="O14" s="39">
        <f t="shared" si="0"/>
        <v>868.36099999999999</v>
      </c>
    </row>
    <row r="15" spans="2:16" x14ac:dyDescent="0.2">
      <c r="B15">
        <f>Construction!C16</f>
        <v>2007</v>
      </c>
      <c r="C15">
        <f>Construction!D16</f>
        <v>5749.3</v>
      </c>
      <c r="D15">
        <f>Construction!E16</f>
        <v>1709.2</v>
      </c>
      <c r="E15">
        <f>Construction!F16</f>
        <v>17977.313000000002</v>
      </c>
      <c r="F15">
        <f>Construction!G16</f>
        <v>5677.9</v>
      </c>
      <c r="G15">
        <f>Construction!H16</f>
        <v>1187.5</v>
      </c>
      <c r="J15" s="48">
        <f t="shared" si="1"/>
        <v>2007</v>
      </c>
      <c r="K15" s="39">
        <f t="shared" si="2"/>
        <v>5749.3</v>
      </c>
      <c r="L15" s="39">
        <f t="shared" si="0"/>
        <v>1709.2</v>
      </c>
      <c r="M15" s="39">
        <f t="shared" si="0"/>
        <v>17977.313000000002</v>
      </c>
      <c r="N15" s="39">
        <f t="shared" si="0"/>
        <v>5677.9</v>
      </c>
      <c r="O15" s="39">
        <f t="shared" si="0"/>
        <v>1187.5</v>
      </c>
    </row>
    <row r="16" spans="2:16" x14ac:dyDescent="0.2">
      <c r="B16">
        <v>2012</v>
      </c>
      <c r="C16">
        <f>Construction!D17</f>
        <v>2697.7</v>
      </c>
      <c r="D16">
        <f>Construction!E17</f>
        <v>845.9</v>
      </c>
      <c r="E16">
        <f>Construction!F17</f>
        <v>14795.421</v>
      </c>
      <c r="F16">
        <f>Construction!G17</f>
        <v>4942.8</v>
      </c>
      <c r="G16">
        <f>Construction!H17</f>
        <v>828.6</v>
      </c>
      <c r="J16" s="48">
        <v>2012</v>
      </c>
      <c r="K16" s="39">
        <f t="shared" ref="K16" si="3">C16</f>
        <v>2697.7</v>
      </c>
      <c r="L16" s="39">
        <f t="shared" ref="L16" si="4">D16</f>
        <v>845.9</v>
      </c>
      <c r="M16" s="39">
        <f t="shared" ref="M16" si="5">E16</f>
        <v>14795.421</v>
      </c>
      <c r="N16" s="39">
        <f t="shared" ref="N16" si="6">F16</f>
        <v>4942.8</v>
      </c>
      <c r="O16" s="39">
        <f t="shared" ref="O16" si="7">G16</f>
        <v>828.6</v>
      </c>
    </row>
    <row r="17" spans="2:22" x14ac:dyDescent="0.2">
      <c r="B17">
        <v>2017</v>
      </c>
      <c r="C17">
        <f>Construction!D18</f>
        <v>7925.7650000000003</v>
      </c>
      <c r="D17">
        <f>Construction!E18</f>
        <v>2554.7719999999999</v>
      </c>
      <c r="E17">
        <f>Construction!F18</f>
        <v>29038.09</v>
      </c>
      <c r="F17">
        <f>Construction!G18</f>
        <v>7692.09</v>
      </c>
      <c r="G17">
        <f>Construction!H18</f>
        <v>1998.7</v>
      </c>
      <c r="J17" s="48">
        <v>2017</v>
      </c>
      <c r="K17" s="39">
        <f t="shared" ref="K17" si="8">C17</f>
        <v>7925.7650000000003</v>
      </c>
      <c r="L17" s="39">
        <f t="shared" ref="L17" si="9">D17</f>
        <v>2554.7719999999999</v>
      </c>
      <c r="M17" s="39">
        <f t="shared" ref="M17" si="10">E17</f>
        <v>29038.09</v>
      </c>
      <c r="N17" s="39">
        <f t="shared" ref="N17" si="11">F17</f>
        <v>7692.09</v>
      </c>
      <c r="O17" s="39">
        <f t="shared" ref="O17" si="12">G17</f>
        <v>1998.7</v>
      </c>
    </row>
    <row r="21" spans="2:22" x14ac:dyDescent="0.2">
      <c r="C21" t="str">
        <f>Construction!D50</f>
        <v xml:space="preserve">  Electricity</v>
      </c>
      <c r="D21" t="str">
        <f>Construction!E50</f>
        <v>Natural Gas</v>
      </c>
      <c r="E21" t="str">
        <f>Construction!F50</f>
        <v>On-Road</v>
      </c>
      <c r="F21" t="str">
        <f>Construction!G50</f>
        <v>Off-road</v>
      </c>
      <c r="G21" t="str">
        <f>Construction!H50</f>
        <v>Lubricating</v>
      </c>
      <c r="H21" t="str">
        <f>Construction!I50</f>
        <v>Other</v>
      </c>
      <c r="I21" t="str">
        <f>Construction!J50</f>
        <v>Lubricating-Off-road</v>
      </c>
      <c r="J21" t="str">
        <f>Construction!K50</f>
        <v>Total Fuel</v>
      </c>
    </row>
    <row r="22" spans="2:22" x14ac:dyDescent="0.2">
      <c r="B22">
        <f>Construction!C52</f>
        <v>1977</v>
      </c>
      <c r="C22">
        <f>Construction!D52</f>
        <v>39.032527105921602</v>
      </c>
      <c r="D22">
        <f>Construction!E52</f>
        <v>113.5</v>
      </c>
      <c r="E22">
        <f>Construction!F52</f>
        <v>2573</v>
      </c>
      <c r="F22">
        <f>Construction!G52</f>
        <v>326.91613079763812</v>
      </c>
      <c r="G22">
        <f>Construction!H52</f>
        <v>99.001823308270929</v>
      </c>
      <c r="H22">
        <f>Construction!I52</f>
        <v>124</v>
      </c>
      <c r="I22">
        <f>Construction!J52</f>
        <v>29.985311647198831</v>
      </c>
      <c r="J22">
        <f>Construction!K52</f>
        <v>470.40144244483696</v>
      </c>
    </row>
    <row r="23" spans="2:22" x14ac:dyDescent="0.2">
      <c r="B23">
        <f>Construction!C53</f>
        <v>1982</v>
      </c>
      <c r="C23">
        <f>Construction!D53</f>
        <v>40.944803580308303</v>
      </c>
      <c r="D23">
        <f>Construction!E53</f>
        <v>56.48936170212766</v>
      </c>
      <c r="E23">
        <f>Construction!F53</f>
        <v>0</v>
      </c>
      <c r="F23">
        <f>Construction!G53</f>
        <v>259.89479926836145</v>
      </c>
      <c r="G23">
        <f>Construction!H53</f>
        <v>37.349347642871443</v>
      </c>
      <c r="H23">
        <f>Construction!I53</f>
        <v>0</v>
      </c>
      <c r="I23">
        <f>Construction!J53</f>
        <v>11.67036040913046</v>
      </c>
      <c r="J23">
        <f>Construction!K53</f>
        <v>328.05452137961959</v>
      </c>
    </row>
    <row r="24" spans="2:22" x14ac:dyDescent="0.2">
      <c r="B24">
        <f>Construction!C54</f>
        <v>1987</v>
      </c>
      <c r="C24">
        <f>Construction!D54</f>
        <v>53.292563600782771</v>
      </c>
      <c r="D24">
        <f>Construction!E54</f>
        <v>65.409482758620697</v>
      </c>
      <c r="E24">
        <f>Construction!F54</f>
        <v>4125.2</v>
      </c>
      <c r="F24">
        <f>Construction!G54</f>
        <v>389.27828191226081</v>
      </c>
      <c r="G24">
        <f>Construction!H54</f>
        <v>63.10124382417915</v>
      </c>
      <c r="H24">
        <f>Construction!I54</f>
        <v>0</v>
      </c>
      <c r="I24">
        <f>Construction!J54</f>
        <v>24.497392122666273</v>
      </c>
      <c r="J24">
        <f>Construction!K54</f>
        <v>479.18515679354778</v>
      </c>
    </row>
    <row r="25" spans="2:22" x14ac:dyDescent="0.2">
      <c r="B25">
        <f>Construction!C55</f>
        <v>1992</v>
      </c>
      <c r="C25">
        <f>Construction!D55</f>
        <v>66.32054176072235</v>
      </c>
      <c r="D25">
        <f>Construction!E55</f>
        <v>97.726315789473688</v>
      </c>
      <c r="E25">
        <f>Construction!F55</f>
        <v>4479.8999999999996</v>
      </c>
      <c r="F25">
        <f>Construction!G55</f>
        <v>360.28339286675742</v>
      </c>
      <c r="G25">
        <f>Construction!H55</f>
        <v>52.879347428254555</v>
      </c>
      <c r="H25">
        <f>Construction!I55</f>
        <v>0</v>
      </c>
      <c r="I25">
        <f>Construction!J55</f>
        <v>20.785116383493705</v>
      </c>
      <c r="J25">
        <f>Construction!K55</f>
        <v>478.7948250397248</v>
      </c>
    </row>
    <row r="26" spans="2:22" x14ac:dyDescent="0.2">
      <c r="B26">
        <f>Construction!C56</f>
        <v>1997</v>
      </c>
      <c r="C26">
        <f>Construction!D56</f>
        <v>79.01951883794824</v>
      </c>
      <c r="D26">
        <f>Construction!E56</f>
        <v>90.793650793650784</v>
      </c>
      <c r="E26">
        <f>Construction!F56</f>
        <v>5335.6</v>
      </c>
      <c r="F26">
        <f>Construction!G56</f>
        <v>385.30184169650499</v>
      </c>
      <c r="G26">
        <f>Construction!H56</f>
        <v>49.89160206928814</v>
      </c>
      <c r="H26">
        <f>Construction!I56</f>
        <v>0</v>
      </c>
      <c r="I26">
        <f>Construction!J56</f>
        <v>19.797304876882983</v>
      </c>
      <c r="J26">
        <f>Construction!K56</f>
        <v>495.89279736703878</v>
      </c>
    </row>
    <row r="27" spans="2:22" x14ac:dyDescent="0.2">
      <c r="B27">
        <f>Construction!C57</f>
        <v>2002</v>
      </c>
      <c r="C27">
        <f>Construction!D57</f>
        <v>113.80754055238933</v>
      </c>
      <c r="D27">
        <f>Construction!E57</f>
        <v>157.89938366718027</v>
      </c>
      <c r="E27">
        <f>Construction!F57</f>
        <v>0</v>
      </c>
      <c r="F27">
        <f>Construction!G57</f>
        <v>451.24391930245605</v>
      </c>
      <c r="G27">
        <f>Construction!H57</f>
        <v>67.891789176717069</v>
      </c>
      <c r="H27">
        <f>Construction!I57</f>
        <v>0</v>
      </c>
      <c r="I27">
        <f>Construction!J57</f>
        <v>24.417853392497296</v>
      </c>
      <c r="J27">
        <f>Construction!K57</f>
        <v>633.5611563621336</v>
      </c>
    </row>
    <row r="28" spans="2:22" x14ac:dyDescent="0.2">
      <c r="B28">
        <f>Construction!C58</f>
        <v>2007</v>
      </c>
      <c r="C28">
        <f>Construction!D58</f>
        <v>203.37106473293244</v>
      </c>
      <c r="D28">
        <f>Construction!E58</f>
        <v>155.6648451730419</v>
      </c>
      <c r="E28">
        <f>Construction!F58</f>
        <v>0</v>
      </c>
      <c r="F28">
        <f>Construction!G58</f>
        <v>326.60269072238231</v>
      </c>
      <c r="G28">
        <f>Construction!H58</f>
        <v>34.153533457161011</v>
      </c>
      <c r="H28">
        <f>Construction!I58</f>
        <v>0</v>
      </c>
      <c r="I28">
        <f>Construction!J58</f>
        <v>10.78694839525876</v>
      </c>
      <c r="J28">
        <f>Construction!K58</f>
        <v>493.05448429068298</v>
      </c>
    </row>
    <row r="29" spans="2:22" ht="26.25" thickBot="1" x14ac:dyDescent="0.25">
      <c r="B29">
        <v>2012</v>
      </c>
      <c r="C29">
        <f>Construction!D59</f>
        <v>91.264943769253236</v>
      </c>
      <c r="D29">
        <f>Construction!E59</f>
        <v>107.85610200364297</v>
      </c>
      <c r="E29">
        <f>Construction!F59</f>
        <v>0</v>
      </c>
      <c r="F29">
        <f>Construction!G59</f>
        <v>202.96615187632614</v>
      </c>
      <c r="G29">
        <f>Construction!H59</f>
        <v>17.012397168075164</v>
      </c>
      <c r="H29">
        <f>Construction!I59</f>
        <v>0</v>
      </c>
      <c r="I29">
        <f>Construction!J59</f>
        <v>5.6834392696471383</v>
      </c>
      <c r="J29">
        <f>Construction!K59</f>
        <v>316.50569314961626</v>
      </c>
      <c r="R29" s="43" t="s">
        <v>6</v>
      </c>
      <c r="S29" s="40" t="s">
        <v>7</v>
      </c>
      <c r="T29" s="47" t="s">
        <v>232</v>
      </c>
      <c r="U29" s="46" t="s">
        <v>230</v>
      </c>
      <c r="V29" s="42" t="s">
        <v>231</v>
      </c>
    </row>
    <row r="30" spans="2:22" x14ac:dyDescent="0.2">
      <c r="B30">
        <v>2017</v>
      </c>
      <c r="C30">
        <f>Construction!D60</f>
        <v>253.79641984190249</v>
      </c>
      <c r="D30">
        <f>Construction!E60</f>
        <v>334.83946908546221</v>
      </c>
      <c r="E30">
        <f>Construction!F60</f>
        <v>0</v>
      </c>
      <c r="F30">
        <f>Construction!G60</f>
        <v>546.30381611076848</v>
      </c>
      <c r="G30">
        <f>Construction!H60</f>
        <v>70.975342024117822</v>
      </c>
      <c r="H30">
        <f>Construction!I60</f>
        <v>0</v>
      </c>
      <c r="I30">
        <f>Construction!J60</f>
        <v>18.801123580452312</v>
      </c>
      <c r="J30">
        <f>Construction!K60</f>
        <v>899.94440877668296</v>
      </c>
      <c r="Q30">
        <f t="shared" ref="Q30:Q36" si="13">J9</f>
        <v>1977</v>
      </c>
      <c r="R30" s="44">
        <f t="shared" ref="R30:S36" si="14">C22</f>
        <v>39.032527105921602</v>
      </c>
      <c r="S30" s="45">
        <f t="shared" si="14"/>
        <v>113.5</v>
      </c>
      <c r="T30" s="45">
        <f t="shared" ref="T30:U36" si="15">F22</f>
        <v>326.91613079763812</v>
      </c>
      <c r="U30" s="44">
        <f t="shared" si="15"/>
        <v>99.001823308270929</v>
      </c>
      <c r="V30" s="45">
        <f>SUM(S30:U30)</f>
        <v>539.41795410590908</v>
      </c>
    </row>
    <row r="31" spans="2:22" x14ac:dyDescent="0.2">
      <c r="Q31">
        <f t="shared" si="13"/>
        <v>1982</v>
      </c>
      <c r="R31" s="44">
        <f t="shared" si="14"/>
        <v>40.944803580308303</v>
      </c>
      <c r="S31" s="45">
        <f t="shared" si="14"/>
        <v>56.48936170212766</v>
      </c>
      <c r="T31" s="45">
        <f t="shared" si="15"/>
        <v>259.89479926836145</v>
      </c>
      <c r="U31" s="44">
        <f t="shared" si="15"/>
        <v>37.349347642871443</v>
      </c>
      <c r="V31" s="45">
        <f t="shared" ref="V31:V36" si="16">SUM(S31:U31)</f>
        <v>353.73350861336058</v>
      </c>
    </row>
    <row r="32" spans="2:22" x14ac:dyDescent="0.2">
      <c r="Q32">
        <f t="shared" si="13"/>
        <v>1987</v>
      </c>
      <c r="R32" s="44">
        <f t="shared" si="14"/>
        <v>53.292563600782771</v>
      </c>
      <c r="S32" s="45">
        <f t="shared" si="14"/>
        <v>65.409482758620697</v>
      </c>
      <c r="T32" s="45">
        <f t="shared" si="15"/>
        <v>389.27828191226081</v>
      </c>
      <c r="U32" s="44">
        <f t="shared" si="15"/>
        <v>63.10124382417915</v>
      </c>
      <c r="V32" s="45">
        <f t="shared" si="16"/>
        <v>517.78900849506067</v>
      </c>
    </row>
    <row r="33" spans="17:22" x14ac:dyDescent="0.2">
      <c r="Q33">
        <f t="shared" si="13"/>
        <v>1992</v>
      </c>
      <c r="R33" s="44">
        <f t="shared" si="14"/>
        <v>66.32054176072235</v>
      </c>
      <c r="S33" s="45">
        <f t="shared" si="14"/>
        <v>97.726315789473688</v>
      </c>
      <c r="T33" s="45">
        <f t="shared" si="15"/>
        <v>360.28339286675742</v>
      </c>
      <c r="U33" s="44">
        <f t="shared" si="15"/>
        <v>52.879347428254555</v>
      </c>
      <c r="V33" s="45">
        <f t="shared" si="16"/>
        <v>510.88905608448567</v>
      </c>
    </row>
    <row r="34" spans="17:22" x14ac:dyDescent="0.2">
      <c r="Q34">
        <f t="shared" si="13"/>
        <v>1997</v>
      </c>
      <c r="R34" s="44">
        <f t="shared" si="14"/>
        <v>79.01951883794824</v>
      </c>
      <c r="S34" s="45">
        <f t="shared" si="14"/>
        <v>90.793650793650784</v>
      </c>
      <c r="T34" s="45">
        <f t="shared" si="15"/>
        <v>385.30184169650499</v>
      </c>
      <c r="U34" s="44">
        <f t="shared" si="15"/>
        <v>49.89160206928814</v>
      </c>
      <c r="V34" s="45">
        <f t="shared" si="16"/>
        <v>525.9870945594439</v>
      </c>
    </row>
    <row r="35" spans="17:22" x14ac:dyDescent="0.2">
      <c r="Q35">
        <f t="shared" si="13"/>
        <v>2002</v>
      </c>
      <c r="R35" s="44">
        <f t="shared" si="14"/>
        <v>113.80754055238933</v>
      </c>
      <c r="S35" s="45">
        <f t="shared" si="14"/>
        <v>157.89938366718027</v>
      </c>
      <c r="T35" s="45">
        <f t="shared" si="15"/>
        <v>451.24391930245605</v>
      </c>
      <c r="U35" s="44">
        <f t="shared" si="15"/>
        <v>67.891789176717069</v>
      </c>
      <c r="V35" s="45">
        <f t="shared" si="16"/>
        <v>677.03509214635346</v>
      </c>
    </row>
    <row r="36" spans="17:22" x14ac:dyDescent="0.2">
      <c r="Q36">
        <f t="shared" si="13"/>
        <v>2007</v>
      </c>
      <c r="R36" s="44">
        <f t="shared" si="14"/>
        <v>203.37106473293244</v>
      </c>
      <c r="S36" s="45">
        <f t="shared" si="14"/>
        <v>155.6648451730419</v>
      </c>
      <c r="T36" s="45">
        <f t="shared" si="15"/>
        <v>326.60269072238231</v>
      </c>
      <c r="U36" s="44">
        <f t="shared" si="15"/>
        <v>34.153533457161011</v>
      </c>
      <c r="V36" s="45">
        <f t="shared" si="16"/>
        <v>516.42106935258516</v>
      </c>
    </row>
    <row r="37" spans="17:22" x14ac:dyDescent="0.2">
      <c r="Q37">
        <v>2012</v>
      </c>
      <c r="R37" s="44">
        <f t="shared" ref="R37:S37" si="17">C29</f>
        <v>91.264943769253236</v>
      </c>
      <c r="S37" s="45">
        <f t="shared" si="17"/>
        <v>107.85610200364297</v>
      </c>
      <c r="T37" s="45">
        <f t="shared" ref="T37:U37" si="18">F29</f>
        <v>202.96615187632614</v>
      </c>
      <c r="U37" s="44">
        <f t="shared" si="18"/>
        <v>17.012397168075164</v>
      </c>
      <c r="V37" s="45">
        <f t="shared" ref="V37:V38" si="19">SUM(S37:U37)</f>
        <v>327.83465104804429</v>
      </c>
    </row>
    <row r="38" spans="17:22" x14ac:dyDescent="0.2">
      <c r="Q38">
        <v>2017</v>
      </c>
      <c r="R38" s="44">
        <f t="shared" ref="R38:S38" si="20">C30</f>
        <v>253.79641984190249</v>
      </c>
      <c r="S38" s="45">
        <f t="shared" si="20"/>
        <v>334.83946908546221</v>
      </c>
      <c r="T38" s="45">
        <f t="shared" ref="T38:U38" si="21">F30</f>
        <v>546.30381611076848</v>
      </c>
      <c r="U38" s="44">
        <f t="shared" si="21"/>
        <v>70.975342024117822</v>
      </c>
      <c r="V38" s="45">
        <f t="shared" si="19"/>
        <v>952.11862722034846</v>
      </c>
    </row>
  </sheetData>
  <mergeCells count="1">
    <mergeCell ref="M7:N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B54"/>
  <sheetViews>
    <sheetView tabSelected="1" topLeftCell="O34" workbookViewId="0">
      <selection activeCell="Q44" sqref="Q44"/>
    </sheetView>
  </sheetViews>
  <sheetFormatPr defaultRowHeight="12.75" x14ac:dyDescent="0.2"/>
  <cols>
    <col min="2" max="2" width="13.7109375" customWidth="1"/>
    <col min="23" max="24" width="9" bestFit="1" customWidth="1"/>
    <col min="25" max="25" width="12.7109375" bestFit="1" customWidth="1"/>
  </cols>
  <sheetData>
    <row r="3" spans="2:28" x14ac:dyDescent="0.2">
      <c r="R3" t="s">
        <v>224</v>
      </c>
      <c r="V3" t="s">
        <v>225</v>
      </c>
    </row>
    <row r="4" spans="2:28" x14ac:dyDescent="0.2">
      <c r="W4" t="s">
        <v>226</v>
      </c>
      <c r="X4" t="s">
        <v>226</v>
      </c>
      <c r="Y4" t="s">
        <v>227</v>
      </c>
    </row>
    <row r="5" spans="2:28" x14ac:dyDescent="0.2">
      <c r="B5" t="s">
        <v>248</v>
      </c>
      <c r="E5" t="s">
        <v>223</v>
      </c>
      <c r="F5" t="s">
        <v>0</v>
      </c>
      <c r="G5" t="s">
        <v>4</v>
      </c>
      <c r="S5" t="s">
        <v>0</v>
      </c>
      <c r="T5" t="s">
        <v>4</v>
      </c>
      <c r="W5" t="s">
        <v>0</v>
      </c>
      <c r="X5" t="s">
        <v>4</v>
      </c>
      <c r="Y5" t="s">
        <v>248</v>
      </c>
      <c r="Z5" t="s">
        <v>249</v>
      </c>
    </row>
    <row r="6" spans="2:28" x14ac:dyDescent="0.2">
      <c r="B6" s="49">
        <f>[11]Indicators_NonMan_2018_BEA!Y5</f>
        <v>777394.15519999992</v>
      </c>
      <c r="D6">
        <f>1970</f>
        <v>1970</v>
      </c>
      <c r="E6">
        <f>B6*0.0001</f>
        <v>77.739415519999994</v>
      </c>
      <c r="R6">
        <f>D6</f>
        <v>1970</v>
      </c>
      <c r="S6" s="3">
        <f>S$13</f>
        <v>0.44712473294287891</v>
      </c>
      <c r="T6" s="3">
        <f>T$13</f>
        <v>5.388534510162013</v>
      </c>
      <c r="V6">
        <f>R6</f>
        <v>1970</v>
      </c>
      <c r="W6" s="55">
        <f>S6*$E6</f>
        <v>34.759215403515491</v>
      </c>
      <c r="X6" s="55">
        <f>T6*$E6</f>
        <v>418.90152332934434</v>
      </c>
      <c r="Y6" s="50">
        <f>B6</f>
        <v>777394.15519999992</v>
      </c>
      <c r="Z6" s="50">
        <f>[11]Indicators_NonMan_2018_BEA!M5</f>
        <v>514801.42218000005</v>
      </c>
    </row>
    <row r="7" spans="2:28" x14ac:dyDescent="0.2">
      <c r="B7" s="49">
        <f>[11]Indicators_NonMan_2018_BEA!Y6</f>
        <v>862812.51940000011</v>
      </c>
      <c r="D7">
        <f>D6+1</f>
        <v>1971</v>
      </c>
      <c r="E7">
        <f t="shared" ref="E7:E47" si="0">B7*0.0001</f>
        <v>86.281251940000018</v>
      </c>
      <c r="R7">
        <f t="shared" ref="R7:R47" si="1">D7</f>
        <v>1971</v>
      </c>
      <c r="S7" s="3">
        <f t="shared" ref="S7:T12" si="2">S$13</f>
        <v>0.44712473294287891</v>
      </c>
      <c r="T7" s="3">
        <f t="shared" si="2"/>
        <v>5.388534510162013</v>
      </c>
      <c r="V7">
        <f t="shared" ref="V7:V46" si="3">R7</f>
        <v>1971</v>
      </c>
      <c r="W7" s="55">
        <f t="shared" ref="W7:W46" si="4">S7*$E7</f>
        <v>38.578481731649759</v>
      </c>
      <c r="X7" s="55">
        <f t="shared" ref="X7:X46" si="5">T7*$E7</f>
        <v>464.92950365867324</v>
      </c>
      <c r="Y7" s="50">
        <f t="shared" ref="Y7:Y46" si="6">B7</f>
        <v>862812.51940000011</v>
      </c>
      <c r="Z7" s="50">
        <f>[11]Indicators_NonMan_2018_BEA!M6</f>
        <v>515897.19180000003</v>
      </c>
    </row>
    <row r="8" spans="2:28" x14ac:dyDescent="0.2">
      <c r="B8" s="49">
        <f>[11]Indicators_NonMan_2018_BEA!Y7</f>
        <v>942342.18519999995</v>
      </c>
      <c r="D8">
        <f t="shared" ref="D8:D54" si="7">D7+1</f>
        <v>1972</v>
      </c>
      <c r="E8">
        <f t="shared" si="0"/>
        <v>94.234218519999999</v>
      </c>
      <c r="R8">
        <f t="shared" si="1"/>
        <v>1972</v>
      </c>
      <c r="S8" s="3">
        <f t="shared" si="2"/>
        <v>0.44712473294287891</v>
      </c>
      <c r="T8" s="3">
        <f t="shared" si="2"/>
        <v>5.388534510162013</v>
      </c>
      <c r="V8">
        <f t="shared" si="3"/>
        <v>1972</v>
      </c>
      <c r="W8" s="55">
        <f t="shared" si="4"/>
        <v>42.134449789835891</v>
      </c>
      <c r="X8" s="55">
        <f t="shared" si="5"/>
        <v>507.7843385331683</v>
      </c>
      <c r="Y8" s="50">
        <f t="shared" si="6"/>
        <v>942342.18519999995</v>
      </c>
      <c r="Z8" s="50">
        <f>[11]Indicators_NonMan_2018_BEA!M7</f>
        <v>522217.23677999998</v>
      </c>
    </row>
    <row r="9" spans="2:28" x14ac:dyDescent="0.2">
      <c r="B9" s="49">
        <f>[11]Indicators_NonMan_2018_BEA!Y8</f>
        <v>953657.51260000002</v>
      </c>
      <c r="D9">
        <f t="shared" si="7"/>
        <v>1973</v>
      </c>
      <c r="E9">
        <f t="shared" si="0"/>
        <v>95.36575126000001</v>
      </c>
      <c r="R9">
        <f t="shared" si="1"/>
        <v>1973</v>
      </c>
      <c r="S9" s="3">
        <f t="shared" si="2"/>
        <v>0.44712473294287891</v>
      </c>
      <c r="T9" s="3">
        <f t="shared" si="2"/>
        <v>5.388534510162013</v>
      </c>
      <c r="V9">
        <f t="shared" si="3"/>
        <v>1973</v>
      </c>
      <c r="W9" s="55">
        <f t="shared" si="4"/>
        <v>42.640386064024526</v>
      </c>
      <c r="X9" s="55">
        <f t="shared" si="5"/>
        <v>513.88164175203656</v>
      </c>
      <c r="Y9" s="50">
        <f t="shared" si="6"/>
        <v>953657.51260000002</v>
      </c>
      <c r="Z9" s="50">
        <f>[11]Indicators_NonMan_2018_BEA!M8</f>
        <v>541066.68792000005</v>
      </c>
    </row>
    <row r="10" spans="2:28" x14ac:dyDescent="0.2">
      <c r="B10" s="49">
        <f>[11]Indicators_NonMan_2018_BEA!Y9</f>
        <v>839590.8456</v>
      </c>
      <c r="D10">
        <f t="shared" si="7"/>
        <v>1974</v>
      </c>
      <c r="E10">
        <f t="shared" si="0"/>
        <v>83.959084560000008</v>
      </c>
      <c r="R10">
        <f t="shared" si="1"/>
        <v>1974</v>
      </c>
      <c r="S10" s="3">
        <f t="shared" si="2"/>
        <v>0.44712473294287891</v>
      </c>
      <c r="T10" s="3">
        <f t="shared" si="2"/>
        <v>5.388534510162013</v>
      </c>
      <c r="V10">
        <f t="shared" si="3"/>
        <v>1974</v>
      </c>
      <c r="W10" s="55">
        <f t="shared" si="4"/>
        <v>37.540183262018594</v>
      </c>
      <c r="X10" s="55">
        <f t="shared" si="5"/>
        <v>452.41642459317069</v>
      </c>
      <c r="Y10" s="50">
        <f t="shared" si="6"/>
        <v>839590.8456</v>
      </c>
      <c r="Z10" s="50">
        <f>[11]Indicators_NonMan_2018_BEA!M9</f>
        <v>512183.75031000003</v>
      </c>
    </row>
    <row r="11" spans="2:28" x14ac:dyDescent="0.2">
      <c r="B11" s="49">
        <f>[11]Indicators_NonMan_2018_BEA!Y10</f>
        <v>751109.92839999986</v>
      </c>
      <c r="D11">
        <f t="shared" si="7"/>
        <v>1975</v>
      </c>
      <c r="E11">
        <f t="shared" si="0"/>
        <v>75.110992839999994</v>
      </c>
      <c r="R11">
        <f t="shared" si="1"/>
        <v>1975</v>
      </c>
      <c r="S11" s="3">
        <f t="shared" si="2"/>
        <v>0.44712473294287891</v>
      </c>
      <c r="T11" s="3">
        <f t="shared" si="2"/>
        <v>5.388534510162013</v>
      </c>
      <c r="V11">
        <f t="shared" si="3"/>
        <v>1975</v>
      </c>
      <c r="W11" s="55">
        <f t="shared" si="4"/>
        <v>33.58398261465949</v>
      </c>
      <c r="X11" s="55">
        <f t="shared" si="5"/>
        <v>404.73817701087182</v>
      </c>
      <c r="Y11" s="50">
        <f t="shared" si="6"/>
        <v>751109.92839999986</v>
      </c>
      <c r="Z11" s="50">
        <f>[11]Indicators_NonMan_2018_BEA!M10</f>
        <v>473737.73238000006</v>
      </c>
    </row>
    <row r="12" spans="2:28" x14ac:dyDescent="0.2">
      <c r="B12" s="49">
        <f>[11]Indicators_NonMan_2018_BEA!Y11</f>
        <v>809029.79039999994</v>
      </c>
      <c r="D12">
        <f t="shared" si="7"/>
        <v>1976</v>
      </c>
      <c r="E12">
        <f t="shared" si="0"/>
        <v>80.902979039999991</v>
      </c>
      <c r="R12">
        <f t="shared" si="1"/>
        <v>1976</v>
      </c>
      <c r="S12" s="3">
        <f t="shared" si="2"/>
        <v>0.44712473294287891</v>
      </c>
      <c r="T12" s="3">
        <f t="shared" si="2"/>
        <v>5.388534510162013</v>
      </c>
      <c r="V12">
        <f t="shared" si="3"/>
        <v>1976</v>
      </c>
      <c r="W12" s="55">
        <f t="shared" si="4"/>
        <v>36.173722897543328</v>
      </c>
      <c r="X12" s="55">
        <f t="shared" si="5"/>
        <v>435.94849453195394</v>
      </c>
      <c r="Y12" s="50">
        <f t="shared" si="6"/>
        <v>809029.79039999994</v>
      </c>
      <c r="Z12" s="50">
        <f>[11]Indicators_NonMan_2018_BEA!M11</f>
        <v>526605.84944999998</v>
      </c>
    </row>
    <row r="13" spans="2:28" x14ac:dyDescent="0.2">
      <c r="B13" s="49">
        <f>[11]Indicators_NonMan_2018_BEA!Y12</f>
        <v>872967.30040000007</v>
      </c>
      <c r="D13">
        <f t="shared" si="7"/>
        <v>1977</v>
      </c>
      <c r="E13">
        <f t="shared" si="0"/>
        <v>87.296730040000014</v>
      </c>
      <c r="F13">
        <f>Construction!$D52</f>
        <v>39.032527105921602</v>
      </c>
      <c r="G13">
        <f>Construction!$K52</f>
        <v>470.40144244483696</v>
      </c>
      <c r="R13">
        <f t="shared" si="1"/>
        <v>1977</v>
      </c>
      <c r="S13" s="53">
        <f>F13/$E13</f>
        <v>0.44712473294287891</v>
      </c>
      <c r="T13" s="53">
        <f>G13/$E13</f>
        <v>5.388534510162013</v>
      </c>
      <c r="V13">
        <f t="shared" si="3"/>
        <v>1977</v>
      </c>
      <c r="W13" s="55">
        <f t="shared" si="4"/>
        <v>39.032527105921602</v>
      </c>
      <c r="X13" s="55">
        <f t="shared" si="5"/>
        <v>470.40144244483696</v>
      </c>
      <c r="Y13" s="50">
        <f t="shared" si="6"/>
        <v>872967.30040000007</v>
      </c>
      <c r="Z13" s="50">
        <f>[11]Indicators_NonMan_2018_BEA!M12</f>
        <v>538648.24689000007</v>
      </c>
      <c r="AB13">
        <v>1</v>
      </c>
    </row>
    <row r="14" spans="2:28" x14ac:dyDescent="0.2">
      <c r="B14" s="49">
        <f>[11]Indicators_NonMan_2018_BEA!Y13</f>
        <v>943072.8996</v>
      </c>
      <c r="D14">
        <f t="shared" si="7"/>
        <v>1978</v>
      </c>
      <c r="E14">
        <f t="shared" si="0"/>
        <v>94.307289960000006</v>
      </c>
      <c r="R14">
        <f t="shared" si="1"/>
        <v>1978</v>
      </c>
      <c r="S14" s="3">
        <f>0.8*S13+0.2*S18</f>
        <v>0.46031498661358089</v>
      </c>
      <c r="T14" s="54">
        <f>0.9*T13+0.1*T23</f>
        <v>5.2614600819850761</v>
      </c>
      <c r="V14">
        <f t="shared" si="3"/>
        <v>1978</v>
      </c>
      <c r="W14" s="55">
        <f t="shared" si="4"/>
        <v>43.411058915500497</v>
      </c>
      <c r="X14" s="55">
        <f t="shared" si="5"/>
        <v>496.19404156473195</v>
      </c>
      <c r="Y14" s="50">
        <f t="shared" si="6"/>
        <v>943072.8996</v>
      </c>
      <c r="Z14" s="50">
        <f>[11]Indicators_NonMan_2018_BEA!M13</f>
        <v>557470.02708000003</v>
      </c>
      <c r="AB14" s="1">
        <f>0.9*AB13+0.1*AB23</f>
        <v>2</v>
      </c>
    </row>
    <row r="15" spans="2:28" x14ac:dyDescent="0.2">
      <c r="B15" s="49">
        <f>[11]Indicators_NonMan_2018_BEA!Y14</f>
        <v>961340.75960000011</v>
      </c>
      <c r="D15">
        <f t="shared" si="7"/>
        <v>1979</v>
      </c>
      <c r="E15">
        <f t="shared" si="0"/>
        <v>96.134075960000018</v>
      </c>
      <c r="R15">
        <f t="shared" si="1"/>
        <v>1979</v>
      </c>
      <c r="S15" s="3">
        <f>0.6*S13+0.4*S18</f>
        <v>0.47350524028428276</v>
      </c>
      <c r="T15" s="54">
        <f>0.8*T13+0.2*T23</f>
        <v>5.1343856538081383</v>
      </c>
      <c r="V15">
        <f t="shared" si="3"/>
        <v>1979</v>
      </c>
      <c r="W15" s="55">
        <f t="shared" si="4"/>
        <v>45.519988736947298</v>
      </c>
      <c r="X15" s="55">
        <f t="shared" si="5"/>
        <v>493.58942045112593</v>
      </c>
      <c r="Y15" s="50">
        <f t="shared" si="6"/>
        <v>961340.75960000011</v>
      </c>
      <c r="Z15" s="50">
        <f>[11]Indicators_NonMan_2018_BEA!M14</f>
        <v>558599.00184000004</v>
      </c>
      <c r="AB15" s="1">
        <f>0.8*AB13+0.2*AB23</f>
        <v>3</v>
      </c>
    </row>
    <row r="16" spans="2:28" x14ac:dyDescent="0.2">
      <c r="B16" s="49">
        <f>[11]Indicators_NonMan_2018_BEA!Y15</f>
        <v>868851.6590000001</v>
      </c>
      <c r="D16">
        <f t="shared" si="7"/>
        <v>1980</v>
      </c>
      <c r="E16">
        <f t="shared" si="0"/>
        <v>86.885165900000018</v>
      </c>
      <c r="R16">
        <f t="shared" si="1"/>
        <v>1980</v>
      </c>
      <c r="S16" s="3">
        <f>0.4*S13+0.6*S18</f>
        <v>0.48669549395498468</v>
      </c>
      <c r="T16" s="54">
        <f>0.7*T13+0.3*T23</f>
        <v>5.0073112256311996</v>
      </c>
      <c r="V16">
        <f t="shared" si="3"/>
        <v>1980</v>
      </c>
      <c r="W16" s="55">
        <f t="shared" si="4"/>
        <v>42.286618735061303</v>
      </c>
      <c r="X16" s="55">
        <f t="shared" si="5"/>
        <v>435.06106655189922</v>
      </c>
      <c r="Y16" s="50">
        <f t="shared" si="6"/>
        <v>868851.6590000001</v>
      </c>
      <c r="Z16" s="50">
        <f>[11]Indicators_NonMan_2018_BEA!M15</f>
        <v>529212.45293999999</v>
      </c>
      <c r="AB16" s="1">
        <f>0.7*AB13+0.3*AB23</f>
        <v>4</v>
      </c>
    </row>
    <row r="17" spans="2:28" x14ac:dyDescent="0.2">
      <c r="B17" s="49">
        <f>[11]Indicators_NonMan_2018_BEA!Y16</f>
        <v>855645.07079999999</v>
      </c>
      <c r="D17">
        <f t="shared" si="7"/>
        <v>1981</v>
      </c>
      <c r="E17">
        <f t="shared" si="0"/>
        <v>85.564507079999998</v>
      </c>
      <c r="R17">
        <f t="shared" si="1"/>
        <v>1981</v>
      </c>
      <c r="S17" s="3">
        <f>0.2*S13+0.8*S18</f>
        <v>0.49988574762568666</v>
      </c>
      <c r="T17" s="54">
        <f>0.6*T13+0.4*T23</f>
        <v>4.8802367974542626</v>
      </c>
      <c r="V17">
        <f t="shared" si="3"/>
        <v>1981</v>
      </c>
      <c r="W17" s="55">
        <f t="shared" si="4"/>
        <v>42.772477591909158</v>
      </c>
      <c r="X17" s="55">
        <f t="shared" si="5"/>
        <v>417.5750560078518</v>
      </c>
      <c r="Y17" s="50">
        <f t="shared" si="6"/>
        <v>855645.07079999999</v>
      </c>
      <c r="Z17" s="50">
        <f>[11]Indicators_NonMan_2018_BEA!M16</f>
        <v>499986.39555000002</v>
      </c>
      <c r="AB17" s="1">
        <f>0.6*AB13+0.4*AB23</f>
        <v>5</v>
      </c>
    </row>
    <row r="18" spans="2:28" x14ac:dyDescent="0.2">
      <c r="B18" s="49">
        <f>[11]Indicators_NonMan_2018_BEA!Y17</f>
        <v>798026.09119999991</v>
      </c>
      <c r="D18">
        <f t="shared" si="7"/>
        <v>1982</v>
      </c>
      <c r="E18">
        <f t="shared" si="0"/>
        <v>79.80260912</v>
      </c>
      <c r="F18">
        <f>Construction!$D53</f>
        <v>40.944803580308303</v>
      </c>
      <c r="G18">
        <f>Construction!$K53</f>
        <v>328.05452137961959</v>
      </c>
      <c r="R18">
        <f t="shared" si="1"/>
        <v>1982</v>
      </c>
      <c r="S18" s="53">
        <f>F18/$E18</f>
        <v>0.51307600129638853</v>
      </c>
      <c r="T18" s="54">
        <f>0.5*T13+0.5*T23</f>
        <v>4.7531623692773248</v>
      </c>
      <c r="V18">
        <f t="shared" si="3"/>
        <v>1982</v>
      </c>
      <c r="W18" s="55">
        <f t="shared" si="4"/>
        <v>40.94480358030831</v>
      </c>
      <c r="X18" s="55">
        <f t="shared" si="5"/>
        <v>379.31475863933144</v>
      </c>
      <c r="Y18" s="50">
        <f t="shared" si="6"/>
        <v>798026.09119999991</v>
      </c>
      <c r="Z18" s="50">
        <f>[11]Indicators_NonMan_2018_BEA!M17</f>
        <v>469282.70942999999</v>
      </c>
      <c r="AB18" s="1">
        <f>0.5*AB13+0.5*AB23</f>
        <v>6</v>
      </c>
    </row>
    <row r="19" spans="2:28" x14ac:dyDescent="0.2">
      <c r="B19" s="49">
        <f>[11]Indicators_NonMan_2018_BEA!Y18</f>
        <v>882864.18220000016</v>
      </c>
      <c r="D19">
        <f t="shared" si="7"/>
        <v>1983</v>
      </c>
      <c r="E19">
        <f t="shared" si="0"/>
        <v>88.286418220000016</v>
      </c>
      <c r="R19">
        <f t="shared" si="1"/>
        <v>1983</v>
      </c>
      <c r="S19" s="3">
        <f>0.8*S18+0.2*S23</f>
        <v>0.50205278569278056</v>
      </c>
      <c r="T19" s="54">
        <f>0.4*T13+0.6*T23</f>
        <v>4.626087941100387</v>
      </c>
      <c r="V19">
        <f t="shared" si="3"/>
        <v>1983</v>
      </c>
      <c r="W19" s="55">
        <f t="shared" si="4"/>
        <v>44.324442206188863</v>
      </c>
      <c r="X19" s="55">
        <f t="shared" si="5"/>
        <v>408.42073469048756</v>
      </c>
      <c r="Y19" s="50">
        <f t="shared" si="6"/>
        <v>882864.18220000016</v>
      </c>
      <c r="Z19" s="50">
        <f>[11]Indicators_NonMan_2018_BEA!M18</f>
        <v>501773.93892000004</v>
      </c>
      <c r="AB19" s="1">
        <f>0.4*AB13+0.6*AB23</f>
        <v>7</v>
      </c>
    </row>
    <row r="20" spans="2:28" x14ac:dyDescent="0.2">
      <c r="B20" s="49">
        <f>[11]Indicators_NonMan_2018_BEA!Y19</f>
        <v>1009718.3512</v>
      </c>
      <c r="D20">
        <f t="shared" si="7"/>
        <v>1984</v>
      </c>
      <c r="E20">
        <f t="shared" si="0"/>
        <v>100.97183512000001</v>
      </c>
      <c r="R20">
        <f t="shared" si="1"/>
        <v>1984</v>
      </c>
      <c r="S20" s="3">
        <f>0.6*S18+0.4*S23</f>
        <v>0.49102957008917242</v>
      </c>
      <c r="T20" s="54">
        <f>0.3*T13+0.7*T23</f>
        <v>4.4990135129234492</v>
      </c>
      <c r="V20">
        <f t="shared" si="3"/>
        <v>1984</v>
      </c>
      <c r="W20" s="55">
        <f t="shared" si="4"/>
        <v>49.580156790088402</v>
      </c>
      <c r="X20" s="55">
        <f t="shared" si="5"/>
        <v>454.27365062955852</v>
      </c>
      <c r="Y20" s="50">
        <f t="shared" si="6"/>
        <v>1009718.3512</v>
      </c>
      <c r="Z20" s="50">
        <f>[11]Indicators_NonMan_2018_BEA!M19</f>
        <v>554315.53878000006</v>
      </c>
      <c r="AB20" s="1">
        <f>0.3*AB13+0.7*AB23</f>
        <v>7.9999999999999991</v>
      </c>
    </row>
    <row r="21" spans="2:28" x14ac:dyDescent="0.2">
      <c r="B21" s="49">
        <f>[11]Indicators_NonMan_2018_BEA!Y20</f>
        <v>1086217.7014000001</v>
      </c>
      <c r="D21">
        <f t="shared" si="7"/>
        <v>1985</v>
      </c>
      <c r="E21">
        <f t="shared" si="0"/>
        <v>108.62177014000002</v>
      </c>
      <c r="R21">
        <f t="shared" si="1"/>
        <v>1985</v>
      </c>
      <c r="S21" s="3">
        <f>0.4*S18+0.6*S23</f>
        <v>0.48000635448556428</v>
      </c>
      <c r="T21" s="54">
        <f>0.2*T13+0.8*T23</f>
        <v>4.3719390847465123</v>
      </c>
      <c r="V21">
        <f t="shared" si="3"/>
        <v>1985</v>
      </c>
      <c r="W21" s="55">
        <f t="shared" si="4"/>
        <v>52.13913990267033</v>
      </c>
      <c r="X21" s="55">
        <f t="shared" si="5"/>
        <v>474.88776232941774</v>
      </c>
      <c r="Y21" s="50">
        <f t="shared" si="6"/>
        <v>1086217.7014000001</v>
      </c>
      <c r="Z21" s="50">
        <f>[11]Indicators_NonMan_2018_BEA!M20</f>
        <v>593602.75358999998</v>
      </c>
      <c r="AB21" s="1">
        <f>0.2*AB13+0.8*AB23</f>
        <v>9</v>
      </c>
    </row>
    <row r="22" spans="2:28" x14ac:dyDescent="0.2">
      <c r="B22" s="49">
        <f>[11]Indicators_NonMan_2018_BEA!Y21</f>
        <v>1135057.3624</v>
      </c>
      <c r="D22">
        <f t="shared" si="7"/>
        <v>1986</v>
      </c>
      <c r="E22">
        <f t="shared" si="0"/>
        <v>113.50573624</v>
      </c>
      <c r="R22">
        <f t="shared" si="1"/>
        <v>1986</v>
      </c>
      <c r="S22" s="3">
        <f>0.2*S18+0.8*S23</f>
        <v>0.46898313888195631</v>
      </c>
      <c r="T22" s="54">
        <f>0.1*T13+0.9*T23</f>
        <v>4.2448646565695745</v>
      </c>
      <c r="V22">
        <f t="shared" si="3"/>
        <v>1986</v>
      </c>
      <c r="W22" s="55">
        <f t="shared" si="4"/>
        <v>53.232276462942622</v>
      </c>
      <c r="X22" s="55">
        <f t="shared" si="5"/>
        <v>481.81648808308432</v>
      </c>
      <c r="Y22" s="50">
        <f t="shared" si="6"/>
        <v>1135057.3624</v>
      </c>
      <c r="Z22" s="50">
        <f>[11]Indicators_NonMan_2018_BEA!M21</f>
        <v>611682.95232000004</v>
      </c>
      <c r="AB22" s="1">
        <f>0.1*AB13+0.9*AB23</f>
        <v>10</v>
      </c>
    </row>
    <row r="23" spans="2:28" x14ac:dyDescent="0.2">
      <c r="B23" s="49">
        <f>[11]Indicators_NonMan_2018_BEA!Y22</f>
        <v>1163694.9194000002</v>
      </c>
      <c r="D23">
        <f t="shared" si="7"/>
        <v>1987</v>
      </c>
      <c r="E23">
        <f t="shared" si="0"/>
        <v>116.36949194000003</v>
      </c>
      <c r="F23">
        <f>Construction!$D54</f>
        <v>53.292563600782771</v>
      </c>
      <c r="G23">
        <f>Construction!$K54</f>
        <v>479.18515679354778</v>
      </c>
      <c r="R23">
        <f t="shared" si="1"/>
        <v>1987</v>
      </c>
      <c r="S23" s="53">
        <f>F23/$E23</f>
        <v>0.45795992327834817</v>
      </c>
      <c r="T23" s="53">
        <f>G23/$E23</f>
        <v>4.1177902283926366</v>
      </c>
      <c r="V23">
        <f t="shared" si="3"/>
        <v>1987</v>
      </c>
      <c r="W23" s="55">
        <f t="shared" si="4"/>
        <v>53.292563600782771</v>
      </c>
      <c r="X23" s="55">
        <f t="shared" si="5"/>
        <v>479.18515679354783</v>
      </c>
      <c r="Y23" s="50">
        <f t="shared" si="6"/>
        <v>1163694.9194000002</v>
      </c>
      <c r="Z23" s="50">
        <f>[11]Indicators_NonMan_2018_BEA!M22</f>
        <v>630078.59988000011</v>
      </c>
      <c r="AB23">
        <v>11</v>
      </c>
    </row>
    <row r="24" spans="2:28" x14ac:dyDescent="0.2">
      <c r="B24" s="49">
        <f>[11]Indicators_NonMan_2018_BEA!Y23</f>
        <v>1153303.7308</v>
      </c>
      <c r="D24">
        <f t="shared" si="7"/>
        <v>1988</v>
      </c>
      <c r="E24">
        <f t="shared" si="0"/>
        <v>115.33037308</v>
      </c>
      <c r="R24">
        <f t="shared" si="1"/>
        <v>1988</v>
      </c>
      <c r="S24" s="3">
        <f>0.8*S23+0.2*S28</f>
        <v>0.49205298120033225</v>
      </c>
      <c r="T24" s="3">
        <f>0.8*T23+0.2*T28</f>
        <v>4.2016033587245785</v>
      </c>
      <c r="V24">
        <f t="shared" si="3"/>
        <v>1988</v>
      </c>
      <c r="W24" s="55">
        <f t="shared" si="4"/>
        <v>56.748653896960548</v>
      </c>
      <c r="X24" s="55">
        <f t="shared" si="5"/>
        <v>484.57248289588671</v>
      </c>
      <c r="Y24" s="50">
        <f t="shared" si="6"/>
        <v>1153303.7308</v>
      </c>
      <c r="Z24" s="50">
        <f>[11]Indicators_NonMan_2018_BEA!M23</f>
        <v>651423.97071000002</v>
      </c>
    </row>
    <row r="25" spans="2:28" x14ac:dyDescent="0.2">
      <c r="B25" s="49">
        <f>[11]Indicators_NonMan_2018_BEA!Y24</f>
        <v>1138979.5793999999</v>
      </c>
      <c r="D25">
        <f t="shared" si="7"/>
        <v>1989</v>
      </c>
      <c r="E25">
        <f t="shared" si="0"/>
        <v>113.89795794</v>
      </c>
      <c r="R25">
        <f t="shared" si="1"/>
        <v>1989</v>
      </c>
      <c r="S25" s="3">
        <f>0.6*S23+0.4*S28</f>
        <v>0.52614603912231628</v>
      </c>
      <c r="T25" s="3">
        <f>0.6*T23+0.4*T28</f>
        <v>4.2854164890565194</v>
      </c>
      <c r="V25">
        <f t="shared" si="3"/>
        <v>1989</v>
      </c>
      <c r="W25" s="55">
        <f t="shared" si="4"/>
        <v>59.926959434251174</v>
      </c>
      <c r="X25" s="55">
        <f t="shared" si="5"/>
        <v>488.10018702594192</v>
      </c>
      <c r="Y25" s="50">
        <f t="shared" si="6"/>
        <v>1138979.5793999999</v>
      </c>
      <c r="Z25" s="50">
        <f>[11]Indicators_NonMan_2018_BEA!M24</f>
        <v>656681.45121000009</v>
      </c>
    </row>
    <row r="26" spans="2:28" x14ac:dyDescent="0.2">
      <c r="B26" s="49">
        <f>[11]Indicators_NonMan_2018_BEA!Y25</f>
        <v>1115317.3278000001</v>
      </c>
      <c r="D26">
        <f t="shared" si="7"/>
        <v>1990</v>
      </c>
      <c r="E26">
        <f t="shared" si="0"/>
        <v>111.53173278000001</v>
      </c>
      <c r="R26">
        <f t="shared" si="1"/>
        <v>1990</v>
      </c>
      <c r="S26" s="3">
        <f>0.4*S23+0.6*S28</f>
        <v>0.5602390970443003</v>
      </c>
      <c r="T26" s="3">
        <f>0.4*T23+0.6*T28</f>
        <v>4.3692296193884612</v>
      </c>
      <c r="V26">
        <f t="shared" si="3"/>
        <v>1990</v>
      </c>
      <c r="W26" s="55">
        <f t="shared" si="4"/>
        <v>62.484437264453398</v>
      </c>
      <c r="X26" s="55">
        <f t="shared" si="5"/>
        <v>487.307750364095</v>
      </c>
      <c r="Y26" s="50">
        <f t="shared" si="6"/>
        <v>1115317.3278000001</v>
      </c>
      <c r="Z26" s="50">
        <f>[11]Indicators_NonMan_2018_BEA!M25</f>
        <v>646100.07993000001</v>
      </c>
    </row>
    <row r="27" spans="2:28" x14ac:dyDescent="0.2">
      <c r="B27" s="49">
        <f>[11]Indicators_NonMan_2018_BEA!Y26</f>
        <v>1019819.4031999999</v>
      </c>
      <c r="D27">
        <f t="shared" si="7"/>
        <v>1991</v>
      </c>
      <c r="E27">
        <f t="shared" si="0"/>
        <v>101.98194031999999</v>
      </c>
      <c r="R27">
        <f t="shared" si="1"/>
        <v>1991</v>
      </c>
      <c r="S27" s="3">
        <f>0.2*S23+0.8*S28</f>
        <v>0.59433215496628444</v>
      </c>
      <c r="T27" s="3">
        <f>0.2*T23+0.8*T28</f>
        <v>4.453042749720403</v>
      </c>
      <c r="V27">
        <f t="shared" si="3"/>
        <v>1991</v>
      </c>
      <c r="W27" s="55">
        <f t="shared" si="4"/>
        <v>60.611146358028606</v>
      </c>
      <c r="X27" s="55">
        <f t="shared" si="5"/>
        <v>454.12993994439478</v>
      </c>
      <c r="Y27" s="50">
        <f t="shared" si="6"/>
        <v>1019819.4031999999</v>
      </c>
      <c r="Z27" s="50">
        <f>[11]Indicators_NonMan_2018_BEA!M26</f>
        <v>597913.88760000002</v>
      </c>
    </row>
    <row r="28" spans="2:28" x14ac:dyDescent="0.2">
      <c r="B28" s="49">
        <f>[11]Indicators_NonMan_2018_BEA!Y27</f>
        <v>1055345.0179999999</v>
      </c>
      <c r="D28">
        <f t="shared" si="7"/>
        <v>1992</v>
      </c>
      <c r="E28">
        <f t="shared" si="0"/>
        <v>105.5345018</v>
      </c>
      <c r="F28">
        <f>Construction!$D55</f>
        <v>66.32054176072235</v>
      </c>
      <c r="G28">
        <f>Construction!$K55</f>
        <v>478.7948250397248</v>
      </c>
      <c r="R28">
        <f t="shared" si="1"/>
        <v>1992</v>
      </c>
      <c r="S28" s="53">
        <f>F28/$E28</f>
        <v>0.62842521288826847</v>
      </c>
      <c r="T28" s="53">
        <f>G28/$E28</f>
        <v>4.5368558800523449</v>
      </c>
      <c r="V28">
        <f t="shared" si="3"/>
        <v>1992</v>
      </c>
      <c r="W28" s="55">
        <f t="shared" si="4"/>
        <v>66.32054176072235</v>
      </c>
      <c r="X28" s="55">
        <f t="shared" si="5"/>
        <v>478.7948250397248</v>
      </c>
      <c r="Y28" s="50">
        <f t="shared" si="6"/>
        <v>1055345.0179999999</v>
      </c>
      <c r="Z28" s="50">
        <f>[11]Indicators_NonMan_2018_BEA!M27</f>
        <v>605999.33918999997</v>
      </c>
    </row>
    <row r="29" spans="2:28" x14ac:dyDescent="0.2">
      <c r="B29" s="49">
        <f>[11]Indicators_NonMan_2018_BEA!Y28</f>
        <v>1080920.0220000001</v>
      </c>
      <c r="D29">
        <f t="shared" si="7"/>
        <v>1993</v>
      </c>
      <c r="E29">
        <f t="shared" si="0"/>
        <v>108.09200220000001</v>
      </c>
      <c r="R29">
        <f t="shared" si="1"/>
        <v>1993</v>
      </c>
      <c r="S29" s="3">
        <f>0.8*S28+0.2*S33</f>
        <v>0.63056311040402757</v>
      </c>
      <c r="T29" s="3">
        <f>0.8*T28+0.2*T33</f>
        <v>4.43164695790973</v>
      </c>
      <c r="V29">
        <f t="shared" si="3"/>
        <v>1993</v>
      </c>
      <c r="W29" s="55">
        <f t="shared" si="4"/>
        <v>68.158829117031004</v>
      </c>
      <c r="X29" s="55">
        <f t="shared" si="5"/>
        <v>479.02559272400191</v>
      </c>
      <c r="Y29" s="50">
        <f t="shared" si="6"/>
        <v>1080920.0220000001</v>
      </c>
      <c r="Z29" s="50">
        <f>[11]Indicators_NonMan_2018_BEA!M28</f>
        <v>621799.45163999998</v>
      </c>
    </row>
    <row r="30" spans="2:28" x14ac:dyDescent="0.2">
      <c r="B30" s="49">
        <f>[11]Indicators_NonMan_2018_BEA!Y29</f>
        <v>1122817.8962000001</v>
      </c>
      <c r="D30">
        <f t="shared" si="7"/>
        <v>1994</v>
      </c>
      <c r="E30">
        <f t="shared" si="0"/>
        <v>112.28178962000001</v>
      </c>
      <c r="R30">
        <f t="shared" si="1"/>
        <v>1994</v>
      </c>
      <c r="S30" s="3">
        <f>0.6*S28+0.4*S33</f>
        <v>0.63270100791978656</v>
      </c>
      <c r="T30" s="3">
        <f>0.6*T28+0.4*T33</f>
        <v>4.3264380357671142</v>
      </c>
      <c r="V30">
        <f t="shared" si="3"/>
        <v>1994</v>
      </c>
      <c r="W30" s="55">
        <f t="shared" si="4"/>
        <v>71.04080146361143</v>
      </c>
      <c r="X30" s="55">
        <f t="shared" si="5"/>
        <v>485.78020533596919</v>
      </c>
      <c r="Y30" s="50">
        <f t="shared" si="6"/>
        <v>1122817.8962000001</v>
      </c>
      <c r="Z30" s="50">
        <f>[11]Indicators_NonMan_2018_BEA!M29</f>
        <v>651816.89820000005</v>
      </c>
    </row>
    <row r="31" spans="2:28" x14ac:dyDescent="0.2">
      <c r="B31" s="49">
        <f>[11]Indicators_NonMan_2018_BEA!Y30</f>
        <v>1128298.2542000001</v>
      </c>
      <c r="D31">
        <f t="shared" si="7"/>
        <v>1995</v>
      </c>
      <c r="E31">
        <f t="shared" si="0"/>
        <v>112.82982542000002</v>
      </c>
      <c r="R31">
        <f t="shared" si="1"/>
        <v>1995</v>
      </c>
      <c r="S31" s="3">
        <f>0.4*S28+0.6*S33</f>
        <v>0.63483890543554566</v>
      </c>
      <c r="T31" s="3">
        <f>0.4*T28+0.6*T33</f>
        <v>4.2212291136244993</v>
      </c>
      <c r="V31">
        <f t="shared" si="3"/>
        <v>1995</v>
      </c>
      <c r="W31" s="55">
        <f t="shared" si="4"/>
        <v>71.628762870116518</v>
      </c>
      <c r="X31" s="55">
        <f t="shared" si="5"/>
        <v>476.28054394807367</v>
      </c>
      <c r="Y31" s="50">
        <f t="shared" si="6"/>
        <v>1128298.2542000001</v>
      </c>
      <c r="Z31" s="50">
        <f>[11]Indicators_NonMan_2018_BEA!M30</f>
        <v>655397.51913000003</v>
      </c>
    </row>
    <row r="32" spans="2:28" x14ac:dyDescent="0.2">
      <c r="B32" s="49">
        <f>[11]Indicators_NonMan_2018_BEA!Y31</f>
        <v>1200950.6080000002</v>
      </c>
      <c r="D32">
        <f t="shared" si="7"/>
        <v>1996</v>
      </c>
      <c r="E32">
        <f t="shared" si="0"/>
        <v>120.09506080000003</v>
      </c>
      <c r="R32">
        <f t="shared" si="1"/>
        <v>1996</v>
      </c>
      <c r="S32" s="3">
        <f>0.2*S28+0.8*S33</f>
        <v>0.63697680295130477</v>
      </c>
      <c r="T32" s="3">
        <f>0.2*T28+0.8*T33</f>
        <v>4.1160201914818844</v>
      </c>
      <c r="V32">
        <f t="shared" si="3"/>
        <v>1996</v>
      </c>
      <c r="W32" s="55">
        <f t="shared" si="4"/>
        <v>76.497767878626576</v>
      </c>
      <c r="X32" s="55">
        <f t="shared" si="5"/>
        <v>494.31369515004468</v>
      </c>
      <c r="Y32" s="50">
        <f t="shared" si="6"/>
        <v>1200950.6080000002</v>
      </c>
      <c r="Z32" s="50">
        <f>[11]Indicators_NonMan_2018_BEA!M31</f>
        <v>684916.88858999999</v>
      </c>
    </row>
    <row r="33" spans="2:26" x14ac:dyDescent="0.2">
      <c r="B33" s="49">
        <f>[11]Indicators_NonMan_2018_BEA!Y32</f>
        <v>1236390.2564000001</v>
      </c>
      <c r="D33">
        <f t="shared" si="7"/>
        <v>1997</v>
      </c>
      <c r="E33">
        <f t="shared" si="0"/>
        <v>123.63902564000001</v>
      </c>
      <c r="F33">
        <f>Construction!$D56</f>
        <v>79.01951883794824</v>
      </c>
      <c r="G33">
        <f>Construction!$K56</f>
        <v>495.89279736703878</v>
      </c>
      <c r="R33">
        <f t="shared" si="1"/>
        <v>1997</v>
      </c>
      <c r="S33" s="53">
        <f>F33/$E33</f>
        <v>0.63911470046706387</v>
      </c>
      <c r="T33" s="53">
        <f>G33/$E33</f>
        <v>4.0108112693392686</v>
      </c>
      <c r="V33">
        <f t="shared" si="3"/>
        <v>1997</v>
      </c>
      <c r="W33" s="55">
        <f t="shared" si="4"/>
        <v>79.01951883794824</v>
      </c>
      <c r="X33" s="55">
        <f t="shared" si="5"/>
        <v>495.89279736703884</v>
      </c>
      <c r="Y33" s="50">
        <f t="shared" si="6"/>
        <v>1236390.2564000001</v>
      </c>
      <c r="Z33" s="50">
        <f>[11]Indicators_NonMan_2018_BEA!M32</f>
        <v>691353.15156000003</v>
      </c>
    </row>
    <row r="34" spans="2:26" x14ac:dyDescent="0.2">
      <c r="B34" s="49">
        <f>[11]Indicators_NonMan_2018_BEA!Y33</f>
        <v>1317843.4204000002</v>
      </c>
      <c r="D34">
        <f t="shared" si="7"/>
        <v>1998</v>
      </c>
      <c r="E34">
        <f t="shared" si="0"/>
        <v>131.78434204000001</v>
      </c>
      <c r="R34">
        <f t="shared" si="1"/>
        <v>1998</v>
      </c>
      <c r="S34" s="3">
        <f>0.8*S33+0.2*S38</f>
        <v>0.67170990008496934</v>
      </c>
      <c r="T34" s="54">
        <f>0.9*T33+0.1*T43</f>
        <v>3.9498999177938159</v>
      </c>
      <c r="V34">
        <f t="shared" si="3"/>
        <v>1998</v>
      </c>
      <c r="W34" s="55">
        <f t="shared" si="4"/>
        <v>88.520847224451828</v>
      </c>
      <c r="X34" s="55">
        <f t="shared" si="5"/>
        <v>520.53496179030822</v>
      </c>
      <c r="Y34" s="50">
        <f t="shared" si="6"/>
        <v>1317843.4204000002</v>
      </c>
      <c r="Z34" s="50">
        <f>[11]Indicators_NonMan_2018_BEA!M33</f>
        <v>723019.78674000001</v>
      </c>
    </row>
    <row r="35" spans="2:26" x14ac:dyDescent="0.2">
      <c r="B35" s="49">
        <f>[11]Indicators_NonMan_2018_BEA!Y34</f>
        <v>1371271.5380000002</v>
      </c>
      <c r="D35">
        <f t="shared" si="7"/>
        <v>1999</v>
      </c>
      <c r="E35">
        <f t="shared" si="0"/>
        <v>137.12715380000003</v>
      </c>
      <c r="R35">
        <f t="shared" si="1"/>
        <v>1999</v>
      </c>
      <c r="S35" s="3">
        <f>0.6*S33+0.4*S38</f>
        <v>0.70430509970287469</v>
      </c>
      <c r="T35" s="54">
        <f>0.8*T33+0.2*T43</f>
        <v>3.8889885662483632</v>
      </c>
      <c r="V35">
        <f t="shared" si="3"/>
        <v>1999</v>
      </c>
      <c r="W35" s="55">
        <f t="shared" si="4"/>
        <v>96.579353729080452</v>
      </c>
      <c r="X35" s="55">
        <f t="shared" si="5"/>
        <v>533.28593325038094</v>
      </c>
      <c r="Y35" s="50">
        <f t="shared" si="6"/>
        <v>1371271.5380000002</v>
      </c>
      <c r="Z35" s="50">
        <f>[11]Indicators_NonMan_2018_BEA!M34</f>
        <v>752832.46826999995</v>
      </c>
    </row>
    <row r="36" spans="2:26" x14ac:dyDescent="0.2">
      <c r="B36" s="49">
        <f>[11]Indicators_NonMan_2018_BEA!Y35</f>
        <v>1427762.2085999998</v>
      </c>
      <c r="D36">
        <f t="shared" si="7"/>
        <v>2000</v>
      </c>
      <c r="E36">
        <f t="shared" si="0"/>
        <v>142.77622086</v>
      </c>
      <c r="R36">
        <f t="shared" si="1"/>
        <v>2000</v>
      </c>
      <c r="S36" s="3">
        <f>0.4*S33+0.6*S38</f>
        <v>0.73690029932078005</v>
      </c>
      <c r="T36" s="54">
        <f>0.7*T33+0.3*T43</f>
        <v>3.8280772147029101</v>
      </c>
      <c r="V36">
        <f t="shared" si="3"/>
        <v>2000</v>
      </c>
      <c r="W36" s="55">
        <f t="shared" si="4"/>
        <v>105.2118398876238</v>
      </c>
      <c r="X36" s="55">
        <f t="shared" si="5"/>
        <v>546.55839787555635</v>
      </c>
      <c r="Y36" s="50">
        <f t="shared" si="6"/>
        <v>1427762.2085999998</v>
      </c>
      <c r="Z36" s="50">
        <f>[11]Indicators_NonMan_2018_BEA!M35</f>
        <v>783314.78679000004</v>
      </c>
    </row>
    <row r="37" spans="2:26" x14ac:dyDescent="0.2">
      <c r="B37" s="49">
        <f>[11]Indicators_NonMan_2018_BEA!Y36</f>
        <v>1437272.2416000001</v>
      </c>
      <c r="D37">
        <f t="shared" si="7"/>
        <v>2001</v>
      </c>
      <c r="E37">
        <f t="shared" si="0"/>
        <v>143.72722416000002</v>
      </c>
      <c r="R37">
        <f t="shared" si="1"/>
        <v>2001</v>
      </c>
      <c r="S37" s="3">
        <f>0.2*S33+0.8*S38</f>
        <v>0.76949549893868552</v>
      </c>
      <c r="T37" s="54">
        <f>0.6*T33+0.4*T43</f>
        <v>3.7671658631574578</v>
      </c>
      <c r="V37">
        <f t="shared" si="3"/>
        <v>2001</v>
      </c>
      <c r="W37" s="55">
        <f t="shared" si="4"/>
        <v>110.59745206607151</v>
      </c>
      <c r="X37" s="55">
        <f t="shared" si="5"/>
        <v>541.44429246193192</v>
      </c>
      <c r="Y37" s="50">
        <f t="shared" si="6"/>
        <v>1437272.2416000001</v>
      </c>
      <c r="Z37" s="50">
        <f>[11]Indicators_NonMan_2018_BEA!M36</f>
        <v>767199.22551000002</v>
      </c>
    </row>
    <row r="38" spans="2:26" x14ac:dyDescent="0.2">
      <c r="B38" s="49">
        <f>[11]Indicators_NonMan_2018_BEA!Y37</f>
        <v>1418886.1777999999</v>
      </c>
      <c r="D38">
        <f t="shared" si="7"/>
        <v>2002</v>
      </c>
      <c r="E38">
        <f t="shared" si="0"/>
        <v>141.88861778</v>
      </c>
      <c r="F38">
        <f>Construction!$D57</f>
        <v>113.80754055238933</v>
      </c>
      <c r="G38">
        <f>Construction!$K57</f>
        <v>633.5611563621336</v>
      </c>
      <c r="R38">
        <f t="shared" si="1"/>
        <v>2002</v>
      </c>
      <c r="S38" s="53">
        <f>F38/$E38</f>
        <v>0.80209069855659088</v>
      </c>
      <c r="T38" s="54">
        <f>0.5*T33+0.5*T43</f>
        <v>3.7062545116120047</v>
      </c>
      <c r="V38">
        <f t="shared" si="3"/>
        <v>2002</v>
      </c>
      <c r="W38" s="55">
        <f t="shared" si="4"/>
        <v>113.80754055238933</v>
      </c>
      <c r="X38" s="55">
        <f t="shared" si="5"/>
        <v>525.87532979351636</v>
      </c>
      <c r="Y38" s="50">
        <f t="shared" si="6"/>
        <v>1418886.1777999999</v>
      </c>
      <c r="Z38" s="50">
        <f>[11]Indicators_NonMan_2018_BEA!M37</f>
        <v>742306.43888999999</v>
      </c>
    </row>
    <row r="39" spans="2:26" x14ac:dyDescent="0.2">
      <c r="B39" s="49">
        <f>[11]Indicators_NonMan_2018_BEA!Y38</f>
        <v>1467145.5656000001</v>
      </c>
      <c r="D39">
        <f t="shared" si="7"/>
        <v>2003</v>
      </c>
      <c r="E39">
        <f t="shared" si="0"/>
        <v>146.71455656000001</v>
      </c>
      <c r="R39">
        <f t="shared" si="1"/>
        <v>2003</v>
      </c>
      <c r="S39" s="3">
        <f>0.8*S38+0.2*S43</f>
        <v>0.92229342982362328</v>
      </c>
      <c r="T39" s="54">
        <f>0.4*T33+0.6*T43</f>
        <v>3.6453431600665516</v>
      </c>
      <c r="V39">
        <f t="shared" si="3"/>
        <v>2003</v>
      </c>
      <c r="W39" s="55">
        <f t="shared" si="4"/>
        <v>135.31387157477437</v>
      </c>
      <c r="X39" s="55">
        <f t="shared" si="5"/>
        <v>534.8249052381932</v>
      </c>
      <c r="Y39" s="50">
        <f t="shared" si="6"/>
        <v>1467145.5656000001</v>
      </c>
      <c r="Z39" s="50">
        <f>[11]Indicators_NonMan_2018_BEA!M38</f>
        <v>754398.64404000004</v>
      </c>
    </row>
    <row r="40" spans="2:26" x14ac:dyDescent="0.2">
      <c r="B40" s="49">
        <f>[11]Indicators_NonMan_2018_BEA!Y39</f>
        <v>1526870.7220000003</v>
      </c>
      <c r="D40">
        <f t="shared" si="7"/>
        <v>2004</v>
      </c>
      <c r="E40">
        <f t="shared" si="0"/>
        <v>152.68707220000005</v>
      </c>
      <c r="R40">
        <f t="shared" si="1"/>
        <v>2004</v>
      </c>
      <c r="S40" s="3">
        <f>0.6*S38+0.4*S43</f>
        <v>1.0424961610906556</v>
      </c>
      <c r="T40" s="54">
        <f>0.3*T33+0.7*T43</f>
        <v>3.5844318085210993</v>
      </c>
      <c r="V40">
        <f t="shared" si="3"/>
        <v>2004</v>
      </c>
      <c r="W40" s="55">
        <f t="shared" si="4"/>
        <v>159.17568661667181</v>
      </c>
      <c r="X40" s="55">
        <f t="shared" si="5"/>
        <v>547.29639834363786</v>
      </c>
      <c r="Y40" s="50">
        <f t="shared" si="6"/>
        <v>1526870.7220000003</v>
      </c>
      <c r="Z40" s="50">
        <f>[11]Indicators_NonMan_2018_BEA!M39</f>
        <v>781328.01257999986</v>
      </c>
    </row>
    <row r="41" spans="2:26" x14ac:dyDescent="0.2">
      <c r="B41" s="49">
        <f>[11]Indicators_NonMan_2018_BEA!Y40</f>
        <v>1566759.1316</v>
      </c>
      <c r="D41">
        <f t="shared" si="7"/>
        <v>2005</v>
      </c>
      <c r="E41">
        <f t="shared" si="0"/>
        <v>156.67591315999999</v>
      </c>
      <c r="R41">
        <f t="shared" si="1"/>
        <v>2005</v>
      </c>
      <c r="S41" s="3">
        <f>0.4*S38+0.6*S43</f>
        <v>1.162698892357688</v>
      </c>
      <c r="T41" s="54">
        <f>0.2*T33+0.8*T43</f>
        <v>3.5235204569756466</v>
      </c>
      <c r="V41">
        <f t="shared" si="3"/>
        <v>2005</v>
      </c>
      <c r="W41" s="55">
        <f t="shared" si="4"/>
        <v>182.16691069026129</v>
      </c>
      <c r="X41" s="55">
        <f t="shared" si="5"/>
        <v>552.05078513459989</v>
      </c>
      <c r="Y41" s="50">
        <f t="shared" si="6"/>
        <v>1566759.1316</v>
      </c>
      <c r="Z41" s="50">
        <f>[11]Indicators_NonMan_2018_BEA!M40</f>
        <v>784797.94971000007</v>
      </c>
    </row>
    <row r="42" spans="2:26" x14ac:dyDescent="0.2">
      <c r="B42" s="49">
        <f>[11]Indicators_NonMan_2018_BEA!Y41</f>
        <v>1531437.6869999999</v>
      </c>
      <c r="D42">
        <f t="shared" si="7"/>
        <v>2006</v>
      </c>
      <c r="E42">
        <f t="shared" si="0"/>
        <v>153.14376870000001</v>
      </c>
      <c r="R42">
        <f t="shared" si="1"/>
        <v>2006</v>
      </c>
      <c r="S42" s="3">
        <f>0.2*S38+0.8*S43</f>
        <v>1.2829016236247204</v>
      </c>
      <c r="T42" s="54">
        <f>0.1*T33+0.9*T43</f>
        <v>3.462609105430194</v>
      </c>
      <c r="V42">
        <f t="shared" si="3"/>
        <v>2006</v>
      </c>
      <c r="W42" s="55">
        <f t="shared" si="4"/>
        <v>196.46838951323863</v>
      </c>
      <c r="X42" s="55">
        <f t="shared" si="5"/>
        <v>530.27700794051555</v>
      </c>
      <c r="Y42" s="50">
        <f t="shared" si="6"/>
        <v>1531437.6869999999</v>
      </c>
      <c r="Z42" s="50">
        <f>[11]Indicators_NonMan_2018_BEA!M41</f>
        <v>768400.14474000013</v>
      </c>
    </row>
    <row r="43" spans="2:26" x14ac:dyDescent="0.2">
      <c r="B43" s="49">
        <f>[11]Indicators_NonMan_2018_BEA!Y42</f>
        <v>1449436.4872000001</v>
      </c>
      <c r="D43">
        <f t="shared" si="7"/>
        <v>2007</v>
      </c>
      <c r="E43">
        <f t="shared" si="0"/>
        <v>144.94364872000003</v>
      </c>
      <c r="F43">
        <f>Construction!$D58</f>
        <v>203.37106473293244</v>
      </c>
      <c r="G43">
        <f>Construction!$K58</f>
        <v>493.05448429068298</v>
      </c>
      <c r="R43">
        <f t="shared" si="1"/>
        <v>2007</v>
      </c>
      <c r="S43" s="53">
        <f>F43/$E43</f>
        <v>1.4031043548917526</v>
      </c>
      <c r="T43" s="53">
        <f>G43/$E43</f>
        <v>3.4016977538847408</v>
      </c>
      <c r="V43">
        <f t="shared" si="3"/>
        <v>2007</v>
      </c>
      <c r="W43" s="55">
        <f t="shared" si="4"/>
        <v>203.37106473293244</v>
      </c>
      <c r="X43" s="55">
        <f t="shared" si="5"/>
        <v>493.05448429068298</v>
      </c>
      <c r="Y43" s="50">
        <f t="shared" si="6"/>
        <v>1449436.4872000001</v>
      </c>
      <c r="Z43" s="50">
        <f>[11]Indicators_NonMan_2018_BEA!M42</f>
        <v>744697.20897000004</v>
      </c>
    </row>
    <row r="44" spans="2:26" x14ac:dyDescent="0.2">
      <c r="B44" s="49">
        <f>[11]Indicators_NonMan_2018_BEA!Y43</f>
        <v>1341000.6194000002</v>
      </c>
      <c r="D44">
        <f t="shared" si="7"/>
        <v>2008</v>
      </c>
      <c r="E44">
        <f t="shared" si="0"/>
        <v>134.10006194000002</v>
      </c>
      <c r="R44">
        <f t="shared" si="1"/>
        <v>2008</v>
      </c>
      <c r="S44" s="3">
        <f>0.8*S43+0.2*S48</f>
        <v>1.2923450926707831</v>
      </c>
      <c r="T44" s="3">
        <f>0.8*T43+0.2*T48</f>
        <v>3.3104361557025115</v>
      </c>
      <c r="V44">
        <f t="shared" si="3"/>
        <v>2008</v>
      </c>
      <c r="W44" s="55">
        <f t="shared" si="4"/>
        <v>173.30355697500707</v>
      </c>
      <c r="X44" s="55">
        <f t="shared" si="5"/>
        <v>443.92969352812236</v>
      </c>
      <c r="Y44" s="50">
        <f t="shared" si="6"/>
        <v>1341000.6194000002</v>
      </c>
      <c r="Z44" s="50">
        <f>[11]Indicators_NonMan_2018_BEA!M43</f>
        <v>672105.23873999994</v>
      </c>
    </row>
    <row r="45" spans="2:26" x14ac:dyDescent="0.2">
      <c r="B45" s="49">
        <f>[11]Indicators_NonMan_2018_BEA!Y44</f>
        <v>1163813.1232</v>
      </c>
      <c r="D45">
        <f t="shared" si="7"/>
        <v>2009</v>
      </c>
      <c r="E45">
        <f t="shared" si="0"/>
        <v>116.38131232000001</v>
      </c>
      <c r="R45">
        <f t="shared" si="1"/>
        <v>2009</v>
      </c>
      <c r="S45" s="3">
        <f>0.6*S43+0.4*S48</f>
        <v>1.1815858304498135</v>
      </c>
      <c r="T45" s="3">
        <f>0.6*T43+0.4*T48</f>
        <v>3.2191745575202813</v>
      </c>
      <c r="V45">
        <f t="shared" si="3"/>
        <v>2009</v>
      </c>
      <c r="W45" s="55">
        <f t="shared" si="4"/>
        <v>137.5145095664663</v>
      </c>
      <c r="X45" s="55">
        <f t="shared" si="5"/>
        <v>374.6517595913657</v>
      </c>
      <c r="Y45" s="50">
        <f t="shared" si="6"/>
        <v>1163813.1232</v>
      </c>
      <c r="Z45" s="50">
        <f>[11]Indicators_NonMan_2018_BEA!M44</f>
        <v>577193.88024000009</v>
      </c>
    </row>
    <row r="46" spans="2:26" x14ac:dyDescent="0.2">
      <c r="B46" s="49">
        <f>[11]Indicators_NonMan_2018_BEA!Y45</f>
        <v>1075869.496</v>
      </c>
      <c r="D46">
        <f t="shared" si="7"/>
        <v>2010</v>
      </c>
      <c r="E46">
        <f t="shared" si="0"/>
        <v>107.58694960000001</v>
      </c>
      <c r="R46">
        <f t="shared" si="1"/>
        <v>2010</v>
      </c>
      <c r="S46" s="3">
        <f>0.4*S43+0.6*S48</f>
        <v>1.070826568228844</v>
      </c>
      <c r="T46" s="3">
        <f>0.4*T43+0.6*T48</f>
        <v>3.1279129593380519</v>
      </c>
      <c r="V46">
        <f t="shared" si="3"/>
        <v>2010</v>
      </c>
      <c r="W46" s="55">
        <f t="shared" si="4"/>
        <v>115.20696402637762</v>
      </c>
      <c r="X46" s="55">
        <f t="shared" si="5"/>
        <v>336.52261390948985</v>
      </c>
      <c r="Y46" s="50">
        <f t="shared" si="6"/>
        <v>1075869.496</v>
      </c>
      <c r="Z46" s="50">
        <f>[11]Indicators_NonMan_2018_BEA!M45</f>
        <v>547486.34831999999</v>
      </c>
    </row>
    <row r="47" spans="2:26" x14ac:dyDescent="0.2">
      <c r="B47" s="49">
        <f>[11]Indicators_NonMan_2018_BEA!Y46</f>
        <v>1047371.6344</v>
      </c>
      <c r="D47">
        <f t="shared" si="7"/>
        <v>2011</v>
      </c>
      <c r="E47">
        <f t="shared" si="0"/>
        <v>104.73716344</v>
      </c>
      <c r="R47">
        <f t="shared" si="1"/>
        <v>2011</v>
      </c>
      <c r="S47" s="3">
        <f>0.2*S43+0.8*S48</f>
        <v>0.96006730600787449</v>
      </c>
      <c r="T47" s="3">
        <f>0.2*T43+0.8*T48</f>
        <v>3.0366513611558221</v>
      </c>
      <c r="V47">
        <f t="shared" ref="V47" si="8">R47</f>
        <v>2011</v>
      </c>
      <c r="W47" s="55">
        <f t="shared" ref="W47" si="9">S47*$E47</f>
        <v>100.55472634274724</v>
      </c>
      <c r="X47" s="55">
        <f t="shared" ref="X47" si="10">T47*$E47</f>
        <v>318.05024992367584</v>
      </c>
      <c r="Y47" s="50">
        <f t="shared" ref="Y47" si="11">B47</f>
        <v>1047371.6344</v>
      </c>
      <c r="Z47" s="50">
        <f>[11]Indicators_NonMan_2018_BEA!M46</f>
        <v>538664.84946000006</v>
      </c>
    </row>
    <row r="48" spans="2:26" x14ac:dyDescent="0.2">
      <c r="B48" s="49">
        <f>[11]Indicators_NonMan_2018_BEA!Y47</f>
        <v>1074580</v>
      </c>
      <c r="D48">
        <f t="shared" si="7"/>
        <v>2012</v>
      </c>
      <c r="E48">
        <f t="shared" ref="E48:E54" si="12">B48*0.0001</f>
        <v>107.458</v>
      </c>
      <c r="F48">
        <f>Construction!$D59</f>
        <v>91.264943769253236</v>
      </c>
      <c r="G48">
        <f>Construction!$K59</f>
        <v>316.50569314961626</v>
      </c>
      <c r="R48">
        <f t="shared" ref="R48:R50" si="13">D48</f>
        <v>2012</v>
      </c>
      <c r="S48" s="53">
        <f>F48/$E48</f>
        <v>0.84930804378690494</v>
      </c>
      <c r="T48" s="53">
        <f>G48/$E48</f>
        <v>2.9453897629735923</v>
      </c>
      <c r="V48">
        <f t="shared" ref="V48:V50" si="14">R48</f>
        <v>2012</v>
      </c>
      <c r="W48" s="55">
        <f t="shared" ref="W48:W50" si="15">S48*$E48</f>
        <v>91.264943769253236</v>
      </c>
      <c r="X48" s="55">
        <f t="shared" ref="X48:X50" si="16">T48*$E48</f>
        <v>316.50569314961626</v>
      </c>
      <c r="Y48" s="50">
        <f t="shared" ref="Y48:Y50" si="17">B48</f>
        <v>1074580</v>
      </c>
      <c r="Z48" s="50">
        <f>[11]Indicators_NonMan_2018_BEA!M47</f>
        <v>553419</v>
      </c>
    </row>
    <row r="49" spans="2:26" x14ac:dyDescent="0.2">
      <c r="B49" s="49">
        <f>[11]Indicators_NonMan_2018_BEA!Y48</f>
        <v>1124891.8356000001</v>
      </c>
      <c r="D49">
        <f t="shared" si="7"/>
        <v>2013</v>
      </c>
      <c r="E49">
        <f t="shared" si="12"/>
        <v>112.48918356000001</v>
      </c>
      <c r="R49">
        <f t="shared" si="13"/>
        <v>2013</v>
      </c>
      <c r="S49" s="3">
        <f>0.8*S48+0.2*S53</f>
        <v>1.0534479688728631</v>
      </c>
      <c r="T49" s="3">
        <f>0.8*T48+0.2*T53</f>
        <v>3.6824951720901331</v>
      </c>
      <c r="V49">
        <f t="shared" si="14"/>
        <v>2013</v>
      </c>
      <c r="W49" s="55">
        <f t="shared" si="15"/>
        <v>118.50150194144868</v>
      </c>
      <c r="X49" s="55">
        <f t="shared" si="16"/>
        <v>414.24087537206083</v>
      </c>
      <c r="Y49" s="50">
        <f t="shared" si="17"/>
        <v>1124891.8356000001</v>
      </c>
      <c r="Z49" s="50">
        <f>[11]Indicators_NonMan_2018_BEA!M48</f>
        <v>567171.46214999992</v>
      </c>
    </row>
    <row r="50" spans="2:26" x14ac:dyDescent="0.2">
      <c r="B50" s="49">
        <f>[11]Indicators_NonMan_2018_BEA!Y49</f>
        <v>1182983.6303999999</v>
      </c>
      <c r="D50">
        <f t="shared" si="7"/>
        <v>2014</v>
      </c>
      <c r="E50">
        <f t="shared" si="12"/>
        <v>118.29836304</v>
      </c>
      <c r="R50">
        <f t="shared" si="13"/>
        <v>2014</v>
      </c>
      <c r="S50" s="3">
        <f>0.6*S48+0.4*S53</f>
        <v>1.2575878939588212</v>
      </c>
      <c r="T50" s="3">
        <f>0.6*T48+0.4*T53</f>
        <v>4.419600581206673</v>
      </c>
      <c r="V50">
        <f t="shared" si="14"/>
        <v>2014</v>
      </c>
      <c r="W50" s="55">
        <f t="shared" si="15"/>
        <v>148.77058923424966</v>
      </c>
      <c r="X50" s="55">
        <f t="shared" si="16"/>
        <v>522.83151404738203</v>
      </c>
      <c r="Y50" s="50">
        <f t="shared" si="17"/>
        <v>1182983.6303999999</v>
      </c>
      <c r="Z50" s="50">
        <f>[11]Indicators_NonMan_2018_BEA!M49</f>
        <v>577747.29924000008</v>
      </c>
    </row>
    <row r="51" spans="2:26" x14ac:dyDescent="0.2">
      <c r="B51" s="49">
        <f>[11]Indicators_NonMan_2018_BEA!Y50</f>
        <v>1265737.0362</v>
      </c>
      <c r="D51">
        <f t="shared" si="7"/>
        <v>2015</v>
      </c>
      <c r="E51">
        <f t="shared" si="12"/>
        <v>126.57370362</v>
      </c>
      <c r="R51">
        <f t="shared" ref="R51" si="18">D51</f>
        <v>2015</v>
      </c>
      <c r="S51" s="3">
        <f>0.4*S48+0.6*S53</f>
        <v>1.4617278190447791</v>
      </c>
      <c r="T51" s="3">
        <f>0.4*T48+0.6*T53</f>
        <v>5.1567059903232142</v>
      </c>
      <c r="V51">
        <f t="shared" ref="V51:V53" si="19">R51</f>
        <v>2015</v>
      </c>
      <c r="W51" s="55">
        <f t="shared" ref="W51:W53" si="20">S51*$E51</f>
        <v>185.01630374088288</v>
      </c>
      <c r="X51" s="55">
        <f t="shared" ref="X51:X53" si="21">T51*$E51</f>
        <v>652.70337567464912</v>
      </c>
      <c r="Y51" s="50">
        <f t="shared" ref="Y51:Y53" si="22">B51</f>
        <v>1265737.0362</v>
      </c>
      <c r="Z51" s="50">
        <f>[11]Indicators_NonMan_2018_BEA!M50</f>
        <v>604610.25750000007</v>
      </c>
    </row>
    <row r="52" spans="2:26" x14ac:dyDescent="0.2">
      <c r="B52" s="49">
        <f>[11]Indicators_NonMan_2018_BEA!Y51</f>
        <v>1335573.9904</v>
      </c>
      <c r="D52">
        <f t="shared" si="7"/>
        <v>2016</v>
      </c>
      <c r="E52">
        <f t="shared" si="12"/>
        <v>133.55739904000001</v>
      </c>
      <c r="R52">
        <v>2016</v>
      </c>
      <c r="S52" s="3">
        <f>0.2*S48+0.8*S53</f>
        <v>1.6658677441307372</v>
      </c>
      <c r="T52" s="3">
        <f>0.2*T48+0.8*T53</f>
        <v>5.8938113994397545</v>
      </c>
      <c r="V52">
        <f t="shared" si="19"/>
        <v>2016</v>
      </c>
      <c r="W52" s="55">
        <f t="shared" si="20"/>
        <v>222.4889630507335</v>
      </c>
      <c r="X52" s="55">
        <f t="shared" si="21"/>
        <v>787.16212094147613</v>
      </c>
      <c r="Y52" s="50">
        <f t="shared" si="22"/>
        <v>1335573.9904</v>
      </c>
      <c r="Z52" s="50">
        <f>[11]Indicators_NonMan_2018_BEA!M51</f>
        <v>625225.11525000003</v>
      </c>
    </row>
    <row r="53" spans="2:26" x14ac:dyDescent="0.2">
      <c r="B53" s="49">
        <f>[11]Indicators_NonMan_2018_BEA!Y52</f>
        <v>1357194.54</v>
      </c>
      <c r="D53">
        <f t="shared" si="7"/>
        <v>2017</v>
      </c>
      <c r="E53">
        <f t="shared" si="12"/>
        <v>135.71945400000001</v>
      </c>
      <c r="F53" s="52">
        <f>Construction!$D60</f>
        <v>253.79641984190249</v>
      </c>
      <c r="G53" s="52">
        <f>Construction!$K60</f>
        <v>899.94440877668296</v>
      </c>
      <c r="R53">
        <v>2017</v>
      </c>
      <c r="S53" s="53">
        <f>F53/$E53</f>
        <v>1.8700076692166951</v>
      </c>
      <c r="T53" s="53">
        <f>G53/$E53</f>
        <v>6.6309168085562948</v>
      </c>
      <c r="V53">
        <f t="shared" si="19"/>
        <v>2017</v>
      </c>
      <c r="W53" s="55">
        <f t="shared" si="20"/>
        <v>253.79641984190249</v>
      </c>
      <c r="X53" s="55">
        <f t="shared" si="21"/>
        <v>899.94440877668296</v>
      </c>
      <c r="Y53" s="50">
        <f t="shared" si="22"/>
        <v>1357194.54</v>
      </c>
      <c r="Z53" s="50">
        <f>[11]Indicators_NonMan_2018_BEA!M52</f>
        <v>639641.68019999994</v>
      </c>
    </row>
    <row r="54" spans="2:26" x14ac:dyDescent="0.2">
      <c r="B54" s="49">
        <f>[11]Indicators_NonMan_2018_BEA!Y53</f>
        <v>1351864.6232</v>
      </c>
      <c r="D54">
        <f t="shared" si="7"/>
        <v>2018</v>
      </c>
      <c r="E54">
        <f t="shared" si="12"/>
        <v>135.18646232</v>
      </c>
      <c r="Z54" s="50">
        <f>[11]Indicators_NonMan_2018_BEA!M53</f>
        <v>653687.45441999997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2"/>
  <sheetViews>
    <sheetView showGridLines="0" workbookViewId="0">
      <selection activeCell="B3" sqref="B3:V6"/>
    </sheetView>
  </sheetViews>
  <sheetFormatPr defaultRowHeight="15" x14ac:dyDescent="0.25"/>
  <cols>
    <col min="1" max="1" width="5.7109375" style="6" customWidth="1"/>
    <col min="2" max="2" width="5.85546875" style="6" customWidth="1"/>
    <col min="3" max="3" width="5.7109375" style="6" customWidth="1"/>
    <col min="4" max="4" width="2.5703125" style="6" customWidth="1"/>
    <col min="5" max="5" width="6.28515625" style="6" customWidth="1"/>
    <col min="6" max="6" width="3" style="6" customWidth="1"/>
    <col min="7" max="7" width="6.7109375" style="6" customWidth="1"/>
    <col min="8" max="8" width="5.7109375" style="6" customWidth="1"/>
    <col min="9" max="9" width="2.5703125" style="6" customWidth="1"/>
    <col min="10" max="10" width="7.140625" style="6" customWidth="1"/>
    <col min="11" max="11" width="3.42578125" style="6" customWidth="1"/>
    <col min="12" max="12" width="6" style="6" customWidth="1"/>
    <col min="13" max="13" width="2.85546875" style="6" customWidth="1"/>
    <col min="14" max="14" width="6.42578125" style="6" customWidth="1"/>
    <col min="15" max="15" width="3.140625" style="6" customWidth="1"/>
    <col min="16" max="16" width="6.42578125" style="6" customWidth="1"/>
    <col min="17" max="17" width="3.140625" style="6" customWidth="1"/>
    <col min="18" max="18" width="9.7109375" style="6" customWidth="1"/>
    <col min="19" max="19" width="7.42578125" style="6" customWidth="1"/>
    <col min="20" max="20" width="4.140625" style="6" customWidth="1"/>
    <col min="21" max="21" width="6.42578125" style="6" customWidth="1"/>
    <col min="22" max="22" width="3.140625" style="6" customWidth="1"/>
    <col min="23" max="23" width="12.140625" style="6" customWidth="1"/>
    <col min="24" max="24" width="14" style="6" customWidth="1"/>
    <col min="25" max="25" width="8.42578125" style="6" customWidth="1"/>
    <col min="26" max="26" width="4.140625" style="6" customWidth="1"/>
    <col min="27" max="256" width="9.140625" style="6"/>
    <col min="257" max="257" width="5.7109375" style="6" customWidth="1"/>
    <col min="258" max="258" width="5.85546875" style="6" customWidth="1"/>
    <col min="259" max="259" width="5.7109375" style="6" customWidth="1"/>
    <col min="260" max="260" width="2.5703125" style="6" customWidth="1"/>
    <col min="261" max="261" width="6.28515625" style="6" customWidth="1"/>
    <col min="262" max="262" width="3" style="6" customWidth="1"/>
    <col min="263" max="263" width="6.7109375" style="6" customWidth="1"/>
    <col min="264" max="264" width="5.7109375" style="6" customWidth="1"/>
    <col min="265" max="265" width="2.5703125" style="6" customWidth="1"/>
    <col min="266" max="266" width="7.140625" style="6" customWidth="1"/>
    <col min="267" max="267" width="3.42578125" style="6" customWidth="1"/>
    <col min="268" max="268" width="6" style="6" customWidth="1"/>
    <col min="269" max="269" width="2.85546875" style="6" customWidth="1"/>
    <col min="270" max="270" width="6.42578125" style="6" customWidth="1"/>
    <col min="271" max="271" width="3.140625" style="6" customWidth="1"/>
    <col min="272" max="272" width="6.42578125" style="6" customWidth="1"/>
    <col min="273" max="273" width="3.140625" style="6" customWidth="1"/>
    <col min="274" max="274" width="9.7109375" style="6" customWidth="1"/>
    <col min="275" max="275" width="7.42578125" style="6" customWidth="1"/>
    <col min="276" max="276" width="4.140625" style="6" customWidth="1"/>
    <col min="277" max="277" width="6.42578125" style="6" customWidth="1"/>
    <col min="278" max="278" width="3.140625" style="6" customWidth="1"/>
    <col min="279" max="279" width="12.140625" style="6" customWidth="1"/>
    <col min="280" max="280" width="14" style="6" customWidth="1"/>
    <col min="281" max="281" width="8.42578125" style="6" customWidth="1"/>
    <col min="282" max="282" width="4.140625" style="6" customWidth="1"/>
    <col min="283" max="512" width="9.140625" style="6"/>
    <col min="513" max="513" width="5.7109375" style="6" customWidth="1"/>
    <col min="514" max="514" width="5.85546875" style="6" customWidth="1"/>
    <col min="515" max="515" width="5.7109375" style="6" customWidth="1"/>
    <col min="516" max="516" width="2.5703125" style="6" customWidth="1"/>
    <col min="517" max="517" width="6.28515625" style="6" customWidth="1"/>
    <col min="518" max="518" width="3" style="6" customWidth="1"/>
    <col min="519" max="519" width="6.7109375" style="6" customWidth="1"/>
    <col min="520" max="520" width="5.7109375" style="6" customWidth="1"/>
    <col min="521" max="521" width="2.5703125" style="6" customWidth="1"/>
    <col min="522" max="522" width="7.140625" style="6" customWidth="1"/>
    <col min="523" max="523" width="3.42578125" style="6" customWidth="1"/>
    <col min="524" max="524" width="6" style="6" customWidth="1"/>
    <col min="525" max="525" width="2.85546875" style="6" customWidth="1"/>
    <col min="526" max="526" width="6.42578125" style="6" customWidth="1"/>
    <col min="527" max="527" width="3.140625" style="6" customWidth="1"/>
    <col min="528" max="528" width="6.42578125" style="6" customWidth="1"/>
    <col min="529" max="529" width="3.140625" style="6" customWidth="1"/>
    <col min="530" max="530" width="9.7109375" style="6" customWidth="1"/>
    <col min="531" max="531" width="7.42578125" style="6" customWidth="1"/>
    <col min="532" max="532" width="4.140625" style="6" customWidth="1"/>
    <col min="533" max="533" width="6.42578125" style="6" customWidth="1"/>
    <col min="534" max="534" width="3.140625" style="6" customWidth="1"/>
    <col min="535" max="535" width="12.140625" style="6" customWidth="1"/>
    <col min="536" max="536" width="14" style="6" customWidth="1"/>
    <col min="537" max="537" width="8.42578125" style="6" customWidth="1"/>
    <col min="538" max="538" width="4.140625" style="6" customWidth="1"/>
    <col min="539" max="768" width="9.140625" style="6"/>
    <col min="769" max="769" width="5.7109375" style="6" customWidth="1"/>
    <col min="770" max="770" width="5.85546875" style="6" customWidth="1"/>
    <col min="771" max="771" width="5.7109375" style="6" customWidth="1"/>
    <col min="772" max="772" width="2.5703125" style="6" customWidth="1"/>
    <col min="773" max="773" width="6.28515625" style="6" customWidth="1"/>
    <col min="774" max="774" width="3" style="6" customWidth="1"/>
    <col min="775" max="775" width="6.7109375" style="6" customWidth="1"/>
    <col min="776" max="776" width="5.7109375" style="6" customWidth="1"/>
    <col min="777" max="777" width="2.5703125" style="6" customWidth="1"/>
    <col min="778" max="778" width="7.140625" style="6" customWidth="1"/>
    <col min="779" max="779" width="3.42578125" style="6" customWidth="1"/>
    <col min="780" max="780" width="6" style="6" customWidth="1"/>
    <col min="781" max="781" width="2.85546875" style="6" customWidth="1"/>
    <col min="782" max="782" width="6.42578125" style="6" customWidth="1"/>
    <col min="783" max="783" width="3.140625" style="6" customWidth="1"/>
    <col min="784" max="784" width="6.42578125" style="6" customWidth="1"/>
    <col min="785" max="785" width="3.140625" style="6" customWidth="1"/>
    <col min="786" max="786" width="9.7109375" style="6" customWidth="1"/>
    <col min="787" max="787" width="7.42578125" style="6" customWidth="1"/>
    <col min="788" max="788" width="4.140625" style="6" customWidth="1"/>
    <col min="789" max="789" width="6.42578125" style="6" customWidth="1"/>
    <col min="790" max="790" width="3.140625" style="6" customWidth="1"/>
    <col min="791" max="791" width="12.140625" style="6" customWidth="1"/>
    <col min="792" max="792" width="14" style="6" customWidth="1"/>
    <col min="793" max="793" width="8.42578125" style="6" customWidth="1"/>
    <col min="794" max="794" width="4.140625" style="6" customWidth="1"/>
    <col min="795" max="1024" width="9.140625" style="6"/>
    <col min="1025" max="1025" width="5.7109375" style="6" customWidth="1"/>
    <col min="1026" max="1026" width="5.85546875" style="6" customWidth="1"/>
    <col min="1027" max="1027" width="5.7109375" style="6" customWidth="1"/>
    <col min="1028" max="1028" width="2.5703125" style="6" customWidth="1"/>
    <col min="1029" max="1029" width="6.28515625" style="6" customWidth="1"/>
    <col min="1030" max="1030" width="3" style="6" customWidth="1"/>
    <col min="1031" max="1031" width="6.7109375" style="6" customWidth="1"/>
    <col min="1032" max="1032" width="5.7109375" style="6" customWidth="1"/>
    <col min="1033" max="1033" width="2.5703125" style="6" customWidth="1"/>
    <col min="1034" max="1034" width="7.140625" style="6" customWidth="1"/>
    <col min="1035" max="1035" width="3.42578125" style="6" customWidth="1"/>
    <col min="1036" max="1036" width="6" style="6" customWidth="1"/>
    <col min="1037" max="1037" width="2.85546875" style="6" customWidth="1"/>
    <col min="1038" max="1038" width="6.42578125" style="6" customWidth="1"/>
    <col min="1039" max="1039" width="3.140625" style="6" customWidth="1"/>
    <col min="1040" max="1040" width="6.42578125" style="6" customWidth="1"/>
    <col min="1041" max="1041" width="3.140625" style="6" customWidth="1"/>
    <col min="1042" max="1042" width="9.7109375" style="6" customWidth="1"/>
    <col min="1043" max="1043" width="7.42578125" style="6" customWidth="1"/>
    <col min="1044" max="1044" width="4.140625" style="6" customWidth="1"/>
    <col min="1045" max="1045" width="6.42578125" style="6" customWidth="1"/>
    <col min="1046" max="1046" width="3.140625" style="6" customWidth="1"/>
    <col min="1047" max="1047" width="12.140625" style="6" customWidth="1"/>
    <col min="1048" max="1048" width="14" style="6" customWidth="1"/>
    <col min="1049" max="1049" width="8.42578125" style="6" customWidth="1"/>
    <col min="1050" max="1050" width="4.140625" style="6" customWidth="1"/>
    <col min="1051" max="1280" width="9.140625" style="6"/>
    <col min="1281" max="1281" width="5.7109375" style="6" customWidth="1"/>
    <col min="1282" max="1282" width="5.85546875" style="6" customWidth="1"/>
    <col min="1283" max="1283" width="5.7109375" style="6" customWidth="1"/>
    <col min="1284" max="1284" width="2.5703125" style="6" customWidth="1"/>
    <col min="1285" max="1285" width="6.28515625" style="6" customWidth="1"/>
    <col min="1286" max="1286" width="3" style="6" customWidth="1"/>
    <col min="1287" max="1287" width="6.7109375" style="6" customWidth="1"/>
    <col min="1288" max="1288" width="5.7109375" style="6" customWidth="1"/>
    <col min="1289" max="1289" width="2.5703125" style="6" customWidth="1"/>
    <col min="1290" max="1290" width="7.140625" style="6" customWidth="1"/>
    <col min="1291" max="1291" width="3.42578125" style="6" customWidth="1"/>
    <col min="1292" max="1292" width="6" style="6" customWidth="1"/>
    <col min="1293" max="1293" width="2.85546875" style="6" customWidth="1"/>
    <col min="1294" max="1294" width="6.42578125" style="6" customWidth="1"/>
    <col min="1295" max="1295" width="3.140625" style="6" customWidth="1"/>
    <col min="1296" max="1296" width="6.42578125" style="6" customWidth="1"/>
    <col min="1297" max="1297" width="3.140625" style="6" customWidth="1"/>
    <col min="1298" max="1298" width="9.7109375" style="6" customWidth="1"/>
    <col min="1299" max="1299" width="7.42578125" style="6" customWidth="1"/>
    <col min="1300" max="1300" width="4.140625" style="6" customWidth="1"/>
    <col min="1301" max="1301" width="6.42578125" style="6" customWidth="1"/>
    <col min="1302" max="1302" width="3.140625" style="6" customWidth="1"/>
    <col min="1303" max="1303" width="12.140625" style="6" customWidth="1"/>
    <col min="1304" max="1304" width="14" style="6" customWidth="1"/>
    <col min="1305" max="1305" width="8.42578125" style="6" customWidth="1"/>
    <col min="1306" max="1306" width="4.140625" style="6" customWidth="1"/>
    <col min="1307" max="1536" width="9.140625" style="6"/>
    <col min="1537" max="1537" width="5.7109375" style="6" customWidth="1"/>
    <col min="1538" max="1538" width="5.85546875" style="6" customWidth="1"/>
    <col min="1539" max="1539" width="5.7109375" style="6" customWidth="1"/>
    <col min="1540" max="1540" width="2.5703125" style="6" customWidth="1"/>
    <col min="1541" max="1541" width="6.28515625" style="6" customWidth="1"/>
    <col min="1542" max="1542" width="3" style="6" customWidth="1"/>
    <col min="1543" max="1543" width="6.7109375" style="6" customWidth="1"/>
    <col min="1544" max="1544" width="5.7109375" style="6" customWidth="1"/>
    <col min="1545" max="1545" width="2.5703125" style="6" customWidth="1"/>
    <col min="1546" max="1546" width="7.140625" style="6" customWidth="1"/>
    <col min="1547" max="1547" width="3.42578125" style="6" customWidth="1"/>
    <col min="1548" max="1548" width="6" style="6" customWidth="1"/>
    <col min="1549" max="1549" width="2.85546875" style="6" customWidth="1"/>
    <col min="1550" max="1550" width="6.42578125" style="6" customWidth="1"/>
    <col min="1551" max="1551" width="3.140625" style="6" customWidth="1"/>
    <col min="1552" max="1552" width="6.42578125" style="6" customWidth="1"/>
    <col min="1553" max="1553" width="3.140625" style="6" customWidth="1"/>
    <col min="1554" max="1554" width="9.7109375" style="6" customWidth="1"/>
    <col min="1555" max="1555" width="7.42578125" style="6" customWidth="1"/>
    <col min="1556" max="1556" width="4.140625" style="6" customWidth="1"/>
    <col min="1557" max="1557" width="6.42578125" style="6" customWidth="1"/>
    <col min="1558" max="1558" width="3.140625" style="6" customWidth="1"/>
    <col min="1559" max="1559" width="12.140625" style="6" customWidth="1"/>
    <col min="1560" max="1560" width="14" style="6" customWidth="1"/>
    <col min="1561" max="1561" width="8.42578125" style="6" customWidth="1"/>
    <col min="1562" max="1562" width="4.140625" style="6" customWidth="1"/>
    <col min="1563" max="1792" width="9.140625" style="6"/>
    <col min="1793" max="1793" width="5.7109375" style="6" customWidth="1"/>
    <col min="1794" max="1794" width="5.85546875" style="6" customWidth="1"/>
    <col min="1795" max="1795" width="5.7109375" style="6" customWidth="1"/>
    <col min="1796" max="1796" width="2.5703125" style="6" customWidth="1"/>
    <col min="1797" max="1797" width="6.28515625" style="6" customWidth="1"/>
    <col min="1798" max="1798" width="3" style="6" customWidth="1"/>
    <col min="1799" max="1799" width="6.7109375" style="6" customWidth="1"/>
    <col min="1800" max="1800" width="5.7109375" style="6" customWidth="1"/>
    <col min="1801" max="1801" width="2.5703125" style="6" customWidth="1"/>
    <col min="1802" max="1802" width="7.140625" style="6" customWidth="1"/>
    <col min="1803" max="1803" width="3.42578125" style="6" customWidth="1"/>
    <col min="1804" max="1804" width="6" style="6" customWidth="1"/>
    <col min="1805" max="1805" width="2.85546875" style="6" customWidth="1"/>
    <col min="1806" max="1806" width="6.42578125" style="6" customWidth="1"/>
    <col min="1807" max="1807" width="3.140625" style="6" customWidth="1"/>
    <col min="1808" max="1808" width="6.42578125" style="6" customWidth="1"/>
    <col min="1809" max="1809" width="3.140625" style="6" customWidth="1"/>
    <col min="1810" max="1810" width="9.7109375" style="6" customWidth="1"/>
    <col min="1811" max="1811" width="7.42578125" style="6" customWidth="1"/>
    <col min="1812" max="1812" width="4.140625" style="6" customWidth="1"/>
    <col min="1813" max="1813" width="6.42578125" style="6" customWidth="1"/>
    <col min="1814" max="1814" width="3.140625" style="6" customWidth="1"/>
    <col min="1815" max="1815" width="12.140625" style="6" customWidth="1"/>
    <col min="1816" max="1816" width="14" style="6" customWidth="1"/>
    <col min="1817" max="1817" width="8.42578125" style="6" customWidth="1"/>
    <col min="1818" max="1818" width="4.140625" style="6" customWidth="1"/>
    <col min="1819" max="2048" width="9.140625" style="6"/>
    <col min="2049" max="2049" width="5.7109375" style="6" customWidth="1"/>
    <col min="2050" max="2050" width="5.85546875" style="6" customWidth="1"/>
    <col min="2051" max="2051" width="5.7109375" style="6" customWidth="1"/>
    <col min="2052" max="2052" width="2.5703125" style="6" customWidth="1"/>
    <col min="2053" max="2053" width="6.28515625" style="6" customWidth="1"/>
    <col min="2054" max="2054" width="3" style="6" customWidth="1"/>
    <col min="2055" max="2055" width="6.7109375" style="6" customWidth="1"/>
    <col min="2056" max="2056" width="5.7109375" style="6" customWidth="1"/>
    <col min="2057" max="2057" width="2.5703125" style="6" customWidth="1"/>
    <col min="2058" max="2058" width="7.140625" style="6" customWidth="1"/>
    <col min="2059" max="2059" width="3.42578125" style="6" customWidth="1"/>
    <col min="2060" max="2060" width="6" style="6" customWidth="1"/>
    <col min="2061" max="2061" width="2.85546875" style="6" customWidth="1"/>
    <col min="2062" max="2062" width="6.42578125" style="6" customWidth="1"/>
    <col min="2063" max="2063" width="3.140625" style="6" customWidth="1"/>
    <col min="2064" max="2064" width="6.42578125" style="6" customWidth="1"/>
    <col min="2065" max="2065" width="3.140625" style="6" customWidth="1"/>
    <col min="2066" max="2066" width="9.7109375" style="6" customWidth="1"/>
    <col min="2067" max="2067" width="7.42578125" style="6" customWidth="1"/>
    <col min="2068" max="2068" width="4.140625" style="6" customWidth="1"/>
    <col min="2069" max="2069" width="6.42578125" style="6" customWidth="1"/>
    <col min="2070" max="2070" width="3.140625" style="6" customWidth="1"/>
    <col min="2071" max="2071" width="12.140625" style="6" customWidth="1"/>
    <col min="2072" max="2072" width="14" style="6" customWidth="1"/>
    <col min="2073" max="2073" width="8.42578125" style="6" customWidth="1"/>
    <col min="2074" max="2074" width="4.140625" style="6" customWidth="1"/>
    <col min="2075" max="2304" width="9.140625" style="6"/>
    <col min="2305" max="2305" width="5.7109375" style="6" customWidth="1"/>
    <col min="2306" max="2306" width="5.85546875" style="6" customWidth="1"/>
    <col min="2307" max="2307" width="5.7109375" style="6" customWidth="1"/>
    <col min="2308" max="2308" width="2.5703125" style="6" customWidth="1"/>
    <col min="2309" max="2309" width="6.28515625" style="6" customWidth="1"/>
    <col min="2310" max="2310" width="3" style="6" customWidth="1"/>
    <col min="2311" max="2311" width="6.7109375" style="6" customWidth="1"/>
    <col min="2312" max="2312" width="5.7109375" style="6" customWidth="1"/>
    <col min="2313" max="2313" width="2.5703125" style="6" customWidth="1"/>
    <col min="2314" max="2314" width="7.140625" style="6" customWidth="1"/>
    <col min="2315" max="2315" width="3.42578125" style="6" customWidth="1"/>
    <col min="2316" max="2316" width="6" style="6" customWidth="1"/>
    <col min="2317" max="2317" width="2.85546875" style="6" customWidth="1"/>
    <col min="2318" max="2318" width="6.42578125" style="6" customWidth="1"/>
    <col min="2319" max="2319" width="3.140625" style="6" customWidth="1"/>
    <col min="2320" max="2320" width="6.42578125" style="6" customWidth="1"/>
    <col min="2321" max="2321" width="3.140625" style="6" customWidth="1"/>
    <col min="2322" max="2322" width="9.7109375" style="6" customWidth="1"/>
    <col min="2323" max="2323" width="7.42578125" style="6" customWidth="1"/>
    <col min="2324" max="2324" width="4.140625" style="6" customWidth="1"/>
    <col min="2325" max="2325" width="6.42578125" style="6" customWidth="1"/>
    <col min="2326" max="2326" width="3.140625" style="6" customWidth="1"/>
    <col min="2327" max="2327" width="12.140625" style="6" customWidth="1"/>
    <col min="2328" max="2328" width="14" style="6" customWidth="1"/>
    <col min="2329" max="2329" width="8.42578125" style="6" customWidth="1"/>
    <col min="2330" max="2330" width="4.140625" style="6" customWidth="1"/>
    <col min="2331" max="2560" width="9.140625" style="6"/>
    <col min="2561" max="2561" width="5.7109375" style="6" customWidth="1"/>
    <col min="2562" max="2562" width="5.85546875" style="6" customWidth="1"/>
    <col min="2563" max="2563" width="5.7109375" style="6" customWidth="1"/>
    <col min="2564" max="2564" width="2.5703125" style="6" customWidth="1"/>
    <col min="2565" max="2565" width="6.28515625" style="6" customWidth="1"/>
    <col min="2566" max="2566" width="3" style="6" customWidth="1"/>
    <col min="2567" max="2567" width="6.7109375" style="6" customWidth="1"/>
    <col min="2568" max="2568" width="5.7109375" style="6" customWidth="1"/>
    <col min="2569" max="2569" width="2.5703125" style="6" customWidth="1"/>
    <col min="2570" max="2570" width="7.140625" style="6" customWidth="1"/>
    <col min="2571" max="2571" width="3.42578125" style="6" customWidth="1"/>
    <col min="2572" max="2572" width="6" style="6" customWidth="1"/>
    <col min="2573" max="2573" width="2.85546875" style="6" customWidth="1"/>
    <col min="2574" max="2574" width="6.42578125" style="6" customWidth="1"/>
    <col min="2575" max="2575" width="3.140625" style="6" customWidth="1"/>
    <col min="2576" max="2576" width="6.42578125" style="6" customWidth="1"/>
    <col min="2577" max="2577" width="3.140625" style="6" customWidth="1"/>
    <col min="2578" max="2578" width="9.7109375" style="6" customWidth="1"/>
    <col min="2579" max="2579" width="7.42578125" style="6" customWidth="1"/>
    <col min="2580" max="2580" width="4.140625" style="6" customWidth="1"/>
    <col min="2581" max="2581" width="6.42578125" style="6" customWidth="1"/>
    <col min="2582" max="2582" width="3.140625" style="6" customWidth="1"/>
    <col min="2583" max="2583" width="12.140625" style="6" customWidth="1"/>
    <col min="2584" max="2584" width="14" style="6" customWidth="1"/>
    <col min="2585" max="2585" width="8.42578125" style="6" customWidth="1"/>
    <col min="2586" max="2586" width="4.140625" style="6" customWidth="1"/>
    <col min="2587" max="2816" width="9.140625" style="6"/>
    <col min="2817" max="2817" width="5.7109375" style="6" customWidth="1"/>
    <col min="2818" max="2818" width="5.85546875" style="6" customWidth="1"/>
    <col min="2819" max="2819" width="5.7109375" style="6" customWidth="1"/>
    <col min="2820" max="2820" width="2.5703125" style="6" customWidth="1"/>
    <col min="2821" max="2821" width="6.28515625" style="6" customWidth="1"/>
    <col min="2822" max="2822" width="3" style="6" customWidth="1"/>
    <col min="2823" max="2823" width="6.7109375" style="6" customWidth="1"/>
    <col min="2824" max="2824" width="5.7109375" style="6" customWidth="1"/>
    <col min="2825" max="2825" width="2.5703125" style="6" customWidth="1"/>
    <col min="2826" max="2826" width="7.140625" style="6" customWidth="1"/>
    <col min="2827" max="2827" width="3.42578125" style="6" customWidth="1"/>
    <col min="2828" max="2828" width="6" style="6" customWidth="1"/>
    <col min="2829" max="2829" width="2.85546875" style="6" customWidth="1"/>
    <col min="2830" max="2830" width="6.42578125" style="6" customWidth="1"/>
    <col min="2831" max="2831" width="3.140625" style="6" customWidth="1"/>
    <col min="2832" max="2832" width="6.42578125" style="6" customWidth="1"/>
    <col min="2833" max="2833" width="3.140625" style="6" customWidth="1"/>
    <col min="2834" max="2834" width="9.7109375" style="6" customWidth="1"/>
    <col min="2835" max="2835" width="7.42578125" style="6" customWidth="1"/>
    <col min="2836" max="2836" width="4.140625" style="6" customWidth="1"/>
    <col min="2837" max="2837" width="6.42578125" style="6" customWidth="1"/>
    <col min="2838" max="2838" width="3.140625" style="6" customWidth="1"/>
    <col min="2839" max="2839" width="12.140625" style="6" customWidth="1"/>
    <col min="2840" max="2840" width="14" style="6" customWidth="1"/>
    <col min="2841" max="2841" width="8.42578125" style="6" customWidth="1"/>
    <col min="2842" max="2842" width="4.140625" style="6" customWidth="1"/>
    <col min="2843" max="3072" width="9.140625" style="6"/>
    <col min="3073" max="3073" width="5.7109375" style="6" customWidth="1"/>
    <col min="3074" max="3074" width="5.85546875" style="6" customWidth="1"/>
    <col min="3075" max="3075" width="5.7109375" style="6" customWidth="1"/>
    <col min="3076" max="3076" width="2.5703125" style="6" customWidth="1"/>
    <col min="3077" max="3077" width="6.28515625" style="6" customWidth="1"/>
    <col min="3078" max="3078" width="3" style="6" customWidth="1"/>
    <col min="3079" max="3079" width="6.7109375" style="6" customWidth="1"/>
    <col min="3080" max="3080" width="5.7109375" style="6" customWidth="1"/>
    <col min="3081" max="3081" width="2.5703125" style="6" customWidth="1"/>
    <col min="3082" max="3082" width="7.140625" style="6" customWidth="1"/>
    <col min="3083" max="3083" width="3.42578125" style="6" customWidth="1"/>
    <col min="3084" max="3084" width="6" style="6" customWidth="1"/>
    <col min="3085" max="3085" width="2.85546875" style="6" customWidth="1"/>
    <col min="3086" max="3086" width="6.42578125" style="6" customWidth="1"/>
    <col min="3087" max="3087" width="3.140625" style="6" customWidth="1"/>
    <col min="3088" max="3088" width="6.42578125" style="6" customWidth="1"/>
    <col min="3089" max="3089" width="3.140625" style="6" customWidth="1"/>
    <col min="3090" max="3090" width="9.7109375" style="6" customWidth="1"/>
    <col min="3091" max="3091" width="7.42578125" style="6" customWidth="1"/>
    <col min="3092" max="3092" width="4.140625" style="6" customWidth="1"/>
    <col min="3093" max="3093" width="6.42578125" style="6" customWidth="1"/>
    <col min="3094" max="3094" width="3.140625" style="6" customWidth="1"/>
    <col min="3095" max="3095" width="12.140625" style="6" customWidth="1"/>
    <col min="3096" max="3096" width="14" style="6" customWidth="1"/>
    <col min="3097" max="3097" width="8.42578125" style="6" customWidth="1"/>
    <col min="3098" max="3098" width="4.140625" style="6" customWidth="1"/>
    <col min="3099" max="3328" width="9.140625" style="6"/>
    <col min="3329" max="3329" width="5.7109375" style="6" customWidth="1"/>
    <col min="3330" max="3330" width="5.85546875" style="6" customWidth="1"/>
    <col min="3331" max="3331" width="5.7109375" style="6" customWidth="1"/>
    <col min="3332" max="3332" width="2.5703125" style="6" customWidth="1"/>
    <col min="3333" max="3333" width="6.28515625" style="6" customWidth="1"/>
    <col min="3334" max="3334" width="3" style="6" customWidth="1"/>
    <col min="3335" max="3335" width="6.7109375" style="6" customWidth="1"/>
    <col min="3336" max="3336" width="5.7109375" style="6" customWidth="1"/>
    <col min="3337" max="3337" width="2.5703125" style="6" customWidth="1"/>
    <col min="3338" max="3338" width="7.140625" style="6" customWidth="1"/>
    <col min="3339" max="3339" width="3.42578125" style="6" customWidth="1"/>
    <col min="3340" max="3340" width="6" style="6" customWidth="1"/>
    <col min="3341" max="3341" width="2.85546875" style="6" customWidth="1"/>
    <col min="3342" max="3342" width="6.42578125" style="6" customWidth="1"/>
    <col min="3343" max="3343" width="3.140625" style="6" customWidth="1"/>
    <col min="3344" max="3344" width="6.42578125" style="6" customWidth="1"/>
    <col min="3345" max="3345" width="3.140625" style="6" customWidth="1"/>
    <col min="3346" max="3346" width="9.7109375" style="6" customWidth="1"/>
    <col min="3347" max="3347" width="7.42578125" style="6" customWidth="1"/>
    <col min="3348" max="3348" width="4.140625" style="6" customWidth="1"/>
    <col min="3349" max="3349" width="6.42578125" style="6" customWidth="1"/>
    <col min="3350" max="3350" width="3.140625" style="6" customWidth="1"/>
    <col min="3351" max="3351" width="12.140625" style="6" customWidth="1"/>
    <col min="3352" max="3352" width="14" style="6" customWidth="1"/>
    <col min="3353" max="3353" width="8.42578125" style="6" customWidth="1"/>
    <col min="3354" max="3354" width="4.140625" style="6" customWidth="1"/>
    <col min="3355" max="3584" width="9.140625" style="6"/>
    <col min="3585" max="3585" width="5.7109375" style="6" customWidth="1"/>
    <col min="3586" max="3586" width="5.85546875" style="6" customWidth="1"/>
    <col min="3587" max="3587" width="5.7109375" style="6" customWidth="1"/>
    <col min="3588" max="3588" width="2.5703125" style="6" customWidth="1"/>
    <col min="3589" max="3589" width="6.28515625" style="6" customWidth="1"/>
    <col min="3590" max="3590" width="3" style="6" customWidth="1"/>
    <col min="3591" max="3591" width="6.7109375" style="6" customWidth="1"/>
    <col min="3592" max="3592" width="5.7109375" style="6" customWidth="1"/>
    <col min="3593" max="3593" width="2.5703125" style="6" customWidth="1"/>
    <col min="3594" max="3594" width="7.140625" style="6" customWidth="1"/>
    <col min="3595" max="3595" width="3.42578125" style="6" customWidth="1"/>
    <col min="3596" max="3596" width="6" style="6" customWidth="1"/>
    <col min="3597" max="3597" width="2.85546875" style="6" customWidth="1"/>
    <col min="3598" max="3598" width="6.42578125" style="6" customWidth="1"/>
    <col min="3599" max="3599" width="3.140625" style="6" customWidth="1"/>
    <col min="3600" max="3600" width="6.42578125" style="6" customWidth="1"/>
    <col min="3601" max="3601" width="3.140625" style="6" customWidth="1"/>
    <col min="3602" max="3602" width="9.7109375" style="6" customWidth="1"/>
    <col min="3603" max="3603" width="7.42578125" style="6" customWidth="1"/>
    <col min="3604" max="3604" width="4.140625" style="6" customWidth="1"/>
    <col min="3605" max="3605" width="6.42578125" style="6" customWidth="1"/>
    <col min="3606" max="3606" width="3.140625" style="6" customWidth="1"/>
    <col min="3607" max="3607" width="12.140625" style="6" customWidth="1"/>
    <col min="3608" max="3608" width="14" style="6" customWidth="1"/>
    <col min="3609" max="3609" width="8.42578125" style="6" customWidth="1"/>
    <col min="3610" max="3610" width="4.140625" style="6" customWidth="1"/>
    <col min="3611" max="3840" width="9.140625" style="6"/>
    <col min="3841" max="3841" width="5.7109375" style="6" customWidth="1"/>
    <col min="3842" max="3842" width="5.85546875" style="6" customWidth="1"/>
    <col min="3843" max="3843" width="5.7109375" style="6" customWidth="1"/>
    <col min="3844" max="3844" width="2.5703125" style="6" customWidth="1"/>
    <col min="3845" max="3845" width="6.28515625" style="6" customWidth="1"/>
    <col min="3846" max="3846" width="3" style="6" customWidth="1"/>
    <col min="3847" max="3847" width="6.7109375" style="6" customWidth="1"/>
    <col min="3848" max="3848" width="5.7109375" style="6" customWidth="1"/>
    <col min="3849" max="3849" width="2.5703125" style="6" customWidth="1"/>
    <col min="3850" max="3850" width="7.140625" style="6" customWidth="1"/>
    <col min="3851" max="3851" width="3.42578125" style="6" customWidth="1"/>
    <col min="3852" max="3852" width="6" style="6" customWidth="1"/>
    <col min="3853" max="3853" width="2.85546875" style="6" customWidth="1"/>
    <col min="3854" max="3854" width="6.42578125" style="6" customWidth="1"/>
    <col min="3855" max="3855" width="3.140625" style="6" customWidth="1"/>
    <col min="3856" max="3856" width="6.42578125" style="6" customWidth="1"/>
    <col min="3857" max="3857" width="3.140625" style="6" customWidth="1"/>
    <col min="3858" max="3858" width="9.7109375" style="6" customWidth="1"/>
    <col min="3859" max="3859" width="7.42578125" style="6" customWidth="1"/>
    <col min="3860" max="3860" width="4.140625" style="6" customWidth="1"/>
    <col min="3861" max="3861" width="6.42578125" style="6" customWidth="1"/>
    <col min="3862" max="3862" width="3.140625" style="6" customWidth="1"/>
    <col min="3863" max="3863" width="12.140625" style="6" customWidth="1"/>
    <col min="3864" max="3864" width="14" style="6" customWidth="1"/>
    <col min="3865" max="3865" width="8.42578125" style="6" customWidth="1"/>
    <col min="3866" max="3866" width="4.140625" style="6" customWidth="1"/>
    <col min="3867" max="4096" width="9.140625" style="6"/>
    <col min="4097" max="4097" width="5.7109375" style="6" customWidth="1"/>
    <col min="4098" max="4098" width="5.85546875" style="6" customWidth="1"/>
    <col min="4099" max="4099" width="5.7109375" style="6" customWidth="1"/>
    <col min="4100" max="4100" width="2.5703125" style="6" customWidth="1"/>
    <col min="4101" max="4101" width="6.28515625" style="6" customWidth="1"/>
    <col min="4102" max="4102" width="3" style="6" customWidth="1"/>
    <col min="4103" max="4103" width="6.7109375" style="6" customWidth="1"/>
    <col min="4104" max="4104" width="5.7109375" style="6" customWidth="1"/>
    <col min="4105" max="4105" width="2.5703125" style="6" customWidth="1"/>
    <col min="4106" max="4106" width="7.140625" style="6" customWidth="1"/>
    <col min="4107" max="4107" width="3.42578125" style="6" customWidth="1"/>
    <col min="4108" max="4108" width="6" style="6" customWidth="1"/>
    <col min="4109" max="4109" width="2.85546875" style="6" customWidth="1"/>
    <col min="4110" max="4110" width="6.42578125" style="6" customWidth="1"/>
    <col min="4111" max="4111" width="3.140625" style="6" customWidth="1"/>
    <col min="4112" max="4112" width="6.42578125" style="6" customWidth="1"/>
    <col min="4113" max="4113" width="3.140625" style="6" customWidth="1"/>
    <col min="4114" max="4114" width="9.7109375" style="6" customWidth="1"/>
    <col min="4115" max="4115" width="7.42578125" style="6" customWidth="1"/>
    <col min="4116" max="4116" width="4.140625" style="6" customWidth="1"/>
    <col min="4117" max="4117" width="6.42578125" style="6" customWidth="1"/>
    <col min="4118" max="4118" width="3.140625" style="6" customWidth="1"/>
    <col min="4119" max="4119" width="12.140625" style="6" customWidth="1"/>
    <col min="4120" max="4120" width="14" style="6" customWidth="1"/>
    <col min="4121" max="4121" width="8.42578125" style="6" customWidth="1"/>
    <col min="4122" max="4122" width="4.140625" style="6" customWidth="1"/>
    <col min="4123" max="4352" width="9.140625" style="6"/>
    <col min="4353" max="4353" width="5.7109375" style="6" customWidth="1"/>
    <col min="4354" max="4354" width="5.85546875" style="6" customWidth="1"/>
    <col min="4355" max="4355" width="5.7109375" style="6" customWidth="1"/>
    <col min="4356" max="4356" width="2.5703125" style="6" customWidth="1"/>
    <col min="4357" max="4357" width="6.28515625" style="6" customWidth="1"/>
    <col min="4358" max="4358" width="3" style="6" customWidth="1"/>
    <col min="4359" max="4359" width="6.7109375" style="6" customWidth="1"/>
    <col min="4360" max="4360" width="5.7109375" style="6" customWidth="1"/>
    <col min="4361" max="4361" width="2.5703125" style="6" customWidth="1"/>
    <col min="4362" max="4362" width="7.140625" style="6" customWidth="1"/>
    <col min="4363" max="4363" width="3.42578125" style="6" customWidth="1"/>
    <col min="4364" max="4364" width="6" style="6" customWidth="1"/>
    <col min="4365" max="4365" width="2.85546875" style="6" customWidth="1"/>
    <col min="4366" max="4366" width="6.42578125" style="6" customWidth="1"/>
    <col min="4367" max="4367" width="3.140625" style="6" customWidth="1"/>
    <col min="4368" max="4368" width="6.42578125" style="6" customWidth="1"/>
    <col min="4369" max="4369" width="3.140625" style="6" customWidth="1"/>
    <col min="4370" max="4370" width="9.7109375" style="6" customWidth="1"/>
    <col min="4371" max="4371" width="7.42578125" style="6" customWidth="1"/>
    <col min="4372" max="4372" width="4.140625" style="6" customWidth="1"/>
    <col min="4373" max="4373" width="6.42578125" style="6" customWidth="1"/>
    <col min="4374" max="4374" width="3.140625" style="6" customWidth="1"/>
    <col min="4375" max="4375" width="12.140625" style="6" customWidth="1"/>
    <col min="4376" max="4376" width="14" style="6" customWidth="1"/>
    <col min="4377" max="4377" width="8.42578125" style="6" customWidth="1"/>
    <col min="4378" max="4378" width="4.140625" style="6" customWidth="1"/>
    <col min="4379" max="4608" width="9.140625" style="6"/>
    <col min="4609" max="4609" width="5.7109375" style="6" customWidth="1"/>
    <col min="4610" max="4610" width="5.85546875" style="6" customWidth="1"/>
    <col min="4611" max="4611" width="5.7109375" style="6" customWidth="1"/>
    <col min="4612" max="4612" width="2.5703125" style="6" customWidth="1"/>
    <col min="4613" max="4613" width="6.28515625" style="6" customWidth="1"/>
    <col min="4614" max="4614" width="3" style="6" customWidth="1"/>
    <col min="4615" max="4615" width="6.7109375" style="6" customWidth="1"/>
    <col min="4616" max="4616" width="5.7109375" style="6" customWidth="1"/>
    <col min="4617" max="4617" width="2.5703125" style="6" customWidth="1"/>
    <col min="4618" max="4618" width="7.140625" style="6" customWidth="1"/>
    <col min="4619" max="4619" width="3.42578125" style="6" customWidth="1"/>
    <col min="4620" max="4620" width="6" style="6" customWidth="1"/>
    <col min="4621" max="4621" width="2.85546875" style="6" customWidth="1"/>
    <col min="4622" max="4622" width="6.42578125" style="6" customWidth="1"/>
    <col min="4623" max="4623" width="3.140625" style="6" customWidth="1"/>
    <col min="4624" max="4624" width="6.42578125" style="6" customWidth="1"/>
    <col min="4625" max="4625" width="3.140625" style="6" customWidth="1"/>
    <col min="4626" max="4626" width="9.7109375" style="6" customWidth="1"/>
    <col min="4627" max="4627" width="7.42578125" style="6" customWidth="1"/>
    <col min="4628" max="4628" width="4.140625" style="6" customWidth="1"/>
    <col min="4629" max="4629" width="6.42578125" style="6" customWidth="1"/>
    <col min="4630" max="4630" width="3.140625" style="6" customWidth="1"/>
    <col min="4631" max="4631" width="12.140625" style="6" customWidth="1"/>
    <col min="4632" max="4632" width="14" style="6" customWidth="1"/>
    <col min="4633" max="4633" width="8.42578125" style="6" customWidth="1"/>
    <col min="4634" max="4634" width="4.140625" style="6" customWidth="1"/>
    <col min="4635" max="4864" width="9.140625" style="6"/>
    <col min="4865" max="4865" width="5.7109375" style="6" customWidth="1"/>
    <col min="4866" max="4866" width="5.85546875" style="6" customWidth="1"/>
    <col min="4867" max="4867" width="5.7109375" style="6" customWidth="1"/>
    <col min="4868" max="4868" width="2.5703125" style="6" customWidth="1"/>
    <col min="4869" max="4869" width="6.28515625" style="6" customWidth="1"/>
    <col min="4870" max="4870" width="3" style="6" customWidth="1"/>
    <col min="4871" max="4871" width="6.7109375" style="6" customWidth="1"/>
    <col min="4872" max="4872" width="5.7109375" style="6" customWidth="1"/>
    <col min="4873" max="4873" width="2.5703125" style="6" customWidth="1"/>
    <col min="4874" max="4874" width="7.140625" style="6" customWidth="1"/>
    <col min="4875" max="4875" width="3.42578125" style="6" customWidth="1"/>
    <col min="4876" max="4876" width="6" style="6" customWidth="1"/>
    <col min="4877" max="4877" width="2.85546875" style="6" customWidth="1"/>
    <col min="4878" max="4878" width="6.42578125" style="6" customWidth="1"/>
    <col min="4879" max="4879" width="3.140625" style="6" customWidth="1"/>
    <col min="4880" max="4880" width="6.42578125" style="6" customWidth="1"/>
    <col min="4881" max="4881" width="3.140625" style="6" customWidth="1"/>
    <col min="4882" max="4882" width="9.7109375" style="6" customWidth="1"/>
    <col min="4883" max="4883" width="7.42578125" style="6" customWidth="1"/>
    <col min="4884" max="4884" width="4.140625" style="6" customWidth="1"/>
    <col min="4885" max="4885" width="6.42578125" style="6" customWidth="1"/>
    <col min="4886" max="4886" width="3.140625" style="6" customWidth="1"/>
    <col min="4887" max="4887" width="12.140625" style="6" customWidth="1"/>
    <col min="4888" max="4888" width="14" style="6" customWidth="1"/>
    <col min="4889" max="4889" width="8.42578125" style="6" customWidth="1"/>
    <col min="4890" max="4890" width="4.140625" style="6" customWidth="1"/>
    <col min="4891" max="5120" width="9.140625" style="6"/>
    <col min="5121" max="5121" width="5.7109375" style="6" customWidth="1"/>
    <col min="5122" max="5122" width="5.85546875" style="6" customWidth="1"/>
    <col min="5123" max="5123" width="5.7109375" style="6" customWidth="1"/>
    <col min="5124" max="5124" width="2.5703125" style="6" customWidth="1"/>
    <col min="5125" max="5125" width="6.28515625" style="6" customWidth="1"/>
    <col min="5126" max="5126" width="3" style="6" customWidth="1"/>
    <col min="5127" max="5127" width="6.7109375" style="6" customWidth="1"/>
    <col min="5128" max="5128" width="5.7109375" style="6" customWidth="1"/>
    <col min="5129" max="5129" width="2.5703125" style="6" customWidth="1"/>
    <col min="5130" max="5130" width="7.140625" style="6" customWidth="1"/>
    <col min="5131" max="5131" width="3.42578125" style="6" customWidth="1"/>
    <col min="5132" max="5132" width="6" style="6" customWidth="1"/>
    <col min="5133" max="5133" width="2.85546875" style="6" customWidth="1"/>
    <col min="5134" max="5134" width="6.42578125" style="6" customWidth="1"/>
    <col min="5135" max="5135" width="3.140625" style="6" customWidth="1"/>
    <col min="5136" max="5136" width="6.42578125" style="6" customWidth="1"/>
    <col min="5137" max="5137" width="3.140625" style="6" customWidth="1"/>
    <col min="5138" max="5138" width="9.7109375" style="6" customWidth="1"/>
    <col min="5139" max="5139" width="7.42578125" style="6" customWidth="1"/>
    <col min="5140" max="5140" width="4.140625" style="6" customWidth="1"/>
    <col min="5141" max="5141" width="6.42578125" style="6" customWidth="1"/>
    <col min="5142" max="5142" width="3.140625" style="6" customWidth="1"/>
    <col min="5143" max="5143" width="12.140625" style="6" customWidth="1"/>
    <col min="5144" max="5144" width="14" style="6" customWidth="1"/>
    <col min="5145" max="5145" width="8.42578125" style="6" customWidth="1"/>
    <col min="5146" max="5146" width="4.140625" style="6" customWidth="1"/>
    <col min="5147" max="5376" width="9.140625" style="6"/>
    <col min="5377" max="5377" width="5.7109375" style="6" customWidth="1"/>
    <col min="5378" max="5378" width="5.85546875" style="6" customWidth="1"/>
    <col min="5379" max="5379" width="5.7109375" style="6" customWidth="1"/>
    <col min="5380" max="5380" width="2.5703125" style="6" customWidth="1"/>
    <col min="5381" max="5381" width="6.28515625" style="6" customWidth="1"/>
    <col min="5382" max="5382" width="3" style="6" customWidth="1"/>
    <col min="5383" max="5383" width="6.7109375" style="6" customWidth="1"/>
    <col min="5384" max="5384" width="5.7109375" style="6" customWidth="1"/>
    <col min="5385" max="5385" width="2.5703125" style="6" customWidth="1"/>
    <col min="5386" max="5386" width="7.140625" style="6" customWidth="1"/>
    <col min="5387" max="5387" width="3.42578125" style="6" customWidth="1"/>
    <col min="5388" max="5388" width="6" style="6" customWidth="1"/>
    <col min="5389" max="5389" width="2.85546875" style="6" customWidth="1"/>
    <col min="5390" max="5390" width="6.42578125" style="6" customWidth="1"/>
    <col min="5391" max="5391" width="3.140625" style="6" customWidth="1"/>
    <col min="5392" max="5392" width="6.42578125" style="6" customWidth="1"/>
    <col min="5393" max="5393" width="3.140625" style="6" customWidth="1"/>
    <col min="5394" max="5394" width="9.7109375" style="6" customWidth="1"/>
    <col min="5395" max="5395" width="7.42578125" style="6" customWidth="1"/>
    <col min="5396" max="5396" width="4.140625" style="6" customWidth="1"/>
    <col min="5397" max="5397" width="6.42578125" style="6" customWidth="1"/>
    <col min="5398" max="5398" width="3.140625" style="6" customWidth="1"/>
    <col min="5399" max="5399" width="12.140625" style="6" customWidth="1"/>
    <col min="5400" max="5400" width="14" style="6" customWidth="1"/>
    <col min="5401" max="5401" width="8.42578125" style="6" customWidth="1"/>
    <col min="5402" max="5402" width="4.140625" style="6" customWidth="1"/>
    <col min="5403" max="5632" width="9.140625" style="6"/>
    <col min="5633" max="5633" width="5.7109375" style="6" customWidth="1"/>
    <col min="5634" max="5634" width="5.85546875" style="6" customWidth="1"/>
    <col min="5635" max="5635" width="5.7109375" style="6" customWidth="1"/>
    <col min="5636" max="5636" width="2.5703125" style="6" customWidth="1"/>
    <col min="5637" max="5637" width="6.28515625" style="6" customWidth="1"/>
    <col min="5638" max="5638" width="3" style="6" customWidth="1"/>
    <col min="5639" max="5639" width="6.7109375" style="6" customWidth="1"/>
    <col min="5640" max="5640" width="5.7109375" style="6" customWidth="1"/>
    <col min="5641" max="5641" width="2.5703125" style="6" customWidth="1"/>
    <col min="5642" max="5642" width="7.140625" style="6" customWidth="1"/>
    <col min="5643" max="5643" width="3.42578125" style="6" customWidth="1"/>
    <col min="5644" max="5644" width="6" style="6" customWidth="1"/>
    <col min="5645" max="5645" width="2.85546875" style="6" customWidth="1"/>
    <col min="5646" max="5646" width="6.42578125" style="6" customWidth="1"/>
    <col min="5647" max="5647" width="3.140625" style="6" customWidth="1"/>
    <col min="5648" max="5648" width="6.42578125" style="6" customWidth="1"/>
    <col min="5649" max="5649" width="3.140625" style="6" customWidth="1"/>
    <col min="5650" max="5650" width="9.7109375" style="6" customWidth="1"/>
    <col min="5651" max="5651" width="7.42578125" style="6" customWidth="1"/>
    <col min="5652" max="5652" width="4.140625" style="6" customWidth="1"/>
    <col min="5653" max="5653" width="6.42578125" style="6" customWidth="1"/>
    <col min="5654" max="5654" width="3.140625" style="6" customWidth="1"/>
    <col min="5655" max="5655" width="12.140625" style="6" customWidth="1"/>
    <col min="5656" max="5656" width="14" style="6" customWidth="1"/>
    <col min="5657" max="5657" width="8.42578125" style="6" customWidth="1"/>
    <col min="5658" max="5658" width="4.140625" style="6" customWidth="1"/>
    <col min="5659" max="5888" width="9.140625" style="6"/>
    <col min="5889" max="5889" width="5.7109375" style="6" customWidth="1"/>
    <col min="5890" max="5890" width="5.85546875" style="6" customWidth="1"/>
    <col min="5891" max="5891" width="5.7109375" style="6" customWidth="1"/>
    <col min="5892" max="5892" width="2.5703125" style="6" customWidth="1"/>
    <col min="5893" max="5893" width="6.28515625" style="6" customWidth="1"/>
    <col min="5894" max="5894" width="3" style="6" customWidth="1"/>
    <col min="5895" max="5895" width="6.7109375" style="6" customWidth="1"/>
    <col min="5896" max="5896" width="5.7109375" style="6" customWidth="1"/>
    <col min="5897" max="5897" width="2.5703125" style="6" customWidth="1"/>
    <col min="5898" max="5898" width="7.140625" style="6" customWidth="1"/>
    <col min="5899" max="5899" width="3.42578125" style="6" customWidth="1"/>
    <col min="5900" max="5900" width="6" style="6" customWidth="1"/>
    <col min="5901" max="5901" width="2.85546875" style="6" customWidth="1"/>
    <col min="5902" max="5902" width="6.42578125" style="6" customWidth="1"/>
    <col min="5903" max="5903" width="3.140625" style="6" customWidth="1"/>
    <col min="5904" max="5904" width="6.42578125" style="6" customWidth="1"/>
    <col min="5905" max="5905" width="3.140625" style="6" customWidth="1"/>
    <col min="5906" max="5906" width="9.7109375" style="6" customWidth="1"/>
    <col min="5907" max="5907" width="7.42578125" style="6" customWidth="1"/>
    <col min="5908" max="5908" width="4.140625" style="6" customWidth="1"/>
    <col min="5909" max="5909" width="6.42578125" style="6" customWidth="1"/>
    <col min="5910" max="5910" width="3.140625" style="6" customWidth="1"/>
    <col min="5911" max="5911" width="12.140625" style="6" customWidth="1"/>
    <col min="5912" max="5912" width="14" style="6" customWidth="1"/>
    <col min="5913" max="5913" width="8.42578125" style="6" customWidth="1"/>
    <col min="5914" max="5914" width="4.140625" style="6" customWidth="1"/>
    <col min="5915" max="6144" width="9.140625" style="6"/>
    <col min="6145" max="6145" width="5.7109375" style="6" customWidth="1"/>
    <col min="6146" max="6146" width="5.85546875" style="6" customWidth="1"/>
    <col min="6147" max="6147" width="5.7109375" style="6" customWidth="1"/>
    <col min="6148" max="6148" width="2.5703125" style="6" customWidth="1"/>
    <col min="6149" max="6149" width="6.28515625" style="6" customWidth="1"/>
    <col min="6150" max="6150" width="3" style="6" customWidth="1"/>
    <col min="6151" max="6151" width="6.7109375" style="6" customWidth="1"/>
    <col min="6152" max="6152" width="5.7109375" style="6" customWidth="1"/>
    <col min="6153" max="6153" width="2.5703125" style="6" customWidth="1"/>
    <col min="6154" max="6154" width="7.140625" style="6" customWidth="1"/>
    <col min="6155" max="6155" width="3.42578125" style="6" customWidth="1"/>
    <col min="6156" max="6156" width="6" style="6" customWidth="1"/>
    <col min="6157" max="6157" width="2.85546875" style="6" customWidth="1"/>
    <col min="6158" max="6158" width="6.42578125" style="6" customWidth="1"/>
    <col min="6159" max="6159" width="3.140625" style="6" customWidth="1"/>
    <col min="6160" max="6160" width="6.42578125" style="6" customWidth="1"/>
    <col min="6161" max="6161" width="3.140625" style="6" customWidth="1"/>
    <col min="6162" max="6162" width="9.7109375" style="6" customWidth="1"/>
    <col min="6163" max="6163" width="7.42578125" style="6" customWidth="1"/>
    <col min="6164" max="6164" width="4.140625" style="6" customWidth="1"/>
    <col min="6165" max="6165" width="6.42578125" style="6" customWidth="1"/>
    <col min="6166" max="6166" width="3.140625" style="6" customWidth="1"/>
    <col min="6167" max="6167" width="12.140625" style="6" customWidth="1"/>
    <col min="6168" max="6168" width="14" style="6" customWidth="1"/>
    <col min="6169" max="6169" width="8.42578125" style="6" customWidth="1"/>
    <col min="6170" max="6170" width="4.140625" style="6" customWidth="1"/>
    <col min="6171" max="6400" width="9.140625" style="6"/>
    <col min="6401" max="6401" width="5.7109375" style="6" customWidth="1"/>
    <col min="6402" max="6402" width="5.85546875" style="6" customWidth="1"/>
    <col min="6403" max="6403" width="5.7109375" style="6" customWidth="1"/>
    <col min="6404" max="6404" width="2.5703125" style="6" customWidth="1"/>
    <col min="6405" max="6405" width="6.28515625" style="6" customWidth="1"/>
    <col min="6406" max="6406" width="3" style="6" customWidth="1"/>
    <col min="6407" max="6407" width="6.7109375" style="6" customWidth="1"/>
    <col min="6408" max="6408" width="5.7109375" style="6" customWidth="1"/>
    <col min="6409" max="6409" width="2.5703125" style="6" customWidth="1"/>
    <col min="6410" max="6410" width="7.140625" style="6" customWidth="1"/>
    <col min="6411" max="6411" width="3.42578125" style="6" customWidth="1"/>
    <col min="6412" max="6412" width="6" style="6" customWidth="1"/>
    <col min="6413" max="6413" width="2.85546875" style="6" customWidth="1"/>
    <col min="6414" max="6414" width="6.42578125" style="6" customWidth="1"/>
    <col min="6415" max="6415" width="3.140625" style="6" customWidth="1"/>
    <col min="6416" max="6416" width="6.42578125" style="6" customWidth="1"/>
    <col min="6417" max="6417" width="3.140625" style="6" customWidth="1"/>
    <col min="6418" max="6418" width="9.7109375" style="6" customWidth="1"/>
    <col min="6419" max="6419" width="7.42578125" style="6" customWidth="1"/>
    <col min="6420" max="6420" width="4.140625" style="6" customWidth="1"/>
    <col min="6421" max="6421" width="6.42578125" style="6" customWidth="1"/>
    <col min="6422" max="6422" width="3.140625" style="6" customWidth="1"/>
    <col min="6423" max="6423" width="12.140625" style="6" customWidth="1"/>
    <col min="6424" max="6424" width="14" style="6" customWidth="1"/>
    <col min="6425" max="6425" width="8.42578125" style="6" customWidth="1"/>
    <col min="6426" max="6426" width="4.140625" style="6" customWidth="1"/>
    <col min="6427" max="6656" width="9.140625" style="6"/>
    <col min="6657" max="6657" width="5.7109375" style="6" customWidth="1"/>
    <col min="6658" max="6658" width="5.85546875" style="6" customWidth="1"/>
    <col min="6659" max="6659" width="5.7109375" style="6" customWidth="1"/>
    <col min="6660" max="6660" width="2.5703125" style="6" customWidth="1"/>
    <col min="6661" max="6661" width="6.28515625" style="6" customWidth="1"/>
    <col min="6662" max="6662" width="3" style="6" customWidth="1"/>
    <col min="6663" max="6663" width="6.7109375" style="6" customWidth="1"/>
    <col min="6664" max="6664" width="5.7109375" style="6" customWidth="1"/>
    <col min="6665" max="6665" width="2.5703125" style="6" customWidth="1"/>
    <col min="6666" max="6666" width="7.140625" style="6" customWidth="1"/>
    <col min="6667" max="6667" width="3.42578125" style="6" customWidth="1"/>
    <col min="6668" max="6668" width="6" style="6" customWidth="1"/>
    <col min="6669" max="6669" width="2.85546875" style="6" customWidth="1"/>
    <col min="6670" max="6670" width="6.42578125" style="6" customWidth="1"/>
    <col min="6671" max="6671" width="3.140625" style="6" customWidth="1"/>
    <col min="6672" max="6672" width="6.42578125" style="6" customWidth="1"/>
    <col min="6673" max="6673" width="3.140625" style="6" customWidth="1"/>
    <col min="6674" max="6674" width="9.7109375" style="6" customWidth="1"/>
    <col min="6675" max="6675" width="7.42578125" style="6" customWidth="1"/>
    <col min="6676" max="6676" width="4.140625" style="6" customWidth="1"/>
    <col min="6677" max="6677" width="6.42578125" style="6" customWidth="1"/>
    <col min="6678" max="6678" width="3.140625" style="6" customWidth="1"/>
    <col min="6679" max="6679" width="12.140625" style="6" customWidth="1"/>
    <col min="6680" max="6680" width="14" style="6" customWidth="1"/>
    <col min="6681" max="6681" width="8.42578125" style="6" customWidth="1"/>
    <col min="6682" max="6682" width="4.140625" style="6" customWidth="1"/>
    <col min="6683" max="6912" width="9.140625" style="6"/>
    <col min="6913" max="6913" width="5.7109375" style="6" customWidth="1"/>
    <col min="6914" max="6914" width="5.85546875" style="6" customWidth="1"/>
    <col min="6915" max="6915" width="5.7109375" style="6" customWidth="1"/>
    <col min="6916" max="6916" width="2.5703125" style="6" customWidth="1"/>
    <col min="6917" max="6917" width="6.28515625" style="6" customWidth="1"/>
    <col min="6918" max="6918" width="3" style="6" customWidth="1"/>
    <col min="6919" max="6919" width="6.7109375" style="6" customWidth="1"/>
    <col min="6920" max="6920" width="5.7109375" style="6" customWidth="1"/>
    <col min="6921" max="6921" width="2.5703125" style="6" customWidth="1"/>
    <col min="6922" max="6922" width="7.140625" style="6" customWidth="1"/>
    <col min="6923" max="6923" width="3.42578125" style="6" customWidth="1"/>
    <col min="6924" max="6924" width="6" style="6" customWidth="1"/>
    <col min="6925" max="6925" width="2.85546875" style="6" customWidth="1"/>
    <col min="6926" max="6926" width="6.42578125" style="6" customWidth="1"/>
    <col min="6927" max="6927" width="3.140625" style="6" customWidth="1"/>
    <col min="6928" max="6928" width="6.42578125" style="6" customWidth="1"/>
    <col min="6929" max="6929" width="3.140625" style="6" customWidth="1"/>
    <col min="6930" max="6930" width="9.7109375" style="6" customWidth="1"/>
    <col min="6931" max="6931" width="7.42578125" style="6" customWidth="1"/>
    <col min="6932" max="6932" width="4.140625" style="6" customWidth="1"/>
    <col min="6933" max="6933" width="6.42578125" style="6" customWidth="1"/>
    <col min="6934" max="6934" width="3.140625" style="6" customWidth="1"/>
    <col min="6935" max="6935" width="12.140625" style="6" customWidth="1"/>
    <col min="6936" max="6936" width="14" style="6" customWidth="1"/>
    <col min="6937" max="6937" width="8.42578125" style="6" customWidth="1"/>
    <col min="6938" max="6938" width="4.140625" style="6" customWidth="1"/>
    <col min="6939" max="7168" width="9.140625" style="6"/>
    <col min="7169" max="7169" width="5.7109375" style="6" customWidth="1"/>
    <col min="7170" max="7170" width="5.85546875" style="6" customWidth="1"/>
    <col min="7171" max="7171" width="5.7109375" style="6" customWidth="1"/>
    <col min="7172" max="7172" width="2.5703125" style="6" customWidth="1"/>
    <col min="7173" max="7173" width="6.28515625" style="6" customWidth="1"/>
    <col min="7174" max="7174" width="3" style="6" customWidth="1"/>
    <col min="7175" max="7175" width="6.7109375" style="6" customWidth="1"/>
    <col min="7176" max="7176" width="5.7109375" style="6" customWidth="1"/>
    <col min="7177" max="7177" width="2.5703125" style="6" customWidth="1"/>
    <col min="7178" max="7178" width="7.140625" style="6" customWidth="1"/>
    <col min="7179" max="7179" width="3.42578125" style="6" customWidth="1"/>
    <col min="7180" max="7180" width="6" style="6" customWidth="1"/>
    <col min="7181" max="7181" width="2.85546875" style="6" customWidth="1"/>
    <col min="7182" max="7182" width="6.42578125" style="6" customWidth="1"/>
    <col min="7183" max="7183" width="3.140625" style="6" customWidth="1"/>
    <col min="7184" max="7184" width="6.42578125" style="6" customWidth="1"/>
    <col min="7185" max="7185" width="3.140625" style="6" customWidth="1"/>
    <col min="7186" max="7186" width="9.7109375" style="6" customWidth="1"/>
    <col min="7187" max="7187" width="7.42578125" style="6" customWidth="1"/>
    <col min="7188" max="7188" width="4.140625" style="6" customWidth="1"/>
    <col min="7189" max="7189" width="6.42578125" style="6" customWidth="1"/>
    <col min="7190" max="7190" width="3.140625" style="6" customWidth="1"/>
    <col min="7191" max="7191" width="12.140625" style="6" customWidth="1"/>
    <col min="7192" max="7192" width="14" style="6" customWidth="1"/>
    <col min="7193" max="7193" width="8.42578125" style="6" customWidth="1"/>
    <col min="7194" max="7194" width="4.140625" style="6" customWidth="1"/>
    <col min="7195" max="7424" width="9.140625" style="6"/>
    <col min="7425" max="7425" width="5.7109375" style="6" customWidth="1"/>
    <col min="7426" max="7426" width="5.85546875" style="6" customWidth="1"/>
    <col min="7427" max="7427" width="5.7109375" style="6" customWidth="1"/>
    <col min="7428" max="7428" width="2.5703125" style="6" customWidth="1"/>
    <col min="7429" max="7429" width="6.28515625" style="6" customWidth="1"/>
    <col min="7430" max="7430" width="3" style="6" customWidth="1"/>
    <col min="7431" max="7431" width="6.7109375" style="6" customWidth="1"/>
    <col min="7432" max="7432" width="5.7109375" style="6" customWidth="1"/>
    <col min="7433" max="7433" width="2.5703125" style="6" customWidth="1"/>
    <col min="7434" max="7434" width="7.140625" style="6" customWidth="1"/>
    <col min="7435" max="7435" width="3.42578125" style="6" customWidth="1"/>
    <col min="7436" max="7436" width="6" style="6" customWidth="1"/>
    <col min="7437" max="7437" width="2.85546875" style="6" customWidth="1"/>
    <col min="7438" max="7438" width="6.42578125" style="6" customWidth="1"/>
    <col min="7439" max="7439" width="3.140625" style="6" customWidth="1"/>
    <col min="7440" max="7440" width="6.42578125" style="6" customWidth="1"/>
    <col min="7441" max="7441" width="3.140625" style="6" customWidth="1"/>
    <col min="7442" max="7442" width="9.7109375" style="6" customWidth="1"/>
    <col min="7443" max="7443" width="7.42578125" style="6" customWidth="1"/>
    <col min="7444" max="7444" width="4.140625" style="6" customWidth="1"/>
    <col min="7445" max="7445" width="6.42578125" style="6" customWidth="1"/>
    <col min="7446" max="7446" width="3.140625" style="6" customWidth="1"/>
    <col min="7447" max="7447" width="12.140625" style="6" customWidth="1"/>
    <col min="7448" max="7448" width="14" style="6" customWidth="1"/>
    <col min="7449" max="7449" width="8.42578125" style="6" customWidth="1"/>
    <col min="7450" max="7450" width="4.140625" style="6" customWidth="1"/>
    <col min="7451" max="7680" width="9.140625" style="6"/>
    <col min="7681" max="7681" width="5.7109375" style="6" customWidth="1"/>
    <col min="7682" max="7682" width="5.85546875" style="6" customWidth="1"/>
    <col min="7683" max="7683" width="5.7109375" style="6" customWidth="1"/>
    <col min="7684" max="7684" width="2.5703125" style="6" customWidth="1"/>
    <col min="7685" max="7685" width="6.28515625" style="6" customWidth="1"/>
    <col min="7686" max="7686" width="3" style="6" customWidth="1"/>
    <col min="7687" max="7687" width="6.7109375" style="6" customWidth="1"/>
    <col min="7688" max="7688" width="5.7109375" style="6" customWidth="1"/>
    <col min="7689" max="7689" width="2.5703125" style="6" customWidth="1"/>
    <col min="7690" max="7690" width="7.140625" style="6" customWidth="1"/>
    <col min="7691" max="7691" width="3.42578125" style="6" customWidth="1"/>
    <col min="7692" max="7692" width="6" style="6" customWidth="1"/>
    <col min="7693" max="7693" width="2.85546875" style="6" customWidth="1"/>
    <col min="7694" max="7694" width="6.42578125" style="6" customWidth="1"/>
    <col min="7695" max="7695" width="3.140625" style="6" customWidth="1"/>
    <col min="7696" max="7696" width="6.42578125" style="6" customWidth="1"/>
    <col min="7697" max="7697" width="3.140625" style="6" customWidth="1"/>
    <col min="7698" max="7698" width="9.7109375" style="6" customWidth="1"/>
    <col min="7699" max="7699" width="7.42578125" style="6" customWidth="1"/>
    <col min="7700" max="7700" width="4.140625" style="6" customWidth="1"/>
    <col min="7701" max="7701" width="6.42578125" style="6" customWidth="1"/>
    <col min="7702" max="7702" width="3.140625" style="6" customWidth="1"/>
    <col min="7703" max="7703" width="12.140625" style="6" customWidth="1"/>
    <col min="7704" max="7704" width="14" style="6" customWidth="1"/>
    <col min="7705" max="7705" width="8.42578125" style="6" customWidth="1"/>
    <col min="7706" max="7706" width="4.140625" style="6" customWidth="1"/>
    <col min="7707" max="7936" width="9.140625" style="6"/>
    <col min="7937" max="7937" width="5.7109375" style="6" customWidth="1"/>
    <col min="7938" max="7938" width="5.85546875" style="6" customWidth="1"/>
    <col min="7939" max="7939" width="5.7109375" style="6" customWidth="1"/>
    <col min="7940" max="7940" width="2.5703125" style="6" customWidth="1"/>
    <col min="7941" max="7941" width="6.28515625" style="6" customWidth="1"/>
    <col min="7942" max="7942" width="3" style="6" customWidth="1"/>
    <col min="7943" max="7943" width="6.7109375" style="6" customWidth="1"/>
    <col min="7944" max="7944" width="5.7109375" style="6" customWidth="1"/>
    <col min="7945" max="7945" width="2.5703125" style="6" customWidth="1"/>
    <col min="7946" max="7946" width="7.140625" style="6" customWidth="1"/>
    <col min="7947" max="7947" width="3.42578125" style="6" customWidth="1"/>
    <col min="7948" max="7948" width="6" style="6" customWidth="1"/>
    <col min="7949" max="7949" width="2.85546875" style="6" customWidth="1"/>
    <col min="7950" max="7950" width="6.42578125" style="6" customWidth="1"/>
    <col min="7951" max="7951" width="3.140625" style="6" customWidth="1"/>
    <col min="7952" max="7952" width="6.42578125" style="6" customWidth="1"/>
    <col min="7953" max="7953" width="3.140625" style="6" customWidth="1"/>
    <col min="7954" max="7954" width="9.7109375" style="6" customWidth="1"/>
    <col min="7955" max="7955" width="7.42578125" style="6" customWidth="1"/>
    <col min="7956" max="7956" width="4.140625" style="6" customWidth="1"/>
    <col min="7957" max="7957" width="6.42578125" style="6" customWidth="1"/>
    <col min="7958" max="7958" width="3.140625" style="6" customWidth="1"/>
    <col min="7959" max="7959" width="12.140625" style="6" customWidth="1"/>
    <col min="7960" max="7960" width="14" style="6" customWidth="1"/>
    <col min="7961" max="7961" width="8.42578125" style="6" customWidth="1"/>
    <col min="7962" max="7962" width="4.140625" style="6" customWidth="1"/>
    <col min="7963" max="8192" width="9.140625" style="6"/>
    <col min="8193" max="8193" width="5.7109375" style="6" customWidth="1"/>
    <col min="8194" max="8194" width="5.85546875" style="6" customWidth="1"/>
    <col min="8195" max="8195" width="5.7109375" style="6" customWidth="1"/>
    <col min="8196" max="8196" width="2.5703125" style="6" customWidth="1"/>
    <col min="8197" max="8197" width="6.28515625" style="6" customWidth="1"/>
    <col min="8198" max="8198" width="3" style="6" customWidth="1"/>
    <col min="8199" max="8199" width="6.7109375" style="6" customWidth="1"/>
    <col min="8200" max="8200" width="5.7109375" style="6" customWidth="1"/>
    <col min="8201" max="8201" width="2.5703125" style="6" customWidth="1"/>
    <col min="8202" max="8202" width="7.140625" style="6" customWidth="1"/>
    <col min="8203" max="8203" width="3.42578125" style="6" customWidth="1"/>
    <col min="8204" max="8204" width="6" style="6" customWidth="1"/>
    <col min="8205" max="8205" width="2.85546875" style="6" customWidth="1"/>
    <col min="8206" max="8206" width="6.42578125" style="6" customWidth="1"/>
    <col min="8207" max="8207" width="3.140625" style="6" customWidth="1"/>
    <col min="8208" max="8208" width="6.42578125" style="6" customWidth="1"/>
    <col min="8209" max="8209" width="3.140625" style="6" customWidth="1"/>
    <col min="8210" max="8210" width="9.7109375" style="6" customWidth="1"/>
    <col min="8211" max="8211" width="7.42578125" style="6" customWidth="1"/>
    <col min="8212" max="8212" width="4.140625" style="6" customWidth="1"/>
    <col min="8213" max="8213" width="6.42578125" style="6" customWidth="1"/>
    <col min="8214" max="8214" width="3.140625" style="6" customWidth="1"/>
    <col min="8215" max="8215" width="12.140625" style="6" customWidth="1"/>
    <col min="8216" max="8216" width="14" style="6" customWidth="1"/>
    <col min="8217" max="8217" width="8.42578125" style="6" customWidth="1"/>
    <col min="8218" max="8218" width="4.140625" style="6" customWidth="1"/>
    <col min="8219" max="8448" width="9.140625" style="6"/>
    <col min="8449" max="8449" width="5.7109375" style="6" customWidth="1"/>
    <col min="8450" max="8450" width="5.85546875" style="6" customWidth="1"/>
    <col min="8451" max="8451" width="5.7109375" style="6" customWidth="1"/>
    <col min="8452" max="8452" width="2.5703125" style="6" customWidth="1"/>
    <col min="8453" max="8453" width="6.28515625" style="6" customWidth="1"/>
    <col min="8454" max="8454" width="3" style="6" customWidth="1"/>
    <col min="8455" max="8455" width="6.7109375" style="6" customWidth="1"/>
    <col min="8456" max="8456" width="5.7109375" style="6" customWidth="1"/>
    <col min="8457" max="8457" width="2.5703125" style="6" customWidth="1"/>
    <col min="8458" max="8458" width="7.140625" style="6" customWidth="1"/>
    <col min="8459" max="8459" width="3.42578125" style="6" customWidth="1"/>
    <col min="8460" max="8460" width="6" style="6" customWidth="1"/>
    <col min="8461" max="8461" width="2.85546875" style="6" customWidth="1"/>
    <col min="8462" max="8462" width="6.42578125" style="6" customWidth="1"/>
    <col min="8463" max="8463" width="3.140625" style="6" customWidth="1"/>
    <col min="8464" max="8464" width="6.42578125" style="6" customWidth="1"/>
    <col min="8465" max="8465" width="3.140625" style="6" customWidth="1"/>
    <col min="8466" max="8466" width="9.7109375" style="6" customWidth="1"/>
    <col min="8467" max="8467" width="7.42578125" style="6" customWidth="1"/>
    <col min="8468" max="8468" width="4.140625" style="6" customWidth="1"/>
    <col min="8469" max="8469" width="6.42578125" style="6" customWidth="1"/>
    <col min="8470" max="8470" width="3.140625" style="6" customWidth="1"/>
    <col min="8471" max="8471" width="12.140625" style="6" customWidth="1"/>
    <col min="8472" max="8472" width="14" style="6" customWidth="1"/>
    <col min="8473" max="8473" width="8.42578125" style="6" customWidth="1"/>
    <col min="8474" max="8474" width="4.140625" style="6" customWidth="1"/>
    <col min="8475" max="8704" width="9.140625" style="6"/>
    <col min="8705" max="8705" width="5.7109375" style="6" customWidth="1"/>
    <col min="8706" max="8706" width="5.85546875" style="6" customWidth="1"/>
    <col min="8707" max="8707" width="5.7109375" style="6" customWidth="1"/>
    <col min="8708" max="8708" width="2.5703125" style="6" customWidth="1"/>
    <col min="8709" max="8709" width="6.28515625" style="6" customWidth="1"/>
    <col min="8710" max="8710" width="3" style="6" customWidth="1"/>
    <col min="8711" max="8711" width="6.7109375" style="6" customWidth="1"/>
    <col min="8712" max="8712" width="5.7109375" style="6" customWidth="1"/>
    <col min="8713" max="8713" width="2.5703125" style="6" customWidth="1"/>
    <col min="8714" max="8714" width="7.140625" style="6" customWidth="1"/>
    <col min="8715" max="8715" width="3.42578125" style="6" customWidth="1"/>
    <col min="8716" max="8716" width="6" style="6" customWidth="1"/>
    <col min="8717" max="8717" width="2.85546875" style="6" customWidth="1"/>
    <col min="8718" max="8718" width="6.42578125" style="6" customWidth="1"/>
    <col min="8719" max="8719" width="3.140625" style="6" customWidth="1"/>
    <col min="8720" max="8720" width="6.42578125" style="6" customWidth="1"/>
    <col min="8721" max="8721" width="3.140625" style="6" customWidth="1"/>
    <col min="8722" max="8722" width="9.7109375" style="6" customWidth="1"/>
    <col min="8723" max="8723" width="7.42578125" style="6" customWidth="1"/>
    <col min="8724" max="8724" width="4.140625" style="6" customWidth="1"/>
    <col min="8725" max="8725" width="6.42578125" style="6" customWidth="1"/>
    <col min="8726" max="8726" width="3.140625" style="6" customWidth="1"/>
    <col min="8727" max="8727" width="12.140625" style="6" customWidth="1"/>
    <col min="8728" max="8728" width="14" style="6" customWidth="1"/>
    <col min="8729" max="8729" width="8.42578125" style="6" customWidth="1"/>
    <col min="8730" max="8730" width="4.140625" style="6" customWidth="1"/>
    <col min="8731" max="8960" width="9.140625" style="6"/>
    <col min="8961" max="8961" width="5.7109375" style="6" customWidth="1"/>
    <col min="8962" max="8962" width="5.85546875" style="6" customWidth="1"/>
    <col min="8963" max="8963" width="5.7109375" style="6" customWidth="1"/>
    <col min="8964" max="8964" width="2.5703125" style="6" customWidth="1"/>
    <col min="8965" max="8965" width="6.28515625" style="6" customWidth="1"/>
    <col min="8966" max="8966" width="3" style="6" customWidth="1"/>
    <col min="8967" max="8967" width="6.7109375" style="6" customWidth="1"/>
    <col min="8968" max="8968" width="5.7109375" style="6" customWidth="1"/>
    <col min="8969" max="8969" width="2.5703125" style="6" customWidth="1"/>
    <col min="8970" max="8970" width="7.140625" style="6" customWidth="1"/>
    <col min="8971" max="8971" width="3.42578125" style="6" customWidth="1"/>
    <col min="8972" max="8972" width="6" style="6" customWidth="1"/>
    <col min="8973" max="8973" width="2.85546875" style="6" customWidth="1"/>
    <col min="8974" max="8974" width="6.42578125" style="6" customWidth="1"/>
    <col min="8975" max="8975" width="3.140625" style="6" customWidth="1"/>
    <col min="8976" max="8976" width="6.42578125" style="6" customWidth="1"/>
    <col min="8977" max="8977" width="3.140625" style="6" customWidth="1"/>
    <col min="8978" max="8978" width="9.7109375" style="6" customWidth="1"/>
    <col min="8979" max="8979" width="7.42578125" style="6" customWidth="1"/>
    <col min="8980" max="8980" width="4.140625" style="6" customWidth="1"/>
    <col min="8981" max="8981" width="6.42578125" style="6" customWidth="1"/>
    <col min="8982" max="8982" width="3.140625" style="6" customWidth="1"/>
    <col min="8983" max="8983" width="12.140625" style="6" customWidth="1"/>
    <col min="8984" max="8984" width="14" style="6" customWidth="1"/>
    <col min="8985" max="8985" width="8.42578125" style="6" customWidth="1"/>
    <col min="8986" max="8986" width="4.140625" style="6" customWidth="1"/>
    <col min="8987" max="9216" width="9.140625" style="6"/>
    <col min="9217" max="9217" width="5.7109375" style="6" customWidth="1"/>
    <col min="9218" max="9218" width="5.85546875" style="6" customWidth="1"/>
    <col min="9219" max="9219" width="5.7109375" style="6" customWidth="1"/>
    <col min="9220" max="9220" width="2.5703125" style="6" customWidth="1"/>
    <col min="9221" max="9221" width="6.28515625" style="6" customWidth="1"/>
    <col min="9222" max="9222" width="3" style="6" customWidth="1"/>
    <col min="9223" max="9223" width="6.7109375" style="6" customWidth="1"/>
    <col min="9224" max="9224" width="5.7109375" style="6" customWidth="1"/>
    <col min="9225" max="9225" width="2.5703125" style="6" customWidth="1"/>
    <col min="9226" max="9226" width="7.140625" style="6" customWidth="1"/>
    <col min="9227" max="9227" width="3.42578125" style="6" customWidth="1"/>
    <col min="9228" max="9228" width="6" style="6" customWidth="1"/>
    <col min="9229" max="9229" width="2.85546875" style="6" customWidth="1"/>
    <col min="9230" max="9230" width="6.42578125" style="6" customWidth="1"/>
    <col min="9231" max="9231" width="3.140625" style="6" customWidth="1"/>
    <col min="9232" max="9232" width="6.42578125" style="6" customWidth="1"/>
    <col min="9233" max="9233" width="3.140625" style="6" customWidth="1"/>
    <col min="9234" max="9234" width="9.7109375" style="6" customWidth="1"/>
    <col min="9235" max="9235" width="7.42578125" style="6" customWidth="1"/>
    <col min="9236" max="9236" width="4.140625" style="6" customWidth="1"/>
    <col min="9237" max="9237" width="6.42578125" style="6" customWidth="1"/>
    <col min="9238" max="9238" width="3.140625" style="6" customWidth="1"/>
    <col min="9239" max="9239" width="12.140625" style="6" customWidth="1"/>
    <col min="9240" max="9240" width="14" style="6" customWidth="1"/>
    <col min="9241" max="9241" width="8.42578125" style="6" customWidth="1"/>
    <col min="9242" max="9242" width="4.140625" style="6" customWidth="1"/>
    <col min="9243" max="9472" width="9.140625" style="6"/>
    <col min="9473" max="9473" width="5.7109375" style="6" customWidth="1"/>
    <col min="9474" max="9474" width="5.85546875" style="6" customWidth="1"/>
    <col min="9475" max="9475" width="5.7109375" style="6" customWidth="1"/>
    <col min="9476" max="9476" width="2.5703125" style="6" customWidth="1"/>
    <col min="9477" max="9477" width="6.28515625" style="6" customWidth="1"/>
    <col min="9478" max="9478" width="3" style="6" customWidth="1"/>
    <col min="9479" max="9479" width="6.7109375" style="6" customWidth="1"/>
    <col min="9480" max="9480" width="5.7109375" style="6" customWidth="1"/>
    <col min="9481" max="9481" width="2.5703125" style="6" customWidth="1"/>
    <col min="9482" max="9482" width="7.140625" style="6" customWidth="1"/>
    <col min="9483" max="9483" width="3.42578125" style="6" customWidth="1"/>
    <col min="9484" max="9484" width="6" style="6" customWidth="1"/>
    <col min="9485" max="9485" width="2.85546875" style="6" customWidth="1"/>
    <col min="9486" max="9486" width="6.42578125" style="6" customWidth="1"/>
    <col min="9487" max="9487" width="3.140625" style="6" customWidth="1"/>
    <col min="9488" max="9488" width="6.42578125" style="6" customWidth="1"/>
    <col min="9489" max="9489" width="3.140625" style="6" customWidth="1"/>
    <col min="9490" max="9490" width="9.7109375" style="6" customWidth="1"/>
    <col min="9491" max="9491" width="7.42578125" style="6" customWidth="1"/>
    <col min="9492" max="9492" width="4.140625" style="6" customWidth="1"/>
    <col min="9493" max="9493" width="6.42578125" style="6" customWidth="1"/>
    <col min="9494" max="9494" width="3.140625" style="6" customWidth="1"/>
    <col min="9495" max="9495" width="12.140625" style="6" customWidth="1"/>
    <col min="9496" max="9496" width="14" style="6" customWidth="1"/>
    <col min="9497" max="9497" width="8.42578125" style="6" customWidth="1"/>
    <col min="9498" max="9498" width="4.140625" style="6" customWidth="1"/>
    <col min="9499" max="9728" width="9.140625" style="6"/>
    <col min="9729" max="9729" width="5.7109375" style="6" customWidth="1"/>
    <col min="9730" max="9730" width="5.85546875" style="6" customWidth="1"/>
    <col min="9731" max="9731" width="5.7109375" style="6" customWidth="1"/>
    <col min="9732" max="9732" width="2.5703125" style="6" customWidth="1"/>
    <col min="9733" max="9733" width="6.28515625" style="6" customWidth="1"/>
    <col min="9734" max="9734" width="3" style="6" customWidth="1"/>
    <col min="9735" max="9735" width="6.7109375" style="6" customWidth="1"/>
    <col min="9736" max="9736" width="5.7109375" style="6" customWidth="1"/>
    <col min="9737" max="9737" width="2.5703125" style="6" customWidth="1"/>
    <col min="9738" max="9738" width="7.140625" style="6" customWidth="1"/>
    <col min="9739" max="9739" width="3.42578125" style="6" customWidth="1"/>
    <col min="9740" max="9740" width="6" style="6" customWidth="1"/>
    <col min="9741" max="9741" width="2.85546875" style="6" customWidth="1"/>
    <col min="9742" max="9742" width="6.42578125" style="6" customWidth="1"/>
    <col min="9743" max="9743" width="3.140625" style="6" customWidth="1"/>
    <col min="9744" max="9744" width="6.42578125" style="6" customWidth="1"/>
    <col min="9745" max="9745" width="3.140625" style="6" customWidth="1"/>
    <col min="9746" max="9746" width="9.7109375" style="6" customWidth="1"/>
    <col min="9747" max="9747" width="7.42578125" style="6" customWidth="1"/>
    <col min="9748" max="9748" width="4.140625" style="6" customWidth="1"/>
    <col min="9749" max="9749" width="6.42578125" style="6" customWidth="1"/>
    <col min="9750" max="9750" width="3.140625" style="6" customWidth="1"/>
    <col min="9751" max="9751" width="12.140625" style="6" customWidth="1"/>
    <col min="9752" max="9752" width="14" style="6" customWidth="1"/>
    <col min="9753" max="9753" width="8.42578125" style="6" customWidth="1"/>
    <col min="9754" max="9754" width="4.140625" style="6" customWidth="1"/>
    <col min="9755" max="9984" width="9.140625" style="6"/>
    <col min="9985" max="9985" width="5.7109375" style="6" customWidth="1"/>
    <col min="9986" max="9986" width="5.85546875" style="6" customWidth="1"/>
    <col min="9987" max="9987" width="5.7109375" style="6" customWidth="1"/>
    <col min="9988" max="9988" width="2.5703125" style="6" customWidth="1"/>
    <col min="9989" max="9989" width="6.28515625" style="6" customWidth="1"/>
    <col min="9990" max="9990" width="3" style="6" customWidth="1"/>
    <col min="9991" max="9991" width="6.7109375" style="6" customWidth="1"/>
    <col min="9992" max="9992" width="5.7109375" style="6" customWidth="1"/>
    <col min="9993" max="9993" width="2.5703125" style="6" customWidth="1"/>
    <col min="9994" max="9994" width="7.140625" style="6" customWidth="1"/>
    <col min="9995" max="9995" width="3.42578125" style="6" customWidth="1"/>
    <col min="9996" max="9996" width="6" style="6" customWidth="1"/>
    <col min="9997" max="9997" width="2.85546875" style="6" customWidth="1"/>
    <col min="9998" max="9998" width="6.42578125" style="6" customWidth="1"/>
    <col min="9999" max="9999" width="3.140625" style="6" customWidth="1"/>
    <col min="10000" max="10000" width="6.42578125" style="6" customWidth="1"/>
    <col min="10001" max="10001" width="3.140625" style="6" customWidth="1"/>
    <col min="10002" max="10002" width="9.7109375" style="6" customWidth="1"/>
    <col min="10003" max="10003" width="7.42578125" style="6" customWidth="1"/>
    <col min="10004" max="10004" width="4.140625" style="6" customWidth="1"/>
    <col min="10005" max="10005" width="6.42578125" style="6" customWidth="1"/>
    <col min="10006" max="10006" width="3.140625" style="6" customWidth="1"/>
    <col min="10007" max="10007" width="12.140625" style="6" customWidth="1"/>
    <col min="10008" max="10008" width="14" style="6" customWidth="1"/>
    <col min="10009" max="10009" width="8.42578125" style="6" customWidth="1"/>
    <col min="10010" max="10010" width="4.140625" style="6" customWidth="1"/>
    <col min="10011" max="10240" width="9.140625" style="6"/>
    <col min="10241" max="10241" width="5.7109375" style="6" customWidth="1"/>
    <col min="10242" max="10242" width="5.85546875" style="6" customWidth="1"/>
    <col min="10243" max="10243" width="5.7109375" style="6" customWidth="1"/>
    <col min="10244" max="10244" width="2.5703125" style="6" customWidth="1"/>
    <col min="10245" max="10245" width="6.28515625" style="6" customWidth="1"/>
    <col min="10246" max="10246" width="3" style="6" customWidth="1"/>
    <col min="10247" max="10247" width="6.7109375" style="6" customWidth="1"/>
    <col min="10248" max="10248" width="5.7109375" style="6" customWidth="1"/>
    <col min="10249" max="10249" width="2.5703125" style="6" customWidth="1"/>
    <col min="10250" max="10250" width="7.140625" style="6" customWidth="1"/>
    <col min="10251" max="10251" width="3.42578125" style="6" customWidth="1"/>
    <col min="10252" max="10252" width="6" style="6" customWidth="1"/>
    <col min="10253" max="10253" width="2.85546875" style="6" customWidth="1"/>
    <col min="10254" max="10254" width="6.42578125" style="6" customWidth="1"/>
    <col min="10255" max="10255" width="3.140625" style="6" customWidth="1"/>
    <col min="10256" max="10256" width="6.42578125" style="6" customWidth="1"/>
    <col min="10257" max="10257" width="3.140625" style="6" customWidth="1"/>
    <col min="10258" max="10258" width="9.7109375" style="6" customWidth="1"/>
    <col min="10259" max="10259" width="7.42578125" style="6" customWidth="1"/>
    <col min="10260" max="10260" width="4.140625" style="6" customWidth="1"/>
    <col min="10261" max="10261" width="6.42578125" style="6" customWidth="1"/>
    <col min="10262" max="10262" width="3.140625" style="6" customWidth="1"/>
    <col min="10263" max="10263" width="12.140625" style="6" customWidth="1"/>
    <col min="10264" max="10264" width="14" style="6" customWidth="1"/>
    <col min="10265" max="10265" width="8.42578125" style="6" customWidth="1"/>
    <col min="10266" max="10266" width="4.140625" style="6" customWidth="1"/>
    <col min="10267" max="10496" width="9.140625" style="6"/>
    <col min="10497" max="10497" width="5.7109375" style="6" customWidth="1"/>
    <col min="10498" max="10498" width="5.85546875" style="6" customWidth="1"/>
    <col min="10499" max="10499" width="5.7109375" style="6" customWidth="1"/>
    <col min="10500" max="10500" width="2.5703125" style="6" customWidth="1"/>
    <col min="10501" max="10501" width="6.28515625" style="6" customWidth="1"/>
    <col min="10502" max="10502" width="3" style="6" customWidth="1"/>
    <col min="10503" max="10503" width="6.7109375" style="6" customWidth="1"/>
    <col min="10504" max="10504" width="5.7109375" style="6" customWidth="1"/>
    <col min="10505" max="10505" width="2.5703125" style="6" customWidth="1"/>
    <col min="10506" max="10506" width="7.140625" style="6" customWidth="1"/>
    <col min="10507" max="10507" width="3.42578125" style="6" customWidth="1"/>
    <col min="10508" max="10508" width="6" style="6" customWidth="1"/>
    <col min="10509" max="10509" width="2.85546875" style="6" customWidth="1"/>
    <col min="10510" max="10510" width="6.42578125" style="6" customWidth="1"/>
    <col min="10511" max="10511" width="3.140625" style="6" customWidth="1"/>
    <col min="10512" max="10512" width="6.42578125" style="6" customWidth="1"/>
    <col min="10513" max="10513" width="3.140625" style="6" customWidth="1"/>
    <col min="10514" max="10514" width="9.7109375" style="6" customWidth="1"/>
    <col min="10515" max="10515" width="7.42578125" style="6" customWidth="1"/>
    <col min="10516" max="10516" width="4.140625" style="6" customWidth="1"/>
    <col min="10517" max="10517" width="6.42578125" style="6" customWidth="1"/>
    <col min="10518" max="10518" width="3.140625" style="6" customWidth="1"/>
    <col min="10519" max="10519" width="12.140625" style="6" customWidth="1"/>
    <col min="10520" max="10520" width="14" style="6" customWidth="1"/>
    <col min="10521" max="10521" width="8.42578125" style="6" customWidth="1"/>
    <col min="10522" max="10522" width="4.140625" style="6" customWidth="1"/>
    <col min="10523" max="10752" width="9.140625" style="6"/>
    <col min="10753" max="10753" width="5.7109375" style="6" customWidth="1"/>
    <col min="10754" max="10754" width="5.85546875" style="6" customWidth="1"/>
    <col min="10755" max="10755" width="5.7109375" style="6" customWidth="1"/>
    <col min="10756" max="10756" width="2.5703125" style="6" customWidth="1"/>
    <col min="10757" max="10757" width="6.28515625" style="6" customWidth="1"/>
    <col min="10758" max="10758" width="3" style="6" customWidth="1"/>
    <col min="10759" max="10759" width="6.7109375" style="6" customWidth="1"/>
    <col min="10760" max="10760" width="5.7109375" style="6" customWidth="1"/>
    <col min="10761" max="10761" width="2.5703125" style="6" customWidth="1"/>
    <col min="10762" max="10762" width="7.140625" style="6" customWidth="1"/>
    <col min="10763" max="10763" width="3.42578125" style="6" customWidth="1"/>
    <col min="10764" max="10764" width="6" style="6" customWidth="1"/>
    <col min="10765" max="10765" width="2.85546875" style="6" customWidth="1"/>
    <col min="10766" max="10766" width="6.42578125" style="6" customWidth="1"/>
    <col min="10767" max="10767" width="3.140625" style="6" customWidth="1"/>
    <col min="10768" max="10768" width="6.42578125" style="6" customWidth="1"/>
    <col min="10769" max="10769" width="3.140625" style="6" customWidth="1"/>
    <col min="10770" max="10770" width="9.7109375" style="6" customWidth="1"/>
    <col min="10771" max="10771" width="7.42578125" style="6" customWidth="1"/>
    <col min="10772" max="10772" width="4.140625" style="6" customWidth="1"/>
    <col min="10773" max="10773" width="6.42578125" style="6" customWidth="1"/>
    <col min="10774" max="10774" width="3.140625" style="6" customWidth="1"/>
    <col min="10775" max="10775" width="12.140625" style="6" customWidth="1"/>
    <col min="10776" max="10776" width="14" style="6" customWidth="1"/>
    <col min="10777" max="10777" width="8.42578125" style="6" customWidth="1"/>
    <col min="10778" max="10778" width="4.140625" style="6" customWidth="1"/>
    <col min="10779" max="11008" width="9.140625" style="6"/>
    <col min="11009" max="11009" width="5.7109375" style="6" customWidth="1"/>
    <col min="11010" max="11010" width="5.85546875" style="6" customWidth="1"/>
    <col min="11011" max="11011" width="5.7109375" style="6" customWidth="1"/>
    <col min="11012" max="11012" width="2.5703125" style="6" customWidth="1"/>
    <col min="11013" max="11013" width="6.28515625" style="6" customWidth="1"/>
    <col min="11014" max="11014" width="3" style="6" customWidth="1"/>
    <col min="11015" max="11015" width="6.7109375" style="6" customWidth="1"/>
    <col min="11016" max="11016" width="5.7109375" style="6" customWidth="1"/>
    <col min="11017" max="11017" width="2.5703125" style="6" customWidth="1"/>
    <col min="11018" max="11018" width="7.140625" style="6" customWidth="1"/>
    <col min="11019" max="11019" width="3.42578125" style="6" customWidth="1"/>
    <col min="11020" max="11020" width="6" style="6" customWidth="1"/>
    <col min="11021" max="11021" width="2.85546875" style="6" customWidth="1"/>
    <col min="11022" max="11022" width="6.42578125" style="6" customWidth="1"/>
    <col min="11023" max="11023" width="3.140625" style="6" customWidth="1"/>
    <col min="11024" max="11024" width="6.42578125" style="6" customWidth="1"/>
    <col min="11025" max="11025" width="3.140625" style="6" customWidth="1"/>
    <col min="11026" max="11026" width="9.7109375" style="6" customWidth="1"/>
    <col min="11027" max="11027" width="7.42578125" style="6" customWidth="1"/>
    <col min="11028" max="11028" width="4.140625" style="6" customWidth="1"/>
    <col min="11029" max="11029" width="6.42578125" style="6" customWidth="1"/>
    <col min="11030" max="11030" width="3.140625" style="6" customWidth="1"/>
    <col min="11031" max="11031" width="12.140625" style="6" customWidth="1"/>
    <col min="11032" max="11032" width="14" style="6" customWidth="1"/>
    <col min="11033" max="11033" width="8.42578125" style="6" customWidth="1"/>
    <col min="11034" max="11034" width="4.140625" style="6" customWidth="1"/>
    <col min="11035" max="11264" width="9.140625" style="6"/>
    <col min="11265" max="11265" width="5.7109375" style="6" customWidth="1"/>
    <col min="11266" max="11266" width="5.85546875" style="6" customWidth="1"/>
    <col min="11267" max="11267" width="5.7109375" style="6" customWidth="1"/>
    <col min="11268" max="11268" width="2.5703125" style="6" customWidth="1"/>
    <col min="11269" max="11269" width="6.28515625" style="6" customWidth="1"/>
    <col min="11270" max="11270" width="3" style="6" customWidth="1"/>
    <col min="11271" max="11271" width="6.7109375" style="6" customWidth="1"/>
    <col min="11272" max="11272" width="5.7109375" style="6" customWidth="1"/>
    <col min="11273" max="11273" width="2.5703125" style="6" customWidth="1"/>
    <col min="11274" max="11274" width="7.140625" style="6" customWidth="1"/>
    <col min="11275" max="11275" width="3.42578125" style="6" customWidth="1"/>
    <col min="11276" max="11276" width="6" style="6" customWidth="1"/>
    <col min="11277" max="11277" width="2.85546875" style="6" customWidth="1"/>
    <col min="11278" max="11278" width="6.42578125" style="6" customWidth="1"/>
    <col min="11279" max="11279" width="3.140625" style="6" customWidth="1"/>
    <col min="11280" max="11280" width="6.42578125" style="6" customWidth="1"/>
    <col min="11281" max="11281" width="3.140625" style="6" customWidth="1"/>
    <col min="11282" max="11282" width="9.7109375" style="6" customWidth="1"/>
    <col min="11283" max="11283" width="7.42578125" style="6" customWidth="1"/>
    <col min="11284" max="11284" width="4.140625" style="6" customWidth="1"/>
    <col min="11285" max="11285" width="6.42578125" style="6" customWidth="1"/>
    <col min="11286" max="11286" width="3.140625" style="6" customWidth="1"/>
    <col min="11287" max="11287" width="12.140625" style="6" customWidth="1"/>
    <col min="11288" max="11288" width="14" style="6" customWidth="1"/>
    <col min="11289" max="11289" width="8.42578125" style="6" customWidth="1"/>
    <col min="11290" max="11290" width="4.140625" style="6" customWidth="1"/>
    <col min="11291" max="11520" width="9.140625" style="6"/>
    <col min="11521" max="11521" width="5.7109375" style="6" customWidth="1"/>
    <col min="11522" max="11522" width="5.85546875" style="6" customWidth="1"/>
    <col min="11523" max="11523" width="5.7109375" style="6" customWidth="1"/>
    <col min="11524" max="11524" width="2.5703125" style="6" customWidth="1"/>
    <col min="11525" max="11525" width="6.28515625" style="6" customWidth="1"/>
    <col min="11526" max="11526" width="3" style="6" customWidth="1"/>
    <col min="11527" max="11527" width="6.7109375" style="6" customWidth="1"/>
    <col min="11528" max="11528" width="5.7109375" style="6" customWidth="1"/>
    <col min="11529" max="11529" width="2.5703125" style="6" customWidth="1"/>
    <col min="11530" max="11530" width="7.140625" style="6" customWidth="1"/>
    <col min="11531" max="11531" width="3.42578125" style="6" customWidth="1"/>
    <col min="11532" max="11532" width="6" style="6" customWidth="1"/>
    <col min="11533" max="11533" width="2.85546875" style="6" customWidth="1"/>
    <col min="11534" max="11534" width="6.42578125" style="6" customWidth="1"/>
    <col min="11535" max="11535" width="3.140625" style="6" customWidth="1"/>
    <col min="11536" max="11536" width="6.42578125" style="6" customWidth="1"/>
    <col min="11537" max="11537" width="3.140625" style="6" customWidth="1"/>
    <col min="11538" max="11538" width="9.7109375" style="6" customWidth="1"/>
    <col min="11539" max="11539" width="7.42578125" style="6" customWidth="1"/>
    <col min="11540" max="11540" width="4.140625" style="6" customWidth="1"/>
    <col min="11541" max="11541" width="6.42578125" style="6" customWidth="1"/>
    <col min="11542" max="11542" width="3.140625" style="6" customWidth="1"/>
    <col min="11543" max="11543" width="12.140625" style="6" customWidth="1"/>
    <col min="11544" max="11544" width="14" style="6" customWidth="1"/>
    <col min="11545" max="11545" width="8.42578125" style="6" customWidth="1"/>
    <col min="11546" max="11546" width="4.140625" style="6" customWidth="1"/>
    <col min="11547" max="11776" width="9.140625" style="6"/>
    <col min="11777" max="11777" width="5.7109375" style="6" customWidth="1"/>
    <col min="11778" max="11778" width="5.85546875" style="6" customWidth="1"/>
    <col min="11779" max="11779" width="5.7109375" style="6" customWidth="1"/>
    <col min="11780" max="11780" width="2.5703125" style="6" customWidth="1"/>
    <col min="11781" max="11781" width="6.28515625" style="6" customWidth="1"/>
    <col min="11782" max="11782" width="3" style="6" customWidth="1"/>
    <col min="11783" max="11783" width="6.7109375" style="6" customWidth="1"/>
    <col min="11784" max="11784" width="5.7109375" style="6" customWidth="1"/>
    <col min="11785" max="11785" width="2.5703125" style="6" customWidth="1"/>
    <col min="11786" max="11786" width="7.140625" style="6" customWidth="1"/>
    <col min="11787" max="11787" width="3.42578125" style="6" customWidth="1"/>
    <col min="11788" max="11788" width="6" style="6" customWidth="1"/>
    <col min="11789" max="11789" width="2.85546875" style="6" customWidth="1"/>
    <col min="11790" max="11790" width="6.42578125" style="6" customWidth="1"/>
    <col min="11791" max="11791" width="3.140625" style="6" customWidth="1"/>
    <col min="11792" max="11792" width="6.42578125" style="6" customWidth="1"/>
    <col min="11793" max="11793" width="3.140625" style="6" customWidth="1"/>
    <col min="11794" max="11794" width="9.7109375" style="6" customWidth="1"/>
    <col min="11795" max="11795" width="7.42578125" style="6" customWidth="1"/>
    <col min="11796" max="11796" width="4.140625" style="6" customWidth="1"/>
    <col min="11797" max="11797" width="6.42578125" style="6" customWidth="1"/>
    <col min="11798" max="11798" width="3.140625" style="6" customWidth="1"/>
    <col min="11799" max="11799" width="12.140625" style="6" customWidth="1"/>
    <col min="11800" max="11800" width="14" style="6" customWidth="1"/>
    <col min="11801" max="11801" width="8.42578125" style="6" customWidth="1"/>
    <col min="11802" max="11802" width="4.140625" style="6" customWidth="1"/>
    <col min="11803" max="12032" width="9.140625" style="6"/>
    <col min="12033" max="12033" width="5.7109375" style="6" customWidth="1"/>
    <col min="12034" max="12034" width="5.85546875" style="6" customWidth="1"/>
    <col min="12035" max="12035" width="5.7109375" style="6" customWidth="1"/>
    <col min="12036" max="12036" width="2.5703125" style="6" customWidth="1"/>
    <col min="12037" max="12037" width="6.28515625" style="6" customWidth="1"/>
    <col min="12038" max="12038" width="3" style="6" customWidth="1"/>
    <col min="12039" max="12039" width="6.7109375" style="6" customWidth="1"/>
    <col min="12040" max="12040" width="5.7109375" style="6" customWidth="1"/>
    <col min="12041" max="12041" width="2.5703125" style="6" customWidth="1"/>
    <col min="12042" max="12042" width="7.140625" style="6" customWidth="1"/>
    <col min="12043" max="12043" width="3.42578125" style="6" customWidth="1"/>
    <col min="12044" max="12044" width="6" style="6" customWidth="1"/>
    <col min="12045" max="12045" width="2.85546875" style="6" customWidth="1"/>
    <col min="12046" max="12046" width="6.42578125" style="6" customWidth="1"/>
    <col min="12047" max="12047" width="3.140625" style="6" customWidth="1"/>
    <col min="12048" max="12048" width="6.42578125" style="6" customWidth="1"/>
    <col min="12049" max="12049" width="3.140625" style="6" customWidth="1"/>
    <col min="12050" max="12050" width="9.7109375" style="6" customWidth="1"/>
    <col min="12051" max="12051" width="7.42578125" style="6" customWidth="1"/>
    <col min="12052" max="12052" width="4.140625" style="6" customWidth="1"/>
    <col min="12053" max="12053" width="6.42578125" style="6" customWidth="1"/>
    <col min="12054" max="12054" width="3.140625" style="6" customWidth="1"/>
    <col min="12055" max="12055" width="12.140625" style="6" customWidth="1"/>
    <col min="12056" max="12056" width="14" style="6" customWidth="1"/>
    <col min="12057" max="12057" width="8.42578125" style="6" customWidth="1"/>
    <col min="12058" max="12058" width="4.140625" style="6" customWidth="1"/>
    <col min="12059" max="12288" width="9.140625" style="6"/>
    <col min="12289" max="12289" width="5.7109375" style="6" customWidth="1"/>
    <col min="12290" max="12290" width="5.85546875" style="6" customWidth="1"/>
    <col min="12291" max="12291" width="5.7109375" style="6" customWidth="1"/>
    <col min="12292" max="12292" width="2.5703125" style="6" customWidth="1"/>
    <col min="12293" max="12293" width="6.28515625" style="6" customWidth="1"/>
    <col min="12294" max="12294" width="3" style="6" customWidth="1"/>
    <col min="12295" max="12295" width="6.7109375" style="6" customWidth="1"/>
    <col min="12296" max="12296" width="5.7109375" style="6" customWidth="1"/>
    <col min="12297" max="12297" width="2.5703125" style="6" customWidth="1"/>
    <col min="12298" max="12298" width="7.140625" style="6" customWidth="1"/>
    <col min="12299" max="12299" width="3.42578125" style="6" customWidth="1"/>
    <col min="12300" max="12300" width="6" style="6" customWidth="1"/>
    <col min="12301" max="12301" width="2.85546875" style="6" customWidth="1"/>
    <col min="12302" max="12302" width="6.42578125" style="6" customWidth="1"/>
    <col min="12303" max="12303" width="3.140625" style="6" customWidth="1"/>
    <col min="12304" max="12304" width="6.42578125" style="6" customWidth="1"/>
    <col min="12305" max="12305" width="3.140625" style="6" customWidth="1"/>
    <col min="12306" max="12306" width="9.7109375" style="6" customWidth="1"/>
    <col min="12307" max="12307" width="7.42578125" style="6" customWidth="1"/>
    <col min="12308" max="12308" width="4.140625" style="6" customWidth="1"/>
    <col min="12309" max="12309" width="6.42578125" style="6" customWidth="1"/>
    <col min="12310" max="12310" width="3.140625" style="6" customWidth="1"/>
    <col min="12311" max="12311" width="12.140625" style="6" customWidth="1"/>
    <col min="12312" max="12312" width="14" style="6" customWidth="1"/>
    <col min="12313" max="12313" width="8.42578125" style="6" customWidth="1"/>
    <col min="12314" max="12314" width="4.140625" style="6" customWidth="1"/>
    <col min="12315" max="12544" width="9.140625" style="6"/>
    <col min="12545" max="12545" width="5.7109375" style="6" customWidth="1"/>
    <col min="12546" max="12546" width="5.85546875" style="6" customWidth="1"/>
    <col min="12547" max="12547" width="5.7109375" style="6" customWidth="1"/>
    <col min="12548" max="12548" width="2.5703125" style="6" customWidth="1"/>
    <col min="12549" max="12549" width="6.28515625" style="6" customWidth="1"/>
    <col min="12550" max="12550" width="3" style="6" customWidth="1"/>
    <col min="12551" max="12551" width="6.7109375" style="6" customWidth="1"/>
    <col min="12552" max="12552" width="5.7109375" style="6" customWidth="1"/>
    <col min="12553" max="12553" width="2.5703125" style="6" customWidth="1"/>
    <col min="12554" max="12554" width="7.140625" style="6" customWidth="1"/>
    <col min="12555" max="12555" width="3.42578125" style="6" customWidth="1"/>
    <col min="12556" max="12556" width="6" style="6" customWidth="1"/>
    <col min="12557" max="12557" width="2.85546875" style="6" customWidth="1"/>
    <col min="12558" max="12558" width="6.42578125" style="6" customWidth="1"/>
    <col min="12559" max="12559" width="3.140625" style="6" customWidth="1"/>
    <col min="12560" max="12560" width="6.42578125" style="6" customWidth="1"/>
    <col min="12561" max="12561" width="3.140625" style="6" customWidth="1"/>
    <col min="12562" max="12562" width="9.7109375" style="6" customWidth="1"/>
    <col min="12563" max="12563" width="7.42578125" style="6" customWidth="1"/>
    <col min="12564" max="12564" width="4.140625" style="6" customWidth="1"/>
    <col min="12565" max="12565" width="6.42578125" style="6" customWidth="1"/>
    <col min="12566" max="12566" width="3.140625" style="6" customWidth="1"/>
    <col min="12567" max="12567" width="12.140625" style="6" customWidth="1"/>
    <col min="12568" max="12568" width="14" style="6" customWidth="1"/>
    <col min="12569" max="12569" width="8.42578125" style="6" customWidth="1"/>
    <col min="12570" max="12570" width="4.140625" style="6" customWidth="1"/>
    <col min="12571" max="12800" width="9.140625" style="6"/>
    <col min="12801" max="12801" width="5.7109375" style="6" customWidth="1"/>
    <col min="12802" max="12802" width="5.85546875" style="6" customWidth="1"/>
    <col min="12803" max="12803" width="5.7109375" style="6" customWidth="1"/>
    <col min="12804" max="12804" width="2.5703125" style="6" customWidth="1"/>
    <col min="12805" max="12805" width="6.28515625" style="6" customWidth="1"/>
    <col min="12806" max="12806" width="3" style="6" customWidth="1"/>
    <col min="12807" max="12807" width="6.7109375" style="6" customWidth="1"/>
    <col min="12808" max="12808" width="5.7109375" style="6" customWidth="1"/>
    <col min="12809" max="12809" width="2.5703125" style="6" customWidth="1"/>
    <col min="12810" max="12810" width="7.140625" style="6" customWidth="1"/>
    <col min="12811" max="12811" width="3.42578125" style="6" customWidth="1"/>
    <col min="12812" max="12812" width="6" style="6" customWidth="1"/>
    <col min="12813" max="12813" width="2.85546875" style="6" customWidth="1"/>
    <col min="12814" max="12814" width="6.42578125" style="6" customWidth="1"/>
    <col min="12815" max="12815" width="3.140625" style="6" customWidth="1"/>
    <col min="12816" max="12816" width="6.42578125" style="6" customWidth="1"/>
    <col min="12817" max="12817" width="3.140625" style="6" customWidth="1"/>
    <col min="12818" max="12818" width="9.7109375" style="6" customWidth="1"/>
    <col min="12819" max="12819" width="7.42578125" style="6" customWidth="1"/>
    <col min="12820" max="12820" width="4.140625" style="6" customWidth="1"/>
    <col min="12821" max="12821" width="6.42578125" style="6" customWidth="1"/>
    <col min="12822" max="12822" width="3.140625" style="6" customWidth="1"/>
    <col min="12823" max="12823" width="12.140625" style="6" customWidth="1"/>
    <col min="12824" max="12824" width="14" style="6" customWidth="1"/>
    <col min="12825" max="12825" width="8.42578125" style="6" customWidth="1"/>
    <col min="12826" max="12826" width="4.140625" style="6" customWidth="1"/>
    <col min="12827" max="13056" width="9.140625" style="6"/>
    <col min="13057" max="13057" width="5.7109375" style="6" customWidth="1"/>
    <col min="13058" max="13058" width="5.85546875" style="6" customWidth="1"/>
    <col min="13059" max="13059" width="5.7109375" style="6" customWidth="1"/>
    <col min="13060" max="13060" width="2.5703125" style="6" customWidth="1"/>
    <col min="13061" max="13061" width="6.28515625" style="6" customWidth="1"/>
    <col min="13062" max="13062" width="3" style="6" customWidth="1"/>
    <col min="13063" max="13063" width="6.7109375" style="6" customWidth="1"/>
    <col min="13064" max="13064" width="5.7109375" style="6" customWidth="1"/>
    <col min="13065" max="13065" width="2.5703125" style="6" customWidth="1"/>
    <col min="13066" max="13066" width="7.140625" style="6" customWidth="1"/>
    <col min="13067" max="13067" width="3.42578125" style="6" customWidth="1"/>
    <col min="13068" max="13068" width="6" style="6" customWidth="1"/>
    <col min="13069" max="13069" width="2.85546875" style="6" customWidth="1"/>
    <col min="13070" max="13070" width="6.42578125" style="6" customWidth="1"/>
    <col min="13071" max="13071" width="3.140625" style="6" customWidth="1"/>
    <col min="13072" max="13072" width="6.42578125" style="6" customWidth="1"/>
    <col min="13073" max="13073" width="3.140625" style="6" customWidth="1"/>
    <col min="13074" max="13074" width="9.7109375" style="6" customWidth="1"/>
    <col min="13075" max="13075" width="7.42578125" style="6" customWidth="1"/>
    <col min="13076" max="13076" width="4.140625" style="6" customWidth="1"/>
    <col min="13077" max="13077" width="6.42578125" style="6" customWidth="1"/>
    <col min="13078" max="13078" width="3.140625" style="6" customWidth="1"/>
    <col min="13079" max="13079" width="12.140625" style="6" customWidth="1"/>
    <col min="13080" max="13080" width="14" style="6" customWidth="1"/>
    <col min="13081" max="13081" width="8.42578125" style="6" customWidth="1"/>
    <col min="13082" max="13082" width="4.140625" style="6" customWidth="1"/>
    <col min="13083" max="13312" width="9.140625" style="6"/>
    <col min="13313" max="13313" width="5.7109375" style="6" customWidth="1"/>
    <col min="13314" max="13314" width="5.85546875" style="6" customWidth="1"/>
    <col min="13315" max="13315" width="5.7109375" style="6" customWidth="1"/>
    <col min="13316" max="13316" width="2.5703125" style="6" customWidth="1"/>
    <col min="13317" max="13317" width="6.28515625" style="6" customWidth="1"/>
    <col min="13318" max="13318" width="3" style="6" customWidth="1"/>
    <col min="13319" max="13319" width="6.7109375" style="6" customWidth="1"/>
    <col min="13320" max="13320" width="5.7109375" style="6" customWidth="1"/>
    <col min="13321" max="13321" width="2.5703125" style="6" customWidth="1"/>
    <col min="13322" max="13322" width="7.140625" style="6" customWidth="1"/>
    <col min="13323" max="13323" width="3.42578125" style="6" customWidth="1"/>
    <col min="13324" max="13324" width="6" style="6" customWidth="1"/>
    <col min="13325" max="13325" width="2.85546875" style="6" customWidth="1"/>
    <col min="13326" max="13326" width="6.42578125" style="6" customWidth="1"/>
    <col min="13327" max="13327" width="3.140625" style="6" customWidth="1"/>
    <col min="13328" max="13328" width="6.42578125" style="6" customWidth="1"/>
    <col min="13329" max="13329" width="3.140625" style="6" customWidth="1"/>
    <col min="13330" max="13330" width="9.7109375" style="6" customWidth="1"/>
    <col min="13331" max="13331" width="7.42578125" style="6" customWidth="1"/>
    <col min="13332" max="13332" width="4.140625" style="6" customWidth="1"/>
    <col min="13333" max="13333" width="6.42578125" style="6" customWidth="1"/>
    <col min="13334" max="13334" width="3.140625" style="6" customWidth="1"/>
    <col min="13335" max="13335" width="12.140625" style="6" customWidth="1"/>
    <col min="13336" max="13336" width="14" style="6" customWidth="1"/>
    <col min="13337" max="13337" width="8.42578125" style="6" customWidth="1"/>
    <col min="13338" max="13338" width="4.140625" style="6" customWidth="1"/>
    <col min="13339" max="13568" width="9.140625" style="6"/>
    <col min="13569" max="13569" width="5.7109375" style="6" customWidth="1"/>
    <col min="13570" max="13570" width="5.85546875" style="6" customWidth="1"/>
    <col min="13571" max="13571" width="5.7109375" style="6" customWidth="1"/>
    <col min="13572" max="13572" width="2.5703125" style="6" customWidth="1"/>
    <col min="13573" max="13573" width="6.28515625" style="6" customWidth="1"/>
    <col min="13574" max="13574" width="3" style="6" customWidth="1"/>
    <col min="13575" max="13575" width="6.7109375" style="6" customWidth="1"/>
    <col min="13576" max="13576" width="5.7109375" style="6" customWidth="1"/>
    <col min="13577" max="13577" width="2.5703125" style="6" customWidth="1"/>
    <col min="13578" max="13578" width="7.140625" style="6" customWidth="1"/>
    <col min="13579" max="13579" width="3.42578125" style="6" customWidth="1"/>
    <col min="13580" max="13580" width="6" style="6" customWidth="1"/>
    <col min="13581" max="13581" width="2.85546875" style="6" customWidth="1"/>
    <col min="13582" max="13582" width="6.42578125" style="6" customWidth="1"/>
    <col min="13583" max="13583" width="3.140625" style="6" customWidth="1"/>
    <col min="13584" max="13584" width="6.42578125" style="6" customWidth="1"/>
    <col min="13585" max="13585" width="3.140625" style="6" customWidth="1"/>
    <col min="13586" max="13586" width="9.7109375" style="6" customWidth="1"/>
    <col min="13587" max="13587" width="7.42578125" style="6" customWidth="1"/>
    <col min="13588" max="13588" width="4.140625" style="6" customWidth="1"/>
    <col min="13589" max="13589" width="6.42578125" style="6" customWidth="1"/>
    <col min="13590" max="13590" width="3.140625" style="6" customWidth="1"/>
    <col min="13591" max="13591" width="12.140625" style="6" customWidth="1"/>
    <col min="13592" max="13592" width="14" style="6" customWidth="1"/>
    <col min="13593" max="13593" width="8.42578125" style="6" customWidth="1"/>
    <col min="13594" max="13594" width="4.140625" style="6" customWidth="1"/>
    <col min="13595" max="13824" width="9.140625" style="6"/>
    <col min="13825" max="13825" width="5.7109375" style="6" customWidth="1"/>
    <col min="13826" max="13826" width="5.85546875" style="6" customWidth="1"/>
    <col min="13827" max="13827" width="5.7109375" style="6" customWidth="1"/>
    <col min="13828" max="13828" width="2.5703125" style="6" customWidth="1"/>
    <col min="13829" max="13829" width="6.28515625" style="6" customWidth="1"/>
    <col min="13830" max="13830" width="3" style="6" customWidth="1"/>
    <col min="13831" max="13831" width="6.7109375" style="6" customWidth="1"/>
    <col min="13832" max="13832" width="5.7109375" style="6" customWidth="1"/>
    <col min="13833" max="13833" width="2.5703125" style="6" customWidth="1"/>
    <col min="13834" max="13834" width="7.140625" style="6" customWidth="1"/>
    <col min="13835" max="13835" width="3.42578125" style="6" customWidth="1"/>
    <col min="13836" max="13836" width="6" style="6" customWidth="1"/>
    <col min="13837" max="13837" width="2.85546875" style="6" customWidth="1"/>
    <col min="13838" max="13838" width="6.42578125" style="6" customWidth="1"/>
    <col min="13839" max="13839" width="3.140625" style="6" customWidth="1"/>
    <col min="13840" max="13840" width="6.42578125" style="6" customWidth="1"/>
    <col min="13841" max="13841" width="3.140625" style="6" customWidth="1"/>
    <col min="13842" max="13842" width="9.7109375" style="6" customWidth="1"/>
    <col min="13843" max="13843" width="7.42578125" style="6" customWidth="1"/>
    <col min="13844" max="13844" width="4.140625" style="6" customWidth="1"/>
    <col min="13845" max="13845" width="6.42578125" style="6" customWidth="1"/>
    <col min="13846" max="13846" width="3.140625" style="6" customWidth="1"/>
    <col min="13847" max="13847" width="12.140625" style="6" customWidth="1"/>
    <col min="13848" max="13848" width="14" style="6" customWidth="1"/>
    <col min="13849" max="13849" width="8.42578125" style="6" customWidth="1"/>
    <col min="13850" max="13850" width="4.140625" style="6" customWidth="1"/>
    <col min="13851" max="14080" width="9.140625" style="6"/>
    <col min="14081" max="14081" width="5.7109375" style="6" customWidth="1"/>
    <col min="14082" max="14082" width="5.85546875" style="6" customWidth="1"/>
    <col min="14083" max="14083" width="5.7109375" style="6" customWidth="1"/>
    <col min="14084" max="14084" width="2.5703125" style="6" customWidth="1"/>
    <col min="14085" max="14085" width="6.28515625" style="6" customWidth="1"/>
    <col min="14086" max="14086" width="3" style="6" customWidth="1"/>
    <col min="14087" max="14087" width="6.7109375" style="6" customWidth="1"/>
    <col min="14088" max="14088" width="5.7109375" style="6" customWidth="1"/>
    <col min="14089" max="14089" width="2.5703125" style="6" customWidth="1"/>
    <col min="14090" max="14090" width="7.140625" style="6" customWidth="1"/>
    <col min="14091" max="14091" width="3.42578125" style="6" customWidth="1"/>
    <col min="14092" max="14092" width="6" style="6" customWidth="1"/>
    <col min="14093" max="14093" width="2.85546875" style="6" customWidth="1"/>
    <col min="14094" max="14094" width="6.42578125" style="6" customWidth="1"/>
    <col min="14095" max="14095" width="3.140625" style="6" customWidth="1"/>
    <col min="14096" max="14096" width="6.42578125" style="6" customWidth="1"/>
    <col min="14097" max="14097" width="3.140625" style="6" customWidth="1"/>
    <col min="14098" max="14098" width="9.7109375" style="6" customWidth="1"/>
    <col min="14099" max="14099" width="7.42578125" style="6" customWidth="1"/>
    <col min="14100" max="14100" width="4.140625" style="6" customWidth="1"/>
    <col min="14101" max="14101" width="6.42578125" style="6" customWidth="1"/>
    <col min="14102" max="14102" width="3.140625" style="6" customWidth="1"/>
    <col min="14103" max="14103" width="12.140625" style="6" customWidth="1"/>
    <col min="14104" max="14104" width="14" style="6" customWidth="1"/>
    <col min="14105" max="14105" width="8.42578125" style="6" customWidth="1"/>
    <col min="14106" max="14106" width="4.140625" style="6" customWidth="1"/>
    <col min="14107" max="14336" width="9.140625" style="6"/>
    <col min="14337" max="14337" width="5.7109375" style="6" customWidth="1"/>
    <col min="14338" max="14338" width="5.85546875" style="6" customWidth="1"/>
    <col min="14339" max="14339" width="5.7109375" style="6" customWidth="1"/>
    <col min="14340" max="14340" width="2.5703125" style="6" customWidth="1"/>
    <col min="14341" max="14341" width="6.28515625" style="6" customWidth="1"/>
    <col min="14342" max="14342" width="3" style="6" customWidth="1"/>
    <col min="14343" max="14343" width="6.7109375" style="6" customWidth="1"/>
    <col min="14344" max="14344" width="5.7109375" style="6" customWidth="1"/>
    <col min="14345" max="14345" width="2.5703125" style="6" customWidth="1"/>
    <col min="14346" max="14346" width="7.140625" style="6" customWidth="1"/>
    <col min="14347" max="14347" width="3.42578125" style="6" customWidth="1"/>
    <col min="14348" max="14348" width="6" style="6" customWidth="1"/>
    <col min="14349" max="14349" width="2.85546875" style="6" customWidth="1"/>
    <col min="14350" max="14350" width="6.42578125" style="6" customWidth="1"/>
    <col min="14351" max="14351" width="3.140625" style="6" customWidth="1"/>
    <col min="14352" max="14352" width="6.42578125" style="6" customWidth="1"/>
    <col min="14353" max="14353" width="3.140625" style="6" customWidth="1"/>
    <col min="14354" max="14354" width="9.7109375" style="6" customWidth="1"/>
    <col min="14355" max="14355" width="7.42578125" style="6" customWidth="1"/>
    <col min="14356" max="14356" width="4.140625" style="6" customWidth="1"/>
    <col min="14357" max="14357" width="6.42578125" style="6" customWidth="1"/>
    <col min="14358" max="14358" width="3.140625" style="6" customWidth="1"/>
    <col min="14359" max="14359" width="12.140625" style="6" customWidth="1"/>
    <col min="14360" max="14360" width="14" style="6" customWidth="1"/>
    <col min="14361" max="14361" width="8.42578125" style="6" customWidth="1"/>
    <col min="14362" max="14362" width="4.140625" style="6" customWidth="1"/>
    <col min="14363" max="14592" width="9.140625" style="6"/>
    <col min="14593" max="14593" width="5.7109375" style="6" customWidth="1"/>
    <col min="14594" max="14594" width="5.85546875" style="6" customWidth="1"/>
    <col min="14595" max="14595" width="5.7109375" style="6" customWidth="1"/>
    <col min="14596" max="14596" width="2.5703125" style="6" customWidth="1"/>
    <col min="14597" max="14597" width="6.28515625" style="6" customWidth="1"/>
    <col min="14598" max="14598" width="3" style="6" customWidth="1"/>
    <col min="14599" max="14599" width="6.7109375" style="6" customWidth="1"/>
    <col min="14600" max="14600" width="5.7109375" style="6" customWidth="1"/>
    <col min="14601" max="14601" width="2.5703125" style="6" customWidth="1"/>
    <col min="14602" max="14602" width="7.140625" style="6" customWidth="1"/>
    <col min="14603" max="14603" width="3.42578125" style="6" customWidth="1"/>
    <col min="14604" max="14604" width="6" style="6" customWidth="1"/>
    <col min="14605" max="14605" width="2.85546875" style="6" customWidth="1"/>
    <col min="14606" max="14606" width="6.42578125" style="6" customWidth="1"/>
    <col min="14607" max="14607" width="3.140625" style="6" customWidth="1"/>
    <col min="14608" max="14608" width="6.42578125" style="6" customWidth="1"/>
    <col min="14609" max="14609" width="3.140625" style="6" customWidth="1"/>
    <col min="14610" max="14610" width="9.7109375" style="6" customWidth="1"/>
    <col min="14611" max="14611" width="7.42578125" style="6" customWidth="1"/>
    <col min="14612" max="14612" width="4.140625" style="6" customWidth="1"/>
    <col min="14613" max="14613" width="6.42578125" style="6" customWidth="1"/>
    <col min="14614" max="14614" width="3.140625" style="6" customWidth="1"/>
    <col min="14615" max="14615" width="12.140625" style="6" customWidth="1"/>
    <col min="14616" max="14616" width="14" style="6" customWidth="1"/>
    <col min="14617" max="14617" width="8.42578125" style="6" customWidth="1"/>
    <col min="14618" max="14618" width="4.140625" style="6" customWidth="1"/>
    <col min="14619" max="14848" width="9.140625" style="6"/>
    <col min="14849" max="14849" width="5.7109375" style="6" customWidth="1"/>
    <col min="14850" max="14850" width="5.85546875" style="6" customWidth="1"/>
    <col min="14851" max="14851" width="5.7109375" style="6" customWidth="1"/>
    <col min="14852" max="14852" width="2.5703125" style="6" customWidth="1"/>
    <col min="14853" max="14853" width="6.28515625" style="6" customWidth="1"/>
    <col min="14854" max="14854" width="3" style="6" customWidth="1"/>
    <col min="14855" max="14855" width="6.7109375" style="6" customWidth="1"/>
    <col min="14856" max="14856" width="5.7109375" style="6" customWidth="1"/>
    <col min="14857" max="14857" width="2.5703125" style="6" customWidth="1"/>
    <col min="14858" max="14858" width="7.140625" style="6" customWidth="1"/>
    <col min="14859" max="14859" width="3.42578125" style="6" customWidth="1"/>
    <col min="14860" max="14860" width="6" style="6" customWidth="1"/>
    <col min="14861" max="14861" width="2.85546875" style="6" customWidth="1"/>
    <col min="14862" max="14862" width="6.42578125" style="6" customWidth="1"/>
    <col min="14863" max="14863" width="3.140625" style="6" customWidth="1"/>
    <col min="14864" max="14864" width="6.42578125" style="6" customWidth="1"/>
    <col min="14865" max="14865" width="3.140625" style="6" customWidth="1"/>
    <col min="14866" max="14866" width="9.7109375" style="6" customWidth="1"/>
    <col min="14867" max="14867" width="7.42578125" style="6" customWidth="1"/>
    <col min="14868" max="14868" width="4.140625" style="6" customWidth="1"/>
    <col min="14869" max="14869" width="6.42578125" style="6" customWidth="1"/>
    <col min="14870" max="14870" width="3.140625" style="6" customWidth="1"/>
    <col min="14871" max="14871" width="12.140625" style="6" customWidth="1"/>
    <col min="14872" max="14872" width="14" style="6" customWidth="1"/>
    <col min="14873" max="14873" width="8.42578125" style="6" customWidth="1"/>
    <col min="14874" max="14874" width="4.140625" style="6" customWidth="1"/>
    <col min="14875" max="15104" width="9.140625" style="6"/>
    <col min="15105" max="15105" width="5.7109375" style="6" customWidth="1"/>
    <col min="15106" max="15106" width="5.85546875" style="6" customWidth="1"/>
    <col min="15107" max="15107" width="5.7109375" style="6" customWidth="1"/>
    <col min="15108" max="15108" width="2.5703125" style="6" customWidth="1"/>
    <col min="15109" max="15109" width="6.28515625" style="6" customWidth="1"/>
    <col min="15110" max="15110" width="3" style="6" customWidth="1"/>
    <col min="15111" max="15111" width="6.7109375" style="6" customWidth="1"/>
    <col min="15112" max="15112" width="5.7109375" style="6" customWidth="1"/>
    <col min="15113" max="15113" width="2.5703125" style="6" customWidth="1"/>
    <col min="15114" max="15114" width="7.140625" style="6" customWidth="1"/>
    <col min="15115" max="15115" width="3.42578125" style="6" customWidth="1"/>
    <col min="15116" max="15116" width="6" style="6" customWidth="1"/>
    <col min="15117" max="15117" width="2.85546875" style="6" customWidth="1"/>
    <col min="15118" max="15118" width="6.42578125" style="6" customWidth="1"/>
    <col min="15119" max="15119" width="3.140625" style="6" customWidth="1"/>
    <col min="15120" max="15120" width="6.42578125" style="6" customWidth="1"/>
    <col min="15121" max="15121" width="3.140625" style="6" customWidth="1"/>
    <col min="15122" max="15122" width="9.7109375" style="6" customWidth="1"/>
    <col min="15123" max="15123" width="7.42578125" style="6" customWidth="1"/>
    <col min="15124" max="15124" width="4.140625" style="6" customWidth="1"/>
    <col min="15125" max="15125" width="6.42578125" style="6" customWidth="1"/>
    <col min="15126" max="15126" width="3.140625" style="6" customWidth="1"/>
    <col min="15127" max="15127" width="12.140625" style="6" customWidth="1"/>
    <col min="15128" max="15128" width="14" style="6" customWidth="1"/>
    <col min="15129" max="15129" width="8.42578125" style="6" customWidth="1"/>
    <col min="15130" max="15130" width="4.140625" style="6" customWidth="1"/>
    <col min="15131" max="15360" width="9.140625" style="6"/>
    <col min="15361" max="15361" width="5.7109375" style="6" customWidth="1"/>
    <col min="15362" max="15362" width="5.85546875" style="6" customWidth="1"/>
    <col min="15363" max="15363" width="5.7109375" style="6" customWidth="1"/>
    <col min="15364" max="15364" width="2.5703125" style="6" customWidth="1"/>
    <col min="15365" max="15365" width="6.28515625" style="6" customWidth="1"/>
    <col min="15366" max="15366" width="3" style="6" customWidth="1"/>
    <col min="15367" max="15367" width="6.7109375" style="6" customWidth="1"/>
    <col min="15368" max="15368" width="5.7109375" style="6" customWidth="1"/>
    <col min="15369" max="15369" width="2.5703125" style="6" customWidth="1"/>
    <col min="15370" max="15370" width="7.140625" style="6" customWidth="1"/>
    <col min="15371" max="15371" width="3.42578125" style="6" customWidth="1"/>
    <col min="15372" max="15372" width="6" style="6" customWidth="1"/>
    <col min="15373" max="15373" width="2.85546875" style="6" customWidth="1"/>
    <col min="15374" max="15374" width="6.42578125" style="6" customWidth="1"/>
    <col min="15375" max="15375" width="3.140625" style="6" customWidth="1"/>
    <col min="15376" max="15376" width="6.42578125" style="6" customWidth="1"/>
    <col min="15377" max="15377" width="3.140625" style="6" customWidth="1"/>
    <col min="15378" max="15378" width="9.7109375" style="6" customWidth="1"/>
    <col min="15379" max="15379" width="7.42578125" style="6" customWidth="1"/>
    <col min="15380" max="15380" width="4.140625" style="6" customWidth="1"/>
    <col min="15381" max="15381" width="6.42578125" style="6" customWidth="1"/>
    <col min="15382" max="15382" width="3.140625" style="6" customWidth="1"/>
    <col min="15383" max="15383" width="12.140625" style="6" customWidth="1"/>
    <col min="15384" max="15384" width="14" style="6" customWidth="1"/>
    <col min="15385" max="15385" width="8.42578125" style="6" customWidth="1"/>
    <col min="15386" max="15386" width="4.140625" style="6" customWidth="1"/>
    <col min="15387" max="15616" width="9.140625" style="6"/>
    <col min="15617" max="15617" width="5.7109375" style="6" customWidth="1"/>
    <col min="15618" max="15618" width="5.85546875" style="6" customWidth="1"/>
    <col min="15619" max="15619" width="5.7109375" style="6" customWidth="1"/>
    <col min="15620" max="15620" width="2.5703125" style="6" customWidth="1"/>
    <col min="15621" max="15621" width="6.28515625" style="6" customWidth="1"/>
    <col min="15622" max="15622" width="3" style="6" customWidth="1"/>
    <col min="15623" max="15623" width="6.7109375" style="6" customWidth="1"/>
    <col min="15624" max="15624" width="5.7109375" style="6" customWidth="1"/>
    <col min="15625" max="15625" width="2.5703125" style="6" customWidth="1"/>
    <col min="15626" max="15626" width="7.140625" style="6" customWidth="1"/>
    <col min="15627" max="15627" width="3.42578125" style="6" customWidth="1"/>
    <col min="15628" max="15628" width="6" style="6" customWidth="1"/>
    <col min="15629" max="15629" width="2.85546875" style="6" customWidth="1"/>
    <col min="15630" max="15630" width="6.42578125" style="6" customWidth="1"/>
    <col min="15631" max="15631" width="3.140625" style="6" customWidth="1"/>
    <col min="15632" max="15632" width="6.42578125" style="6" customWidth="1"/>
    <col min="15633" max="15633" width="3.140625" style="6" customWidth="1"/>
    <col min="15634" max="15634" width="9.7109375" style="6" customWidth="1"/>
    <col min="15635" max="15635" width="7.42578125" style="6" customWidth="1"/>
    <col min="15636" max="15636" width="4.140625" style="6" customWidth="1"/>
    <col min="15637" max="15637" width="6.42578125" style="6" customWidth="1"/>
    <col min="15638" max="15638" width="3.140625" style="6" customWidth="1"/>
    <col min="15639" max="15639" width="12.140625" style="6" customWidth="1"/>
    <col min="15640" max="15640" width="14" style="6" customWidth="1"/>
    <col min="15641" max="15641" width="8.42578125" style="6" customWidth="1"/>
    <col min="15642" max="15642" width="4.140625" style="6" customWidth="1"/>
    <col min="15643" max="15872" width="9.140625" style="6"/>
    <col min="15873" max="15873" width="5.7109375" style="6" customWidth="1"/>
    <col min="15874" max="15874" width="5.85546875" style="6" customWidth="1"/>
    <col min="15875" max="15875" width="5.7109375" style="6" customWidth="1"/>
    <col min="15876" max="15876" width="2.5703125" style="6" customWidth="1"/>
    <col min="15877" max="15877" width="6.28515625" style="6" customWidth="1"/>
    <col min="15878" max="15878" width="3" style="6" customWidth="1"/>
    <col min="15879" max="15879" width="6.7109375" style="6" customWidth="1"/>
    <col min="15880" max="15880" width="5.7109375" style="6" customWidth="1"/>
    <col min="15881" max="15881" width="2.5703125" style="6" customWidth="1"/>
    <col min="15882" max="15882" width="7.140625" style="6" customWidth="1"/>
    <col min="15883" max="15883" width="3.42578125" style="6" customWidth="1"/>
    <col min="15884" max="15884" width="6" style="6" customWidth="1"/>
    <col min="15885" max="15885" width="2.85546875" style="6" customWidth="1"/>
    <col min="15886" max="15886" width="6.42578125" style="6" customWidth="1"/>
    <col min="15887" max="15887" width="3.140625" style="6" customWidth="1"/>
    <col min="15888" max="15888" width="6.42578125" style="6" customWidth="1"/>
    <col min="15889" max="15889" width="3.140625" style="6" customWidth="1"/>
    <col min="15890" max="15890" width="9.7109375" style="6" customWidth="1"/>
    <col min="15891" max="15891" width="7.42578125" style="6" customWidth="1"/>
    <col min="15892" max="15892" width="4.140625" style="6" customWidth="1"/>
    <col min="15893" max="15893" width="6.42578125" style="6" customWidth="1"/>
    <col min="15894" max="15894" width="3.140625" style="6" customWidth="1"/>
    <col min="15895" max="15895" width="12.140625" style="6" customWidth="1"/>
    <col min="15896" max="15896" width="14" style="6" customWidth="1"/>
    <col min="15897" max="15897" width="8.42578125" style="6" customWidth="1"/>
    <col min="15898" max="15898" width="4.140625" style="6" customWidth="1"/>
    <col min="15899" max="16128" width="9.140625" style="6"/>
    <col min="16129" max="16129" width="5.7109375" style="6" customWidth="1"/>
    <col min="16130" max="16130" width="5.85546875" style="6" customWidth="1"/>
    <col min="16131" max="16131" width="5.7109375" style="6" customWidth="1"/>
    <col min="16132" max="16132" width="2.5703125" style="6" customWidth="1"/>
    <col min="16133" max="16133" width="6.28515625" style="6" customWidth="1"/>
    <col min="16134" max="16134" width="3" style="6" customWidth="1"/>
    <col min="16135" max="16135" width="6.7109375" style="6" customWidth="1"/>
    <col min="16136" max="16136" width="5.7109375" style="6" customWidth="1"/>
    <col min="16137" max="16137" width="2.5703125" style="6" customWidth="1"/>
    <col min="16138" max="16138" width="7.140625" style="6" customWidth="1"/>
    <col min="16139" max="16139" width="3.42578125" style="6" customWidth="1"/>
    <col min="16140" max="16140" width="6" style="6" customWidth="1"/>
    <col min="16141" max="16141" width="2.85546875" style="6" customWidth="1"/>
    <col min="16142" max="16142" width="6.42578125" style="6" customWidth="1"/>
    <col min="16143" max="16143" width="3.140625" style="6" customWidth="1"/>
    <col min="16144" max="16144" width="6.42578125" style="6" customWidth="1"/>
    <col min="16145" max="16145" width="3.140625" style="6" customWidth="1"/>
    <col min="16146" max="16146" width="9.7109375" style="6" customWidth="1"/>
    <col min="16147" max="16147" width="7.42578125" style="6" customWidth="1"/>
    <col min="16148" max="16148" width="4.140625" style="6" customWidth="1"/>
    <col min="16149" max="16149" width="6.42578125" style="6" customWidth="1"/>
    <col min="16150" max="16150" width="3.140625" style="6" customWidth="1"/>
    <col min="16151" max="16151" width="12.140625" style="6" customWidth="1"/>
    <col min="16152" max="16152" width="14" style="6" customWidth="1"/>
    <col min="16153" max="16153" width="8.42578125" style="6" customWidth="1"/>
    <col min="16154" max="16154" width="4.140625" style="6" customWidth="1"/>
    <col min="16155" max="16384" width="9.140625" style="6"/>
  </cols>
  <sheetData>
    <row r="1" spans="1:26" ht="15.75" customHeight="1" x14ac:dyDescent="0.25">
      <c r="A1" s="60" t="s">
        <v>247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2"/>
    </row>
    <row r="2" spans="1:26" x14ac:dyDescent="0.25">
      <c r="A2" s="63" t="s">
        <v>46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5"/>
    </row>
    <row r="3" spans="1:26" x14ac:dyDescent="0.25">
      <c r="A3" s="66" t="s">
        <v>47</v>
      </c>
      <c r="B3" s="69" t="s">
        <v>172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1"/>
      <c r="W3" s="7"/>
      <c r="X3" s="7"/>
      <c r="Y3" s="78"/>
      <c r="Z3" s="79"/>
    </row>
    <row r="4" spans="1:26" x14ac:dyDescent="0.25">
      <c r="A4" s="67"/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4"/>
      <c r="W4" s="7"/>
      <c r="X4" s="7"/>
      <c r="Y4" s="80"/>
      <c r="Z4" s="81"/>
    </row>
    <row r="5" spans="1:26" x14ac:dyDescent="0.25">
      <c r="A5" s="67"/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4"/>
      <c r="W5" s="7"/>
      <c r="X5" s="7"/>
      <c r="Y5" s="80"/>
      <c r="Z5" s="81"/>
    </row>
    <row r="6" spans="1:26" x14ac:dyDescent="0.25">
      <c r="A6" s="67"/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7"/>
      <c r="W6" s="8" t="s">
        <v>173</v>
      </c>
      <c r="X6" s="7"/>
      <c r="Y6" s="80"/>
      <c r="Z6" s="81"/>
    </row>
    <row r="7" spans="1:26" x14ac:dyDescent="0.25">
      <c r="A7" s="67"/>
      <c r="B7" s="66" t="s">
        <v>56</v>
      </c>
      <c r="C7" s="78"/>
      <c r="D7" s="79"/>
      <c r="E7" s="69" t="s">
        <v>52</v>
      </c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1"/>
      <c r="R7" s="7"/>
      <c r="S7" s="69" t="s">
        <v>57</v>
      </c>
      <c r="T7" s="71"/>
      <c r="U7" s="69" t="s">
        <v>174</v>
      </c>
      <c r="V7" s="71"/>
      <c r="W7" s="8" t="s">
        <v>175</v>
      </c>
      <c r="X7" s="8" t="s">
        <v>61</v>
      </c>
      <c r="Y7" s="72" t="s">
        <v>176</v>
      </c>
      <c r="Z7" s="74"/>
    </row>
    <row r="8" spans="1:26" x14ac:dyDescent="0.25">
      <c r="A8" s="67"/>
      <c r="B8" s="67"/>
      <c r="C8" s="80"/>
      <c r="D8" s="81"/>
      <c r="E8" s="72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4"/>
      <c r="R8" s="7"/>
      <c r="S8" s="72"/>
      <c r="T8" s="74"/>
      <c r="U8" s="72"/>
      <c r="V8" s="74"/>
      <c r="W8" s="8" t="s">
        <v>177</v>
      </c>
      <c r="X8" s="8" t="s">
        <v>178</v>
      </c>
      <c r="Y8" s="72" t="s">
        <v>179</v>
      </c>
      <c r="Z8" s="74"/>
    </row>
    <row r="9" spans="1:26" x14ac:dyDescent="0.25">
      <c r="A9" s="67"/>
      <c r="B9" s="67"/>
      <c r="C9" s="72" t="s">
        <v>60</v>
      </c>
      <c r="D9" s="74"/>
      <c r="E9" s="75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8" t="s">
        <v>180</v>
      </c>
      <c r="S9" s="72"/>
      <c r="T9" s="74"/>
      <c r="U9" s="72"/>
      <c r="V9" s="74"/>
      <c r="W9" s="8"/>
      <c r="X9" s="8"/>
      <c r="Y9" s="72"/>
      <c r="Z9" s="74"/>
    </row>
    <row r="10" spans="1:26" x14ac:dyDescent="0.25">
      <c r="A10" s="67"/>
      <c r="B10" s="67"/>
      <c r="C10" s="72" t="s">
        <v>181</v>
      </c>
      <c r="D10" s="74"/>
      <c r="E10" s="69" t="s">
        <v>182</v>
      </c>
      <c r="F10" s="71"/>
      <c r="G10" s="8" t="s">
        <v>183</v>
      </c>
      <c r="H10" s="69" t="s">
        <v>184</v>
      </c>
      <c r="I10" s="71"/>
      <c r="J10" s="69" t="s">
        <v>185</v>
      </c>
      <c r="K10" s="71"/>
      <c r="L10" s="69" t="s">
        <v>186</v>
      </c>
      <c r="M10" s="71"/>
      <c r="N10" s="69" t="s">
        <v>187</v>
      </c>
      <c r="O10" s="71"/>
      <c r="P10" s="69" t="s">
        <v>176</v>
      </c>
      <c r="Q10" s="71"/>
      <c r="R10" s="8" t="s">
        <v>188</v>
      </c>
      <c r="S10" s="72"/>
      <c r="T10" s="74"/>
      <c r="U10" s="72"/>
      <c r="V10" s="74"/>
      <c r="W10" s="8"/>
      <c r="X10" s="8"/>
      <c r="Y10" s="72"/>
      <c r="Z10" s="74"/>
    </row>
    <row r="11" spans="1:26" x14ac:dyDescent="0.25">
      <c r="A11" s="68"/>
      <c r="B11" s="68"/>
      <c r="C11" s="75"/>
      <c r="D11" s="77"/>
      <c r="E11" s="75" t="s">
        <v>189</v>
      </c>
      <c r="F11" s="77"/>
      <c r="G11" s="9" t="s">
        <v>190</v>
      </c>
      <c r="H11" s="75"/>
      <c r="I11" s="77"/>
      <c r="J11" s="75" t="s">
        <v>191</v>
      </c>
      <c r="K11" s="77"/>
      <c r="L11" s="75" t="s">
        <v>189</v>
      </c>
      <c r="M11" s="77"/>
      <c r="N11" s="75"/>
      <c r="O11" s="77"/>
      <c r="P11" s="75"/>
      <c r="Q11" s="77"/>
      <c r="R11" s="9"/>
      <c r="S11" s="75"/>
      <c r="T11" s="77"/>
      <c r="U11" s="75"/>
      <c r="V11" s="77"/>
      <c r="W11" s="9"/>
      <c r="X11" s="9"/>
      <c r="Y11" s="75"/>
      <c r="Z11" s="77"/>
    </row>
    <row r="12" spans="1:26" x14ac:dyDescent="0.25">
      <c r="A12" s="10">
        <v>1970</v>
      </c>
      <c r="B12" s="11">
        <v>0.38</v>
      </c>
      <c r="C12" s="11">
        <v>0.59</v>
      </c>
      <c r="D12" s="12"/>
      <c r="E12" s="11">
        <v>1.1599999999999999</v>
      </c>
      <c r="F12" s="12"/>
      <c r="G12" s="11">
        <v>0.73</v>
      </c>
      <c r="H12" s="11">
        <v>1.43</v>
      </c>
      <c r="I12" s="13" t="s">
        <v>64</v>
      </c>
      <c r="J12" s="11">
        <v>2.85</v>
      </c>
      <c r="K12" s="12"/>
      <c r="L12" s="11">
        <v>0.42</v>
      </c>
      <c r="M12" s="12"/>
      <c r="N12" s="11">
        <v>1.38</v>
      </c>
      <c r="O12" s="12"/>
      <c r="P12" s="11">
        <v>1.71</v>
      </c>
      <c r="Q12" s="13" t="s">
        <v>64</v>
      </c>
      <c r="R12" s="11">
        <v>0.18</v>
      </c>
      <c r="S12" s="11">
        <v>1.29</v>
      </c>
      <c r="T12" s="12"/>
      <c r="U12" s="11">
        <v>1.08</v>
      </c>
      <c r="V12" s="12"/>
      <c r="W12" s="11">
        <v>0.32</v>
      </c>
      <c r="X12" s="11">
        <v>4.9800000000000004</v>
      </c>
      <c r="Y12" s="11">
        <v>1.65</v>
      </c>
      <c r="Z12" s="12"/>
    </row>
    <row r="13" spans="1:26" x14ac:dyDescent="0.25">
      <c r="A13" s="10">
        <v>1971</v>
      </c>
      <c r="B13" s="11">
        <v>0.42</v>
      </c>
      <c r="C13" s="11">
        <v>0.63</v>
      </c>
      <c r="D13" s="12"/>
      <c r="E13" s="11">
        <v>1.22</v>
      </c>
      <c r="F13" s="12"/>
      <c r="G13" s="11">
        <v>0.77</v>
      </c>
      <c r="H13" s="11">
        <v>1.46</v>
      </c>
      <c r="I13" s="13" t="s">
        <v>64</v>
      </c>
      <c r="J13" s="11">
        <v>2.9</v>
      </c>
      <c r="K13" s="12"/>
      <c r="L13" s="11">
        <v>0.57999999999999996</v>
      </c>
      <c r="M13" s="12"/>
      <c r="N13" s="11">
        <v>1.45</v>
      </c>
      <c r="O13" s="12"/>
      <c r="P13" s="11">
        <v>1.78</v>
      </c>
      <c r="Q13" s="13" t="s">
        <v>64</v>
      </c>
      <c r="R13" s="11">
        <v>0.18</v>
      </c>
      <c r="S13" s="11">
        <v>1.31</v>
      </c>
      <c r="T13" s="12"/>
      <c r="U13" s="11">
        <v>1.1499999999999999</v>
      </c>
      <c r="V13" s="12"/>
      <c r="W13" s="11">
        <v>0.38</v>
      </c>
      <c r="X13" s="11">
        <v>5.3</v>
      </c>
      <c r="Y13" s="11">
        <v>1.76</v>
      </c>
      <c r="Z13" s="12"/>
    </row>
    <row r="14" spans="1:26" x14ac:dyDescent="0.25">
      <c r="A14" s="14">
        <v>1972</v>
      </c>
      <c r="B14" s="15">
        <v>0.45</v>
      </c>
      <c r="C14" s="15">
        <v>0.68</v>
      </c>
      <c r="D14" s="16"/>
      <c r="E14" s="15">
        <v>1.22</v>
      </c>
      <c r="F14" s="16"/>
      <c r="G14" s="15">
        <v>0.79</v>
      </c>
      <c r="H14" s="15">
        <v>1.49</v>
      </c>
      <c r="I14" s="17" t="s">
        <v>64</v>
      </c>
      <c r="J14" s="15">
        <v>2.88</v>
      </c>
      <c r="K14" s="16"/>
      <c r="L14" s="15">
        <v>0.62</v>
      </c>
      <c r="M14" s="16"/>
      <c r="N14" s="15">
        <v>1.49</v>
      </c>
      <c r="O14" s="16"/>
      <c r="P14" s="15">
        <v>1.78</v>
      </c>
      <c r="Q14" s="16"/>
      <c r="R14" s="15">
        <v>0.18</v>
      </c>
      <c r="S14" s="15">
        <v>1.33</v>
      </c>
      <c r="T14" s="16"/>
      <c r="U14" s="15">
        <v>1.18</v>
      </c>
      <c r="V14" s="16"/>
      <c r="W14" s="15">
        <v>0.42</v>
      </c>
      <c r="X14" s="15">
        <v>5.54</v>
      </c>
      <c r="Y14" s="15">
        <v>1.84</v>
      </c>
      <c r="Z14" s="16"/>
    </row>
    <row r="15" spans="1:26" x14ac:dyDescent="0.25">
      <c r="A15" s="10">
        <v>1973</v>
      </c>
      <c r="B15" s="11">
        <v>0.48</v>
      </c>
      <c r="C15" s="11">
        <v>0.73</v>
      </c>
      <c r="D15" s="12"/>
      <c r="E15" s="11">
        <v>1.46</v>
      </c>
      <c r="F15" s="12"/>
      <c r="G15" s="11">
        <v>0.92</v>
      </c>
      <c r="H15" s="11">
        <v>1.97</v>
      </c>
      <c r="I15" s="13" t="s">
        <v>64</v>
      </c>
      <c r="J15" s="11">
        <v>3.1</v>
      </c>
      <c r="K15" s="12"/>
      <c r="L15" s="11">
        <v>0.75</v>
      </c>
      <c r="M15" s="12"/>
      <c r="N15" s="11">
        <v>1.58</v>
      </c>
      <c r="O15" s="12"/>
      <c r="P15" s="11">
        <v>1.97</v>
      </c>
      <c r="Q15" s="12"/>
      <c r="R15" s="11">
        <v>0.19</v>
      </c>
      <c r="S15" s="11">
        <v>1.39</v>
      </c>
      <c r="T15" s="12"/>
      <c r="U15" s="11">
        <v>1.29</v>
      </c>
      <c r="V15" s="12"/>
      <c r="W15" s="11">
        <v>0.47</v>
      </c>
      <c r="X15" s="11">
        <v>5.86</v>
      </c>
      <c r="Y15" s="11">
        <v>2.02</v>
      </c>
      <c r="Z15" s="12"/>
    </row>
    <row r="16" spans="1:26" x14ac:dyDescent="0.25">
      <c r="A16" s="10">
        <v>1974</v>
      </c>
      <c r="B16" s="11">
        <v>0.88</v>
      </c>
      <c r="C16" s="11">
        <v>0.89</v>
      </c>
      <c r="D16" s="12"/>
      <c r="E16" s="11">
        <v>2.44</v>
      </c>
      <c r="F16" s="12"/>
      <c r="G16" s="11">
        <v>1.58</v>
      </c>
      <c r="H16" s="11">
        <v>2.77</v>
      </c>
      <c r="I16" s="13" t="s">
        <v>64</v>
      </c>
      <c r="J16" s="11">
        <v>4.32</v>
      </c>
      <c r="K16" s="12"/>
      <c r="L16" s="11">
        <v>1.82</v>
      </c>
      <c r="M16" s="12"/>
      <c r="N16" s="11">
        <v>2.6</v>
      </c>
      <c r="O16" s="12"/>
      <c r="P16" s="11">
        <v>3.05</v>
      </c>
      <c r="Q16" s="13" t="s">
        <v>64</v>
      </c>
      <c r="R16" s="11">
        <v>0.2</v>
      </c>
      <c r="S16" s="11">
        <v>1.5</v>
      </c>
      <c r="T16" s="12"/>
      <c r="U16" s="11">
        <v>1.94</v>
      </c>
      <c r="V16" s="12"/>
      <c r="W16" s="11">
        <v>0.87</v>
      </c>
      <c r="X16" s="11">
        <v>7.42</v>
      </c>
      <c r="Y16" s="11">
        <v>2.87</v>
      </c>
      <c r="Z16" s="12"/>
    </row>
    <row r="17" spans="1:26" x14ac:dyDescent="0.25">
      <c r="A17" s="14">
        <v>1975</v>
      </c>
      <c r="B17" s="15">
        <v>1.03</v>
      </c>
      <c r="C17" s="15">
        <v>1.18</v>
      </c>
      <c r="D17" s="16"/>
      <c r="E17" s="15">
        <v>2.6</v>
      </c>
      <c r="F17" s="16"/>
      <c r="G17" s="15">
        <v>2.0499999999999998</v>
      </c>
      <c r="H17" s="15">
        <v>2.93</v>
      </c>
      <c r="I17" s="17" t="s">
        <v>64</v>
      </c>
      <c r="J17" s="15">
        <v>4.6500000000000004</v>
      </c>
      <c r="K17" s="16"/>
      <c r="L17" s="15">
        <v>1.93</v>
      </c>
      <c r="M17" s="16"/>
      <c r="N17" s="15">
        <v>2.94</v>
      </c>
      <c r="O17" s="16"/>
      <c r="P17" s="15">
        <v>3.34</v>
      </c>
      <c r="Q17" s="17" t="s">
        <v>64</v>
      </c>
      <c r="R17" s="15">
        <v>0.24</v>
      </c>
      <c r="S17" s="15">
        <v>1.5</v>
      </c>
      <c r="T17" s="16"/>
      <c r="U17" s="15">
        <v>2.19</v>
      </c>
      <c r="V17" s="16"/>
      <c r="W17" s="15">
        <v>0.97</v>
      </c>
      <c r="X17" s="15">
        <v>8.61</v>
      </c>
      <c r="Y17" s="15">
        <v>3.33</v>
      </c>
      <c r="Z17" s="16"/>
    </row>
    <row r="18" spans="1:26" x14ac:dyDescent="0.25">
      <c r="A18" s="10">
        <v>1976</v>
      </c>
      <c r="B18" s="11">
        <v>1.04</v>
      </c>
      <c r="C18" s="11">
        <v>1.46</v>
      </c>
      <c r="D18" s="12"/>
      <c r="E18" s="11">
        <v>2.77</v>
      </c>
      <c r="F18" s="12"/>
      <c r="G18" s="11">
        <v>2.25</v>
      </c>
      <c r="H18" s="11">
        <v>3.16</v>
      </c>
      <c r="I18" s="13" t="s">
        <v>64</v>
      </c>
      <c r="J18" s="11">
        <v>4.84</v>
      </c>
      <c r="K18" s="12"/>
      <c r="L18" s="11">
        <v>1.9</v>
      </c>
      <c r="M18" s="12"/>
      <c r="N18" s="11">
        <v>3.08</v>
      </c>
      <c r="O18" s="12"/>
      <c r="P18" s="11">
        <v>3.46</v>
      </c>
      <c r="Q18" s="13" t="s">
        <v>64</v>
      </c>
      <c r="R18" s="11">
        <v>0.25</v>
      </c>
      <c r="S18" s="11">
        <v>1.53</v>
      </c>
      <c r="T18" s="12"/>
      <c r="U18" s="11">
        <v>2.34</v>
      </c>
      <c r="V18" s="12"/>
      <c r="W18" s="11">
        <v>1.03</v>
      </c>
      <c r="X18" s="11">
        <v>9.1300000000000008</v>
      </c>
      <c r="Y18" s="11">
        <v>3.57</v>
      </c>
      <c r="Z18" s="12"/>
    </row>
    <row r="19" spans="1:26" x14ac:dyDescent="0.25">
      <c r="A19" s="10">
        <v>1977</v>
      </c>
      <c r="B19" s="11">
        <v>1.1100000000000001</v>
      </c>
      <c r="C19" s="11">
        <v>1.76</v>
      </c>
      <c r="D19" s="12"/>
      <c r="E19" s="11">
        <v>3.11</v>
      </c>
      <c r="F19" s="12"/>
      <c r="G19" s="11">
        <v>2.59</v>
      </c>
      <c r="H19" s="11">
        <v>3.61</v>
      </c>
      <c r="I19" s="13" t="s">
        <v>64</v>
      </c>
      <c r="J19" s="11">
        <v>5.13</v>
      </c>
      <c r="K19" s="12"/>
      <c r="L19" s="11">
        <v>2.14</v>
      </c>
      <c r="M19" s="12"/>
      <c r="N19" s="11">
        <v>3.27</v>
      </c>
      <c r="O19" s="12"/>
      <c r="P19" s="11">
        <v>3.73</v>
      </c>
      <c r="Q19" s="12"/>
      <c r="R19" s="11">
        <v>0.27</v>
      </c>
      <c r="S19" s="11">
        <v>1.58</v>
      </c>
      <c r="T19" s="12"/>
      <c r="U19" s="11">
        <v>2.58</v>
      </c>
      <c r="V19" s="12"/>
      <c r="W19" s="11">
        <v>1.17</v>
      </c>
      <c r="X19" s="11">
        <v>10.11</v>
      </c>
      <c r="Y19" s="11">
        <v>3.98</v>
      </c>
      <c r="Z19" s="12"/>
    </row>
    <row r="20" spans="1:26" x14ac:dyDescent="0.25">
      <c r="A20" s="14">
        <v>1978</v>
      </c>
      <c r="B20" s="15">
        <v>1.27</v>
      </c>
      <c r="C20" s="15">
        <v>1.95</v>
      </c>
      <c r="D20" s="16"/>
      <c r="E20" s="15">
        <v>3.26</v>
      </c>
      <c r="F20" s="16"/>
      <c r="G20" s="15">
        <v>2.87</v>
      </c>
      <c r="H20" s="15">
        <v>3.56</v>
      </c>
      <c r="I20" s="17" t="s">
        <v>64</v>
      </c>
      <c r="J20" s="15">
        <v>5.24</v>
      </c>
      <c r="K20" s="16"/>
      <c r="L20" s="15">
        <v>2.08</v>
      </c>
      <c r="M20" s="16"/>
      <c r="N20" s="15">
        <v>3.45</v>
      </c>
      <c r="O20" s="16"/>
      <c r="P20" s="15">
        <v>3.84</v>
      </c>
      <c r="Q20" s="16"/>
      <c r="R20" s="15">
        <v>0.3</v>
      </c>
      <c r="S20" s="15">
        <v>1.61</v>
      </c>
      <c r="T20" s="16"/>
      <c r="U20" s="15">
        <v>2.71</v>
      </c>
      <c r="V20" s="16"/>
      <c r="W20" s="15">
        <v>1.27</v>
      </c>
      <c r="X20" s="15">
        <v>10.92</v>
      </c>
      <c r="Y20" s="15">
        <v>4.2300000000000004</v>
      </c>
      <c r="Z20" s="16"/>
    </row>
    <row r="21" spans="1:26" x14ac:dyDescent="0.25">
      <c r="A21" s="10">
        <v>1979</v>
      </c>
      <c r="B21" s="11">
        <v>1.36</v>
      </c>
      <c r="C21" s="11">
        <v>2.31</v>
      </c>
      <c r="D21" s="12"/>
      <c r="E21" s="11">
        <v>4.6900000000000004</v>
      </c>
      <c r="F21" s="12"/>
      <c r="G21" s="11">
        <v>3.9</v>
      </c>
      <c r="H21" s="11">
        <v>4.46</v>
      </c>
      <c r="I21" s="13" t="s">
        <v>64</v>
      </c>
      <c r="J21" s="11">
        <v>7.11</v>
      </c>
      <c r="K21" s="12"/>
      <c r="L21" s="11">
        <v>2.83</v>
      </c>
      <c r="M21" s="12"/>
      <c r="N21" s="11">
        <v>4.7</v>
      </c>
      <c r="O21" s="12"/>
      <c r="P21" s="11">
        <v>5.23</v>
      </c>
      <c r="Q21" s="12"/>
      <c r="R21" s="11">
        <v>0.34</v>
      </c>
      <c r="S21" s="11">
        <v>1.88</v>
      </c>
      <c r="T21" s="12"/>
      <c r="U21" s="11">
        <v>3.47</v>
      </c>
      <c r="V21" s="12"/>
      <c r="W21" s="11">
        <v>1.5</v>
      </c>
      <c r="X21" s="11">
        <v>11.78</v>
      </c>
      <c r="Y21" s="11">
        <v>5.21</v>
      </c>
      <c r="Z21" s="12"/>
    </row>
    <row r="22" spans="1:26" x14ac:dyDescent="0.25">
      <c r="A22" s="10">
        <v>1980</v>
      </c>
      <c r="B22" s="11">
        <v>1.46</v>
      </c>
      <c r="C22" s="11">
        <v>2.86</v>
      </c>
      <c r="D22" s="12"/>
      <c r="E22" s="11">
        <v>6.7</v>
      </c>
      <c r="F22" s="12"/>
      <c r="G22" s="11">
        <v>6.36</v>
      </c>
      <c r="H22" s="11">
        <v>5.59</v>
      </c>
      <c r="I22" s="13" t="s">
        <v>64</v>
      </c>
      <c r="J22" s="11">
        <v>9.84</v>
      </c>
      <c r="K22" s="12"/>
      <c r="L22" s="11">
        <v>3.88</v>
      </c>
      <c r="M22" s="12"/>
      <c r="N22" s="11">
        <v>7.04</v>
      </c>
      <c r="O22" s="12"/>
      <c r="P22" s="11">
        <v>7.4</v>
      </c>
      <c r="Q22" s="12"/>
      <c r="R22" s="11">
        <v>0.43</v>
      </c>
      <c r="S22" s="11">
        <v>2.2599999999999998</v>
      </c>
      <c r="T22" s="12"/>
      <c r="U22" s="11">
        <v>4.57</v>
      </c>
      <c r="V22" s="12"/>
      <c r="W22" s="11">
        <v>1.77</v>
      </c>
      <c r="X22" s="11">
        <v>13.95</v>
      </c>
      <c r="Y22" s="11">
        <v>6.89</v>
      </c>
      <c r="Z22" s="12"/>
    </row>
    <row r="23" spans="1:26" x14ac:dyDescent="0.25">
      <c r="A23" s="14">
        <v>1981</v>
      </c>
      <c r="B23" s="15">
        <v>1.64</v>
      </c>
      <c r="C23" s="15">
        <v>3.43</v>
      </c>
      <c r="D23" s="16"/>
      <c r="E23" s="15">
        <v>8.0299999999999994</v>
      </c>
      <c r="F23" s="16"/>
      <c r="G23" s="15">
        <v>7.57</v>
      </c>
      <c r="H23" s="15">
        <v>6.13</v>
      </c>
      <c r="I23" s="17" t="s">
        <v>64</v>
      </c>
      <c r="J23" s="15">
        <v>10.94</v>
      </c>
      <c r="K23" s="16"/>
      <c r="L23" s="15">
        <v>4.91</v>
      </c>
      <c r="M23" s="16"/>
      <c r="N23" s="15">
        <v>8.67</v>
      </c>
      <c r="O23" s="16"/>
      <c r="P23" s="15">
        <v>8.68</v>
      </c>
      <c r="Q23" s="16"/>
      <c r="R23" s="15">
        <v>0.48</v>
      </c>
      <c r="S23" s="15">
        <v>2.52</v>
      </c>
      <c r="T23" s="16"/>
      <c r="U23" s="15">
        <v>5.25</v>
      </c>
      <c r="V23" s="16"/>
      <c r="W23" s="15">
        <v>2.04</v>
      </c>
      <c r="X23" s="15">
        <v>16.14</v>
      </c>
      <c r="Y23" s="15">
        <v>8.0299999999999994</v>
      </c>
      <c r="Z23" s="16"/>
    </row>
    <row r="24" spans="1:26" x14ac:dyDescent="0.25">
      <c r="A24" s="10">
        <v>1982</v>
      </c>
      <c r="B24" s="11">
        <v>1.73</v>
      </c>
      <c r="C24" s="11">
        <v>4.2300000000000004</v>
      </c>
      <c r="D24" s="12"/>
      <c r="E24" s="11">
        <v>7.78</v>
      </c>
      <c r="F24" s="12"/>
      <c r="G24" s="11">
        <v>7.23</v>
      </c>
      <c r="H24" s="11">
        <v>6.6</v>
      </c>
      <c r="I24" s="13" t="s">
        <v>64</v>
      </c>
      <c r="J24" s="11">
        <v>10.39</v>
      </c>
      <c r="K24" s="12"/>
      <c r="L24" s="11">
        <v>4.6500000000000004</v>
      </c>
      <c r="M24" s="12"/>
      <c r="N24" s="11">
        <v>7.87</v>
      </c>
      <c r="O24" s="12"/>
      <c r="P24" s="11">
        <v>8.39</v>
      </c>
      <c r="Q24" s="13" t="s">
        <v>64</v>
      </c>
      <c r="R24" s="11">
        <v>0.54</v>
      </c>
      <c r="S24" s="11">
        <v>2.6</v>
      </c>
      <c r="T24" s="12"/>
      <c r="U24" s="11">
        <v>5.32</v>
      </c>
      <c r="V24" s="13" t="s">
        <v>64</v>
      </c>
      <c r="W24" s="11">
        <v>2.0499999999999998</v>
      </c>
      <c r="X24" s="11">
        <v>18.16</v>
      </c>
      <c r="Y24" s="11">
        <v>8.4600000000000009</v>
      </c>
      <c r="Z24" s="12"/>
    </row>
    <row r="25" spans="1:26" x14ac:dyDescent="0.25">
      <c r="A25" s="10">
        <v>1983</v>
      </c>
      <c r="B25" s="11">
        <v>1.7</v>
      </c>
      <c r="C25" s="11">
        <v>4.72</v>
      </c>
      <c r="D25" s="12"/>
      <c r="E25" s="11">
        <v>7.32</v>
      </c>
      <c r="F25" s="12"/>
      <c r="G25" s="11">
        <v>6.53</v>
      </c>
      <c r="H25" s="11">
        <v>7.11</v>
      </c>
      <c r="I25" s="13" t="s">
        <v>64</v>
      </c>
      <c r="J25" s="11">
        <v>9.1199999999999992</v>
      </c>
      <c r="K25" s="12"/>
      <c r="L25" s="11">
        <v>4.5</v>
      </c>
      <c r="M25" s="12"/>
      <c r="N25" s="11">
        <v>7.6</v>
      </c>
      <c r="O25" s="12"/>
      <c r="P25" s="11">
        <v>7.77</v>
      </c>
      <c r="Q25" s="12"/>
      <c r="R25" s="11">
        <v>0.57999999999999996</v>
      </c>
      <c r="S25" s="11">
        <v>2.44</v>
      </c>
      <c r="T25" s="12"/>
      <c r="U25" s="11">
        <v>5.1100000000000003</v>
      </c>
      <c r="V25" s="13" t="s">
        <v>64</v>
      </c>
      <c r="W25" s="11">
        <v>2.02</v>
      </c>
      <c r="X25" s="11">
        <v>18.62</v>
      </c>
      <c r="Y25" s="11">
        <v>8.39</v>
      </c>
      <c r="Z25" s="12"/>
    </row>
    <row r="26" spans="1:26" x14ac:dyDescent="0.25">
      <c r="A26" s="14">
        <v>1984</v>
      </c>
      <c r="B26" s="15">
        <v>1.71</v>
      </c>
      <c r="C26" s="15">
        <v>4.75</v>
      </c>
      <c r="D26" s="16"/>
      <c r="E26" s="15">
        <v>7.37</v>
      </c>
      <c r="F26" s="16"/>
      <c r="G26" s="15">
        <v>6.25</v>
      </c>
      <c r="H26" s="15">
        <v>6.88</v>
      </c>
      <c r="I26" s="17" t="s">
        <v>64</v>
      </c>
      <c r="J26" s="15">
        <v>8.89</v>
      </c>
      <c r="K26" s="16"/>
      <c r="L26" s="15">
        <v>4.75</v>
      </c>
      <c r="M26" s="16"/>
      <c r="N26" s="15">
        <v>7.72</v>
      </c>
      <c r="O26" s="16"/>
      <c r="P26" s="15">
        <v>7.68</v>
      </c>
      <c r="Q26" s="16"/>
      <c r="R26" s="15">
        <v>0.67</v>
      </c>
      <c r="S26" s="15">
        <v>2.5299999999999998</v>
      </c>
      <c r="T26" s="16"/>
      <c r="U26" s="15">
        <v>5.04</v>
      </c>
      <c r="V26" s="16"/>
      <c r="W26" s="15">
        <v>2.02</v>
      </c>
      <c r="X26" s="15">
        <v>18.5</v>
      </c>
      <c r="Y26" s="15">
        <v>8.2799999999999994</v>
      </c>
      <c r="Z26" s="17" t="s">
        <v>64</v>
      </c>
    </row>
    <row r="27" spans="1:26" x14ac:dyDescent="0.25">
      <c r="A27" s="10">
        <v>1985</v>
      </c>
      <c r="B27" s="11">
        <v>1.69</v>
      </c>
      <c r="C27" s="11">
        <v>4.6100000000000003</v>
      </c>
      <c r="D27" s="12"/>
      <c r="E27" s="11">
        <v>7.22</v>
      </c>
      <c r="F27" s="12"/>
      <c r="G27" s="11">
        <v>5.91</v>
      </c>
      <c r="H27" s="11">
        <v>6.55</v>
      </c>
      <c r="I27" s="12"/>
      <c r="J27" s="11">
        <v>9.01</v>
      </c>
      <c r="K27" s="12"/>
      <c r="L27" s="11">
        <v>4.3</v>
      </c>
      <c r="M27" s="12"/>
      <c r="N27" s="11">
        <v>7.55</v>
      </c>
      <c r="O27" s="12"/>
      <c r="P27" s="11">
        <v>7.63</v>
      </c>
      <c r="Q27" s="12"/>
      <c r="R27" s="11">
        <v>0.71</v>
      </c>
      <c r="S27" s="11">
        <v>2.4700000000000002</v>
      </c>
      <c r="T27" s="12"/>
      <c r="U27" s="11">
        <v>4.92</v>
      </c>
      <c r="V27" s="12"/>
      <c r="W27" s="11">
        <v>1.91</v>
      </c>
      <c r="X27" s="11">
        <v>19.05</v>
      </c>
      <c r="Y27" s="11">
        <v>8.3699999999999992</v>
      </c>
      <c r="Z27" s="12"/>
    </row>
    <row r="28" spans="1:26" x14ac:dyDescent="0.25">
      <c r="A28" s="10">
        <v>1986</v>
      </c>
      <c r="B28" s="11">
        <v>1.62</v>
      </c>
      <c r="C28" s="11">
        <v>4.07</v>
      </c>
      <c r="D28" s="12"/>
      <c r="E28" s="11">
        <v>5.68</v>
      </c>
      <c r="F28" s="12"/>
      <c r="G28" s="11">
        <v>3.92</v>
      </c>
      <c r="H28" s="11">
        <v>6.43</v>
      </c>
      <c r="I28" s="13" t="s">
        <v>64</v>
      </c>
      <c r="J28" s="11">
        <v>6.79</v>
      </c>
      <c r="K28" s="12"/>
      <c r="L28" s="11">
        <v>2.37</v>
      </c>
      <c r="M28" s="12"/>
      <c r="N28" s="11">
        <v>5.8</v>
      </c>
      <c r="O28" s="12"/>
      <c r="P28" s="11">
        <v>5.73</v>
      </c>
      <c r="Q28" s="12"/>
      <c r="R28" s="11">
        <v>0.7</v>
      </c>
      <c r="S28" s="11">
        <v>2.12</v>
      </c>
      <c r="T28" s="12"/>
      <c r="U28" s="11">
        <v>3.97</v>
      </c>
      <c r="V28" s="12"/>
      <c r="W28" s="11">
        <v>1.6</v>
      </c>
      <c r="X28" s="11">
        <v>19.05</v>
      </c>
      <c r="Y28" s="11">
        <v>7.3</v>
      </c>
      <c r="Z28" s="12"/>
    </row>
    <row r="29" spans="1:26" x14ac:dyDescent="0.25">
      <c r="A29" s="14">
        <v>1987</v>
      </c>
      <c r="B29" s="15">
        <v>1.53</v>
      </c>
      <c r="C29" s="15">
        <v>3.77</v>
      </c>
      <c r="D29" s="16"/>
      <c r="E29" s="15">
        <v>5.97</v>
      </c>
      <c r="F29" s="16"/>
      <c r="G29" s="15">
        <v>4.03</v>
      </c>
      <c r="H29" s="15">
        <v>6.05</v>
      </c>
      <c r="I29" s="17" t="s">
        <v>64</v>
      </c>
      <c r="J29" s="15">
        <v>7.23</v>
      </c>
      <c r="K29" s="16"/>
      <c r="L29" s="15">
        <v>2.86</v>
      </c>
      <c r="M29" s="16"/>
      <c r="N29" s="15">
        <v>5.63</v>
      </c>
      <c r="O29" s="16"/>
      <c r="P29" s="15">
        <v>6.04</v>
      </c>
      <c r="Q29" s="16"/>
      <c r="R29" s="15">
        <v>0.71</v>
      </c>
      <c r="S29" s="15">
        <v>2.0699999999999998</v>
      </c>
      <c r="T29" s="16"/>
      <c r="U29" s="15">
        <v>4</v>
      </c>
      <c r="V29" s="16"/>
      <c r="W29" s="15">
        <v>1.57</v>
      </c>
      <c r="X29" s="15">
        <v>18.739999999999998</v>
      </c>
      <c r="Y29" s="15">
        <v>7.34</v>
      </c>
      <c r="Z29" s="16"/>
    </row>
    <row r="30" spans="1:26" x14ac:dyDescent="0.25">
      <c r="A30" s="10">
        <v>1988</v>
      </c>
      <c r="B30" s="11">
        <v>1.5</v>
      </c>
      <c r="C30" s="11">
        <v>3.78</v>
      </c>
      <c r="D30" s="12"/>
      <c r="E30" s="11">
        <v>5.83</v>
      </c>
      <c r="F30" s="12"/>
      <c r="G30" s="11">
        <v>3.8</v>
      </c>
      <c r="H30" s="11">
        <v>5.86</v>
      </c>
      <c r="I30" s="13" t="s">
        <v>64</v>
      </c>
      <c r="J30" s="11">
        <v>7.33</v>
      </c>
      <c r="K30" s="12"/>
      <c r="L30" s="11">
        <v>2.35</v>
      </c>
      <c r="M30" s="12"/>
      <c r="N30" s="11">
        <v>5.26</v>
      </c>
      <c r="O30" s="12"/>
      <c r="P30" s="11">
        <v>5.91</v>
      </c>
      <c r="Q30" s="12"/>
      <c r="R30" s="11">
        <v>0.73</v>
      </c>
      <c r="S30" s="11">
        <v>2.09</v>
      </c>
      <c r="T30" s="12"/>
      <c r="U30" s="11">
        <v>3.89</v>
      </c>
      <c r="V30" s="12"/>
      <c r="W30" s="11">
        <v>1.49</v>
      </c>
      <c r="X30" s="11">
        <v>18.68</v>
      </c>
      <c r="Y30" s="11">
        <v>7.26</v>
      </c>
      <c r="Z30" s="12"/>
    </row>
    <row r="31" spans="1:26" x14ac:dyDescent="0.25">
      <c r="A31" s="10">
        <v>1989</v>
      </c>
      <c r="B31" s="11">
        <v>1.48</v>
      </c>
      <c r="C31" s="11">
        <v>3.82</v>
      </c>
      <c r="D31" s="12"/>
      <c r="E31" s="11">
        <v>6.43</v>
      </c>
      <c r="F31" s="12"/>
      <c r="G31" s="11">
        <v>4.3899999999999997</v>
      </c>
      <c r="H31" s="11">
        <v>5.51</v>
      </c>
      <c r="I31" s="13" t="s">
        <v>64</v>
      </c>
      <c r="J31" s="11">
        <v>8.02</v>
      </c>
      <c r="K31" s="12"/>
      <c r="L31" s="11">
        <v>2.72</v>
      </c>
      <c r="M31" s="12"/>
      <c r="N31" s="11">
        <v>5.5</v>
      </c>
      <c r="O31" s="12"/>
      <c r="P31" s="11">
        <v>6.43</v>
      </c>
      <c r="Q31" s="12"/>
      <c r="R31" s="11">
        <v>0.7</v>
      </c>
      <c r="S31" s="11">
        <v>1.42</v>
      </c>
      <c r="T31" s="12"/>
      <c r="U31" s="11">
        <v>4.07</v>
      </c>
      <c r="V31" s="12"/>
      <c r="W31" s="11">
        <v>1.51</v>
      </c>
      <c r="X31" s="11">
        <v>18.98</v>
      </c>
      <c r="Y31" s="11">
        <v>7.55</v>
      </c>
      <c r="Z31" s="12"/>
    </row>
    <row r="32" spans="1:26" x14ac:dyDescent="0.25">
      <c r="A32" s="14">
        <v>1990</v>
      </c>
      <c r="B32" s="15">
        <v>1.49</v>
      </c>
      <c r="C32" s="15">
        <v>3.82</v>
      </c>
      <c r="D32" s="16"/>
      <c r="E32" s="15">
        <v>7.68</v>
      </c>
      <c r="F32" s="16"/>
      <c r="G32" s="15">
        <v>5.68</v>
      </c>
      <c r="H32" s="15">
        <v>6.72</v>
      </c>
      <c r="I32" s="17" t="s">
        <v>64</v>
      </c>
      <c r="J32" s="15">
        <v>9.1199999999999992</v>
      </c>
      <c r="K32" s="16"/>
      <c r="L32" s="15">
        <v>3.17</v>
      </c>
      <c r="M32" s="16"/>
      <c r="N32" s="15">
        <v>5.82</v>
      </c>
      <c r="O32" s="16"/>
      <c r="P32" s="15">
        <v>7.47</v>
      </c>
      <c r="Q32" s="16"/>
      <c r="R32" s="15">
        <v>0.67</v>
      </c>
      <c r="S32" s="15">
        <v>1.32</v>
      </c>
      <c r="T32" s="16"/>
      <c r="U32" s="15">
        <v>4.45</v>
      </c>
      <c r="V32" s="17" t="s">
        <v>64</v>
      </c>
      <c r="W32" s="15">
        <v>1.48</v>
      </c>
      <c r="X32" s="15">
        <v>19.32</v>
      </c>
      <c r="Y32" s="15">
        <v>8.24</v>
      </c>
      <c r="Z32" s="17" t="s">
        <v>64</v>
      </c>
    </row>
    <row r="33" spans="1:26" x14ac:dyDescent="0.25">
      <c r="A33" s="10">
        <v>1991</v>
      </c>
      <c r="B33" s="11">
        <v>1.48</v>
      </c>
      <c r="C33" s="11">
        <v>3.74</v>
      </c>
      <c r="D33" s="12"/>
      <c r="E33" s="11">
        <v>7.29</v>
      </c>
      <c r="F33" s="12"/>
      <c r="G33" s="11">
        <v>4.83</v>
      </c>
      <c r="H33" s="11">
        <v>6.77</v>
      </c>
      <c r="I33" s="13" t="s">
        <v>64</v>
      </c>
      <c r="J33" s="11">
        <v>8.93</v>
      </c>
      <c r="K33" s="12"/>
      <c r="L33" s="11">
        <v>2.62</v>
      </c>
      <c r="M33" s="12"/>
      <c r="N33" s="11">
        <v>5.73</v>
      </c>
      <c r="O33" s="13" t="s">
        <v>64</v>
      </c>
      <c r="P33" s="11">
        <v>7.19</v>
      </c>
      <c r="Q33" s="13" t="s">
        <v>64</v>
      </c>
      <c r="R33" s="11">
        <v>0.63</v>
      </c>
      <c r="S33" s="11">
        <v>1.39</v>
      </c>
      <c r="T33" s="12"/>
      <c r="U33" s="11">
        <v>4.28</v>
      </c>
      <c r="V33" s="13" t="s">
        <v>64</v>
      </c>
      <c r="W33" s="11">
        <v>1.4</v>
      </c>
      <c r="X33" s="11">
        <v>19.84</v>
      </c>
      <c r="Y33" s="11">
        <v>8.1999999999999993</v>
      </c>
      <c r="Z33" s="12"/>
    </row>
    <row r="34" spans="1:26" x14ac:dyDescent="0.25">
      <c r="A34" s="10">
        <v>1992</v>
      </c>
      <c r="B34" s="11">
        <v>1.45</v>
      </c>
      <c r="C34" s="11">
        <v>3.83</v>
      </c>
      <c r="D34" s="12"/>
      <c r="E34" s="11">
        <v>7.09</v>
      </c>
      <c r="F34" s="12"/>
      <c r="G34" s="11">
        <v>4.5199999999999996</v>
      </c>
      <c r="H34" s="11">
        <v>6.16</v>
      </c>
      <c r="I34" s="13" t="s">
        <v>64</v>
      </c>
      <c r="J34" s="11">
        <v>8.9600000000000009</v>
      </c>
      <c r="K34" s="12"/>
      <c r="L34" s="11">
        <v>2.2799999999999998</v>
      </c>
      <c r="M34" s="12"/>
      <c r="N34" s="11">
        <v>5.51</v>
      </c>
      <c r="O34" s="13" t="s">
        <v>64</v>
      </c>
      <c r="P34" s="11">
        <v>7.07</v>
      </c>
      <c r="Q34" s="12"/>
      <c r="R34" s="11">
        <v>0.59</v>
      </c>
      <c r="S34" s="11">
        <v>1.32</v>
      </c>
      <c r="T34" s="12"/>
      <c r="U34" s="11">
        <v>4.24</v>
      </c>
      <c r="V34" s="12"/>
      <c r="W34" s="11">
        <v>1.38</v>
      </c>
      <c r="X34" s="11">
        <v>20.059999999999999</v>
      </c>
      <c r="Y34" s="11">
        <v>8.1300000000000008</v>
      </c>
      <c r="Z34" s="12"/>
    </row>
    <row r="35" spans="1:26" x14ac:dyDescent="0.25">
      <c r="A35" s="14">
        <v>1993</v>
      </c>
      <c r="B35" s="15">
        <v>1.42</v>
      </c>
      <c r="C35" s="15">
        <v>4.0999999999999996</v>
      </c>
      <c r="D35" s="16"/>
      <c r="E35" s="15">
        <v>7.08</v>
      </c>
      <c r="F35" s="16"/>
      <c r="G35" s="15">
        <v>4.29</v>
      </c>
      <c r="H35" s="15">
        <v>6.17</v>
      </c>
      <c r="I35" s="17" t="s">
        <v>64</v>
      </c>
      <c r="J35" s="15">
        <v>8.83</v>
      </c>
      <c r="K35" s="16"/>
      <c r="L35" s="15">
        <v>2.2599999999999998</v>
      </c>
      <c r="M35" s="16"/>
      <c r="N35" s="15">
        <v>5.49</v>
      </c>
      <c r="O35" s="17" t="s">
        <v>64</v>
      </c>
      <c r="P35" s="15">
        <v>7</v>
      </c>
      <c r="Q35" s="17" t="s">
        <v>64</v>
      </c>
      <c r="R35" s="15">
        <v>0.56000000000000005</v>
      </c>
      <c r="S35" s="15">
        <v>1.28</v>
      </c>
      <c r="T35" s="16"/>
      <c r="U35" s="15">
        <v>4.25</v>
      </c>
      <c r="V35" s="17" t="s">
        <v>64</v>
      </c>
      <c r="W35" s="15">
        <v>1.4</v>
      </c>
      <c r="X35" s="15">
        <v>20.38</v>
      </c>
      <c r="Y35" s="15">
        <v>8.25</v>
      </c>
      <c r="Z35" s="16"/>
    </row>
    <row r="36" spans="1:26" x14ac:dyDescent="0.25">
      <c r="A36" s="10">
        <v>1994</v>
      </c>
      <c r="B36" s="11">
        <v>1.39</v>
      </c>
      <c r="C36" s="11">
        <v>4.08</v>
      </c>
      <c r="D36" s="12"/>
      <c r="E36" s="11">
        <v>6.99</v>
      </c>
      <c r="F36" s="12"/>
      <c r="G36" s="11">
        <v>3.95</v>
      </c>
      <c r="H36" s="11">
        <v>6.61</v>
      </c>
      <c r="I36" s="13" t="s">
        <v>64</v>
      </c>
      <c r="J36" s="11">
        <v>8.9600000000000009</v>
      </c>
      <c r="K36" s="12"/>
      <c r="L36" s="11">
        <v>2.3199999999999998</v>
      </c>
      <c r="M36" s="12"/>
      <c r="N36" s="11">
        <v>5.47</v>
      </c>
      <c r="O36" s="12"/>
      <c r="P36" s="11">
        <v>7.06</v>
      </c>
      <c r="Q36" s="12"/>
      <c r="R36" s="11">
        <v>0.56000000000000005</v>
      </c>
      <c r="S36" s="11">
        <v>1.39</v>
      </c>
      <c r="T36" s="12"/>
      <c r="U36" s="11">
        <v>4.2699999999999996</v>
      </c>
      <c r="V36" s="12"/>
      <c r="W36" s="11">
        <v>1.36</v>
      </c>
      <c r="X36" s="11">
        <v>20.329999999999998</v>
      </c>
      <c r="Y36" s="11">
        <v>8.3000000000000007</v>
      </c>
      <c r="Z36" s="12"/>
    </row>
    <row r="37" spans="1:26" x14ac:dyDescent="0.25">
      <c r="A37" s="10">
        <v>1995</v>
      </c>
      <c r="B37" s="11">
        <v>1.37</v>
      </c>
      <c r="C37" s="11">
        <v>3.73</v>
      </c>
      <c r="D37" s="12"/>
      <c r="E37" s="11">
        <v>6.98</v>
      </c>
      <c r="F37" s="12"/>
      <c r="G37" s="11">
        <v>4</v>
      </c>
      <c r="H37" s="11">
        <v>6.51</v>
      </c>
      <c r="I37" s="13" t="s">
        <v>64</v>
      </c>
      <c r="J37" s="11">
        <v>9.2200000000000006</v>
      </c>
      <c r="K37" s="12"/>
      <c r="L37" s="11">
        <v>2.46</v>
      </c>
      <c r="M37" s="12"/>
      <c r="N37" s="11">
        <v>5.74</v>
      </c>
      <c r="O37" s="12"/>
      <c r="P37" s="11">
        <v>7.28</v>
      </c>
      <c r="Q37" s="13" t="s">
        <v>64</v>
      </c>
      <c r="R37" s="11">
        <v>0.54</v>
      </c>
      <c r="S37" s="11">
        <v>1.4</v>
      </c>
      <c r="T37" s="12"/>
      <c r="U37" s="11">
        <v>4.2300000000000004</v>
      </c>
      <c r="V37" s="12"/>
      <c r="W37" s="11">
        <v>1.29</v>
      </c>
      <c r="X37" s="11">
        <v>20.29</v>
      </c>
      <c r="Y37" s="11">
        <v>8.2799999999999994</v>
      </c>
      <c r="Z37" s="12"/>
    </row>
    <row r="38" spans="1:26" x14ac:dyDescent="0.25">
      <c r="A38" s="14">
        <v>1996</v>
      </c>
      <c r="B38" s="15">
        <v>1.33</v>
      </c>
      <c r="C38" s="15">
        <v>4.25</v>
      </c>
      <c r="D38" s="16"/>
      <c r="E38" s="15">
        <v>7.87</v>
      </c>
      <c r="F38" s="16"/>
      <c r="G38" s="15">
        <v>4.82</v>
      </c>
      <c r="H38" s="15">
        <v>7.98</v>
      </c>
      <c r="I38" s="17" t="s">
        <v>64</v>
      </c>
      <c r="J38" s="15">
        <v>9.85</v>
      </c>
      <c r="K38" s="16"/>
      <c r="L38" s="15">
        <v>2.8</v>
      </c>
      <c r="M38" s="16"/>
      <c r="N38" s="15">
        <v>6.2</v>
      </c>
      <c r="O38" s="17" t="s">
        <v>64</v>
      </c>
      <c r="P38" s="15">
        <v>8.01</v>
      </c>
      <c r="Q38" s="17" t="s">
        <v>64</v>
      </c>
      <c r="R38" s="15">
        <v>0.51</v>
      </c>
      <c r="S38" s="15">
        <v>1.25</v>
      </c>
      <c r="T38" s="16"/>
      <c r="U38" s="15">
        <v>4.63</v>
      </c>
      <c r="V38" s="16"/>
      <c r="W38" s="15">
        <v>1.35</v>
      </c>
      <c r="X38" s="15">
        <v>20.16</v>
      </c>
      <c r="Y38" s="15">
        <v>8.75</v>
      </c>
      <c r="Z38" s="16"/>
    </row>
    <row r="39" spans="1:26" x14ac:dyDescent="0.25">
      <c r="A39" s="10">
        <v>1997</v>
      </c>
      <c r="B39" s="11">
        <v>1.32</v>
      </c>
      <c r="C39" s="11">
        <v>4.53</v>
      </c>
      <c r="D39" s="12"/>
      <c r="E39" s="11">
        <v>7.66</v>
      </c>
      <c r="F39" s="12"/>
      <c r="G39" s="11">
        <v>4.53</v>
      </c>
      <c r="H39" s="11">
        <v>7.39</v>
      </c>
      <c r="I39" s="13" t="s">
        <v>64</v>
      </c>
      <c r="J39" s="11">
        <v>9.81</v>
      </c>
      <c r="K39" s="12"/>
      <c r="L39" s="11">
        <v>2.93</v>
      </c>
      <c r="M39" s="12"/>
      <c r="N39" s="11">
        <v>5.89</v>
      </c>
      <c r="O39" s="13" t="s">
        <v>64</v>
      </c>
      <c r="P39" s="11">
        <v>7.86</v>
      </c>
      <c r="Q39" s="12"/>
      <c r="R39" s="11">
        <v>0.51</v>
      </c>
      <c r="S39" s="11">
        <v>1.1499999999999999</v>
      </c>
      <c r="T39" s="12"/>
      <c r="U39" s="11">
        <v>4.66</v>
      </c>
      <c r="V39" s="12"/>
      <c r="W39" s="11">
        <v>1.38</v>
      </c>
      <c r="X39" s="11">
        <v>20.13</v>
      </c>
      <c r="Y39" s="11">
        <v>8.8000000000000007</v>
      </c>
      <c r="Z39" s="12"/>
    </row>
    <row r="40" spans="1:26" x14ac:dyDescent="0.25">
      <c r="A40" s="10">
        <v>1998</v>
      </c>
      <c r="B40" s="11">
        <v>1.29</v>
      </c>
      <c r="C40" s="11">
        <v>4.13</v>
      </c>
      <c r="D40" s="12"/>
      <c r="E40" s="11">
        <v>6.57</v>
      </c>
      <c r="F40" s="12"/>
      <c r="G40" s="11">
        <v>3.35</v>
      </c>
      <c r="H40" s="11">
        <v>5.95</v>
      </c>
      <c r="I40" s="13" t="s">
        <v>64</v>
      </c>
      <c r="J40" s="11">
        <v>8.4499999999999993</v>
      </c>
      <c r="K40" s="12"/>
      <c r="L40" s="11">
        <v>2.15</v>
      </c>
      <c r="M40" s="12"/>
      <c r="N40" s="11">
        <v>5.0199999999999996</v>
      </c>
      <c r="O40" s="13" t="s">
        <v>64</v>
      </c>
      <c r="P40" s="11">
        <v>6.63</v>
      </c>
      <c r="Q40" s="13" t="s">
        <v>64</v>
      </c>
      <c r="R40" s="11">
        <v>0.5</v>
      </c>
      <c r="S40" s="11">
        <v>1.27</v>
      </c>
      <c r="T40" s="12"/>
      <c r="U40" s="11">
        <v>4.08</v>
      </c>
      <c r="V40" s="12"/>
      <c r="W40" s="11">
        <v>1.32</v>
      </c>
      <c r="X40" s="11">
        <v>19.8</v>
      </c>
      <c r="Y40" s="11">
        <v>8.1999999999999993</v>
      </c>
      <c r="Z40" s="12"/>
    </row>
    <row r="41" spans="1:26" x14ac:dyDescent="0.25">
      <c r="A41" s="14">
        <v>1999</v>
      </c>
      <c r="B41" s="15">
        <v>1.27</v>
      </c>
      <c r="C41" s="15">
        <v>4.16</v>
      </c>
      <c r="D41" s="16"/>
      <c r="E41" s="15">
        <v>7.19</v>
      </c>
      <c r="F41" s="16"/>
      <c r="G41" s="15">
        <v>4.01</v>
      </c>
      <c r="H41" s="15">
        <v>6.6</v>
      </c>
      <c r="I41" s="17" t="s">
        <v>64</v>
      </c>
      <c r="J41" s="15">
        <v>9.31</v>
      </c>
      <c r="K41" s="16"/>
      <c r="L41" s="15">
        <v>2.5099999999999998</v>
      </c>
      <c r="M41" s="16"/>
      <c r="N41" s="15">
        <v>5.3</v>
      </c>
      <c r="O41" s="16"/>
      <c r="P41" s="15">
        <v>7.33</v>
      </c>
      <c r="Q41" s="16"/>
      <c r="R41" s="15">
        <v>0.48</v>
      </c>
      <c r="S41" s="15">
        <v>1.34</v>
      </c>
      <c r="T41" s="16"/>
      <c r="U41" s="15">
        <v>4.37</v>
      </c>
      <c r="V41" s="16"/>
      <c r="W41" s="15">
        <v>1.33</v>
      </c>
      <c r="X41" s="15">
        <v>19.52</v>
      </c>
      <c r="Y41" s="15">
        <v>8.5299999999999994</v>
      </c>
      <c r="Z41" s="16"/>
    </row>
    <row r="42" spans="1:26" x14ac:dyDescent="0.25">
      <c r="A42" s="10">
        <v>2000</v>
      </c>
      <c r="B42" s="11">
        <v>1.24</v>
      </c>
      <c r="C42" s="11">
        <v>5.62</v>
      </c>
      <c r="D42" s="12"/>
      <c r="E42" s="11">
        <v>9.86</v>
      </c>
      <c r="F42" s="12"/>
      <c r="G42" s="11">
        <v>6.64</v>
      </c>
      <c r="H42" s="11">
        <v>9.5500000000000007</v>
      </c>
      <c r="I42" s="13" t="s">
        <v>64</v>
      </c>
      <c r="J42" s="11">
        <v>11.89</v>
      </c>
      <c r="K42" s="13" t="s">
        <v>64</v>
      </c>
      <c r="L42" s="11">
        <v>4.32</v>
      </c>
      <c r="M42" s="12"/>
      <c r="N42" s="11">
        <v>7.04</v>
      </c>
      <c r="O42" s="13" t="s">
        <v>64</v>
      </c>
      <c r="P42" s="11">
        <v>9.82</v>
      </c>
      <c r="Q42" s="13" t="s">
        <v>64</v>
      </c>
      <c r="R42" s="11">
        <v>0.46</v>
      </c>
      <c r="S42" s="11">
        <v>1.58</v>
      </c>
      <c r="T42" s="12"/>
      <c r="U42" s="11">
        <v>5.7</v>
      </c>
      <c r="V42" s="13" t="s">
        <v>64</v>
      </c>
      <c r="W42" s="11">
        <v>1.71</v>
      </c>
      <c r="X42" s="11">
        <v>20.03</v>
      </c>
      <c r="Y42" s="11">
        <v>10.28</v>
      </c>
      <c r="Z42" s="13" t="s">
        <v>64</v>
      </c>
    </row>
    <row r="43" spans="1:26" x14ac:dyDescent="0.25">
      <c r="A43" s="10">
        <v>2001</v>
      </c>
      <c r="B43" s="11">
        <v>1.29</v>
      </c>
      <c r="C43" s="11">
        <v>6.87</v>
      </c>
      <c r="D43" s="12"/>
      <c r="E43" s="11">
        <v>9.18</v>
      </c>
      <c r="F43" s="13" t="s">
        <v>64</v>
      </c>
      <c r="G43" s="11">
        <v>5.72</v>
      </c>
      <c r="H43" s="11">
        <v>9.5399999999999991</v>
      </c>
      <c r="I43" s="13" t="s">
        <v>64</v>
      </c>
      <c r="J43" s="11">
        <v>11.34</v>
      </c>
      <c r="K43" s="13" t="s">
        <v>64</v>
      </c>
      <c r="L43" s="11">
        <v>3.99</v>
      </c>
      <c r="M43" s="12"/>
      <c r="N43" s="11">
        <v>6.41</v>
      </c>
      <c r="O43" s="13" t="s">
        <v>64</v>
      </c>
      <c r="P43" s="11">
        <v>9.32</v>
      </c>
      <c r="Q43" s="12"/>
      <c r="R43" s="11">
        <v>0.44</v>
      </c>
      <c r="S43" s="11">
        <v>2.08</v>
      </c>
      <c r="T43" s="12"/>
      <c r="U43" s="11">
        <v>5.83</v>
      </c>
      <c r="V43" s="12"/>
      <c r="W43" s="11">
        <v>1.85</v>
      </c>
      <c r="X43" s="11">
        <v>21.41</v>
      </c>
      <c r="Y43" s="11">
        <v>10.73</v>
      </c>
      <c r="Z43" s="12"/>
    </row>
    <row r="44" spans="1:26" x14ac:dyDescent="0.25">
      <c r="A44" s="14">
        <v>2002</v>
      </c>
      <c r="B44" s="15">
        <v>1.3</v>
      </c>
      <c r="C44" s="15">
        <v>5.31</v>
      </c>
      <c r="D44" s="17" t="s">
        <v>64</v>
      </c>
      <c r="E44" s="15">
        <v>8.64</v>
      </c>
      <c r="F44" s="17" t="s">
        <v>64</v>
      </c>
      <c r="G44" s="15">
        <v>5.33</v>
      </c>
      <c r="H44" s="15">
        <v>8.09</v>
      </c>
      <c r="I44" s="17" t="s">
        <v>64</v>
      </c>
      <c r="J44" s="15">
        <v>10.69</v>
      </c>
      <c r="K44" s="17" t="s">
        <v>64</v>
      </c>
      <c r="L44" s="15">
        <v>3.91</v>
      </c>
      <c r="M44" s="16"/>
      <c r="N44" s="15">
        <v>6.59</v>
      </c>
      <c r="O44" s="17" t="s">
        <v>64</v>
      </c>
      <c r="P44" s="15">
        <v>8.83</v>
      </c>
      <c r="Q44" s="17" t="s">
        <v>64</v>
      </c>
      <c r="R44" s="15">
        <v>0.43</v>
      </c>
      <c r="S44" s="15">
        <v>2.19</v>
      </c>
      <c r="T44" s="16"/>
      <c r="U44" s="15">
        <v>5.25</v>
      </c>
      <c r="V44" s="17" t="s">
        <v>64</v>
      </c>
      <c r="W44" s="15">
        <v>1.54</v>
      </c>
      <c r="X44" s="15">
        <v>21.15</v>
      </c>
      <c r="Y44" s="15">
        <v>10.06</v>
      </c>
      <c r="Z44" s="17" t="s">
        <v>64</v>
      </c>
    </row>
    <row r="45" spans="1:26" x14ac:dyDescent="0.25">
      <c r="A45" s="10">
        <v>2003</v>
      </c>
      <c r="B45" s="11">
        <v>1.32</v>
      </c>
      <c r="C45" s="11">
        <v>7.08</v>
      </c>
      <c r="D45" s="13" t="s">
        <v>64</v>
      </c>
      <c r="E45" s="11">
        <v>10.050000000000001</v>
      </c>
      <c r="F45" s="13" t="s">
        <v>64</v>
      </c>
      <c r="G45" s="11">
        <v>6.46</v>
      </c>
      <c r="H45" s="11">
        <v>10.32</v>
      </c>
      <c r="I45" s="13" t="s">
        <v>64</v>
      </c>
      <c r="J45" s="11">
        <v>12.34</v>
      </c>
      <c r="K45" s="12"/>
      <c r="L45" s="11">
        <v>4.75</v>
      </c>
      <c r="M45" s="12"/>
      <c r="N45" s="11">
        <v>7.62</v>
      </c>
      <c r="O45" s="13" t="s">
        <v>64</v>
      </c>
      <c r="P45" s="11">
        <v>10.31</v>
      </c>
      <c r="Q45" s="12"/>
      <c r="R45" s="11">
        <v>0.42</v>
      </c>
      <c r="S45" s="11">
        <v>1.98</v>
      </c>
      <c r="T45" s="12"/>
      <c r="U45" s="11">
        <v>6.28</v>
      </c>
      <c r="V45" s="13" t="s">
        <v>64</v>
      </c>
      <c r="W45" s="11">
        <v>1.84</v>
      </c>
      <c r="X45" s="11">
        <v>21.85</v>
      </c>
      <c r="Y45" s="11">
        <v>11.42</v>
      </c>
      <c r="Z45" s="13" t="s">
        <v>64</v>
      </c>
    </row>
    <row r="46" spans="1:26" x14ac:dyDescent="0.25">
      <c r="A46" s="10">
        <v>2004</v>
      </c>
      <c r="B46" s="11">
        <v>1.41</v>
      </c>
      <c r="C46" s="11">
        <v>7.91</v>
      </c>
      <c r="D46" s="13" t="s">
        <v>64</v>
      </c>
      <c r="E46" s="11">
        <v>12.23</v>
      </c>
      <c r="F46" s="13" t="s">
        <v>64</v>
      </c>
      <c r="G46" s="11">
        <v>8.93</v>
      </c>
      <c r="H46" s="11">
        <v>12.24</v>
      </c>
      <c r="I46" s="13" t="s">
        <v>64</v>
      </c>
      <c r="J46" s="11">
        <v>14.67</v>
      </c>
      <c r="K46" s="13" t="s">
        <v>64</v>
      </c>
      <c r="L46" s="11">
        <v>4.92</v>
      </c>
      <c r="M46" s="12"/>
      <c r="N46" s="11">
        <v>8.56</v>
      </c>
      <c r="O46" s="13" t="s">
        <v>64</v>
      </c>
      <c r="P46" s="11">
        <v>12.27</v>
      </c>
      <c r="Q46" s="13" t="s">
        <v>64</v>
      </c>
      <c r="R46" s="11">
        <v>0.42</v>
      </c>
      <c r="S46" s="11">
        <v>2.17</v>
      </c>
      <c r="T46" s="12"/>
      <c r="U46" s="11">
        <v>7.37</v>
      </c>
      <c r="V46" s="13" t="s">
        <v>64</v>
      </c>
      <c r="W46" s="11">
        <v>2</v>
      </c>
      <c r="X46" s="11">
        <v>22.38</v>
      </c>
      <c r="Y46" s="11">
        <v>12.87</v>
      </c>
      <c r="Z46" s="12"/>
    </row>
    <row r="47" spans="1:26" x14ac:dyDescent="0.25">
      <c r="A47" s="14">
        <v>2005</v>
      </c>
      <c r="B47" s="15">
        <v>1.62</v>
      </c>
      <c r="C47" s="15">
        <v>9.92</v>
      </c>
      <c r="D47" s="16"/>
      <c r="E47" s="15">
        <v>16.41</v>
      </c>
      <c r="F47" s="17" t="s">
        <v>64</v>
      </c>
      <c r="G47" s="15">
        <v>12.86</v>
      </c>
      <c r="H47" s="15">
        <v>14.58</v>
      </c>
      <c r="I47" s="17" t="s">
        <v>64</v>
      </c>
      <c r="J47" s="15">
        <v>17.89</v>
      </c>
      <c r="K47" s="17" t="s">
        <v>64</v>
      </c>
      <c r="L47" s="15">
        <v>6.65</v>
      </c>
      <c r="M47" s="16"/>
      <c r="N47" s="15">
        <v>10.98</v>
      </c>
      <c r="O47" s="17" t="s">
        <v>64</v>
      </c>
      <c r="P47" s="15">
        <v>15.53</v>
      </c>
      <c r="Q47" s="17" t="s">
        <v>64</v>
      </c>
      <c r="R47" s="15">
        <v>0.43</v>
      </c>
      <c r="S47" s="15">
        <v>3.1</v>
      </c>
      <c r="T47" s="16"/>
      <c r="U47" s="15">
        <v>9.24</v>
      </c>
      <c r="V47" s="17" t="s">
        <v>64</v>
      </c>
      <c r="W47" s="15">
        <v>2.61</v>
      </c>
      <c r="X47" s="15">
        <v>23.92</v>
      </c>
      <c r="Y47" s="15">
        <v>15.55</v>
      </c>
      <c r="Z47" s="17" t="s">
        <v>64</v>
      </c>
    </row>
    <row r="48" spans="1:26" x14ac:dyDescent="0.25">
      <c r="A48" s="10">
        <v>2006</v>
      </c>
      <c r="B48" s="11">
        <v>1.78</v>
      </c>
      <c r="C48" s="11">
        <v>9.6199999999999992</v>
      </c>
      <c r="D48" s="12"/>
      <c r="E48" s="11">
        <v>18.55</v>
      </c>
      <c r="F48" s="13" t="s">
        <v>64</v>
      </c>
      <c r="G48" s="11">
        <v>14.8</v>
      </c>
      <c r="H48" s="11">
        <v>16.850000000000001</v>
      </c>
      <c r="I48" s="13" t="s">
        <v>64</v>
      </c>
      <c r="J48" s="11">
        <v>20.27</v>
      </c>
      <c r="K48" s="12"/>
      <c r="L48" s="11">
        <v>7.93</v>
      </c>
      <c r="M48" s="12"/>
      <c r="N48" s="11">
        <v>13.37</v>
      </c>
      <c r="O48" s="13" t="s">
        <v>64</v>
      </c>
      <c r="P48" s="11">
        <v>17.920000000000002</v>
      </c>
      <c r="Q48" s="13" t="s">
        <v>64</v>
      </c>
      <c r="R48" s="11">
        <v>0.44</v>
      </c>
      <c r="S48" s="11">
        <v>3.15</v>
      </c>
      <c r="T48" s="13" t="s">
        <v>64</v>
      </c>
      <c r="U48" s="11">
        <v>10.210000000000001</v>
      </c>
      <c r="V48" s="13" t="s">
        <v>64</v>
      </c>
      <c r="W48" s="11">
        <v>2.48</v>
      </c>
      <c r="X48" s="11">
        <v>26.15</v>
      </c>
      <c r="Y48" s="11">
        <v>17.36</v>
      </c>
      <c r="Z48" s="13" t="s">
        <v>64</v>
      </c>
    </row>
    <row r="49" spans="1:26" x14ac:dyDescent="0.25">
      <c r="A49" s="10">
        <v>2007</v>
      </c>
      <c r="B49" s="11">
        <v>1.88</v>
      </c>
      <c r="C49" s="11">
        <v>9.31</v>
      </c>
      <c r="D49" s="13" t="s">
        <v>64</v>
      </c>
      <c r="E49" s="11">
        <v>19.87</v>
      </c>
      <c r="F49" s="13" t="s">
        <v>64</v>
      </c>
      <c r="G49" s="11">
        <v>16.010000000000002</v>
      </c>
      <c r="H49" s="11">
        <v>18.760000000000002</v>
      </c>
      <c r="I49" s="13" t="s">
        <v>64</v>
      </c>
      <c r="J49" s="11">
        <v>22.01</v>
      </c>
      <c r="K49" s="13" t="s">
        <v>64</v>
      </c>
      <c r="L49" s="11">
        <v>8.57</v>
      </c>
      <c r="M49" s="13" t="s">
        <v>64</v>
      </c>
      <c r="N49" s="11">
        <v>14.94</v>
      </c>
      <c r="O49" s="13" t="s">
        <v>64</v>
      </c>
      <c r="P49" s="11">
        <v>19.47</v>
      </c>
      <c r="Q49" s="13" t="s">
        <v>64</v>
      </c>
      <c r="R49" s="11">
        <v>0.46</v>
      </c>
      <c r="S49" s="11">
        <v>3.36</v>
      </c>
      <c r="T49" s="13" t="s">
        <v>64</v>
      </c>
      <c r="U49" s="11">
        <v>10.75</v>
      </c>
      <c r="V49" s="13" t="s">
        <v>64</v>
      </c>
      <c r="W49" s="11">
        <v>2.68</v>
      </c>
      <c r="X49" s="11">
        <v>26.84</v>
      </c>
      <c r="Y49" s="11">
        <v>18.239999999999998</v>
      </c>
      <c r="Z49" s="13" t="s">
        <v>64</v>
      </c>
    </row>
    <row r="50" spans="1:26" x14ac:dyDescent="0.25">
      <c r="A50" s="14">
        <v>2008</v>
      </c>
      <c r="B50" s="15">
        <v>2.21</v>
      </c>
      <c r="C50" s="15">
        <v>10.83</v>
      </c>
      <c r="D50" s="16"/>
      <c r="E50" s="15">
        <v>26.33</v>
      </c>
      <c r="F50" s="16"/>
      <c r="G50" s="15">
        <v>22.56</v>
      </c>
      <c r="H50" s="15">
        <v>23.35</v>
      </c>
      <c r="I50" s="16"/>
      <c r="J50" s="15">
        <v>25.53</v>
      </c>
      <c r="K50" s="16"/>
      <c r="L50" s="15">
        <v>12.64</v>
      </c>
      <c r="M50" s="16"/>
      <c r="N50" s="15">
        <v>18.829999999999998</v>
      </c>
      <c r="O50" s="16"/>
      <c r="P50" s="15">
        <v>24.18</v>
      </c>
      <c r="Q50" s="16"/>
      <c r="R50" s="15">
        <v>0.47</v>
      </c>
      <c r="S50" s="15">
        <v>3.71</v>
      </c>
      <c r="T50" s="16"/>
      <c r="U50" s="15">
        <v>12.93</v>
      </c>
      <c r="V50" s="16"/>
      <c r="W50" s="15">
        <v>3.21</v>
      </c>
      <c r="X50" s="15">
        <v>28.64</v>
      </c>
      <c r="Y50" s="15">
        <v>21.37</v>
      </c>
      <c r="Z50" s="16"/>
    </row>
    <row r="51" spans="1:26" x14ac:dyDescent="0.25">
      <c r="A51" s="10">
        <v>2009</v>
      </c>
      <c r="B51" s="11">
        <v>2.33</v>
      </c>
      <c r="C51" s="11">
        <v>7.66</v>
      </c>
      <c r="D51" s="12"/>
      <c r="E51" s="11">
        <v>16.98</v>
      </c>
      <c r="F51" s="12"/>
      <c r="G51" s="11">
        <v>12.61</v>
      </c>
      <c r="H51" s="11">
        <v>16.38</v>
      </c>
      <c r="I51" s="12"/>
      <c r="J51" s="11">
        <v>18.510000000000002</v>
      </c>
      <c r="K51" s="12"/>
      <c r="L51" s="11">
        <v>9.69</v>
      </c>
      <c r="M51" s="12"/>
      <c r="N51" s="11">
        <v>14.29</v>
      </c>
      <c r="O51" s="12"/>
      <c r="P51" s="11">
        <v>16.86</v>
      </c>
      <c r="Q51" s="12"/>
      <c r="R51" s="11">
        <v>0.55000000000000004</v>
      </c>
      <c r="S51" s="11">
        <v>3.3</v>
      </c>
      <c r="T51" s="12"/>
      <c r="U51" s="11">
        <v>9.3699999999999992</v>
      </c>
      <c r="V51" s="12"/>
      <c r="W51" s="11">
        <v>2.44</v>
      </c>
      <c r="X51" s="11">
        <v>28.9</v>
      </c>
      <c r="Y51" s="11">
        <v>17.03</v>
      </c>
      <c r="Z51" s="12"/>
    </row>
    <row r="52" spans="1:26" x14ac:dyDescent="0.25">
      <c r="A52" s="88" t="s">
        <v>65</v>
      </c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 t="s">
        <v>192</v>
      </c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90"/>
    </row>
    <row r="53" spans="1:26" x14ac:dyDescent="0.25">
      <c r="A53" s="82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6" t="s">
        <v>193</v>
      </c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7"/>
    </row>
    <row r="54" spans="1:26" x14ac:dyDescent="0.25">
      <c r="A54" s="82" t="s">
        <v>194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4" t="s">
        <v>195</v>
      </c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5"/>
    </row>
    <row r="55" spans="1:26" x14ac:dyDescent="0.25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6" t="s">
        <v>196</v>
      </c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7"/>
    </row>
    <row r="56" spans="1:26" x14ac:dyDescent="0.25">
      <c r="A56" s="82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6" t="s">
        <v>197</v>
      </c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7"/>
    </row>
    <row r="57" spans="1:26" x14ac:dyDescent="0.25">
      <c r="A57" s="8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6" t="s">
        <v>198</v>
      </c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7"/>
    </row>
    <row r="58" spans="1:26" x14ac:dyDescent="0.25">
      <c r="A58" s="82" t="s">
        <v>199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4" t="s">
        <v>200</v>
      </c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5"/>
    </row>
    <row r="59" spans="1:26" x14ac:dyDescent="0.25">
      <c r="A59" s="82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6" t="s">
        <v>201</v>
      </c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7"/>
    </row>
    <row r="60" spans="1:26" x14ac:dyDescent="0.25">
      <c r="A60" s="82" t="s">
        <v>202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4" t="s">
        <v>203</v>
      </c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5"/>
    </row>
    <row r="61" spans="1:26" x14ac:dyDescent="0.25">
      <c r="A61" s="91" t="s">
        <v>204</v>
      </c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86" t="s">
        <v>72</v>
      </c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7"/>
    </row>
    <row r="62" spans="1:26" x14ac:dyDescent="0.25">
      <c r="A62" s="82" t="s">
        <v>205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4" t="s">
        <v>206</v>
      </c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5"/>
    </row>
    <row r="63" spans="1:26" x14ac:dyDescent="0.25">
      <c r="A63" s="82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6" t="s">
        <v>207</v>
      </c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7"/>
    </row>
    <row r="64" spans="1:26" x14ac:dyDescent="0.25">
      <c r="A64" s="82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6" t="s">
        <v>208</v>
      </c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7"/>
    </row>
    <row r="65" spans="1:26" x14ac:dyDescent="0.25">
      <c r="A65" s="82" t="s">
        <v>209</v>
      </c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6" t="s">
        <v>74</v>
      </c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7"/>
    </row>
    <row r="66" spans="1:26" x14ac:dyDescent="0.25">
      <c r="A66" s="82" t="s">
        <v>210</v>
      </c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6" t="s">
        <v>76</v>
      </c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7"/>
    </row>
    <row r="67" spans="1:26" x14ac:dyDescent="0.25">
      <c r="A67" s="91" t="s">
        <v>211</v>
      </c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86" t="s">
        <v>77</v>
      </c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7"/>
    </row>
    <row r="68" spans="1:26" x14ac:dyDescent="0.25">
      <c r="A68" s="91" t="s">
        <v>212</v>
      </c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7"/>
    </row>
    <row r="69" spans="1:26" x14ac:dyDescent="0.25">
      <c r="A69" s="82" t="s">
        <v>66</v>
      </c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96" t="s">
        <v>79</v>
      </c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7"/>
    </row>
    <row r="70" spans="1:26" x14ac:dyDescent="0.25">
      <c r="A70" s="91" t="s">
        <v>67</v>
      </c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7"/>
    </row>
    <row r="71" spans="1:26" x14ac:dyDescent="0.25">
      <c r="A71" s="82" t="s">
        <v>213</v>
      </c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6" t="s">
        <v>82</v>
      </c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7"/>
    </row>
    <row r="72" spans="1:26" x14ac:dyDescent="0.25">
      <c r="A72" s="93" t="s">
        <v>214</v>
      </c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 t="s">
        <v>215</v>
      </c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5"/>
    </row>
  </sheetData>
  <mergeCells count="65">
    <mergeCell ref="A72:M72"/>
    <mergeCell ref="N72:Z72"/>
    <mergeCell ref="A68:M68"/>
    <mergeCell ref="N68:Z68"/>
    <mergeCell ref="A69:M69"/>
    <mergeCell ref="N69:Z70"/>
    <mergeCell ref="A70:M70"/>
    <mergeCell ref="A71:M71"/>
    <mergeCell ref="N71:Z71"/>
    <mergeCell ref="A65:M65"/>
    <mergeCell ref="N65:Z65"/>
    <mergeCell ref="A66:M66"/>
    <mergeCell ref="N66:Z66"/>
    <mergeCell ref="A67:M67"/>
    <mergeCell ref="N67:Z67"/>
    <mergeCell ref="A60:M60"/>
    <mergeCell ref="N60:Z60"/>
    <mergeCell ref="A61:M61"/>
    <mergeCell ref="N61:Z61"/>
    <mergeCell ref="A62:M64"/>
    <mergeCell ref="N62:Z62"/>
    <mergeCell ref="N63:Z63"/>
    <mergeCell ref="N64:Z64"/>
    <mergeCell ref="A54:M57"/>
    <mergeCell ref="N54:Z54"/>
    <mergeCell ref="N55:Z55"/>
    <mergeCell ref="N56:Z56"/>
    <mergeCell ref="N57:Z57"/>
    <mergeCell ref="A58:M59"/>
    <mergeCell ref="N58:Z58"/>
    <mergeCell ref="N59:Z59"/>
    <mergeCell ref="C11:D11"/>
    <mergeCell ref="E11:F11"/>
    <mergeCell ref="J11:K11"/>
    <mergeCell ref="L11:M11"/>
    <mergeCell ref="Y11:Z11"/>
    <mergeCell ref="A52:M53"/>
    <mergeCell ref="N52:Z52"/>
    <mergeCell ref="N53:Z53"/>
    <mergeCell ref="H10:I11"/>
    <mergeCell ref="J10:K10"/>
    <mergeCell ref="L10:M10"/>
    <mergeCell ref="N10:O11"/>
    <mergeCell ref="P10:Q11"/>
    <mergeCell ref="Y10:Z10"/>
    <mergeCell ref="E7:Q9"/>
    <mergeCell ref="S7:T11"/>
    <mergeCell ref="U7:V11"/>
    <mergeCell ref="Y7:Z7"/>
    <mergeCell ref="A1:Z1"/>
    <mergeCell ref="A2:Z2"/>
    <mergeCell ref="A3:A11"/>
    <mergeCell ref="B3:V6"/>
    <mergeCell ref="Y3:Z3"/>
    <mergeCell ref="Y4:Z4"/>
    <mergeCell ref="Y5:Z5"/>
    <mergeCell ref="Y6:Z6"/>
    <mergeCell ref="B7:B11"/>
    <mergeCell ref="C7:D7"/>
    <mergeCell ref="C8:D8"/>
    <mergeCell ref="Y8:Z8"/>
    <mergeCell ref="C9:D9"/>
    <mergeCell ref="Y9:Z9"/>
    <mergeCell ref="C10:D10"/>
    <mergeCell ref="E10:F10"/>
  </mergeCells>
  <hyperlinks>
    <hyperlink ref="N69" r:id="rId1" display="http://www.eia.gov/state/seds/seds-data-complete.cfm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9"/>
  <sheetViews>
    <sheetView showGridLines="0" topLeftCell="A29" workbookViewId="0">
      <selection activeCell="A48" sqref="A48:O49"/>
    </sheetView>
  </sheetViews>
  <sheetFormatPr defaultColWidth="9.140625" defaultRowHeight="15" x14ac:dyDescent="0.25"/>
  <cols>
    <col min="1" max="2" width="4.5703125" style="6" customWidth="1"/>
    <col min="3" max="3" width="2.28515625" style="6" customWidth="1"/>
    <col min="4" max="4" width="5.7109375" style="6" customWidth="1"/>
    <col min="5" max="5" width="2.85546875" style="6" customWidth="1"/>
    <col min="6" max="6" width="9.42578125" style="6" customWidth="1"/>
    <col min="7" max="7" width="4.5703125" style="6" customWidth="1"/>
    <col min="8" max="8" width="2.28515625" style="6" customWidth="1"/>
    <col min="9" max="9" width="4.5703125" style="6" customWidth="1"/>
    <col min="10" max="10" width="2.28515625" style="6" customWidth="1"/>
    <col min="11" max="11" width="6.28515625" style="6" customWidth="1"/>
    <col min="12" max="12" width="3.140625" style="6" customWidth="1"/>
    <col min="13" max="13" width="9.42578125" style="6" customWidth="1"/>
    <col min="14" max="14" width="4.5703125" style="6" customWidth="1"/>
    <col min="15" max="15" width="2.28515625" style="6" customWidth="1"/>
    <col min="16" max="16" width="5.42578125" style="6" customWidth="1"/>
    <col min="17" max="17" width="3.140625" style="6" customWidth="1"/>
    <col min="18" max="18" width="6.42578125" style="6" customWidth="1"/>
    <col min="19" max="19" width="3.140625" style="6" customWidth="1"/>
    <col min="20" max="20" width="8.85546875" style="6" customWidth="1"/>
    <col min="21" max="21" width="4.42578125" style="6" customWidth="1"/>
    <col min="22" max="22" width="7.42578125" style="6" customWidth="1"/>
    <col min="23" max="23" width="4.140625" style="6" customWidth="1"/>
    <col min="24" max="24" width="13.28515625" style="6" customWidth="1"/>
    <col min="25" max="25" width="6.42578125" style="6" customWidth="1"/>
    <col min="26" max="26" width="3.140625" style="6" customWidth="1"/>
    <col min="27" max="27" width="8.85546875" style="6" customWidth="1"/>
    <col min="28" max="28" width="4.42578125" style="6" customWidth="1"/>
    <col min="29" max="29" width="6.42578125" style="6" customWidth="1"/>
    <col min="30" max="30" width="3.140625" style="6" customWidth="1"/>
    <col min="31" max="16384" width="9.140625" style="6"/>
  </cols>
  <sheetData>
    <row r="1" spans="1:33" ht="15.75" customHeight="1" x14ac:dyDescent="0.25">
      <c r="A1" s="60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2"/>
    </row>
    <row r="2" spans="1:33" x14ac:dyDescent="0.25">
      <c r="A2" s="63" t="s">
        <v>46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5"/>
    </row>
    <row r="3" spans="1:33" x14ac:dyDescent="0.25">
      <c r="A3" s="66" t="s">
        <v>47</v>
      </c>
      <c r="B3" s="98" t="s">
        <v>48</v>
      </c>
      <c r="C3" s="99"/>
      <c r="D3" s="99"/>
      <c r="E3" s="99"/>
      <c r="F3" s="99"/>
      <c r="G3" s="99"/>
      <c r="H3" s="100"/>
      <c r="I3" s="98" t="s">
        <v>49</v>
      </c>
      <c r="J3" s="99"/>
      <c r="K3" s="99"/>
      <c r="L3" s="99"/>
      <c r="M3" s="99"/>
      <c r="N3" s="99"/>
      <c r="O3" s="100"/>
      <c r="P3" s="98" t="s">
        <v>50</v>
      </c>
      <c r="Q3" s="99"/>
      <c r="R3" s="99"/>
      <c r="S3" s="99"/>
      <c r="T3" s="99"/>
      <c r="U3" s="99"/>
      <c r="V3" s="99"/>
      <c r="W3" s="99"/>
      <c r="X3" s="99"/>
      <c r="Y3" s="99"/>
      <c r="Z3" s="100"/>
      <c r="AA3" s="98" t="s">
        <v>51</v>
      </c>
      <c r="AB3" s="99"/>
      <c r="AC3" s="99"/>
      <c r="AD3" s="100"/>
    </row>
    <row r="4" spans="1:33" x14ac:dyDescent="0.25">
      <c r="A4" s="67"/>
      <c r="B4" s="78"/>
      <c r="C4" s="79"/>
      <c r="D4" s="69" t="s">
        <v>52</v>
      </c>
      <c r="E4" s="71"/>
      <c r="F4" s="7"/>
      <c r="G4" s="69" t="s">
        <v>53</v>
      </c>
      <c r="H4" s="71"/>
      <c r="I4" s="78"/>
      <c r="J4" s="79"/>
      <c r="K4" s="69" t="s">
        <v>54</v>
      </c>
      <c r="L4" s="71"/>
      <c r="M4" s="7"/>
      <c r="N4" s="69" t="s">
        <v>55</v>
      </c>
      <c r="O4" s="71"/>
      <c r="P4" s="69" t="s">
        <v>56</v>
      </c>
      <c r="Q4" s="71"/>
      <c r="R4" s="78"/>
      <c r="S4" s="79"/>
      <c r="T4" s="69" t="s">
        <v>54</v>
      </c>
      <c r="U4" s="71"/>
      <c r="V4" s="69" t="s">
        <v>57</v>
      </c>
      <c r="W4" s="71"/>
      <c r="X4" s="7"/>
      <c r="Y4" s="69" t="s">
        <v>58</v>
      </c>
      <c r="Z4" s="71"/>
      <c r="AA4" s="69" t="s">
        <v>54</v>
      </c>
      <c r="AB4" s="71"/>
      <c r="AC4" s="69" t="s">
        <v>59</v>
      </c>
      <c r="AD4" s="71"/>
    </row>
    <row r="5" spans="1:33" x14ac:dyDescent="0.25">
      <c r="A5" s="67"/>
      <c r="B5" s="72" t="s">
        <v>60</v>
      </c>
      <c r="C5" s="74"/>
      <c r="D5" s="72"/>
      <c r="E5" s="74"/>
      <c r="F5" s="8" t="s">
        <v>61</v>
      </c>
      <c r="G5" s="72"/>
      <c r="H5" s="74"/>
      <c r="I5" s="72" t="s">
        <v>60</v>
      </c>
      <c r="J5" s="74"/>
      <c r="K5" s="72"/>
      <c r="L5" s="74"/>
      <c r="M5" s="8" t="s">
        <v>61</v>
      </c>
      <c r="N5" s="72"/>
      <c r="O5" s="74"/>
      <c r="P5" s="72"/>
      <c r="Q5" s="74"/>
      <c r="R5" s="72" t="s">
        <v>60</v>
      </c>
      <c r="S5" s="74"/>
      <c r="T5" s="72"/>
      <c r="U5" s="74"/>
      <c r="V5" s="72"/>
      <c r="W5" s="74"/>
      <c r="X5" s="8" t="s">
        <v>61</v>
      </c>
      <c r="Y5" s="72"/>
      <c r="Z5" s="74"/>
      <c r="AA5" s="72"/>
      <c r="AB5" s="74"/>
      <c r="AC5" s="72"/>
      <c r="AD5" s="74"/>
    </row>
    <row r="6" spans="1:33" x14ac:dyDescent="0.25">
      <c r="A6" s="68"/>
      <c r="B6" s="75" t="s">
        <v>62</v>
      </c>
      <c r="C6" s="77"/>
      <c r="D6" s="75"/>
      <c r="E6" s="77"/>
      <c r="F6" s="9" t="s">
        <v>63</v>
      </c>
      <c r="G6" s="75"/>
      <c r="H6" s="77"/>
      <c r="I6" s="75" t="s">
        <v>62</v>
      </c>
      <c r="J6" s="77"/>
      <c r="K6" s="75"/>
      <c r="L6" s="77"/>
      <c r="M6" s="9" t="s">
        <v>63</v>
      </c>
      <c r="N6" s="75"/>
      <c r="O6" s="77"/>
      <c r="P6" s="75"/>
      <c r="Q6" s="77"/>
      <c r="R6" s="75" t="s">
        <v>62</v>
      </c>
      <c r="S6" s="77"/>
      <c r="T6" s="75"/>
      <c r="U6" s="77"/>
      <c r="V6" s="75"/>
      <c r="W6" s="77"/>
      <c r="X6" s="9" t="s">
        <v>63</v>
      </c>
      <c r="Y6" s="75"/>
      <c r="Z6" s="77"/>
      <c r="AA6" s="75"/>
      <c r="AB6" s="77"/>
      <c r="AC6" s="75"/>
      <c r="AD6" s="77"/>
      <c r="AG6" s="6" t="s">
        <v>85</v>
      </c>
    </row>
    <row r="7" spans="1:33" x14ac:dyDescent="0.25">
      <c r="A7" s="10">
        <v>1970</v>
      </c>
      <c r="B7" s="11">
        <v>1.06</v>
      </c>
      <c r="C7" s="12"/>
      <c r="D7" s="11">
        <v>1.54</v>
      </c>
      <c r="E7" s="13" t="s">
        <v>64</v>
      </c>
      <c r="F7" s="11">
        <v>6.51</v>
      </c>
      <c r="G7" s="11">
        <v>2.1</v>
      </c>
      <c r="H7" s="12"/>
      <c r="I7" s="11">
        <v>0.75</v>
      </c>
      <c r="J7" s="12"/>
      <c r="K7" s="11">
        <v>0.91</v>
      </c>
      <c r="L7" s="13" t="s">
        <v>64</v>
      </c>
      <c r="M7" s="11">
        <v>6.09</v>
      </c>
      <c r="N7" s="11">
        <v>1.97</v>
      </c>
      <c r="O7" s="13" t="s">
        <v>64</v>
      </c>
      <c r="P7" s="11">
        <v>0.45</v>
      </c>
      <c r="Q7" s="12"/>
      <c r="R7" s="11">
        <v>0.38</v>
      </c>
      <c r="S7" s="12"/>
      <c r="T7" s="11">
        <v>0.98</v>
      </c>
      <c r="U7" s="12"/>
      <c r="V7" s="11">
        <v>1.59</v>
      </c>
      <c r="W7" s="12"/>
      <c r="X7" s="11">
        <v>2.99</v>
      </c>
      <c r="Y7" s="11">
        <v>0.84</v>
      </c>
      <c r="Z7" s="12"/>
      <c r="AA7" s="11">
        <v>2.31</v>
      </c>
      <c r="AB7" s="12"/>
      <c r="AC7" s="11">
        <v>2.31</v>
      </c>
      <c r="AD7" s="12"/>
      <c r="AF7" s="6">
        <f>1000000/3412</f>
        <v>293.08323563892145</v>
      </c>
      <c r="AG7" s="6">
        <f>M7/$AF$7</f>
        <v>2.0779079999999998E-2</v>
      </c>
    </row>
    <row r="8" spans="1:33" x14ac:dyDescent="0.25">
      <c r="A8" s="10">
        <v>1971</v>
      </c>
      <c r="B8" s="11">
        <v>1.1200000000000001</v>
      </c>
      <c r="C8" s="12"/>
      <c r="D8" s="11">
        <v>1.59</v>
      </c>
      <c r="E8" s="13" t="s">
        <v>64</v>
      </c>
      <c r="F8" s="11">
        <v>6.8</v>
      </c>
      <c r="G8" s="11">
        <v>2.2400000000000002</v>
      </c>
      <c r="H8" s="12"/>
      <c r="I8" s="11">
        <v>0.8</v>
      </c>
      <c r="J8" s="12"/>
      <c r="K8" s="11">
        <v>1.02</v>
      </c>
      <c r="L8" s="13" t="s">
        <v>64</v>
      </c>
      <c r="M8" s="11">
        <v>6.44</v>
      </c>
      <c r="N8" s="11">
        <v>2.15</v>
      </c>
      <c r="O8" s="13" t="s">
        <v>64</v>
      </c>
      <c r="P8" s="11">
        <v>0.5</v>
      </c>
      <c r="Q8" s="12"/>
      <c r="R8" s="11">
        <v>0.41</v>
      </c>
      <c r="S8" s="12"/>
      <c r="T8" s="11">
        <v>1.05</v>
      </c>
      <c r="U8" s="12"/>
      <c r="V8" s="11">
        <v>1.59</v>
      </c>
      <c r="W8" s="12"/>
      <c r="X8" s="11">
        <v>3.22</v>
      </c>
      <c r="Y8" s="11">
        <v>0.92</v>
      </c>
      <c r="Z8" s="12"/>
      <c r="AA8" s="11">
        <v>2.37</v>
      </c>
      <c r="AB8" s="12"/>
      <c r="AC8" s="11">
        <v>2.37</v>
      </c>
      <c r="AD8" s="12"/>
      <c r="AG8" s="6">
        <f t="shared" ref="AG8:AG47" si="0">M8/$AF$7</f>
        <v>2.1973280000000001E-2</v>
      </c>
    </row>
    <row r="9" spans="1:33" x14ac:dyDescent="0.25">
      <c r="A9" s="14">
        <v>1972</v>
      </c>
      <c r="B9" s="15">
        <v>1.18</v>
      </c>
      <c r="C9" s="16"/>
      <c r="D9" s="15">
        <v>1.62</v>
      </c>
      <c r="E9" s="17" t="s">
        <v>64</v>
      </c>
      <c r="F9" s="15">
        <v>7.09</v>
      </c>
      <c r="G9" s="15">
        <v>2.37</v>
      </c>
      <c r="H9" s="16"/>
      <c r="I9" s="15">
        <v>0.86</v>
      </c>
      <c r="J9" s="16"/>
      <c r="K9" s="15">
        <v>1.05</v>
      </c>
      <c r="L9" s="17" t="s">
        <v>64</v>
      </c>
      <c r="M9" s="15">
        <v>6.71</v>
      </c>
      <c r="N9" s="15">
        <v>2.3199999999999998</v>
      </c>
      <c r="O9" s="17" t="s">
        <v>64</v>
      </c>
      <c r="P9" s="15">
        <v>0.55000000000000004</v>
      </c>
      <c r="Q9" s="16"/>
      <c r="R9" s="15">
        <v>0.46</v>
      </c>
      <c r="S9" s="16"/>
      <c r="T9" s="15">
        <v>1.05</v>
      </c>
      <c r="U9" s="16"/>
      <c r="V9" s="15">
        <v>1.59</v>
      </c>
      <c r="W9" s="16"/>
      <c r="X9" s="15">
        <v>3.4</v>
      </c>
      <c r="Y9" s="15">
        <v>0.99</v>
      </c>
      <c r="Z9" s="16"/>
      <c r="AA9" s="15">
        <v>2.38</v>
      </c>
      <c r="AB9" s="16"/>
      <c r="AC9" s="15">
        <v>2.38</v>
      </c>
      <c r="AD9" s="16"/>
      <c r="AG9" s="6">
        <f t="shared" si="0"/>
        <v>2.2894520000000002E-2</v>
      </c>
    </row>
    <row r="10" spans="1:33" x14ac:dyDescent="0.25">
      <c r="A10" s="10">
        <v>1973</v>
      </c>
      <c r="B10" s="11">
        <v>1.26</v>
      </c>
      <c r="C10" s="12"/>
      <c r="D10" s="11">
        <v>2.08</v>
      </c>
      <c r="E10" s="13" t="s">
        <v>64</v>
      </c>
      <c r="F10" s="11">
        <v>7.44</v>
      </c>
      <c r="G10" s="11">
        <v>2.71</v>
      </c>
      <c r="H10" s="13" t="s">
        <v>64</v>
      </c>
      <c r="I10" s="11">
        <v>0.91</v>
      </c>
      <c r="J10" s="12"/>
      <c r="K10" s="11">
        <v>1.21</v>
      </c>
      <c r="L10" s="13" t="s">
        <v>64</v>
      </c>
      <c r="M10" s="11">
        <v>7.06</v>
      </c>
      <c r="N10" s="11">
        <v>2.5499999999999998</v>
      </c>
      <c r="O10" s="13" t="s">
        <v>64</v>
      </c>
      <c r="P10" s="11">
        <v>0.63</v>
      </c>
      <c r="Q10" s="12"/>
      <c r="R10" s="11">
        <v>0.5</v>
      </c>
      <c r="S10" s="12"/>
      <c r="T10" s="11">
        <v>1.18</v>
      </c>
      <c r="U10" s="12"/>
      <c r="V10" s="11">
        <v>1.6</v>
      </c>
      <c r="W10" s="12"/>
      <c r="X10" s="11">
        <v>3.66</v>
      </c>
      <c r="Y10" s="11">
        <v>1.1000000000000001</v>
      </c>
      <c r="Z10" s="12"/>
      <c r="AA10" s="11">
        <v>2.57</v>
      </c>
      <c r="AB10" s="12"/>
      <c r="AC10" s="11">
        <v>2.57</v>
      </c>
      <c r="AD10" s="12"/>
      <c r="AG10" s="6">
        <f t="shared" si="0"/>
        <v>2.4088719999999997E-2</v>
      </c>
    </row>
    <row r="11" spans="1:33" x14ac:dyDescent="0.25">
      <c r="A11" s="10">
        <v>1974</v>
      </c>
      <c r="B11" s="11">
        <v>1.42</v>
      </c>
      <c r="C11" s="12"/>
      <c r="D11" s="11">
        <v>2.85</v>
      </c>
      <c r="E11" s="13" t="s">
        <v>64</v>
      </c>
      <c r="F11" s="11">
        <v>9.09</v>
      </c>
      <c r="G11" s="11">
        <v>3.38</v>
      </c>
      <c r="H11" s="12"/>
      <c r="I11" s="11">
        <v>1.05</v>
      </c>
      <c r="J11" s="12"/>
      <c r="K11" s="11">
        <v>2.2599999999999998</v>
      </c>
      <c r="L11" s="13" t="s">
        <v>64</v>
      </c>
      <c r="M11" s="11">
        <v>8.91</v>
      </c>
      <c r="N11" s="11">
        <v>3.41</v>
      </c>
      <c r="O11" s="12"/>
      <c r="P11" s="11">
        <v>1.22</v>
      </c>
      <c r="Q11" s="12"/>
      <c r="R11" s="11">
        <v>0.67</v>
      </c>
      <c r="S11" s="12"/>
      <c r="T11" s="11">
        <v>2.2400000000000002</v>
      </c>
      <c r="U11" s="12"/>
      <c r="V11" s="11">
        <v>1.6</v>
      </c>
      <c r="W11" s="12"/>
      <c r="X11" s="11">
        <v>4.95</v>
      </c>
      <c r="Y11" s="11">
        <v>1.78</v>
      </c>
      <c r="Z11" s="12"/>
      <c r="AA11" s="11">
        <v>3.7</v>
      </c>
      <c r="AB11" s="12"/>
      <c r="AC11" s="11">
        <v>3.7</v>
      </c>
      <c r="AD11" s="12"/>
      <c r="AG11" s="6">
        <f t="shared" si="0"/>
        <v>3.0400920000000001E-2</v>
      </c>
    </row>
    <row r="12" spans="1:33" x14ac:dyDescent="0.25">
      <c r="A12" s="14">
        <v>1975</v>
      </c>
      <c r="B12" s="15">
        <v>1.67</v>
      </c>
      <c r="C12" s="16"/>
      <c r="D12" s="15">
        <v>3.01</v>
      </c>
      <c r="E12" s="17" t="s">
        <v>64</v>
      </c>
      <c r="F12" s="15">
        <v>10.29</v>
      </c>
      <c r="G12" s="15">
        <v>3.8</v>
      </c>
      <c r="H12" s="17" t="s">
        <v>64</v>
      </c>
      <c r="I12" s="15">
        <v>1.32</v>
      </c>
      <c r="J12" s="16"/>
      <c r="K12" s="15">
        <v>2.4</v>
      </c>
      <c r="L12" s="17" t="s">
        <v>64</v>
      </c>
      <c r="M12" s="15">
        <v>10.11</v>
      </c>
      <c r="N12" s="15">
        <v>4.07</v>
      </c>
      <c r="O12" s="17" t="s">
        <v>64</v>
      </c>
      <c r="P12" s="15">
        <v>1.5</v>
      </c>
      <c r="Q12" s="16"/>
      <c r="R12" s="15">
        <v>0.95</v>
      </c>
      <c r="S12" s="16"/>
      <c r="T12" s="15">
        <v>2.46</v>
      </c>
      <c r="U12" s="16"/>
      <c r="V12" s="15">
        <v>1.6</v>
      </c>
      <c r="W12" s="16"/>
      <c r="X12" s="15">
        <v>6.07</v>
      </c>
      <c r="Y12" s="15">
        <v>2.2000000000000002</v>
      </c>
      <c r="Z12" s="16"/>
      <c r="AA12" s="15">
        <v>4.0199999999999996</v>
      </c>
      <c r="AB12" s="16"/>
      <c r="AC12" s="15">
        <v>4.0199999999999996</v>
      </c>
      <c r="AD12" s="16"/>
      <c r="AG12" s="6">
        <f t="shared" si="0"/>
        <v>3.4495319999999996E-2</v>
      </c>
    </row>
    <row r="13" spans="1:33" x14ac:dyDescent="0.25">
      <c r="A13" s="10">
        <v>1976</v>
      </c>
      <c r="B13" s="11">
        <v>1.94</v>
      </c>
      <c r="C13" s="12"/>
      <c r="D13" s="11">
        <v>3.23</v>
      </c>
      <c r="E13" s="13" t="s">
        <v>64</v>
      </c>
      <c r="F13" s="11">
        <v>10.93</v>
      </c>
      <c r="G13" s="11">
        <v>4.12</v>
      </c>
      <c r="H13" s="13" t="s">
        <v>64</v>
      </c>
      <c r="I13" s="11">
        <v>1.61</v>
      </c>
      <c r="J13" s="12"/>
      <c r="K13" s="11">
        <v>2.5</v>
      </c>
      <c r="L13" s="13" t="s">
        <v>64</v>
      </c>
      <c r="M13" s="11">
        <v>10.82</v>
      </c>
      <c r="N13" s="11">
        <v>4.38</v>
      </c>
      <c r="O13" s="13" t="s">
        <v>64</v>
      </c>
      <c r="P13" s="11">
        <v>1.5</v>
      </c>
      <c r="Q13" s="12"/>
      <c r="R13" s="11">
        <v>1.21</v>
      </c>
      <c r="S13" s="12"/>
      <c r="T13" s="11">
        <v>2.57</v>
      </c>
      <c r="U13" s="12"/>
      <c r="V13" s="11">
        <v>1.6</v>
      </c>
      <c r="W13" s="12"/>
      <c r="X13" s="11">
        <v>6.48</v>
      </c>
      <c r="Y13" s="11">
        <v>2.4300000000000002</v>
      </c>
      <c r="Z13" s="12"/>
      <c r="AA13" s="11">
        <v>4.2</v>
      </c>
      <c r="AB13" s="12"/>
      <c r="AC13" s="11">
        <v>4.21</v>
      </c>
      <c r="AD13" s="12"/>
      <c r="AG13" s="6">
        <f t="shared" si="0"/>
        <v>3.691784E-2</v>
      </c>
    </row>
    <row r="14" spans="1:33" x14ac:dyDescent="0.25">
      <c r="A14" s="10">
        <v>1977</v>
      </c>
      <c r="B14" s="11">
        <v>2.2999999999999998</v>
      </c>
      <c r="C14" s="12"/>
      <c r="D14" s="11">
        <v>3.64</v>
      </c>
      <c r="E14" s="13" t="s">
        <v>64</v>
      </c>
      <c r="F14" s="11">
        <v>11.87</v>
      </c>
      <c r="G14" s="11">
        <v>4.76</v>
      </c>
      <c r="H14" s="13" t="s">
        <v>64</v>
      </c>
      <c r="I14" s="11">
        <v>2</v>
      </c>
      <c r="J14" s="12"/>
      <c r="K14" s="11">
        <v>2.85</v>
      </c>
      <c r="L14" s="13" t="s">
        <v>64</v>
      </c>
      <c r="M14" s="11">
        <v>11.99</v>
      </c>
      <c r="N14" s="11">
        <v>5.12</v>
      </c>
      <c r="O14" s="13" t="s">
        <v>64</v>
      </c>
      <c r="P14" s="11">
        <v>1.56</v>
      </c>
      <c r="Q14" s="12"/>
      <c r="R14" s="11">
        <v>1.48</v>
      </c>
      <c r="S14" s="12"/>
      <c r="T14" s="11">
        <v>2.84</v>
      </c>
      <c r="U14" s="12"/>
      <c r="V14" s="11">
        <v>1.59</v>
      </c>
      <c r="W14" s="12"/>
      <c r="X14" s="11">
        <v>7.33</v>
      </c>
      <c r="Y14" s="11">
        <v>2.78</v>
      </c>
      <c r="Z14" s="12"/>
      <c r="AA14" s="11">
        <v>4.47</v>
      </c>
      <c r="AB14" s="12"/>
      <c r="AC14" s="11">
        <v>4.4800000000000004</v>
      </c>
      <c r="AD14" s="12"/>
      <c r="AG14" s="6">
        <f t="shared" si="0"/>
        <v>4.0909880000000003E-2</v>
      </c>
    </row>
    <row r="15" spans="1:33" x14ac:dyDescent="0.25">
      <c r="A15" s="14">
        <v>1978</v>
      </c>
      <c r="B15" s="15">
        <v>2.52</v>
      </c>
      <c r="C15" s="16"/>
      <c r="D15" s="15">
        <v>3.76</v>
      </c>
      <c r="E15" s="17" t="s">
        <v>64</v>
      </c>
      <c r="F15" s="15">
        <v>12.63</v>
      </c>
      <c r="G15" s="15">
        <v>5.13</v>
      </c>
      <c r="H15" s="16"/>
      <c r="I15" s="15">
        <v>2.2000000000000002</v>
      </c>
      <c r="J15" s="16"/>
      <c r="K15" s="15">
        <v>2.93</v>
      </c>
      <c r="L15" s="17" t="s">
        <v>64</v>
      </c>
      <c r="M15" s="15">
        <v>12.78</v>
      </c>
      <c r="N15" s="15">
        <v>5.5</v>
      </c>
      <c r="O15" s="17" t="s">
        <v>64</v>
      </c>
      <c r="P15" s="15">
        <v>1.73</v>
      </c>
      <c r="Q15" s="16"/>
      <c r="R15" s="15">
        <v>1.66</v>
      </c>
      <c r="S15" s="16"/>
      <c r="T15" s="15">
        <v>2.96</v>
      </c>
      <c r="U15" s="16"/>
      <c r="V15" s="15">
        <v>1.6</v>
      </c>
      <c r="W15" s="16"/>
      <c r="X15" s="15">
        <v>8.18</v>
      </c>
      <c r="Y15" s="15">
        <v>3.03</v>
      </c>
      <c r="Z15" s="16"/>
      <c r="AA15" s="15">
        <v>4.59</v>
      </c>
      <c r="AB15" s="16"/>
      <c r="AC15" s="15">
        <v>4.59</v>
      </c>
      <c r="AD15" s="16"/>
      <c r="AG15" s="6">
        <f t="shared" si="0"/>
        <v>4.3605359999999996E-2</v>
      </c>
    </row>
    <row r="16" spans="1:33" x14ac:dyDescent="0.25">
      <c r="A16" s="10">
        <v>1979</v>
      </c>
      <c r="B16" s="11">
        <v>2.92</v>
      </c>
      <c r="C16" s="12"/>
      <c r="D16" s="11">
        <v>5.31</v>
      </c>
      <c r="E16" s="13" t="s">
        <v>64</v>
      </c>
      <c r="F16" s="11">
        <v>13.6</v>
      </c>
      <c r="G16" s="11">
        <v>5.99</v>
      </c>
      <c r="H16" s="13" t="s">
        <v>64</v>
      </c>
      <c r="I16" s="11">
        <v>2.69</v>
      </c>
      <c r="J16" s="12"/>
      <c r="K16" s="11">
        <v>4.1500000000000004</v>
      </c>
      <c r="L16" s="12"/>
      <c r="M16" s="11">
        <v>13.72</v>
      </c>
      <c r="N16" s="11">
        <v>6.28</v>
      </c>
      <c r="O16" s="12"/>
      <c r="P16" s="11">
        <v>1.75</v>
      </c>
      <c r="Q16" s="12"/>
      <c r="R16" s="11">
        <v>1.96</v>
      </c>
      <c r="S16" s="12"/>
      <c r="T16" s="11">
        <v>3.99</v>
      </c>
      <c r="U16" s="12"/>
      <c r="V16" s="11">
        <v>1.6</v>
      </c>
      <c r="W16" s="12"/>
      <c r="X16" s="11">
        <v>8.94</v>
      </c>
      <c r="Y16" s="11">
        <v>3.63</v>
      </c>
      <c r="Z16" s="12"/>
      <c r="AA16" s="11">
        <v>6.19</v>
      </c>
      <c r="AB16" s="12"/>
      <c r="AC16" s="11">
        <v>6.19</v>
      </c>
      <c r="AD16" s="12"/>
      <c r="AG16" s="6">
        <f t="shared" si="0"/>
        <v>4.6812640000000003E-2</v>
      </c>
    </row>
    <row r="17" spans="1:33" x14ac:dyDescent="0.25">
      <c r="A17" s="10">
        <v>1980</v>
      </c>
      <c r="B17" s="11">
        <v>3.6</v>
      </c>
      <c r="C17" s="12"/>
      <c r="D17" s="11">
        <v>7.24</v>
      </c>
      <c r="E17" s="13" t="s">
        <v>64</v>
      </c>
      <c r="F17" s="11">
        <v>15.71</v>
      </c>
      <c r="G17" s="11">
        <v>7.46</v>
      </c>
      <c r="H17" s="12"/>
      <c r="I17" s="11">
        <v>3.32</v>
      </c>
      <c r="J17" s="12"/>
      <c r="K17" s="11">
        <v>5.64</v>
      </c>
      <c r="L17" s="12"/>
      <c r="M17" s="11">
        <v>16.059999999999999</v>
      </c>
      <c r="N17" s="11">
        <v>7.83</v>
      </c>
      <c r="O17" s="13" t="s">
        <v>64</v>
      </c>
      <c r="P17" s="11">
        <v>1.87</v>
      </c>
      <c r="Q17" s="12"/>
      <c r="R17" s="11">
        <v>2.52</v>
      </c>
      <c r="S17" s="12"/>
      <c r="T17" s="11">
        <v>5.75</v>
      </c>
      <c r="U17" s="12"/>
      <c r="V17" s="11">
        <v>1.67</v>
      </c>
      <c r="W17" s="12"/>
      <c r="X17" s="11">
        <v>10.81</v>
      </c>
      <c r="Y17" s="11">
        <v>4.71</v>
      </c>
      <c r="Z17" s="12"/>
      <c r="AA17" s="11">
        <v>8.6</v>
      </c>
      <c r="AB17" s="12"/>
      <c r="AC17" s="11">
        <v>8.61</v>
      </c>
      <c r="AD17" s="12"/>
      <c r="AG17" s="6">
        <f t="shared" si="0"/>
        <v>5.4796719999999993E-2</v>
      </c>
    </row>
    <row r="18" spans="1:33" x14ac:dyDescent="0.25">
      <c r="A18" s="14">
        <v>1981</v>
      </c>
      <c r="B18" s="15">
        <v>4.1900000000000004</v>
      </c>
      <c r="C18" s="16"/>
      <c r="D18" s="15">
        <v>8.66</v>
      </c>
      <c r="E18" s="17" t="s">
        <v>64</v>
      </c>
      <c r="F18" s="15">
        <v>18.170000000000002</v>
      </c>
      <c r="G18" s="15">
        <v>8.82</v>
      </c>
      <c r="H18" s="16"/>
      <c r="I18" s="15">
        <v>3.91</v>
      </c>
      <c r="J18" s="16"/>
      <c r="K18" s="15">
        <v>6.97</v>
      </c>
      <c r="L18" s="17" t="s">
        <v>64</v>
      </c>
      <c r="M18" s="15">
        <v>18.440000000000001</v>
      </c>
      <c r="N18" s="15">
        <v>9.48</v>
      </c>
      <c r="O18" s="17" t="s">
        <v>64</v>
      </c>
      <c r="P18" s="15">
        <v>2.06</v>
      </c>
      <c r="Q18" s="16"/>
      <c r="R18" s="15">
        <v>3.07</v>
      </c>
      <c r="S18" s="16"/>
      <c r="T18" s="15">
        <v>6.84</v>
      </c>
      <c r="U18" s="16"/>
      <c r="V18" s="15">
        <v>1.67</v>
      </c>
      <c r="W18" s="16"/>
      <c r="X18" s="15">
        <v>12.57</v>
      </c>
      <c r="Y18" s="15">
        <v>5.52</v>
      </c>
      <c r="Z18" s="16"/>
      <c r="AA18" s="15">
        <v>9.83</v>
      </c>
      <c r="AB18" s="16"/>
      <c r="AC18" s="15">
        <v>9.84</v>
      </c>
      <c r="AD18" s="16"/>
      <c r="AG18" s="6">
        <f t="shared" si="0"/>
        <v>6.2917280000000006E-2</v>
      </c>
    </row>
    <row r="19" spans="1:33" x14ac:dyDescent="0.25">
      <c r="A19" s="10">
        <v>1982</v>
      </c>
      <c r="B19" s="11">
        <v>5.05</v>
      </c>
      <c r="C19" s="12"/>
      <c r="D19" s="11">
        <v>8.65</v>
      </c>
      <c r="E19" s="13" t="s">
        <v>64</v>
      </c>
      <c r="F19" s="11">
        <v>20.11</v>
      </c>
      <c r="G19" s="11">
        <v>9.7799999999999994</v>
      </c>
      <c r="H19" s="12"/>
      <c r="I19" s="11">
        <v>4.7</v>
      </c>
      <c r="J19" s="12"/>
      <c r="K19" s="11">
        <v>6.65</v>
      </c>
      <c r="L19" s="12"/>
      <c r="M19" s="11">
        <v>20.11</v>
      </c>
      <c r="N19" s="11">
        <v>10.35</v>
      </c>
      <c r="O19" s="13" t="s">
        <v>64</v>
      </c>
      <c r="P19" s="11">
        <v>2.09</v>
      </c>
      <c r="Q19" s="12"/>
      <c r="R19" s="11">
        <v>3.8</v>
      </c>
      <c r="S19" s="12"/>
      <c r="T19" s="11">
        <v>6.51</v>
      </c>
      <c r="U19" s="12"/>
      <c r="V19" s="11">
        <v>1.67</v>
      </c>
      <c r="W19" s="12"/>
      <c r="X19" s="11">
        <v>14.51</v>
      </c>
      <c r="Y19" s="11">
        <v>6.05</v>
      </c>
      <c r="Z19" s="12"/>
      <c r="AA19" s="11">
        <v>9.42</v>
      </c>
      <c r="AB19" s="12"/>
      <c r="AC19" s="11">
        <v>9.43</v>
      </c>
      <c r="AD19" s="12"/>
      <c r="AG19" s="6">
        <f t="shared" si="0"/>
        <v>6.8615319999999994E-2</v>
      </c>
    </row>
    <row r="20" spans="1:33" x14ac:dyDescent="0.25">
      <c r="A20" s="10">
        <v>1983</v>
      </c>
      <c r="B20" s="11">
        <v>5.88</v>
      </c>
      <c r="C20" s="12"/>
      <c r="D20" s="11">
        <v>8.3699999999999992</v>
      </c>
      <c r="E20" s="13" t="s">
        <v>64</v>
      </c>
      <c r="F20" s="11">
        <v>21.04</v>
      </c>
      <c r="G20" s="11">
        <v>10.66</v>
      </c>
      <c r="H20" s="12"/>
      <c r="I20" s="11">
        <v>5.43</v>
      </c>
      <c r="J20" s="12"/>
      <c r="K20" s="11">
        <v>6.52</v>
      </c>
      <c r="L20" s="13" t="s">
        <v>64</v>
      </c>
      <c r="M20" s="11">
        <v>20.57</v>
      </c>
      <c r="N20" s="11">
        <v>10.92</v>
      </c>
      <c r="O20" s="13" t="s">
        <v>64</v>
      </c>
      <c r="P20" s="11">
        <v>1.91</v>
      </c>
      <c r="Q20" s="12"/>
      <c r="R20" s="11">
        <v>4.0999999999999996</v>
      </c>
      <c r="S20" s="12"/>
      <c r="T20" s="11">
        <v>6.57</v>
      </c>
      <c r="U20" s="12"/>
      <c r="V20" s="11">
        <v>1.67</v>
      </c>
      <c r="W20" s="12"/>
      <c r="X20" s="11">
        <v>14.54</v>
      </c>
      <c r="Y20" s="11">
        <v>6.21</v>
      </c>
      <c r="Z20" s="12"/>
      <c r="AA20" s="11">
        <v>8.44</v>
      </c>
      <c r="AB20" s="12"/>
      <c r="AC20" s="11">
        <v>8.4499999999999993</v>
      </c>
      <c r="AD20" s="12"/>
      <c r="AG20" s="6">
        <f t="shared" si="0"/>
        <v>7.0184839999999998E-2</v>
      </c>
    </row>
    <row r="21" spans="1:33" x14ac:dyDescent="0.25">
      <c r="A21" s="14">
        <v>1984</v>
      </c>
      <c r="B21" s="15">
        <v>5.95</v>
      </c>
      <c r="C21" s="16"/>
      <c r="D21" s="15">
        <v>8.43</v>
      </c>
      <c r="E21" s="17" t="s">
        <v>64</v>
      </c>
      <c r="F21" s="15">
        <v>20.96</v>
      </c>
      <c r="G21" s="15">
        <v>10.66</v>
      </c>
      <c r="H21" s="16"/>
      <c r="I21" s="15">
        <v>5.4</v>
      </c>
      <c r="J21" s="16"/>
      <c r="K21" s="15">
        <v>6.5</v>
      </c>
      <c r="L21" s="17" t="s">
        <v>64</v>
      </c>
      <c r="M21" s="15">
        <v>20.89</v>
      </c>
      <c r="N21" s="15">
        <v>11.13</v>
      </c>
      <c r="O21" s="17" t="s">
        <v>64</v>
      </c>
      <c r="P21" s="15">
        <v>1.91</v>
      </c>
      <c r="Q21" s="16"/>
      <c r="R21" s="15">
        <v>4.13</v>
      </c>
      <c r="S21" s="16"/>
      <c r="T21" s="15">
        <v>6.56</v>
      </c>
      <c r="U21" s="16"/>
      <c r="V21" s="15">
        <v>1.67</v>
      </c>
      <c r="W21" s="16"/>
      <c r="X21" s="15">
        <v>14.16</v>
      </c>
      <c r="Y21" s="15">
        <v>6.12</v>
      </c>
      <c r="Z21" s="16"/>
      <c r="AA21" s="15">
        <v>8.25</v>
      </c>
      <c r="AB21" s="16"/>
      <c r="AC21" s="15">
        <v>8.26</v>
      </c>
      <c r="AD21" s="16"/>
      <c r="AG21" s="6">
        <f t="shared" si="0"/>
        <v>7.1276680000000009E-2</v>
      </c>
    </row>
    <row r="22" spans="1:33" x14ac:dyDescent="0.25">
      <c r="A22" s="10">
        <v>1985</v>
      </c>
      <c r="B22" s="11">
        <v>5.94</v>
      </c>
      <c r="C22" s="12"/>
      <c r="D22" s="11">
        <v>8.1300000000000008</v>
      </c>
      <c r="E22" s="13" t="s">
        <v>64</v>
      </c>
      <c r="F22" s="11">
        <v>21.66</v>
      </c>
      <c r="G22" s="11">
        <v>10.91</v>
      </c>
      <c r="H22" s="12"/>
      <c r="I22" s="11">
        <v>5.34</v>
      </c>
      <c r="J22" s="12"/>
      <c r="K22" s="11">
        <v>6.5</v>
      </c>
      <c r="L22" s="13" t="s">
        <v>64</v>
      </c>
      <c r="M22" s="11">
        <v>21.3</v>
      </c>
      <c r="N22" s="11">
        <v>11.64</v>
      </c>
      <c r="O22" s="13" t="s">
        <v>64</v>
      </c>
      <c r="P22" s="11">
        <v>1.9</v>
      </c>
      <c r="Q22" s="12"/>
      <c r="R22" s="11">
        <v>3.87</v>
      </c>
      <c r="S22" s="12"/>
      <c r="T22" s="11">
        <v>6.29</v>
      </c>
      <c r="U22" s="12"/>
      <c r="V22" s="11">
        <v>1.67</v>
      </c>
      <c r="W22" s="12"/>
      <c r="X22" s="11">
        <v>14.57</v>
      </c>
      <c r="Y22" s="11">
        <v>6.03</v>
      </c>
      <c r="Z22" s="12"/>
      <c r="AA22" s="11">
        <v>8.26</v>
      </c>
      <c r="AB22" s="12"/>
      <c r="AC22" s="11">
        <v>8.27</v>
      </c>
      <c r="AD22" s="12"/>
      <c r="AG22" s="6">
        <f t="shared" si="0"/>
        <v>7.2675600000000007E-2</v>
      </c>
    </row>
    <row r="23" spans="1:33" x14ac:dyDescent="0.25">
      <c r="A23" s="10">
        <v>1986</v>
      </c>
      <c r="B23" s="11">
        <v>5.67</v>
      </c>
      <c r="C23" s="12"/>
      <c r="D23" s="11">
        <v>6.76</v>
      </c>
      <c r="E23" s="13" t="s">
        <v>64</v>
      </c>
      <c r="F23" s="11">
        <v>21.75</v>
      </c>
      <c r="G23" s="11">
        <v>10.75</v>
      </c>
      <c r="H23" s="12"/>
      <c r="I23" s="11">
        <v>4.9400000000000004</v>
      </c>
      <c r="J23" s="12"/>
      <c r="K23" s="11">
        <v>4.46</v>
      </c>
      <c r="L23" s="13" t="s">
        <v>64</v>
      </c>
      <c r="M23" s="11">
        <v>21.1</v>
      </c>
      <c r="N23" s="11">
        <v>11.21</v>
      </c>
      <c r="O23" s="13" t="s">
        <v>64</v>
      </c>
      <c r="P23" s="11">
        <v>1.8</v>
      </c>
      <c r="Q23" s="12"/>
      <c r="R23" s="11">
        <v>3.2</v>
      </c>
      <c r="S23" s="12"/>
      <c r="T23" s="11">
        <v>4.92</v>
      </c>
      <c r="U23" s="12"/>
      <c r="V23" s="11">
        <v>1.65</v>
      </c>
      <c r="W23" s="12"/>
      <c r="X23" s="11">
        <v>14.45</v>
      </c>
      <c r="Y23" s="11">
        <v>5.36</v>
      </c>
      <c r="Z23" s="12"/>
      <c r="AA23" s="11">
        <v>6.21</v>
      </c>
      <c r="AB23" s="12"/>
      <c r="AC23" s="11">
        <v>6.22</v>
      </c>
      <c r="AD23" s="12"/>
      <c r="AG23" s="6">
        <f t="shared" si="0"/>
        <v>7.1993200000000007E-2</v>
      </c>
    </row>
    <row r="24" spans="1:33" x14ac:dyDescent="0.25">
      <c r="A24" s="14">
        <v>1987</v>
      </c>
      <c r="B24" s="15">
        <v>5.39</v>
      </c>
      <c r="C24" s="16"/>
      <c r="D24" s="15">
        <v>6.57</v>
      </c>
      <c r="E24" s="17" t="s">
        <v>64</v>
      </c>
      <c r="F24" s="15">
        <v>21.82</v>
      </c>
      <c r="G24" s="15">
        <v>10.71</v>
      </c>
      <c r="H24" s="16"/>
      <c r="I24" s="15">
        <v>4.6399999999999997</v>
      </c>
      <c r="J24" s="16"/>
      <c r="K24" s="15">
        <v>4.7699999999999996</v>
      </c>
      <c r="L24" s="17" t="s">
        <v>64</v>
      </c>
      <c r="M24" s="15">
        <v>20.440000000000001</v>
      </c>
      <c r="N24" s="15">
        <v>10.97</v>
      </c>
      <c r="O24" s="17" t="s">
        <v>64</v>
      </c>
      <c r="P24" s="15">
        <v>1.67</v>
      </c>
      <c r="Q24" s="16"/>
      <c r="R24" s="15">
        <v>2.88</v>
      </c>
      <c r="S24" s="16"/>
      <c r="T24" s="15">
        <v>4.96</v>
      </c>
      <c r="U24" s="16"/>
      <c r="V24" s="15">
        <v>1.65</v>
      </c>
      <c r="W24" s="16"/>
      <c r="X24" s="15">
        <v>13.98</v>
      </c>
      <c r="Y24" s="15">
        <v>5.17</v>
      </c>
      <c r="Z24" s="16"/>
      <c r="AA24" s="15">
        <v>6.57</v>
      </c>
      <c r="AB24" s="16"/>
      <c r="AC24" s="15">
        <v>6.59</v>
      </c>
      <c r="AD24" s="16"/>
      <c r="AG24" s="6">
        <f t="shared" si="0"/>
        <v>6.9741280000000003E-2</v>
      </c>
    </row>
    <row r="25" spans="1:33" x14ac:dyDescent="0.25">
      <c r="A25" s="10">
        <v>1988</v>
      </c>
      <c r="B25" s="11">
        <v>5.32</v>
      </c>
      <c r="C25" s="12"/>
      <c r="D25" s="11">
        <v>6.56</v>
      </c>
      <c r="E25" s="13" t="s">
        <v>64</v>
      </c>
      <c r="F25" s="11">
        <v>21.92</v>
      </c>
      <c r="G25" s="11">
        <v>10.66</v>
      </c>
      <c r="H25" s="12"/>
      <c r="I25" s="11">
        <v>4.51</v>
      </c>
      <c r="J25" s="12"/>
      <c r="K25" s="11">
        <v>4.5199999999999996</v>
      </c>
      <c r="L25" s="13" t="s">
        <v>64</v>
      </c>
      <c r="M25" s="11">
        <v>20.34</v>
      </c>
      <c r="N25" s="11">
        <v>10.82</v>
      </c>
      <c r="O25" s="12"/>
      <c r="P25" s="11">
        <v>1.68</v>
      </c>
      <c r="Q25" s="12"/>
      <c r="R25" s="11">
        <v>2.9</v>
      </c>
      <c r="S25" s="12"/>
      <c r="T25" s="11">
        <v>4.62</v>
      </c>
      <c r="U25" s="12"/>
      <c r="V25" s="11">
        <v>1.65</v>
      </c>
      <c r="W25" s="12"/>
      <c r="X25" s="11">
        <v>13.78</v>
      </c>
      <c r="Y25" s="11">
        <v>5</v>
      </c>
      <c r="Z25" s="12"/>
      <c r="AA25" s="11">
        <v>6.56</v>
      </c>
      <c r="AB25" s="12"/>
      <c r="AC25" s="11">
        <v>6.57</v>
      </c>
      <c r="AD25" s="12"/>
      <c r="AG25" s="6">
        <f t="shared" si="0"/>
        <v>6.9400080000000003E-2</v>
      </c>
    </row>
    <row r="26" spans="1:33" x14ac:dyDescent="0.25">
      <c r="A26" s="10">
        <v>1989</v>
      </c>
      <c r="B26" s="11">
        <v>5.47</v>
      </c>
      <c r="C26" s="12"/>
      <c r="D26" s="11">
        <v>7.52</v>
      </c>
      <c r="E26" s="13" t="s">
        <v>64</v>
      </c>
      <c r="F26" s="11">
        <v>22.41</v>
      </c>
      <c r="G26" s="11">
        <v>11.02</v>
      </c>
      <c r="H26" s="12"/>
      <c r="I26" s="11">
        <v>4.6100000000000003</v>
      </c>
      <c r="J26" s="12"/>
      <c r="K26" s="11">
        <v>5.1100000000000003</v>
      </c>
      <c r="L26" s="13" t="s">
        <v>64</v>
      </c>
      <c r="M26" s="11">
        <v>20.77</v>
      </c>
      <c r="N26" s="11">
        <v>11.26</v>
      </c>
      <c r="O26" s="13" t="s">
        <v>64</v>
      </c>
      <c r="P26" s="11">
        <v>1.68</v>
      </c>
      <c r="Q26" s="12"/>
      <c r="R26" s="11">
        <v>2.93</v>
      </c>
      <c r="S26" s="12"/>
      <c r="T26" s="11">
        <v>4.6900000000000004</v>
      </c>
      <c r="U26" s="12"/>
      <c r="V26" s="11">
        <v>1.2</v>
      </c>
      <c r="W26" s="12"/>
      <c r="X26" s="11">
        <v>13.85</v>
      </c>
      <c r="Y26" s="11">
        <v>4.92</v>
      </c>
      <c r="Z26" s="12"/>
      <c r="AA26" s="11">
        <v>7.17</v>
      </c>
      <c r="AB26" s="12"/>
      <c r="AC26" s="11">
        <v>7.18</v>
      </c>
      <c r="AD26" s="12"/>
      <c r="AG26" s="6">
        <f t="shared" si="0"/>
        <v>7.0867239999999998E-2</v>
      </c>
    </row>
    <row r="27" spans="1:33" x14ac:dyDescent="0.25">
      <c r="A27" s="14">
        <v>1990</v>
      </c>
      <c r="B27" s="15">
        <v>5.63</v>
      </c>
      <c r="C27" s="16"/>
      <c r="D27" s="15">
        <v>8.66</v>
      </c>
      <c r="E27" s="17" t="s">
        <v>64</v>
      </c>
      <c r="F27" s="15">
        <v>22.96</v>
      </c>
      <c r="G27" s="15">
        <v>11.87</v>
      </c>
      <c r="H27" s="17" t="s">
        <v>64</v>
      </c>
      <c r="I27" s="15">
        <v>4.7</v>
      </c>
      <c r="J27" s="16"/>
      <c r="K27" s="15">
        <v>6.07</v>
      </c>
      <c r="L27" s="17" t="s">
        <v>64</v>
      </c>
      <c r="M27" s="15">
        <v>21.2</v>
      </c>
      <c r="N27" s="15">
        <v>11.88</v>
      </c>
      <c r="O27" s="17" t="s">
        <v>64</v>
      </c>
      <c r="P27" s="15">
        <v>1.69</v>
      </c>
      <c r="Q27" s="16"/>
      <c r="R27" s="15">
        <v>2.95</v>
      </c>
      <c r="S27" s="16"/>
      <c r="T27" s="15">
        <v>5.48</v>
      </c>
      <c r="U27" s="16"/>
      <c r="V27" s="15">
        <v>0.99</v>
      </c>
      <c r="W27" s="16"/>
      <c r="X27" s="15">
        <v>13.92</v>
      </c>
      <c r="Y27" s="15">
        <v>5.23</v>
      </c>
      <c r="Z27" s="16"/>
      <c r="AA27" s="15">
        <v>8.27</v>
      </c>
      <c r="AB27" s="16"/>
      <c r="AC27" s="15">
        <v>8.2799999999999994</v>
      </c>
      <c r="AD27" s="16"/>
      <c r="AG27" s="6">
        <f t="shared" si="0"/>
        <v>7.2334399999999993E-2</v>
      </c>
    </row>
    <row r="28" spans="1:33" x14ac:dyDescent="0.25">
      <c r="A28" s="10">
        <v>1991</v>
      </c>
      <c r="B28" s="11">
        <v>5.66</v>
      </c>
      <c r="C28" s="12"/>
      <c r="D28" s="11">
        <v>8.44</v>
      </c>
      <c r="E28" s="13" t="s">
        <v>64</v>
      </c>
      <c r="F28" s="11">
        <v>23.57</v>
      </c>
      <c r="G28" s="11">
        <v>12.08</v>
      </c>
      <c r="H28" s="12"/>
      <c r="I28" s="11">
        <v>4.6900000000000004</v>
      </c>
      <c r="J28" s="12"/>
      <c r="K28" s="11">
        <v>5.63</v>
      </c>
      <c r="L28" s="13" t="s">
        <v>64</v>
      </c>
      <c r="M28" s="11">
        <v>21.73</v>
      </c>
      <c r="N28" s="11">
        <v>12.07</v>
      </c>
      <c r="O28" s="12"/>
      <c r="P28" s="11">
        <v>1.67</v>
      </c>
      <c r="Q28" s="12"/>
      <c r="R28" s="11">
        <v>2.8</v>
      </c>
      <c r="S28" s="12"/>
      <c r="T28" s="11">
        <v>5.31</v>
      </c>
      <c r="U28" s="12"/>
      <c r="V28" s="11">
        <v>1.1399999999999999</v>
      </c>
      <c r="W28" s="12"/>
      <c r="X28" s="11">
        <v>14.18</v>
      </c>
      <c r="Y28" s="11">
        <v>5.18</v>
      </c>
      <c r="Z28" s="12"/>
      <c r="AA28" s="11">
        <v>7.98</v>
      </c>
      <c r="AB28" s="12"/>
      <c r="AC28" s="11">
        <v>7.99</v>
      </c>
      <c r="AD28" s="12"/>
      <c r="AG28" s="6">
        <f t="shared" si="0"/>
        <v>7.4142760000000002E-2</v>
      </c>
    </row>
    <row r="29" spans="1:33" x14ac:dyDescent="0.25">
      <c r="A29" s="10">
        <v>1992</v>
      </c>
      <c r="B29" s="11">
        <v>5.73</v>
      </c>
      <c r="C29" s="12"/>
      <c r="D29" s="11">
        <v>7.76</v>
      </c>
      <c r="E29" s="13" t="s">
        <v>64</v>
      </c>
      <c r="F29" s="11">
        <v>24.06</v>
      </c>
      <c r="G29" s="11">
        <v>11.98</v>
      </c>
      <c r="H29" s="12"/>
      <c r="I29" s="11">
        <v>4.75</v>
      </c>
      <c r="J29" s="12"/>
      <c r="K29" s="11">
        <v>5.4</v>
      </c>
      <c r="L29" s="13" t="s">
        <v>64</v>
      </c>
      <c r="M29" s="11">
        <v>22.15</v>
      </c>
      <c r="N29" s="11">
        <v>12.16</v>
      </c>
      <c r="O29" s="13" t="s">
        <v>64</v>
      </c>
      <c r="P29" s="11">
        <v>1.69</v>
      </c>
      <c r="Q29" s="12"/>
      <c r="R29" s="11">
        <v>2.91</v>
      </c>
      <c r="S29" s="12"/>
      <c r="T29" s="11">
        <v>5</v>
      </c>
      <c r="U29" s="12"/>
      <c r="V29" s="11">
        <v>1.1299999999999999</v>
      </c>
      <c r="W29" s="12"/>
      <c r="X29" s="11">
        <v>14.18</v>
      </c>
      <c r="Y29" s="11">
        <v>5.13</v>
      </c>
      <c r="Z29" s="12"/>
      <c r="AA29" s="11">
        <v>7.91</v>
      </c>
      <c r="AB29" s="12"/>
      <c r="AC29" s="11">
        <v>7.93</v>
      </c>
      <c r="AD29" s="12"/>
      <c r="AG29" s="6">
        <f t="shared" si="0"/>
        <v>7.5575799999999999E-2</v>
      </c>
    </row>
    <row r="30" spans="1:33" x14ac:dyDescent="0.25">
      <c r="A30" s="14">
        <v>1993</v>
      </c>
      <c r="B30" s="15">
        <v>5.99</v>
      </c>
      <c r="C30" s="16"/>
      <c r="D30" s="15">
        <v>7.6</v>
      </c>
      <c r="E30" s="17" t="s">
        <v>64</v>
      </c>
      <c r="F30" s="15">
        <v>24.4</v>
      </c>
      <c r="G30" s="15">
        <v>12.28</v>
      </c>
      <c r="H30" s="16"/>
      <c r="I30" s="15">
        <v>5.08</v>
      </c>
      <c r="J30" s="16"/>
      <c r="K30" s="15">
        <v>5.18</v>
      </c>
      <c r="L30" s="17" t="s">
        <v>64</v>
      </c>
      <c r="M30" s="15">
        <v>22.4</v>
      </c>
      <c r="N30" s="15">
        <v>12.56</v>
      </c>
      <c r="O30" s="17" t="s">
        <v>64</v>
      </c>
      <c r="P30" s="15">
        <v>1.63</v>
      </c>
      <c r="Q30" s="16"/>
      <c r="R30" s="15">
        <v>3.12</v>
      </c>
      <c r="S30" s="16"/>
      <c r="T30" s="15">
        <v>4.92</v>
      </c>
      <c r="U30" s="17" t="s">
        <v>64</v>
      </c>
      <c r="V30" s="15">
        <v>1.1200000000000001</v>
      </c>
      <c r="W30" s="16"/>
      <c r="X30" s="15">
        <v>14.22</v>
      </c>
      <c r="Y30" s="15">
        <v>5.16</v>
      </c>
      <c r="Z30" s="16"/>
      <c r="AA30" s="15">
        <v>7.87</v>
      </c>
      <c r="AB30" s="16"/>
      <c r="AC30" s="15">
        <v>7.88</v>
      </c>
      <c r="AD30" s="16"/>
      <c r="AG30" s="6">
        <f t="shared" si="0"/>
        <v>7.6428799999999991E-2</v>
      </c>
    </row>
    <row r="31" spans="1:33" x14ac:dyDescent="0.25">
      <c r="A31" s="10">
        <v>1994</v>
      </c>
      <c r="B31" s="11">
        <v>6.23</v>
      </c>
      <c r="C31" s="12"/>
      <c r="D31" s="11">
        <v>7.68</v>
      </c>
      <c r="E31" s="13" t="s">
        <v>64</v>
      </c>
      <c r="F31" s="11">
        <v>24.57</v>
      </c>
      <c r="G31" s="11">
        <v>12.62</v>
      </c>
      <c r="H31" s="13" t="s">
        <v>64</v>
      </c>
      <c r="I31" s="11">
        <v>5.35</v>
      </c>
      <c r="J31" s="12"/>
      <c r="K31" s="11">
        <v>5.08</v>
      </c>
      <c r="L31" s="13" t="s">
        <v>64</v>
      </c>
      <c r="M31" s="11">
        <v>22.35</v>
      </c>
      <c r="N31" s="11">
        <v>12.73</v>
      </c>
      <c r="O31" s="13" t="s">
        <v>64</v>
      </c>
      <c r="P31" s="11">
        <v>1.62</v>
      </c>
      <c r="Q31" s="12"/>
      <c r="R31" s="11">
        <v>3.09</v>
      </c>
      <c r="S31" s="12"/>
      <c r="T31" s="11">
        <v>5.04</v>
      </c>
      <c r="U31" s="12"/>
      <c r="V31" s="11">
        <v>1.1499999999999999</v>
      </c>
      <c r="W31" s="12"/>
      <c r="X31" s="11">
        <v>14</v>
      </c>
      <c r="Y31" s="11">
        <v>5.15</v>
      </c>
      <c r="Z31" s="12"/>
      <c r="AA31" s="11">
        <v>7.91</v>
      </c>
      <c r="AB31" s="12"/>
      <c r="AC31" s="11">
        <v>7.92</v>
      </c>
      <c r="AD31" s="12"/>
      <c r="AG31" s="6">
        <f t="shared" si="0"/>
        <v>7.6258200000000012E-2</v>
      </c>
    </row>
    <row r="32" spans="1:33" x14ac:dyDescent="0.25">
      <c r="A32" s="10">
        <v>1995</v>
      </c>
      <c r="B32" s="11">
        <v>5.89</v>
      </c>
      <c r="C32" s="12"/>
      <c r="D32" s="11">
        <v>7.61</v>
      </c>
      <c r="E32" s="13" t="s">
        <v>64</v>
      </c>
      <c r="F32" s="11">
        <v>24.63</v>
      </c>
      <c r="G32" s="11">
        <v>12.62</v>
      </c>
      <c r="H32" s="13" t="s">
        <v>64</v>
      </c>
      <c r="I32" s="11">
        <v>4.9400000000000004</v>
      </c>
      <c r="J32" s="12"/>
      <c r="K32" s="11">
        <v>5.18</v>
      </c>
      <c r="L32" s="13" t="s">
        <v>64</v>
      </c>
      <c r="M32" s="11">
        <v>22.29</v>
      </c>
      <c r="N32" s="11">
        <v>12.63</v>
      </c>
      <c r="O32" s="13" t="s">
        <v>64</v>
      </c>
      <c r="P32" s="11">
        <v>1.63</v>
      </c>
      <c r="Q32" s="12"/>
      <c r="R32" s="11">
        <v>2.8</v>
      </c>
      <c r="S32" s="12"/>
      <c r="T32" s="11">
        <v>5.2</v>
      </c>
      <c r="U32" s="12"/>
      <c r="V32" s="11">
        <v>1.21</v>
      </c>
      <c r="W32" s="12"/>
      <c r="X32" s="11">
        <v>13.68</v>
      </c>
      <c r="Y32" s="11">
        <v>4.97</v>
      </c>
      <c r="Z32" s="12"/>
      <c r="AA32" s="11">
        <v>8.08</v>
      </c>
      <c r="AB32" s="12"/>
      <c r="AC32" s="11">
        <v>8.09</v>
      </c>
      <c r="AD32" s="12"/>
      <c r="AG32" s="6">
        <f t="shared" si="0"/>
        <v>7.6053479999999993E-2</v>
      </c>
    </row>
    <row r="33" spans="1:33" x14ac:dyDescent="0.25">
      <c r="A33" s="14">
        <v>1996</v>
      </c>
      <c r="B33" s="15">
        <v>6.16</v>
      </c>
      <c r="C33" s="16"/>
      <c r="D33" s="15">
        <v>8.7899999999999991</v>
      </c>
      <c r="E33" s="17" t="s">
        <v>64</v>
      </c>
      <c r="F33" s="15">
        <v>24.5</v>
      </c>
      <c r="G33" s="15">
        <v>12.72</v>
      </c>
      <c r="H33" s="17" t="s">
        <v>64</v>
      </c>
      <c r="I33" s="15">
        <v>5.26</v>
      </c>
      <c r="J33" s="16"/>
      <c r="K33" s="15">
        <v>6.23</v>
      </c>
      <c r="L33" s="17" t="s">
        <v>64</v>
      </c>
      <c r="M33" s="15">
        <v>22.17</v>
      </c>
      <c r="N33" s="15">
        <v>12.77</v>
      </c>
      <c r="O33" s="17" t="s">
        <v>64</v>
      </c>
      <c r="P33" s="15">
        <v>1.62</v>
      </c>
      <c r="Q33" s="16"/>
      <c r="R33" s="15">
        <v>3.3</v>
      </c>
      <c r="S33" s="16"/>
      <c r="T33" s="15">
        <v>6.05</v>
      </c>
      <c r="U33" s="17" t="s">
        <v>64</v>
      </c>
      <c r="V33" s="15">
        <v>1.01</v>
      </c>
      <c r="W33" s="16"/>
      <c r="X33" s="15">
        <v>13.49</v>
      </c>
      <c r="Y33" s="15">
        <v>5.4</v>
      </c>
      <c r="Z33" s="16"/>
      <c r="AA33" s="15">
        <v>8.76</v>
      </c>
      <c r="AB33" s="16"/>
      <c r="AC33" s="15">
        <v>8.77</v>
      </c>
      <c r="AD33" s="16"/>
      <c r="AG33" s="6">
        <f t="shared" si="0"/>
        <v>7.564404000000001E-2</v>
      </c>
    </row>
    <row r="34" spans="1:33" x14ac:dyDescent="0.25">
      <c r="A34" s="10">
        <v>1997</v>
      </c>
      <c r="B34" s="11">
        <v>6.75</v>
      </c>
      <c r="C34" s="12"/>
      <c r="D34" s="11">
        <v>8.77</v>
      </c>
      <c r="E34" s="13" t="s">
        <v>64</v>
      </c>
      <c r="F34" s="11">
        <v>24.71</v>
      </c>
      <c r="G34" s="11">
        <v>13.29</v>
      </c>
      <c r="H34" s="12"/>
      <c r="I34" s="11">
        <v>5.67</v>
      </c>
      <c r="J34" s="12"/>
      <c r="K34" s="11">
        <v>6.16</v>
      </c>
      <c r="L34" s="13" t="s">
        <v>64</v>
      </c>
      <c r="M34" s="11">
        <v>22.03</v>
      </c>
      <c r="N34" s="11">
        <v>13.04</v>
      </c>
      <c r="O34" s="13" t="s">
        <v>64</v>
      </c>
      <c r="P34" s="11">
        <v>1.62</v>
      </c>
      <c r="Q34" s="12"/>
      <c r="R34" s="11">
        <v>3.53</v>
      </c>
      <c r="S34" s="12"/>
      <c r="T34" s="11">
        <v>5.69</v>
      </c>
      <c r="U34" s="13" t="s">
        <v>64</v>
      </c>
      <c r="V34" s="11">
        <v>1.01</v>
      </c>
      <c r="W34" s="12"/>
      <c r="X34" s="11">
        <v>13.29</v>
      </c>
      <c r="Y34" s="11">
        <v>5.34</v>
      </c>
      <c r="Z34" s="12"/>
      <c r="AA34" s="11">
        <v>8.69</v>
      </c>
      <c r="AB34" s="12"/>
      <c r="AC34" s="11">
        <v>8.6999999999999993</v>
      </c>
      <c r="AD34" s="12"/>
      <c r="AG34" s="6">
        <f t="shared" si="0"/>
        <v>7.5166360000000002E-2</v>
      </c>
    </row>
    <row r="35" spans="1:33" x14ac:dyDescent="0.25">
      <c r="A35" s="10">
        <v>1998</v>
      </c>
      <c r="B35" s="11">
        <v>6.61</v>
      </c>
      <c r="C35" s="12"/>
      <c r="D35" s="11">
        <v>7.7</v>
      </c>
      <c r="E35" s="13" t="s">
        <v>64</v>
      </c>
      <c r="F35" s="11">
        <v>24.21</v>
      </c>
      <c r="G35" s="11">
        <v>13.47</v>
      </c>
      <c r="H35" s="13" t="s">
        <v>64</v>
      </c>
      <c r="I35" s="11">
        <v>5.38</v>
      </c>
      <c r="J35" s="12"/>
      <c r="K35" s="11">
        <v>5.14</v>
      </c>
      <c r="L35" s="13" t="s">
        <v>64</v>
      </c>
      <c r="M35" s="11">
        <v>21.48</v>
      </c>
      <c r="N35" s="11">
        <v>13.06</v>
      </c>
      <c r="O35" s="13" t="s">
        <v>64</v>
      </c>
      <c r="P35" s="11">
        <v>1.58</v>
      </c>
      <c r="Q35" s="12"/>
      <c r="R35" s="11">
        <v>3.16</v>
      </c>
      <c r="S35" s="12"/>
      <c r="T35" s="11">
        <v>4.53</v>
      </c>
      <c r="U35" s="13" t="s">
        <v>64</v>
      </c>
      <c r="V35" s="11">
        <v>1.24</v>
      </c>
      <c r="W35" s="12"/>
      <c r="X35" s="11">
        <v>13.13</v>
      </c>
      <c r="Y35" s="11">
        <v>4.91</v>
      </c>
      <c r="Z35" s="12"/>
      <c r="AA35" s="11">
        <v>7.47</v>
      </c>
      <c r="AB35" s="12"/>
      <c r="AC35" s="11">
        <v>7.48</v>
      </c>
      <c r="AD35" s="12"/>
      <c r="AG35" s="6">
        <f t="shared" si="0"/>
        <v>7.3289759999999995E-2</v>
      </c>
    </row>
    <row r="36" spans="1:33" x14ac:dyDescent="0.25">
      <c r="A36" s="14">
        <v>1999</v>
      </c>
      <c r="B36" s="15">
        <v>6.5</v>
      </c>
      <c r="C36" s="16"/>
      <c r="D36" s="15">
        <v>7.94</v>
      </c>
      <c r="E36" s="17" t="s">
        <v>64</v>
      </c>
      <c r="F36" s="15">
        <v>23.93</v>
      </c>
      <c r="G36" s="15">
        <v>13.18</v>
      </c>
      <c r="H36" s="17" t="s">
        <v>64</v>
      </c>
      <c r="I36" s="15">
        <v>5.22</v>
      </c>
      <c r="J36" s="16"/>
      <c r="K36" s="15">
        <v>5.62</v>
      </c>
      <c r="L36" s="17" t="s">
        <v>64</v>
      </c>
      <c r="M36" s="15">
        <v>21.01</v>
      </c>
      <c r="N36" s="15">
        <v>12.86</v>
      </c>
      <c r="O36" s="17" t="s">
        <v>64</v>
      </c>
      <c r="P36" s="15">
        <v>1.58</v>
      </c>
      <c r="Q36" s="16"/>
      <c r="R36" s="15">
        <v>3.21</v>
      </c>
      <c r="S36" s="16"/>
      <c r="T36" s="15">
        <v>5.08</v>
      </c>
      <c r="U36" s="17" t="s">
        <v>64</v>
      </c>
      <c r="V36" s="15">
        <v>1.38</v>
      </c>
      <c r="W36" s="16"/>
      <c r="X36" s="15">
        <v>12.98</v>
      </c>
      <c r="Y36" s="15">
        <v>5.12</v>
      </c>
      <c r="Z36" s="16"/>
      <c r="AA36" s="15">
        <v>8.23</v>
      </c>
      <c r="AB36" s="16"/>
      <c r="AC36" s="15">
        <v>8.23</v>
      </c>
      <c r="AD36" s="16"/>
      <c r="AG36" s="6">
        <f t="shared" si="0"/>
        <v>7.1686120000000006E-2</v>
      </c>
    </row>
    <row r="37" spans="1:33" x14ac:dyDescent="0.25">
      <c r="A37" s="10">
        <v>2000</v>
      </c>
      <c r="B37" s="11">
        <v>7.64</v>
      </c>
      <c r="C37" s="12"/>
      <c r="D37" s="11">
        <v>11.36</v>
      </c>
      <c r="E37" s="13" t="s">
        <v>64</v>
      </c>
      <c r="F37" s="11">
        <v>24.14</v>
      </c>
      <c r="G37" s="11">
        <v>14.26</v>
      </c>
      <c r="H37" s="13" t="s">
        <v>64</v>
      </c>
      <c r="I37" s="11">
        <v>6.56</v>
      </c>
      <c r="J37" s="12"/>
      <c r="K37" s="11">
        <v>8.36</v>
      </c>
      <c r="L37" s="13" t="s">
        <v>64</v>
      </c>
      <c r="M37" s="11">
        <v>21.52</v>
      </c>
      <c r="N37" s="11">
        <v>13.92</v>
      </c>
      <c r="O37" s="13" t="s">
        <v>64</v>
      </c>
      <c r="P37" s="11">
        <v>1.55</v>
      </c>
      <c r="Q37" s="12"/>
      <c r="R37" s="11">
        <v>4.6100000000000003</v>
      </c>
      <c r="S37" s="12"/>
      <c r="T37" s="11">
        <v>7.3</v>
      </c>
      <c r="U37" s="13" t="s">
        <v>64</v>
      </c>
      <c r="V37" s="11">
        <v>1.43</v>
      </c>
      <c r="W37" s="12"/>
      <c r="X37" s="11">
        <v>13.6</v>
      </c>
      <c r="Y37" s="11">
        <v>6.42</v>
      </c>
      <c r="Z37" s="13" t="s">
        <v>64</v>
      </c>
      <c r="AA37" s="11">
        <v>10.71</v>
      </c>
      <c r="AB37" s="13" t="s">
        <v>64</v>
      </c>
      <c r="AC37" s="11">
        <v>10.72</v>
      </c>
      <c r="AD37" s="13" t="s">
        <v>64</v>
      </c>
      <c r="AG37" s="6">
        <f t="shared" si="0"/>
        <v>7.3426240000000004E-2</v>
      </c>
    </row>
    <row r="38" spans="1:33" x14ac:dyDescent="0.25">
      <c r="A38" s="10">
        <v>2001</v>
      </c>
      <c r="B38" s="11">
        <v>9.42</v>
      </c>
      <c r="C38" s="12"/>
      <c r="D38" s="11">
        <v>11.46</v>
      </c>
      <c r="E38" s="13" t="s">
        <v>64</v>
      </c>
      <c r="F38" s="11">
        <v>25.16</v>
      </c>
      <c r="G38" s="11">
        <v>15.67</v>
      </c>
      <c r="H38" s="13" t="s">
        <v>64</v>
      </c>
      <c r="I38" s="11">
        <v>8.32</v>
      </c>
      <c r="J38" s="12"/>
      <c r="K38" s="11">
        <v>7.96</v>
      </c>
      <c r="L38" s="13" t="s">
        <v>64</v>
      </c>
      <c r="M38" s="11">
        <v>22.99</v>
      </c>
      <c r="N38" s="11">
        <v>15.56</v>
      </c>
      <c r="O38" s="12"/>
      <c r="P38" s="11">
        <v>1.63</v>
      </c>
      <c r="Q38" s="12"/>
      <c r="R38" s="11">
        <v>5.71</v>
      </c>
      <c r="S38" s="12"/>
      <c r="T38" s="11">
        <v>6.77</v>
      </c>
      <c r="U38" s="13" t="s">
        <v>64</v>
      </c>
      <c r="V38" s="11">
        <v>1.95</v>
      </c>
      <c r="W38" s="12"/>
      <c r="X38" s="11">
        <v>14.78</v>
      </c>
      <c r="Y38" s="11">
        <v>6.88</v>
      </c>
      <c r="Z38" s="13" t="s">
        <v>64</v>
      </c>
      <c r="AA38" s="11">
        <v>10.199999999999999</v>
      </c>
      <c r="AB38" s="13" t="s">
        <v>64</v>
      </c>
      <c r="AC38" s="11">
        <v>10.210000000000001</v>
      </c>
      <c r="AD38" s="12"/>
      <c r="AG38" s="6">
        <f t="shared" si="0"/>
        <v>7.8441879999999992E-2</v>
      </c>
    </row>
    <row r="39" spans="1:33" x14ac:dyDescent="0.25">
      <c r="A39" s="14">
        <v>2002</v>
      </c>
      <c r="B39" s="15">
        <v>7.69</v>
      </c>
      <c r="C39" s="17" t="s">
        <v>64</v>
      </c>
      <c r="D39" s="15">
        <v>10.199999999999999</v>
      </c>
      <c r="E39" s="17" t="s">
        <v>64</v>
      </c>
      <c r="F39" s="15">
        <v>24.75</v>
      </c>
      <c r="G39" s="15">
        <v>14.69</v>
      </c>
      <c r="H39" s="17" t="s">
        <v>64</v>
      </c>
      <c r="I39" s="15">
        <v>6.49</v>
      </c>
      <c r="J39" s="16"/>
      <c r="K39" s="15">
        <v>7.23</v>
      </c>
      <c r="L39" s="17" t="s">
        <v>64</v>
      </c>
      <c r="M39" s="15">
        <v>22.81</v>
      </c>
      <c r="N39" s="15">
        <v>14.67</v>
      </c>
      <c r="O39" s="17" t="s">
        <v>64</v>
      </c>
      <c r="P39" s="15">
        <v>1.75</v>
      </c>
      <c r="Q39" s="16"/>
      <c r="R39" s="15">
        <v>4.47</v>
      </c>
      <c r="S39" s="17" t="s">
        <v>64</v>
      </c>
      <c r="T39" s="15">
        <v>6.46</v>
      </c>
      <c r="U39" s="17" t="s">
        <v>64</v>
      </c>
      <c r="V39" s="15">
        <v>2.11</v>
      </c>
      <c r="W39" s="16"/>
      <c r="X39" s="15">
        <v>14.3</v>
      </c>
      <c r="Y39" s="15">
        <v>6.3</v>
      </c>
      <c r="Z39" s="17" t="s">
        <v>64</v>
      </c>
      <c r="AA39" s="15">
        <v>9.64</v>
      </c>
      <c r="AB39" s="17" t="s">
        <v>64</v>
      </c>
      <c r="AC39" s="15">
        <v>9.65</v>
      </c>
      <c r="AD39" s="17" t="s">
        <v>64</v>
      </c>
      <c r="AG39" s="6">
        <f t="shared" si="0"/>
        <v>7.7827720000000003E-2</v>
      </c>
    </row>
    <row r="40" spans="1:33" x14ac:dyDescent="0.25">
      <c r="A40" s="10">
        <v>2003</v>
      </c>
      <c r="B40" s="11">
        <v>9.24</v>
      </c>
      <c r="C40" s="13" t="s">
        <v>64</v>
      </c>
      <c r="D40" s="11">
        <v>12.09</v>
      </c>
      <c r="E40" s="13" t="s">
        <v>64</v>
      </c>
      <c r="F40" s="11">
        <v>25.56</v>
      </c>
      <c r="G40" s="11">
        <v>15.85</v>
      </c>
      <c r="H40" s="12"/>
      <c r="I40" s="11">
        <v>8.07</v>
      </c>
      <c r="J40" s="13" t="s">
        <v>64</v>
      </c>
      <c r="K40" s="11">
        <v>8.7100000000000009</v>
      </c>
      <c r="L40" s="13" t="s">
        <v>64</v>
      </c>
      <c r="M40" s="11">
        <v>23.54</v>
      </c>
      <c r="N40" s="11">
        <v>15.64</v>
      </c>
      <c r="O40" s="13" t="s">
        <v>64</v>
      </c>
      <c r="P40" s="11">
        <v>1.74</v>
      </c>
      <c r="Q40" s="12"/>
      <c r="R40" s="11">
        <v>6.2</v>
      </c>
      <c r="S40" s="13" t="s">
        <v>64</v>
      </c>
      <c r="T40" s="11">
        <v>7.81</v>
      </c>
      <c r="U40" s="13" t="s">
        <v>64</v>
      </c>
      <c r="V40" s="11">
        <v>1.62</v>
      </c>
      <c r="W40" s="12"/>
      <c r="X40" s="11">
        <v>14.97</v>
      </c>
      <c r="Y40" s="11">
        <v>7.48</v>
      </c>
      <c r="Z40" s="13" t="s">
        <v>64</v>
      </c>
      <c r="AA40" s="11">
        <v>11.2</v>
      </c>
      <c r="AB40" s="12"/>
      <c r="AC40" s="11">
        <v>11.21</v>
      </c>
      <c r="AD40" s="12"/>
      <c r="AG40" s="6">
        <f t="shared" si="0"/>
        <v>8.0318479999999998E-2</v>
      </c>
    </row>
    <row r="41" spans="1:33" x14ac:dyDescent="0.25">
      <c r="A41" s="10">
        <v>2004</v>
      </c>
      <c r="B41" s="11">
        <v>10.47</v>
      </c>
      <c r="C41" s="13" t="s">
        <v>64</v>
      </c>
      <c r="D41" s="11">
        <v>13.59</v>
      </c>
      <c r="E41" s="13" t="s">
        <v>64</v>
      </c>
      <c r="F41" s="11">
        <v>26.22</v>
      </c>
      <c r="G41" s="11">
        <v>17.059999999999999</v>
      </c>
      <c r="H41" s="13" t="s">
        <v>64</v>
      </c>
      <c r="I41" s="11">
        <v>9.19</v>
      </c>
      <c r="J41" s="13" t="s">
        <v>64</v>
      </c>
      <c r="K41" s="11">
        <v>10.27</v>
      </c>
      <c r="L41" s="13" t="s">
        <v>64</v>
      </c>
      <c r="M41" s="11">
        <v>23.95</v>
      </c>
      <c r="N41" s="11">
        <v>16.57</v>
      </c>
      <c r="O41" s="13" t="s">
        <v>64</v>
      </c>
      <c r="P41" s="11">
        <v>1.99</v>
      </c>
      <c r="Q41" s="12"/>
      <c r="R41" s="11">
        <v>7.02</v>
      </c>
      <c r="S41" s="13" t="s">
        <v>64</v>
      </c>
      <c r="T41" s="11">
        <v>9.36</v>
      </c>
      <c r="U41" s="13" t="s">
        <v>64</v>
      </c>
      <c r="V41" s="11">
        <v>1.79</v>
      </c>
      <c r="W41" s="12"/>
      <c r="X41" s="11">
        <v>15.38</v>
      </c>
      <c r="Y41" s="11">
        <v>8.4499999999999993</v>
      </c>
      <c r="Z41" s="13" t="s">
        <v>64</v>
      </c>
      <c r="AA41" s="11">
        <v>13.43</v>
      </c>
      <c r="AB41" s="13" t="s">
        <v>64</v>
      </c>
      <c r="AC41" s="11">
        <v>13.43</v>
      </c>
      <c r="AD41" s="13" t="s">
        <v>64</v>
      </c>
      <c r="AG41" s="6">
        <f t="shared" si="0"/>
        <v>8.1717399999999996E-2</v>
      </c>
    </row>
    <row r="42" spans="1:33" x14ac:dyDescent="0.25">
      <c r="A42" s="14">
        <v>2005</v>
      </c>
      <c r="B42" s="15">
        <v>12.34</v>
      </c>
      <c r="C42" s="16"/>
      <c r="D42" s="15">
        <v>17.100000000000001</v>
      </c>
      <c r="E42" s="17" t="s">
        <v>64</v>
      </c>
      <c r="F42" s="15">
        <v>27.68</v>
      </c>
      <c r="G42" s="15">
        <v>19.2</v>
      </c>
      <c r="H42" s="17" t="s">
        <v>64</v>
      </c>
      <c r="I42" s="15">
        <v>10.98</v>
      </c>
      <c r="J42" s="17" t="s">
        <v>64</v>
      </c>
      <c r="K42" s="15">
        <v>13.68</v>
      </c>
      <c r="L42" s="17" t="s">
        <v>64</v>
      </c>
      <c r="M42" s="15">
        <v>25.4</v>
      </c>
      <c r="N42" s="15">
        <v>18.61</v>
      </c>
      <c r="O42" s="17" t="s">
        <v>64</v>
      </c>
      <c r="P42" s="15">
        <v>2.56</v>
      </c>
      <c r="Q42" s="16"/>
      <c r="R42" s="15">
        <v>9.08</v>
      </c>
      <c r="S42" s="17" t="s">
        <v>64</v>
      </c>
      <c r="T42" s="15">
        <v>11.93</v>
      </c>
      <c r="U42" s="17" t="s">
        <v>64</v>
      </c>
      <c r="V42" s="15">
        <v>2.73</v>
      </c>
      <c r="W42" s="16"/>
      <c r="X42" s="15">
        <v>16.77</v>
      </c>
      <c r="Y42" s="15">
        <v>10.39</v>
      </c>
      <c r="Z42" s="17" t="s">
        <v>64</v>
      </c>
      <c r="AA42" s="15">
        <v>16.89</v>
      </c>
      <c r="AB42" s="17" t="s">
        <v>64</v>
      </c>
      <c r="AC42" s="15">
        <v>16.89</v>
      </c>
      <c r="AD42" s="17" t="s">
        <v>64</v>
      </c>
      <c r="AG42" s="6">
        <f t="shared" si="0"/>
        <v>8.66648E-2</v>
      </c>
    </row>
    <row r="43" spans="1:33" x14ac:dyDescent="0.25">
      <c r="A43" s="10">
        <v>2006</v>
      </c>
      <c r="B43" s="11">
        <v>13.35</v>
      </c>
      <c r="C43" s="13" t="s">
        <v>64</v>
      </c>
      <c r="D43" s="11">
        <v>19.66</v>
      </c>
      <c r="E43" s="13" t="s">
        <v>64</v>
      </c>
      <c r="F43" s="11">
        <v>30.49</v>
      </c>
      <c r="G43" s="11">
        <v>21.54</v>
      </c>
      <c r="H43" s="13" t="s">
        <v>64</v>
      </c>
      <c r="I43" s="11">
        <v>11.6</v>
      </c>
      <c r="J43" s="13" t="s">
        <v>64</v>
      </c>
      <c r="K43" s="11">
        <v>16.09</v>
      </c>
      <c r="L43" s="13" t="s">
        <v>64</v>
      </c>
      <c r="M43" s="11">
        <v>27.72</v>
      </c>
      <c r="N43" s="11">
        <v>20.65</v>
      </c>
      <c r="O43" s="13" t="s">
        <v>64</v>
      </c>
      <c r="P43" s="11">
        <v>2.83</v>
      </c>
      <c r="Q43" s="12"/>
      <c r="R43" s="11">
        <v>8.76</v>
      </c>
      <c r="S43" s="13" t="s">
        <v>64</v>
      </c>
      <c r="T43" s="11">
        <v>14.25</v>
      </c>
      <c r="U43" s="13" t="s">
        <v>64</v>
      </c>
      <c r="V43" s="11">
        <v>2.66</v>
      </c>
      <c r="W43" s="13" t="s">
        <v>64</v>
      </c>
      <c r="X43" s="11">
        <v>18.02</v>
      </c>
      <c r="Y43" s="11">
        <v>11.37</v>
      </c>
      <c r="Z43" s="13" t="s">
        <v>64</v>
      </c>
      <c r="AA43" s="11">
        <v>19.13</v>
      </c>
      <c r="AB43" s="13" t="s">
        <v>64</v>
      </c>
      <c r="AC43" s="11">
        <v>19.13</v>
      </c>
      <c r="AD43" s="13" t="s">
        <v>64</v>
      </c>
      <c r="AG43" s="6">
        <f t="shared" si="0"/>
        <v>9.4580639999999994E-2</v>
      </c>
    </row>
    <row r="44" spans="1:33" x14ac:dyDescent="0.25">
      <c r="A44" s="10">
        <v>2007</v>
      </c>
      <c r="B44" s="11">
        <v>12.72</v>
      </c>
      <c r="C44" s="13" t="s">
        <v>64</v>
      </c>
      <c r="D44" s="11">
        <v>21.65</v>
      </c>
      <c r="E44" s="13" t="s">
        <v>64</v>
      </c>
      <c r="F44" s="11">
        <v>31.22</v>
      </c>
      <c r="G44" s="11">
        <v>21.62</v>
      </c>
      <c r="H44" s="13" t="s">
        <v>64</v>
      </c>
      <c r="I44" s="11">
        <v>10.98</v>
      </c>
      <c r="J44" s="13" t="s">
        <v>64</v>
      </c>
      <c r="K44" s="11">
        <v>17.73</v>
      </c>
      <c r="L44" s="13" t="s">
        <v>64</v>
      </c>
      <c r="M44" s="11">
        <v>28.27</v>
      </c>
      <c r="N44" s="11">
        <v>20.75</v>
      </c>
      <c r="O44" s="13" t="s">
        <v>64</v>
      </c>
      <c r="P44" s="11">
        <v>2.92</v>
      </c>
      <c r="Q44" s="13" t="s">
        <v>64</v>
      </c>
      <c r="R44" s="11">
        <v>8.2799999999999994</v>
      </c>
      <c r="S44" s="12"/>
      <c r="T44" s="11">
        <v>15.82</v>
      </c>
      <c r="U44" s="13" t="s">
        <v>64</v>
      </c>
      <c r="V44" s="11">
        <v>2.5299999999999998</v>
      </c>
      <c r="W44" s="13" t="s">
        <v>64</v>
      </c>
      <c r="X44" s="11">
        <v>18.71</v>
      </c>
      <c r="Y44" s="11">
        <v>11.92</v>
      </c>
      <c r="Z44" s="13" t="s">
        <v>64</v>
      </c>
      <c r="AA44" s="11">
        <v>20.61</v>
      </c>
      <c r="AB44" s="13" t="s">
        <v>64</v>
      </c>
      <c r="AC44" s="11">
        <v>20.61</v>
      </c>
      <c r="AD44" s="13" t="s">
        <v>64</v>
      </c>
      <c r="AG44" s="6">
        <f t="shared" si="0"/>
        <v>9.645724E-2</v>
      </c>
    </row>
    <row r="45" spans="1:33" x14ac:dyDescent="0.25">
      <c r="A45" s="14">
        <v>2008</v>
      </c>
      <c r="B45" s="15">
        <v>13.52</v>
      </c>
      <c r="C45" s="16"/>
      <c r="D45" s="15">
        <v>26.53</v>
      </c>
      <c r="E45" s="16"/>
      <c r="F45" s="15">
        <v>33.01</v>
      </c>
      <c r="G45" s="15">
        <v>23.13</v>
      </c>
      <c r="H45" s="16"/>
      <c r="I45" s="15">
        <v>11.89</v>
      </c>
      <c r="J45" s="16"/>
      <c r="K45" s="15">
        <v>23.31</v>
      </c>
      <c r="L45" s="16"/>
      <c r="M45" s="15">
        <v>30.38</v>
      </c>
      <c r="N45" s="15">
        <v>22.47</v>
      </c>
      <c r="O45" s="16"/>
      <c r="P45" s="15">
        <v>3.51</v>
      </c>
      <c r="Q45" s="16"/>
      <c r="R45" s="15">
        <v>10.06</v>
      </c>
      <c r="S45" s="16"/>
      <c r="T45" s="15">
        <v>20.350000000000001</v>
      </c>
      <c r="U45" s="16"/>
      <c r="V45" s="15">
        <v>2.85</v>
      </c>
      <c r="W45" s="16"/>
      <c r="X45" s="15">
        <v>19.96</v>
      </c>
      <c r="Y45" s="15">
        <v>14.29</v>
      </c>
      <c r="Z45" s="16"/>
      <c r="AA45" s="15">
        <v>25.24</v>
      </c>
      <c r="AB45" s="16"/>
      <c r="AC45" s="15">
        <v>25.23</v>
      </c>
      <c r="AD45" s="16"/>
      <c r="AG45" s="6">
        <f t="shared" si="0"/>
        <v>0.10365655999999999</v>
      </c>
    </row>
    <row r="46" spans="1:33" x14ac:dyDescent="0.25">
      <c r="A46" s="10">
        <v>2009</v>
      </c>
      <c r="B46" s="11">
        <v>11.81</v>
      </c>
      <c r="C46" s="12"/>
      <c r="D46" s="11">
        <v>21.49</v>
      </c>
      <c r="E46" s="12"/>
      <c r="F46" s="11">
        <v>33.72</v>
      </c>
      <c r="G46" s="11">
        <v>22.13</v>
      </c>
      <c r="H46" s="12"/>
      <c r="I46" s="11">
        <v>9.69</v>
      </c>
      <c r="J46" s="12"/>
      <c r="K46" s="11">
        <v>15.68</v>
      </c>
      <c r="L46" s="12"/>
      <c r="M46" s="11">
        <v>29.81</v>
      </c>
      <c r="N46" s="11">
        <v>20.69</v>
      </c>
      <c r="O46" s="12"/>
      <c r="P46" s="11">
        <v>3.87</v>
      </c>
      <c r="Q46" s="12"/>
      <c r="R46" s="11">
        <v>6.48</v>
      </c>
      <c r="S46" s="12"/>
      <c r="T46" s="11">
        <v>13.75</v>
      </c>
      <c r="U46" s="12"/>
      <c r="V46" s="11">
        <v>2.64</v>
      </c>
      <c r="W46" s="12"/>
      <c r="X46" s="11">
        <v>20</v>
      </c>
      <c r="Y46" s="11">
        <v>11.04</v>
      </c>
      <c r="Z46" s="12"/>
      <c r="AA46" s="11">
        <v>17.54</v>
      </c>
      <c r="AB46" s="12"/>
      <c r="AC46" s="11">
        <v>17.54</v>
      </c>
      <c r="AD46" s="12"/>
      <c r="AG46" s="6">
        <f t="shared" si="0"/>
        <v>0.10171171999999999</v>
      </c>
    </row>
    <row r="47" spans="1:33" x14ac:dyDescent="0.25">
      <c r="A47" s="10">
        <v>2010</v>
      </c>
      <c r="B47" s="18">
        <f>11.39/12.14*B46</f>
        <v>11.080387149917629</v>
      </c>
      <c r="C47" s="12"/>
      <c r="D47" s="18">
        <f>2.798/2.386*D46</f>
        <v>25.200762782900249</v>
      </c>
      <c r="E47" s="12"/>
      <c r="F47" s="11">
        <v>33.72</v>
      </c>
      <c r="G47" s="18"/>
      <c r="H47" s="12"/>
      <c r="I47" s="18">
        <f>9.47/10.06*I46</f>
        <v>9.1216998011928414</v>
      </c>
      <c r="J47" s="12"/>
      <c r="K47" s="18">
        <f>2.798/2.386*K46</f>
        <v>18.387527242246435</v>
      </c>
      <c r="L47" s="12"/>
      <c r="M47" s="11">
        <v>29.81</v>
      </c>
      <c r="N47" s="11">
        <v>20.69</v>
      </c>
      <c r="O47" s="12"/>
      <c r="P47" s="11">
        <v>3.87</v>
      </c>
      <c r="Q47" s="12"/>
      <c r="R47" s="11">
        <v>6.48</v>
      </c>
      <c r="S47" s="12"/>
      <c r="T47" s="11">
        <v>13.75</v>
      </c>
      <c r="U47" s="12"/>
      <c r="V47" s="11">
        <v>2.64</v>
      </c>
      <c r="W47" s="12"/>
      <c r="X47" s="11">
        <v>20</v>
      </c>
      <c r="Y47" s="11">
        <v>11.04</v>
      </c>
      <c r="Z47" s="12"/>
      <c r="AA47" s="11">
        <v>17.54</v>
      </c>
      <c r="AB47" s="12"/>
      <c r="AC47" s="11">
        <v>17.54</v>
      </c>
      <c r="AD47" s="12"/>
      <c r="AG47" s="6">
        <f t="shared" si="0"/>
        <v>0.10171171999999999</v>
      </c>
    </row>
    <row r="48" spans="1:33" x14ac:dyDescent="0.25">
      <c r="A48" s="88" t="s">
        <v>65</v>
      </c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 t="s">
        <v>66</v>
      </c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90"/>
    </row>
    <row r="49" spans="1:30" x14ac:dyDescent="0.25">
      <c r="A49" s="82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6" t="s">
        <v>67</v>
      </c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7"/>
    </row>
    <row r="50" spans="1:30" x14ac:dyDescent="0.25">
      <c r="A50" s="82" t="s">
        <v>68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4" t="s">
        <v>69</v>
      </c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5"/>
    </row>
    <row r="51" spans="1:30" x14ac:dyDescent="0.25">
      <c r="A51" s="82" t="s">
        <v>70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4" t="s">
        <v>71</v>
      </c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5"/>
    </row>
    <row r="52" spans="1:30" x14ac:dyDescent="0.25">
      <c r="A52" s="91" t="s">
        <v>72</v>
      </c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5"/>
    </row>
    <row r="53" spans="1:30" x14ac:dyDescent="0.25">
      <c r="A53" s="82" t="s">
        <v>73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6" t="s">
        <v>74</v>
      </c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7"/>
    </row>
    <row r="54" spans="1:30" x14ac:dyDescent="0.25">
      <c r="A54" s="82" t="s">
        <v>75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6" t="s">
        <v>76</v>
      </c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7"/>
    </row>
    <row r="55" spans="1:30" x14ac:dyDescent="0.25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6" t="s">
        <v>77</v>
      </c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7"/>
    </row>
    <row r="56" spans="1:30" x14ac:dyDescent="0.25">
      <c r="A56" s="82" t="s">
        <v>78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96" t="s">
        <v>79</v>
      </c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7"/>
    </row>
    <row r="57" spans="1:30" x14ac:dyDescent="0.25">
      <c r="A57" s="91" t="s">
        <v>80</v>
      </c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7"/>
    </row>
    <row r="58" spans="1:30" x14ac:dyDescent="0.25">
      <c r="A58" s="82" t="s">
        <v>81</v>
      </c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6" t="s">
        <v>82</v>
      </c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7"/>
    </row>
    <row r="59" spans="1:30" x14ac:dyDescent="0.25">
      <c r="A59" s="93" t="s">
        <v>83</v>
      </c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 t="s">
        <v>84</v>
      </c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5"/>
    </row>
  </sheetData>
  <mergeCells count="46">
    <mergeCell ref="A58:O58"/>
    <mergeCell ref="P58:AD58"/>
    <mergeCell ref="A59:O59"/>
    <mergeCell ref="P59:AD59"/>
    <mergeCell ref="A53:O53"/>
    <mergeCell ref="P53:AD53"/>
    <mergeCell ref="A54:O55"/>
    <mergeCell ref="P54:AD54"/>
    <mergeCell ref="P55:AD55"/>
    <mergeCell ref="A56:O56"/>
    <mergeCell ref="P56:AD57"/>
    <mergeCell ref="A57:O57"/>
    <mergeCell ref="A48:O49"/>
    <mergeCell ref="P48:AD48"/>
    <mergeCell ref="P49:AD49"/>
    <mergeCell ref="A50:O50"/>
    <mergeCell ref="P50:AD50"/>
    <mergeCell ref="A51:O51"/>
    <mergeCell ref="P51:AD52"/>
    <mergeCell ref="A52:O52"/>
    <mergeCell ref="V4:W6"/>
    <mergeCell ref="Y4:Z6"/>
    <mergeCell ref="AA4:AB6"/>
    <mergeCell ref="AC4:AD6"/>
    <mergeCell ref="B5:C5"/>
    <mergeCell ref="I5:J5"/>
    <mergeCell ref="R5:S5"/>
    <mergeCell ref="B6:C6"/>
    <mergeCell ref="I6:J6"/>
    <mergeCell ref="R6:S6"/>
    <mergeCell ref="I4:J4"/>
    <mergeCell ref="K4:L6"/>
    <mergeCell ref="N4:O6"/>
    <mergeCell ref="P4:Q6"/>
    <mergeCell ref="R4:S4"/>
    <mergeCell ref="T4:U6"/>
    <mergeCell ref="A1:AD1"/>
    <mergeCell ref="A2:AD2"/>
    <mergeCell ref="A3:A6"/>
    <mergeCell ref="B3:H3"/>
    <mergeCell ref="I3:O3"/>
    <mergeCell ref="P3:Z3"/>
    <mergeCell ref="AA3:AD3"/>
    <mergeCell ref="B4:C4"/>
    <mergeCell ref="D4:E6"/>
    <mergeCell ref="G4:H6"/>
  </mergeCells>
  <hyperlinks>
    <hyperlink ref="P56" r:id="rId1" display="http://www.eia.gov/state/seds/seds-data-complete.cfm" xr:uid="{00000000-0004-0000-0500-000000000000}"/>
  </hyperlinks>
  <pageMargins left="0.75" right="0.75" top="1" bottom="1" header="0.5" footer="0.5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61"/>
  <sheetViews>
    <sheetView showGridLines="0" workbookViewId="0">
      <selection activeCell="X23" sqref="X23"/>
    </sheetView>
  </sheetViews>
  <sheetFormatPr defaultColWidth="9.140625" defaultRowHeight="15" x14ac:dyDescent="0.25"/>
  <cols>
    <col min="1" max="1" width="22.7109375" style="6" customWidth="1"/>
    <col min="2" max="11" width="4.7109375" style="6" customWidth="1"/>
    <col min="12" max="14" width="7.5703125" style="6" customWidth="1"/>
    <col min="15" max="15" width="7.42578125" style="6" customWidth="1"/>
    <col min="16" max="16" width="3.28515625" style="6" customWidth="1"/>
    <col min="17" max="17" width="7.42578125" style="6" customWidth="1"/>
    <col min="18" max="18" width="3.28515625" style="6" customWidth="1"/>
    <col min="19" max="19" width="7.42578125" style="6" customWidth="1"/>
    <col min="20" max="20" width="5" style="6" customWidth="1"/>
    <col min="21" max="21" width="7.42578125" style="6" customWidth="1"/>
    <col min="22" max="22" width="3.28515625" style="6" customWidth="1"/>
    <col min="23" max="25" width="9.140625" style="6"/>
    <col min="26" max="28" width="9.5703125" style="6" bestFit="1" customWidth="1"/>
    <col min="29" max="16384" width="9.140625" style="6"/>
  </cols>
  <sheetData>
    <row r="1" spans="1:32" ht="15.75" customHeight="1" x14ac:dyDescent="0.25">
      <c r="A1" s="60" t="s">
        <v>124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2"/>
    </row>
    <row r="2" spans="1:32" x14ac:dyDescent="0.25">
      <c r="A2" s="63" t="s">
        <v>123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5"/>
      <c r="AD2" s="6" t="s">
        <v>130</v>
      </c>
    </row>
    <row r="3" spans="1:32" x14ac:dyDescent="0.25">
      <c r="A3" s="23" t="s">
        <v>122</v>
      </c>
      <c r="B3" s="9">
        <v>1994</v>
      </c>
      <c r="C3" s="9">
        <v>1995</v>
      </c>
      <c r="D3" s="9">
        <v>1996</v>
      </c>
      <c r="E3" s="9">
        <v>1997</v>
      </c>
      <c r="F3" s="9">
        <v>1998</v>
      </c>
      <c r="G3" s="9">
        <v>1999</v>
      </c>
      <c r="H3" s="9">
        <v>2000</v>
      </c>
      <c r="I3" s="9">
        <v>2001</v>
      </c>
      <c r="J3" s="9">
        <v>2002</v>
      </c>
      <c r="K3" s="9">
        <v>2003</v>
      </c>
      <c r="L3" s="9">
        <v>2004</v>
      </c>
      <c r="M3" s="9">
        <v>2005</v>
      </c>
      <c r="N3" s="9">
        <v>2006</v>
      </c>
      <c r="O3" s="98">
        <v>2007</v>
      </c>
      <c r="P3" s="100"/>
      <c r="Q3" s="98">
        <v>2008</v>
      </c>
      <c r="R3" s="100"/>
      <c r="S3" s="98">
        <v>2009</v>
      </c>
      <c r="T3" s="100"/>
      <c r="U3" s="98" t="s">
        <v>121</v>
      </c>
      <c r="V3" s="100"/>
      <c r="Z3" s="6" t="s">
        <v>125</v>
      </c>
      <c r="AA3" s="6" t="s">
        <v>126</v>
      </c>
      <c r="AB3" s="6" t="s">
        <v>186</v>
      </c>
      <c r="AD3" s="6" t="s">
        <v>125</v>
      </c>
      <c r="AE3" s="6" t="s">
        <v>126</v>
      </c>
      <c r="AF3" s="6" t="s">
        <v>186</v>
      </c>
    </row>
    <row r="4" spans="1:32" x14ac:dyDescent="0.25">
      <c r="A4" s="21" t="s">
        <v>120</v>
      </c>
      <c r="B4" s="101">
        <v>0.60199999999999998</v>
      </c>
      <c r="C4" s="101">
        <v>0.63</v>
      </c>
      <c r="D4" s="101">
        <v>0.71499999999999997</v>
      </c>
      <c r="E4" s="101">
        <v>0.70299999999999996</v>
      </c>
      <c r="F4" s="101">
        <v>0.53</v>
      </c>
      <c r="G4" s="101">
        <v>0.64500000000000002</v>
      </c>
      <c r="H4" s="101">
        <v>0.96599999999999997</v>
      </c>
      <c r="I4" s="101">
        <v>0.88800000000000001</v>
      </c>
      <c r="J4" s="101">
        <v>0.83199999999999996</v>
      </c>
      <c r="K4" s="101">
        <v>1.0009999999999999</v>
      </c>
      <c r="L4" s="101">
        <v>1.288</v>
      </c>
      <c r="M4" s="101">
        <v>1.675</v>
      </c>
      <c r="N4" s="101">
        <v>1.9730000000000001</v>
      </c>
      <c r="O4" s="101">
        <v>2.1859999999999999</v>
      </c>
      <c r="P4" s="104"/>
      <c r="Q4" s="101">
        <v>2.5870000000000002</v>
      </c>
      <c r="R4" s="104"/>
      <c r="S4" s="101">
        <v>1.7729999999999999</v>
      </c>
      <c r="T4" s="104"/>
      <c r="U4" s="101">
        <v>2.169</v>
      </c>
      <c r="V4" s="104"/>
      <c r="Y4" s="6">
        <v>1994</v>
      </c>
      <c r="Z4" s="6">
        <f t="array" ref="Z4:Z17">TRANSPOSE(B31:O31)</f>
        <v>0.68500000000000005</v>
      </c>
      <c r="AA4" s="6">
        <f t="array" ref="AA4:AA17">TRANSPOSE(B44:O44)</f>
        <v>0.628</v>
      </c>
      <c r="AB4" s="6">
        <f t="array" ref="AB4:AB17">TRANSPOSE(B48:O48)</f>
        <v>0.35799999999999998</v>
      </c>
      <c r="AD4" s="6">
        <f t="shared" ref="AD4:AD20" si="0">Z4/5.23*42</f>
        <v>5.5009560229445507</v>
      </c>
      <c r="AE4" s="6">
        <f t="shared" ref="AE4:AE20" si="1">AA4/5.825*42</f>
        <v>4.5280686695278973</v>
      </c>
      <c r="AF4" s="6">
        <f>AB4/6.287*42</f>
        <v>2.3916017178304436</v>
      </c>
    </row>
    <row r="5" spans="1:32" x14ac:dyDescent="0.25">
      <c r="A5" s="10" t="s">
        <v>118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5"/>
      <c r="Q5" s="102"/>
      <c r="R5" s="105"/>
      <c r="S5" s="102"/>
      <c r="T5" s="105"/>
      <c r="U5" s="102"/>
      <c r="V5" s="105"/>
      <c r="Y5" s="6">
        <f>Y4+1</f>
        <v>1995</v>
      </c>
      <c r="Z5" s="6">
        <v>0.71399999999999997</v>
      </c>
      <c r="AA5" s="6">
        <v>0.63600000000000001</v>
      </c>
      <c r="AB5" s="6">
        <v>0.39700000000000002</v>
      </c>
      <c r="AD5" s="6">
        <f t="shared" si="0"/>
        <v>5.7338432122370921</v>
      </c>
      <c r="AE5" s="6">
        <f t="shared" si="1"/>
        <v>4.5857510729613731</v>
      </c>
      <c r="AF5" s="6">
        <f t="shared" ref="AF5:AF20" si="2">AB5/6.287*42</f>
        <v>2.652139335135995</v>
      </c>
    </row>
    <row r="6" spans="1:32" x14ac:dyDescent="0.25">
      <c r="A6" s="10" t="s">
        <v>117</v>
      </c>
      <c r="B6" s="11">
        <v>0.57099999999999995</v>
      </c>
      <c r="C6" s="11">
        <v>0.59899999999999998</v>
      </c>
      <c r="D6" s="11">
        <v>0.68899999999999995</v>
      </c>
      <c r="E6" s="11">
        <v>0.67700000000000005</v>
      </c>
      <c r="F6" s="11">
        <v>0.504</v>
      </c>
      <c r="G6" s="11">
        <v>0.621</v>
      </c>
      <c r="H6" s="11">
        <v>0.94599999999999995</v>
      </c>
      <c r="I6" s="11">
        <v>0.86799999999999999</v>
      </c>
      <c r="J6" s="11">
        <v>0.81299999999999994</v>
      </c>
      <c r="K6" s="11">
        <v>0.98199999999999998</v>
      </c>
      <c r="L6" s="11">
        <v>1.2709999999999999</v>
      </c>
      <c r="M6" s="11">
        <v>1.659</v>
      </c>
      <c r="N6" s="11">
        <v>1.956</v>
      </c>
      <c r="O6" s="11">
        <v>2.165</v>
      </c>
      <c r="P6" s="12"/>
      <c r="Q6" s="11">
        <v>2.57</v>
      </c>
      <c r="R6" s="12"/>
      <c r="S6" s="11">
        <v>1.7529999999999999</v>
      </c>
      <c r="T6" s="12"/>
      <c r="U6" s="11">
        <v>2.1509999999999998</v>
      </c>
      <c r="V6" s="12"/>
      <c r="Y6" s="6">
        <f t="shared" ref="Y6:Y24" si="3">Y5+1</f>
        <v>1996</v>
      </c>
      <c r="Z6" s="6">
        <v>0.80100000000000005</v>
      </c>
      <c r="AA6" s="6">
        <v>0.75700000000000001</v>
      </c>
      <c r="AB6" s="6">
        <v>0.46400000000000002</v>
      </c>
      <c r="AD6" s="6">
        <f t="shared" si="0"/>
        <v>6.4325047801147219</v>
      </c>
      <c r="AE6" s="6">
        <f t="shared" si="1"/>
        <v>5.4581974248927043</v>
      </c>
      <c r="AF6" s="6">
        <f t="shared" si="2"/>
        <v>3.0997296007634803</v>
      </c>
    </row>
    <row r="7" spans="1:32" x14ac:dyDescent="0.25">
      <c r="A7" s="14" t="s">
        <v>114</v>
      </c>
      <c r="B7" s="15">
        <v>0.56499999999999995</v>
      </c>
      <c r="C7" s="15">
        <v>0.58299999999999996</v>
      </c>
      <c r="D7" s="15">
        <v>0.67200000000000004</v>
      </c>
      <c r="E7" s="15">
        <v>0.65800000000000003</v>
      </c>
      <c r="F7" s="15">
        <v>0.48399999999999999</v>
      </c>
      <c r="G7" s="15">
        <v>0.59599999999999997</v>
      </c>
      <c r="H7" s="15">
        <v>0.91800000000000004</v>
      </c>
      <c r="I7" s="15">
        <v>0.83799999999999997</v>
      </c>
      <c r="J7" s="15">
        <v>0.79400000000000004</v>
      </c>
      <c r="K7" s="15">
        <v>0.95</v>
      </c>
      <c r="L7" s="15">
        <v>1.2410000000000001</v>
      </c>
      <c r="M7" s="15">
        <v>1.639</v>
      </c>
      <c r="N7" s="15">
        <v>1.93</v>
      </c>
      <c r="O7" s="15">
        <v>2.145</v>
      </c>
      <c r="P7" s="17" t="s">
        <v>111</v>
      </c>
      <c r="Q7" s="15">
        <v>2.5640000000000001</v>
      </c>
      <c r="R7" s="17" t="s">
        <v>111</v>
      </c>
      <c r="S7" s="15">
        <v>1.732</v>
      </c>
      <c r="T7" s="17" t="s">
        <v>111</v>
      </c>
      <c r="U7" s="15">
        <v>2.133</v>
      </c>
      <c r="V7" s="17" t="s">
        <v>111</v>
      </c>
      <c r="Y7" s="6">
        <f t="shared" si="3"/>
        <v>1997</v>
      </c>
      <c r="Z7" s="6">
        <v>0.78500000000000003</v>
      </c>
      <c r="AA7" s="6">
        <v>0.71399999999999997</v>
      </c>
      <c r="AB7" s="6">
        <v>0.42899999999999999</v>
      </c>
      <c r="AD7" s="6">
        <f t="shared" si="0"/>
        <v>6.3040152963671128</v>
      </c>
      <c r="AE7" s="6">
        <f t="shared" si="1"/>
        <v>5.1481545064377681</v>
      </c>
      <c r="AF7" s="6">
        <f t="shared" si="2"/>
        <v>2.8659137903610628</v>
      </c>
    </row>
    <row r="8" spans="1:32" x14ac:dyDescent="0.25">
      <c r="A8" s="10" t="s">
        <v>112</v>
      </c>
      <c r="B8" s="11">
        <v>0.627</v>
      </c>
      <c r="C8" s="11">
        <v>0.66200000000000003</v>
      </c>
      <c r="D8" s="11">
        <v>0.745</v>
      </c>
      <c r="E8" s="11">
        <v>0.754</v>
      </c>
      <c r="F8" s="11">
        <v>0.57499999999999996</v>
      </c>
      <c r="G8" s="11">
        <v>0.69</v>
      </c>
      <c r="H8" s="11">
        <v>1.016</v>
      </c>
      <c r="I8" s="11">
        <v>0.94699999999999995</v>
      </c>
      <c r="J8" s="11">
        <v>0.85799999999999998</v>
      </c>
      <c r="K8" s="11">
        <v>1.0309999999999999</v>
      </c>
      <c r="L8" s="11">
        <v>1.2889999999999999</v>
      </c>
      <c r="M8" s="11">
        <v>1.667</v>
      </c>
      <c r="N8" s="11">
        <v>1.9510000000000001</v>
      </c>
      <c r="O8" s="20"/>
      <c r="P8" s="13" t="s">
        <v>111</v>
      </c>
      <c r="Q8" s="20"/>
      <c r="R8" s="13" t="s">
        <v>111</v>
      </c>
      <c r="S8" s="20"/>
      <c r="T8" s="13" t="s">
        <v>111</v>
      </c>
      <c r="U8" s="20"/>
      <c r="V8" s="13" t="s">
        <v>111</v>
      </c>
      <c r="Y8" s="6">
        <f t="shared" si="3"/>
        <v>1998</v>
      </c>
      <c r="Z8" s="6">
        <v>0.61</v>
      </c>
      <c r="AA8" s="6">
        <v>0.56200000000000006</v>
      </c>
      <c r="AB8" s="6">
        <v>0.311</v>
      </c>
      <c r="AD8" s="6">
        <f t="shared" si="0"/>
        <v>4.8986615678776291</v>
      </c>
      <c r="AE8" s="6">
        <f t="shared" si="1"/>
        <v>4.0521888412017173</v>
      </c>
      <c r="AF8" s="6">
        <f t="shared" si="2"/>
        <v>2.0776204867186259</v>
      </c>
    </row>
    <row r="9" spans="1:32" x14ac:dyDescent="0.25">
      <c r="A9" s="10" t="s">
        <v>110</v>
      </c>
      <c r="B9" s="11">
        <v>0.63200000000000001</v>
      </c>
      <c r="C9" s="11">
        <v>0.64600000000000002</v>
      </c>
      <c r="D9" s="11">
        <v>0.73299999999999998</v>
      </c>
      <c r="E9" s="11">
        <v>0.72499999999999998</v>
      </c>
      <c r="F9" s="11">
        <v>0.55100000000000005</v>
      </c>
      <c r="G9" s="11">
        <v>0.67600000000000005</v>
      </c>
      <c r="H9" s="11">
        <v>1.006</v>
      </c>
      <c r="I9" s="11">
        <v>0.93</v>
      </c>
      <c r="J9" s="11">
        <v>0.85599999999999998</v>
      </c>
      <c r="K9" s="11">
        <v>1.0580000000000001</v>
      </c>
      <c r="L9" s="11">
        <v>1.339</v>
      </c>
      <c r="M9" s="11">
        <v>1.708</v>
      </c>
      <c r="N9" s="11">
        <v>2.0219999999999998</v>
      </c>
      <c r="O9" s="11">
        <v>2.2149999999999999</v>
      </c>
      <c r="P9" s="12"/>
      <c r="Q9" s="11">
        <v>2.5830000000000002</v>
      </c>
      <c r="R9" s="12"/>
      <c r="S9" s="11">
        <v>1.7989999999999999</v>
      </c>
      <c r="T9" s="12"/>
      <c r="U9" s="11">
        <v>2.1869999999999998</v>
      </c>
      <c r="V9" s="12"/>
      <c r="Y9" s="6">
        <f t="shared" si="3"/>
        <v>1999</v>
      </c>
      <c r="Z9" s="6">
        <v>0.70799999999999996</v>
      </c>
      <c r="AA9" s="6">
        <v>0.65400000000000003</v>
      </c>
      <c r="AB9" s="6">
        <v>0.378</v>
      </c>
      <c r="AD9" s="6">
        <f t="shared" si="0"/>
        <v>5.6856596558317385</v>
      </c>
      <c r="AE9" s="6">
        <f t="shared" si="1"/>
        <v>4.7155364806866951</v>
      </c>
      <c r="AF9" s="6">
        <f t="shared" si="2"/>
        <v>2.5252107523461111</v>
      </c>
    </row>
    <row r="10" spans="1:32" x14ac:dyDescent="0.25">
      <c r="A10" s="14" t="s">
        <v>116</v>
      </c>
      <c r="B10" s="15">
        <v>0.64100000000000001</v>
      </c>
      <c r="C10" s="15">
        <v>0.67300000000000004</v>
      </c>
      <c r="D10" s="15">
        <v>0.76</v>
      </c>
      <c r="E10" s="15">
        <v>0.751</v>
      </c>
      <c r="F10" s="15">
        <v>0.57899999999999996</v>
      </c>
      <c r="G10" s="15">
        <v>0.69399999999999995</v>
      </c>
      <c r="H10" s="15">
        <v>1.014</v>
      </c>
      <c r="I10" s="15">
        <v>0.94499999999999995</v>
      </c>
      <c r="J10" s="15">
        <v>0.88600000000000001</v>
      </c>
      <c r="K10" s="15">
        <v>1.056</v>
      </c>
      <c r="L10" s="15">
        <v>1.3380000000000001</v>
      </c>
      <c r="M10" s="15">
        <v>1.7190000000000001</v>
      </c>
      <c r="N10" s="15">
        <v>2.024</v>
      </c>
      <c r="O10" s="15">
        <v>2.2519999999999998</v>
      </c>
      <c r="P10" s="16"/>
      <c r="Q10" s="15">
        <v>2.6360000000000001</v>
      </c>
      <c r="R10" s="16"/>
      <c r="S10" s="15">
        <v>1.8029999999999999</v>
      </c>
      <c r="T10" s="16"/>
      <c r="U10" s="15">
        <v>2.1960000000000002</v>
      </c>
      <c r="V10" s="16"/>
      <c r="Y10" s="6">
        <f t="shared" si="3"/>
        <v>2000</v>
      </c>
      <c r="Z10" s="6">
        <v>1.044</v>
      </c>
      <c r="AA10" s="6">
        <v>1.006</v>
      </c>
      <c r="AB10" s="6">
        <v>0.60899999999999999</v>
      </c>
      <c r="AD10" s="6">
        <f t="shared" si="0"/>
        <v>8.3839388145315485</v>
      </c>
      <c r="AE10" s="6">
        <f t="shared" si="1"/>
        <v>7.2535622317596564</v>
      </c>
      <c r="AF10" s="6">
        <f t="shared" si="2"/>
        <v>4.0683951010020678</v>
      </c>
    </row>
    <row r="11" spans="1:32" x14ac:dyDescent="0.25">
      <c r="A11" s="10" t="s">
        <v>114</v>
      </c>
      <c r="B11" s="11">
        <v>0.63300000000000001</v>
      </c>
      <c r="C11" s="11">
        <v>0.65100000000000002</v>
      </c>
      <c r="D11" s="11">
        <v>0.73699999999999999</v>
      </c>
      <c r="E11" s="11">
        <v>0.72299999999999998</v>
      </c>
      <c r="F11" s="11">
        <v>0.55000000000000004</v>
      </c>
      <c r="G11" s="11">
        <v>0.65800000000000003</v>
      </c>
      <c r="H11" s="11">
        <v>0.97699999999999998</v>
      </c>
      <c r="I11" s="11">
        <v>0.90100000000000002</v>
      </c>
      <c r="J11" s="11">
        <v>0.85199999999999998</v>
      </c>
      <c r="K11" s="11">
        <v>1.0149999999999999</v>
      </c>
      <c r="L11" s="11">
        <v>1.304</v>
      </c>
      <c r="M11" s="11">
        <v>1.6970000000000001</v>
      </c>
      <c r="N11" s="11">
        <v>1.992</v>
      </c>
      <c r="O11" s="11">
        <v>2.2349999999999999</v>
      </c>
      <c r="P11" s="13" t="s">
        <v>111</v>
      </c>
      <c r="Q11" s="11">
        <v>2.6110000000000002</v>
      </c>
      <c r="R11" s="13" t="s">
        <v>111</v>
      </c>
      <c r="S11" s="11">
        <v>1.7769999999999999</v>
      </c>
      <c r="T11" s="13" t="s">
        <v>111</v>
      </c>
      <c r="U11" s="11">
        <v>2.1760000000000002</v>
      </c>
      <c r="V11" s="13" t="s">
        <v>111</v>
      </c>
      <c r="Y11" s="6">
        <f t="shared" si="3"/>
        <v>2001</v>
      </c>
      <c r="Z11" s="6">
        <v>0.96799999999999997</v>
      </c>
      <c r="AA11" s="6">
        <v>0.91200000000000003</v>
      </c>
      <c r="AB11" s="6">
        <v>0.53300000000000003</v>
      </c>
      <c r="AD11" s="6">
        <f t="shared" si="0"/>
        <v>7.7736137667304002</v>
      </c>
      <c r="AE11" s="6">
        <f t="shared" si="1"/>
        <v>6.575793991416309</v>
      </c>
      <c r="AF11" s="6">
        <f t="shared" si="2"/>
        <v>3.5606807698425329</v>
      </c>
    </row>
    <row r="12" spans="1:32" x14ac:dyDescent="0.25">
      <c r="A12" s="10" t="s">
        <v>112</v>
      </c>
      <c r="B12" s="11">
        <v>0.68899999999999995</v>
      </c>
      <c r="C12" s="11">
        <v>0.71099999999999997</v>
      </c>
      <c r="D12" s="11">
        <v>0.78900000000000003</v>
      </c>
      <c r="E12" s="11">
        <v>0.79100000000000004</v>
      </c>
      <c r="F12" s="11">
        <v>0.59899999999999998</v>
      </c>
      <c r="G12" s="11">
        <v>0.69499999999999995</v>
      </c>
      <c r="H12" s="11">
        <v>1.0209999999999999</v>
      </c>
      <c r="I12" s="11">
        <v>0.96499999999999997</v>
      </c>
      <c r="J12" s="11">
        <v>0.88500000000000001</v>
      </c>
      <c r="K12" s="11">
        <v>1.0429999999999999</v>
      </c>
      <c r="L12" s="11">
        <v>1.3049999999999999</v>
      </c>
      <c r="M12" s="11">
        <v>1.6819999999999999</v>
      </c>
      <c r="N12" s="11">
        <v>1.9990000000000001</v>
      </c>
      <c r="O12" s="20"/>
      <c r="P12" s="13" t="s">
        <v>111</v>
      </c>
      <c r="Q12" s="20"/>
      <c r="R12" s="13" t="s">
        <v>111</v>
      </c>
      <c r="S12" s="20"/>
      <c r="T12" s="13" t="s">
        <v>111</v>
      </c>
      <c r="U12" s="20"/>
      <c r="V12" s="13" t="s">
        <v>111</v>
      </c>
      <c r="Y12" s="6">
        <f t="shared" si="3"/>
        <v>2002</v>
      </c>
      <c r="Z12" s="6">
        <v>0.90100000000000002</v>
      </c>
      <c r="AA12" s="6">
        <v>0.83699999999999997</v>
      </c>
      <c r="AB12" s="6">
        <v>0.56100000000000005</v>
      </c>
      <c r="AD12" s="6">
        <f t="shared" si="0"/>
        <v>7.235564053537284</v>
      </c>
      <c r="AE12" s="6">
        <f t="shared" si="1"/>
        <v>6.035021459227468</v>
      </c>
      <c r="AF12" s="6">
        <f t="shared" si="2"/>
        <v>3.7477334181644668</v>
      </c>
    </row>
    <row r="13" spans="1:32" x14ac:dyDescent="0.25">
      <c r="A13" s="14" t="s">
        <v>110</v>
      </c>
      <c r="B13" s="15">
        <v>0.72199999999999998</v>
      </c>
      <c r="C13" s="15">
        <v>0.71899999999999997</v>
      </c>
      <c r="D13" s="15">
        <v>0.80200000000000005</v>
      </c>
      <c r="E13" s="15">
        <v>0.80100000000000005</v>
      </c>
      <c r="F13" s="15">
        <v>0.63200000000000001</v>
      </c>
      <c r="G13" s="15">
        <v>0.75800000000000001</v>
      </c>
      <c r="H13" s="15">
        <v>1.08</v>
      </c>
      <c r="I13" s="15">
        <v>1.022</v>
      </c>
      <c r="J13" s="15">
        <v>0.95199999999999996</v>
      </c>
      <c r="K13" s="15">
        <v>1.1499999999999999</v>
      </c>
      <c r="L13" s="15">
        <v>1.41</v>
      </c>
      <c r="M13" s="15">
        <v>1.79</v>
      </c>
      <c r="N13" s="15">
        <v>2.1269999999999998</v>
      </c>
      <c r="O13" s="15">
        <v>2.3109999999999999</v>
      </c>
      <c r="P13" s="16"/>
      <c r="Q13" s="15">
        <v>2.73</v>
      </c>
      <c r="R13" s="16"/>
      <c r="S13" s="15">
        <v>1.903</v>
      </c>
      <c r="T13" s="17" t="s">
        <v>64</v>
      </c>
      <c r="U13" s="15">
        <v>2.2749999999999999</v>
      </c>
      <c r="V13" s="16"/>
      <c r="Y13" s="6">
        <f t="shared" si="3"/>
        <v>2003</v>
      </c>
      <c r="Z13" s="6">
        <v>1.0820000000000001</v>
      </c>
      <c r="AA13" s="6">
        <v>1.008</v>
      </c>
      <c r="AB13" s="6">
        <v>0.69599999999999995</v>
      </c>
      <c r="AD13" s="6">
        <f t="shared" si="0"/>
        <v>8.6891013384321223</v>
      </c>
      <c r="AE13" s="6">
        <f t="shared" si="1"/>
        <v>7.267982832618026</v>
      </c>
      <c r="AF13" s="6">
        <f t="shared" si="2"/>
        <v>4.6495944011452197</v>
      </c>
    </row>
    <row r="14" spans="1:32" x14ac:dyDescent="0.25">
      <c r="A14" s="10" t="s">
        <v>115</v>
      </c>
      <c r="B14" s="11">
        <v>0.69599999999999995</v>
      </c>
      <c r="C14" s="11">
        <v>0.72399999999999998</v>
      </c>
      <c r="D14" s="11">
        <v>0.80400000000000005</v>
      </c>
      <c r="E14" s="11">
        <v>0.79400000000000004</v>
      </c>
      <c r="F14" s="11">
        <v>0.61799999999999999</v>
      </c>
      <c r="G14" s="11">
        <v>0.72399999999999998</v>
      </c>
      <c r="H14" s="11">
        <v>1.0549999999999999</v>
      </c>
      <c r="I14" s="11">
        <v>0.98</v>
      </c>
      <c r="J14" s="11">
        <v>0.92900000000000005</v>
      </c>
      <c r="K14" s="11">
        <v>1.105</v>
      </c>
      <c r="L14" s="11">
        <v>1.4</v>
      </c>
      <c r="M14" s="11">
        <v>1.792</v>
      </c>
      <c r="N14" s="11">
        <v>2.1219999999999999</v>
      </c>
      <c r="O14" s="11">
        <v>2.3620000000000001</v>
      </c>
      <c r="P14" s="12"/>
      <c r="Q14" s="11">
        <v>2.7490000000000001</v>
      </c>
      <c r="R14" s="12"/>
      <c r="S14" s="11">
        <v>1.9590000000000001</v>
      </c>
      <c r="T14" s="12"/>
      <c r="U14" s="11">
        <v>2.35</v>
      </c>
      <c r="V14" s="12"/>
      <c r="Y14" s="6">
        <f t="shared" si="3"/>
        <v>2004</v>
      </c>
      <c r="Z14" s="6">
        <v>1.373</v>
      </c>
      <c r="AA14" s="6">
        <v>1.3160000000000001</v>
      </c>
      <c r="AB14" s="6">
        <v>0.72499999999999998</v>
      </c>
      <c r="AD14" s="6">
        <f t="shared" si="0"/>
        <v>11.026003824091777</v>
      </c>
      <c r="AE14" s="6">
        <f t="shared" si="1"/>
        <v>9.4887553648068668</v>
      </c>
      <c r="AF14" s="6">
        <f t="shared" si="2"/>
        <v>4.8433275011929382</v>
      </c>
    </row>
    <row r="15" spans="1:32" x14ac:dyDescent="0.25">
      <c r="A15" s="10" t="s">
        <v>114</v>
      </c>
      <c r="B15" s="11">
        <v>0.68600000000000005</v>
      </c>
      <c r="C15" s="11">
        <v>0.69499999999999995</v>
      </c>
      <c r="D15" s="11">
        <v>0.77700000000000002</v>
      </c>
      <c r="E15" s="11">
        <v>0.76400000000000001</v>
      </c>
      <c r="F15" s="11">
        <v>0.58699999999999997</v>
      </c>
      <c r="G15" s="11">
        <v>0.68799999999999994</v>
      </c>
      <c r="H15" s="11">
        <v>1.0129999999999999</v>
      </c>
      <c r="I15" s="11">
        <v>0.93300000000000005</v>
      </c>
      <c r="J15" s="11">
        <v>0.89700000000000002</v>
      </c>
      <c r="K15" s="11">
        <v>1.0549999999999999</v>
      </c>
      <c r="L15" s="11">
        <v>1.351</v>
      </c>
      <c r="M15" s="11">
        <v>1.756</v>
      </c>
      <c r="N15" s="11">
        <v>2.0830000000000002</v>
      </c>
      <c r="O15" s="11">
        <v>2.33</v>
      </c>
      <c r="P15" s="13" t="s">
        <v>111</v>
      </c>
      <c r="Q15" s="11">
        <v>2.7429999999999999</v>
      </c>
      <c r="R15" s="13" t="s">
        <v>111</v>
      </c>
      <c r="S15" s="11">
        <v>1.9319999999999999</v>
      </c>
      <c r="T15" s="13" t="s">
        <v>111</v>
      </c>
      <c r="U15" s="11">
        <v>2.327</v>
      </c>
      <c r="V15" s="13" t="s">
        <v>111</v>
      </c>
      <c r="Y15" s="6">
        <f t="shared" si="3"/>
        <v>2005</v>
      </c>
      <c r="Z15" s="6">
        <v>1.7889999999999999</v>
      </c>
      <c r="AA15" s="6">
        <v>1.8859999999999999</v>
      </c>
      <c r="AB15" s="6">
        <v>1.0409999999999999</v>
      </c>
      <c r="AD15" s="6">
        <f t="shared" si="0"/>
        <v>14.366730401529635</v>
      </c>
      <c r="AE15" s="6">
        <f t="shared" si="1"/>
        <v>13.598626609442059</v>
      </c>
      <c r="AF15" s="6">
        <f t="shared" si="2"/>
        <v>6.9543502465404803</v>
      </c>
    </row>
    <row r="16" spans="1:32" x14ac:dyDescent="0.25">
      <c r="A16" s="14" t="s">
        <v>112</v>
      </c>
      <c r="B16" s="15">
        <v>0.75700000000000001</v>
      </c>
      <c r="C16" s="15">
        <v>0.78700000000000003</v>
      </c>
      <c r="D16" s="15">
        <v>0.85099999999999998</v>
      </c>
      <c r="E16" s="15">
        <v>0.85599999999999998</v>
      </c>
      <c r="F16" s="15">
        <v>0.67400000000000004</v>
      </c>
      <c r="G16" s="15">
        <v>0.77900000000000003</v>
      </c>
      <c r="H16" s="15">
        <v>1.119</v>
      </c>
      <c r="I16" s="15">
        <v>1.02</v>
      </c>
      <c r="J16" s="15">
        <v>0.95199999999999996</v>
      </c>
      <c r="K16" s="15">
        <v>1.131</v>
      </c>
      <c r="L16" s="15">
        <v>1.39</v>
      </c>
      <c r="M16" s="15">
        <v>1.7609999999999999</v>
      </c>
      <c r="N16" s="15">
        <v>2.0489999999999999</v>
      </c>
      <c r="O16" s="19"/>
      <c r="P16" s="17" t="s">
        <v>111</v>
      </c>
      <c r="Q16" s="19"/>
      <c r="R16" s="17" t="s">
        <v>111</v>
      </c>
      <c r="S16" s="19"/>
      <c r="T16" s="17" t="s">
        <v>111</v>
      </c>
      <c r="U16" s="19"/>
      <c r="V16" s="17" t="s">
        <v>111</v>
      </c>
      <c r="Y16" s="6">
        <f t="shared" si="3"/>
        <v>2006</v>
      </c>
      <c r="Z16" s="6">
        <v>2.073</v>
      </c>
      <c r="AA16" s="6">
        <v>2.165</v>
      </c>
      <c r="AB16" s="6">
        <v>1.212</v>
      </c>
      <c r="AD16" s="6">
        <f t="shared" si="0"/>
        <v>16.647418738049712</v>
      </c>
      <c r="AE16" s="6">
        <f t="shared" si="1"/>
        <v>15.610300429184548</v>
      </c>
      <c r="AF16" s="6">
        <f t="shared" si="2"/>
        <v>8.0967074916494362</v>
      </c>
    </row>
    <row r="17" spans="1:32" x14ac:dyDescent="0.25">
      <c r="A17" s="10" t="s">
        <v>110</v>
      </c>
      <c r="B17" s="11">
        <v>0.76900000000000002</v>
      </c>
      <c r="C17" s="11">
        <v>0.77900000000000003</v>
      </c>
      <c r="D17" s="11">
        <v>0.85099999999999998</v>
      </c>
      <c r="E17" s="11">
        <v>0.84499999999999997</v>
      </c>
      <c r="F17" s="11">
        <v>0.67100000000000004</v>
      </c>
      <c r="G17" s="11">
        <v>0.78700000000000003</v>
      </c>
      <c r="H17" s="11">
        <v>1.117</v>
      </c>
      <c r="I17" s="11">
        <v>1.054</v>
      </c>
      <c r="J17" s="11">
        <v>0.98599999999999999</v>
      </c>
      <c r="K17" s="11">
        <v>1.1890000000000001</v>
      </c>
      <c r="L17" s="11">
        <v>1.4670000000000001</v>
      </c>
      <c r="M17" s="11">
        <v>1.8440000000000001</v>
      </c>
      <c r="N17" s="11">
        <v>2.181</v>
      </c>
      <c r="O17" s="11">
        <v>2.407</v>
      </c>
      <c r="P17" s="12"/>
      <c r="Q17" s="11">
        <v>2.7570000000000001</v>
      </c>
      <c r="R17" s="12"/>
      <c r="S17" s="11">
        <v>1.994</v>
      </c>
      <c r="T17" s="12"/>
      <c r="U17" s="11">
        <v>2.3759999999999999</v>
      </c>
      <c r="V17" s="12"/>
      <c r="Y17" s="6">
        <f t="shared" si="3"/>
        <v>2007</v>
      </c>
      <c r="Z17" s="6">
        <v>2.2970000000000002</v>
      </c>
      <c r="AA17" s="6">
        <v>2.3479999999999999</v>
      </c>
      <c r="AB17" s="6">
        <v>1.3759999999999999</v>
      </c>
      <c r="AD17" s="6">
        <f t="shared" si="0"/>
        <v>18.446271510516254</v>
      </c>
      <c r="AE17" s="6">
        <f t="shared" si="1"/>
        <v>16.929785407725319</v>
      </c>
      <c r="AF17" s="6">
        <f t="shared" si="2"/>
        <v>9.1923015746779058</v>
      </c>
    </row>
    <row r="18" spans="1:32" x14ac:dyDescent="0.25">
      <c r="A18" s="10" t="s">
        <v>109</v>
      </c>
      <c r="B18" s="11">
        <v>0.52900000000000003</v>
      </c>
      <c r="C18" s="11">
        <v>0.53600000000000003</v>
      </c>
      <c r="D18" s="11">
        <v>0.66</v>
      </c>
      <c r="E18" s="11">
        <v>0.61099999999999999</v>
      </c>
      <c r="F18" s="11">
        <v>0.45</v>
      </c>
      <c r="G18" s="11">
        <v>0.53800000000000003</v>
      </c>
      <c r="H18" s="11">
        <v>0.90100000000000002</v>
      </c>
      <c r="I18" s="11">
        <v>0.78500000000000003</v>
      </c>
      <c r="J18" s="11">
        <v>0.72799999999999998</v>
      </c>
      <c r="K18" s="11">
        <v>0.89100000000000001</v>
      </c>
      <c r="L18" s="11">
        <v>1.1779999999999999</v>
      </c>
      <c r="M18" s="11">
        <v>1.7270000000000001</v>
      </c>
      <c r="N18" s="11">
        <v>1.9990000000000001</v>
      </c>
      <c r="O18" s="11">
        <v>2.2080000000000002</v>
      </c>
      <c r="P18" s="12"/>
      <c r="Q18" s="11">
        <v>2.9750000000000001</v>
      </c>
      <c r="R18" s="12"/>
      <c r="S18" s="11">
        <v>1.7270000000000001</v>
      </c>
      <c r="T18" s="12"/>
      <c r="U18" s="11">
        <v>2.2160000000000002</v>
      </c>
      <c r="V18" s="12"/>
      <c r="Y18" s="6">
        <f t="shared" si="3"/>
        <v>2008</v>
      </c>
      <c r="Z18" s="6">
        <f>Q31</f>
        <v>2.7309999999999999</v>
      </c>
      <c r="AA18" s="6">
        <f>Q44</f>
        <v>3.23</v>
      </c>
      <c r="AB18" s="6">
        <f>Q48</f>
        <v>1.944</v>
      </c>
      <c r="AD18" s="6">
        <f t="shared" si="0"/>
        <v>21.931548757170169</v>
      </c>
      <c r="AE18" s="6">
        <f t="shared" si="1"/>
        <v>23.289270386266097</v>
      </c>
      <c r="AF18" s="6">
        <f t="shared" si="2"/>
        <v>12.986798154922855</v>
      </c>
    </row>
    <row r="19" spans="1:32" x14ac:dyDescent="0.25">
      <c r="A19" s="14" t="s">
        <v>107</v>
      </c>
      <c r="B19" s="15">
        <v>0.53800000000000003</v>
      </c>
      <c r="C19" s="15">
        <v>0.54600000000000004</v>
      </c>
      <c r="D19" s="15">
        <v>0.66700000000000004</v>
      </c>
      <c r="E19" s="15">
        <v>0.61599999999999999</v>
      </c>
      <c r="F19" s="15">
        <v>0.45400000000000001</v>
      </c>
      <c r="G19" s="15">
        <v>0.55200000000000005</v>
      </c>
      <c r="H19" s="15">
        <v>0.90400000000000003</v>
      </c>
      <c r="I19" s="15">
        <v>0.79100000000000004</v>
      </c>
      <c r="J19" s="15">
        <v>0.73499999999999999</v>
      </c>
      <c r="K19" s="15">
        <v>0.89100000000000001</v>
      </c>
      <c r="L19" s="15">
        <v>1.1910000000000001</v>
      </c>
      <c r="M19" s="15">
        <v>1.754</v>
      </c>
      <c r="N19" s="15">
        <v>2.0289999999999999</v>
      </c>
      <c r="O19" s="15">
        <v>2.23</v>
      </c>
      <c r="P19" s="16"/>
      <c r="Q19" s="15">
        <v>3.0129999999999999</v>
      </c>
      <c r="R19" s="16"/>
      <c r="S19" s="15">
        <v>1.73</v>
      </c>
      <c r="T19" s="16"/>
      <c r="U19" s="15">
        <v>2.2189999999999999</v>
      </c>
      <c r="V19" s="16"/>
      <c r="Y19" s="6">
        <f t="shared" si="3"/>
        <v>2009</v>
      </c>
      <c r="Z19" s="6">
        <f>S31</f>
        <v>1.8420000000000001</v>
      </c>
      <c r="AA19" s="6">
        <f>S44</f>
        <v>1.9179999999999999</v>
      </c>
      <c r="AB19" s="6">
        <f>S48</f>
        <v>1.34</v>
      </c>
      <c r="AD19" s="6">
        <f t="shared" si="0"/>
        <v>14.792351816443595</v>
      </c>
      <c r="AE19" s="6">
        <f t="shared" si="1"/>
        <v>13.829356223175964</v>
      </c>
      <c r="AF19" s="6">
        <f t="shared" si="2"/>
        <v>8.9518053125497055</v>
      </c>
    </row>
    <row r="20" spans="1:32" x14ac:dyDescent="0.25">
      <c r="A20" s="10" t="s">
        <v>106</v>
      </c>
      <c r="B20" s="11" t="s">
        <v>105</v>
      </c>
      <c r="C20" s="11" t="s">
        <v>105</v>
      </c>
      <c r="D20" s="11" t="s">
        <v>105</v>
      </c>
      <c r="E20" s="11" t="s">
        <v>105</v>
      </c>
      <c r="F20" s="11" t="s">
        <v>105</v>
      </c>
      <c r="G20" s="11" t="s">
        <v>105</v>
      </c>
      <c r="H20" s="11" t="s">
        <v>105</v>
      </c>
      <c r="I20" s="11" t="s">
        <v>105</v>
      </c>
      <c r="J20" s="11" t="s">
        <v>105</v>
      </c>
      <c r="K20" s="11" t="s">
        <v>105</v>
      </c>
      <c r="L20" s="11" t="s">
        <v>105</v>
      </c>
      <c r="M20" s="11" t="s">
        <v>105</v>
      </c>
      <c r="N20" s="11" t="s">
        <v>105</v>
      </c>
      <c r="O20" s="11">
        <v>2.258</v>
      </c>
      <c r="P20" s="12"/>
      <c r="Q20" s="11">
        <v>3.0219999999999998</v>
      </c>
      <c r="R20" s="12"/>
      <c r="S20" s="11">
        <v>1.742</v>
      </c>
      <c r="T20" s="12"/>
      <c r="U20" s="11">
        <v>2.222</v>
      </c>
      <c r="V20" s="12"/>
      <c r="Y20" s="6">
        <f t="shared" si="3"/>
        <v>2010</v>
      </c>
      <c r="Z20" s="6">
        <f>U31</f>
        <v>2.2669999999999999</v>
      </c>
      <c r="AA20" s="6">
        <f>U44</f>
        <v>2.415</v>
      </c>
      <c r="AB20" s="6">
        <f>U48</f>
        <v>1.7290000000000001</v>
      </c>
      <c r="AD20" s="6">
        <f t="shared" si="0"/>
        <v>18.205353728489481</v>
      </c>
      <c r="AE20" s="6">
        <f t="shared" si="1"/>
        <v>17.412875536480687</v>
      </c>
      <c r="AF20" s="6">
        <f t="shared" si="2"/>
        <v>11.550501033879435</v>
      </c>
    </row>
    <row r="21" spans="1:32" x14ac:dyDescent="0.25">
      <c r="A21" s="10" t="s">
        <v>104</v>
      </c>
      <c r="B21" s="11">
        <v>0.54200000000000004</v>
      </c>
      <c r="C21" s="11">
        <v>0.55100000000000005</v>
      </c>
      <c r="D21" s="11">
        <v>0.67300000000000004</v>
      </c>
      <c r="E21" s="11">
        <v>0.61899999999999999</v>
      </c>
      <c r="F21" s="11">
        <v>0.45700000000000002</v>
      </c>
      <c r="G21" s="11">
        <v>0.55700000000000005</v>
      </c>
      <c r="H21" s="11">
        <v>0.90900000000000003</v>
      </c>
      <c r="I21" s="11">
        <v>0.79400000000000004</v>
      </c>
      <c r="J21" s="11">
        <v>0.73799999999999999</v>
      </c>
      <c r="K21" s="11">
        <v>0.89500000000000002</v>
      </c>
      <c r="L21" s="11">
        <v>1.1970000000000001</v>
      </c>
      <c r="M21" s="11">
        <v>1.7609999999999999</v>
      </c>
      <c r="N21" s="11">
        <v>2.0449999999999999</v>
      </c>
      <c r="O21" s="11">
        <v>2.2109999999999999</v>
      </c>
      <c r="P21" s="12"/>
      <c r="Q21" s="11">
        <v>2.9830000000000001</v>
      </c>
      <c r="R21" s="12"/>
      <c r="S21" s="11">
        <v>1.6479999999999999</v>
      </c>
      <c r="T21" s="12"/>
      <c r="U21" s="11">
        <v>2.1800000000000002</v>
      </c>
      <c r="V21" s="12"/>
      <c r="Y21" s="6">
        <f t="shared" si="3"/>
        <v>2011</v>
      </c>
      <c r="Z21" s="51">
        <f>(3.05/2.301)*Z20</f>
        <v>3.0049326379834849</v>
      </c>
      <c r="AA21" s="51">
        <f>(3.117/2.314)*AA20</f>
        <v>3.2530488331892826</v>
      </c>
      <c r="AB21" s="51">
        <f>(2.401/1.713)*AB20</f>
        <v>2.4234261529480441</v>
      </c>
      <c r="AD21" s="6">
        <f t="shared" ref="AD21:AD24" si="4">Z21/5.23*42</f>
        <v>24.1313902094276</v>
      </c>
      <c r="AE21" s="6">
        <f t="shared" ref="AE21:AE24" si="5">AA21/5.825*42</f>
        <v>23.455459398102981</v>
      </c>
      <c r="AF21" s="6">
        <f t="shared" ref="AF21:AF24" si="6">AB21/6.287*42</f>
        <v>16.189581425770296</v>
      </c>
    </row>
    <row r="22" spans="1:32" x14ac:dyDescent="0.25">
      <c r="A22" s="14" t="s">
        <v>103</v>
      </c>
      <c r="B22" s="15">
        <v>0.51900000000000002</v>
      </c>
      <c r="C22" s="15">
        <v>0.52400000000000002</v>
      </c>
      <c r="D22" s="15">
        <v>0.63900000000000001</v>
      </c>
      <c r="E22" s="15">
        <v>0.60199999999999998</v>
      </c>
      <c r="F22" s="15">
        <v>0.437</v>
      </c>
      <c r="G22" s="15">
        <v>0.51900000000000002</v>
      </c>
      <c r="H22" s="15">
        <v>0.875</v>
      </c>
      <c r="I22" s="15">
        <v>0.77100000000000002</v>
      </c>
      <c r="J22" s="15">
        <v>0.71199999999999997</v>
      </c>
      <c r="K22" s="15">
        <v>0.87</v>
      </c>
      <c r="L22" s="15">
        <v>1.1459999999999999</v>
      </c>
      <c r="M22" s="15">
        <v>1.704</v>
      </c>
      <c r="N22" s="15">
        <v>1.915</v>
      </c>
      <c r="O22" s="15">
        <v>1.9590000000000001</v>
      </c>
      <c r="P22" s="16"/>
      <c r="Q22" s="15">
        <v>2.887</v>
      </c>
      <c r="R22" s="16"/>
      <c r="S22" s="15">
        <v>1.724</v>
      </c>
      <c r="T22" s="17" t="s">
        <v>64</v>
      </c>
      <c r="U22" s="15">
        <v>2.177</v>
      </c>
      <c r="V22" s="16"/>
      <c r="Y22" s="6">
        <f t="shared" si="3"/>
        <v>2012</v>
      </c>
      <c r="Z22" s="51">
        <f>(3.154/3.05)*Z21</f>
        <v>3.1073959148196431</v>
      </c>
      <c r="AA22" s="51">
        <f>(3.202/3.117)*AA21</f>
        <v>3.3417588591184093</v>
      </c>
      <c r="AB22" s="51">
        <f>(2.592/2.401)*AB21</f>
        <v>2.6162101576182133</v>
      </c>
      <c r="AD22" s="6">
        <f t="shared" si="4"/>
        <v>24.954231055913002</v>
      </c>
      <c r="AE22" s="6">
        <f t="shared" si="5"/>
        <v>24.095085336132737</v>
      </c>
      <c r="AF22" s="6">
        <f t="shared" si="6"/>
        <v>17.477465662472557</v>
      </c>
    </row>
    <row r="23" spans="1:32" x14ac:dyDescent="0.25">
      <c r="A23" s="10" t="s">
        <v>102</v>
      </c>
      <c r="B23" s="11">
        <v>0.32200000000000001</v>
      </c>
      <c r="C23" s="11">
        <v>0.36599999999999999</v>
      </c>
      <c r="D23" s="11">
        <v>0.42699999999999999</v>
      </c>
      <c r="E23" s="11">
        <v>0.39600000000000002</v>
      </c>
      <c r="F23" s="11">
        <v>0.28399999999999997</v>
      </c>
      <c r="G23" s="11">
        <v>0.35499999999999998</v>
      </c>
      <c r="H23" s="11">
        <v>0.57899999999999996</v>
      </c>
      <c r="I23" s="11">
        <v>0.496</v>
      </c>
      <c r="J23" s="11">
        <v>0.52600000000000002</v>
      </c>
      <c r="K23" s="11">
        <v>0.67500000000000004</v>
      </c>
      <c r="L23" s="11">
        <v>0.68200000000000005</v>
      </c>
      <c r="M23" s="11">
        <v>1.006</v>
      </c>
      <c r="N23" s="11">
        <v>1.141</v>
      </c>
      <c r="O23" s="11">
        <v>1.3420000000000001</v>
      </c>
      <c r="P23" s="12"/>
      <c r="Q23" s="11">
        <v>1.851</v>
      </c>
      <c r="R23" s="12"/>
      <c r="S23" s="11">
        <v>1.341</v>
      </c>
      <c r="T23" s="12"/>
      <c r="U23" s="11">
        <v>1.7270000000000001</v>
      </c>
      <c r="V23" s="12"/>
      <c r="Y23" s="6">
        <f t="shared" si="3"/>
        <v>2013</v>
      </c>
      <c r="Z23" s="51">
        <f>(3.049/3.154)*Z21</f>
        <v>2.9048952483232866</v>
      </c>
      <c r="AA23" s="51">
        <f>(3.122/3.202)*AA22</f>
        <v>3.2582670700086425</v>
      </c>
      <c r="AB23" s="51">
        <f>(2.482/2.592)*AB22</f>
        <v>2.5051827203736132</v>
      </c>
      <c r="AD23" s="6">
        <f t="shared" si="4"/>
        <v>23.328030674871517</v>
      </c>
      <c r="AE23" s="6">
        <f t="shared" si="5"/>
        <v>23.493084453281199</v>
      </c>
      <c r="AF23" s="6">
        <f t="shared" si="6"/>
        <v>16.735752227722564</v>
      </c>
    </row>
    <row r="24" spans="1:32" x14ac:dyDescent="0.25">
      <c r="A24" s="10" t="s">
        <v>101</v>
      </c>
      <c r="B24" s="11">
        <v>0.35</v>
      </c>
      <c r="C24" s="11">
        <v>0.38300000000000001</v>
      </c>
      <c r="D24" s="11">
        <v>0.46100000000000002</v>
      </c>
      <c r="E24" s="11">
        <v>0.42399999999999999</v>
      </c>
      <c r="F24" s="11">
        <v>0.30499999999999999</v>
      </c>
      <c r="G24" s="11">
        <v>0.38200000000000001</v>
      </c>
      <c r="H24" s="11">
        <v>0.63800000000000001</v>
      </c>
      <c r="I24" s="11">
        <v>0.54200000000000004</v>
      </c>
      <c r="J24" s="11">
        <v>0.54800000000000004</v>
      </c>
      <c r="K24" s="11">
        <v>0.73199999999999998</v>
      </c>
      <c r="L24" s="11">
        <v>0.74</v>
      </c>
      <c r="M24" s="11">
        <v>1.107</v>
      </c>
      <c r="N24" s="11">
        <v>1.2050000000000001</v>
      </c>
      <c r="O24" s="11">
        <v>1.377</v>
      </c>
      <c r="P24" s="12"/>
      <c r="Q24" s="11">
        <v>1.8979999999999999</v>
      </c>
      <c r="R24" s="12"/>
      <c r="S24" s="11">
        <v>1.349</v>
      </c>
      <c r="T24" s="12"/>
      <c r="U24" s="11">
        <v>1.8120000000000001</v>
      </c>
      <c r="V24" s="12"/>
      <c r="Y24" s="6">
        <f t="shared" si="3"/>
        <v>2014</v>
      </c>
      <c r="Z24" s="51">
        <f>(2.855/3.049)*Z23</f>
        <v>2.7200642617130151</v>
      </c>
      <c r="AA24" s="51">
        <f>(2.923/3.122)*AA23</f>
        <v>3.0505812445980984</v>
      </c>
      <c r="AB24" s="51">
        <f>(2.325/2.482)*AB23</f>
        <v>2.3467162872154113</v>
      </c>
      <c r="AD24" s="6">
        <f t="shared" si="4"/>
        <v>21.843728296739314</v>
      </c>
      <c r="AE24" s="6">
        <f t="shared" si="5"/>
        <v>21.995607257188006</v>
      </c>
      <c r="AF24" s="6">
        <f t="shared" si="6"/>
        <v>15.677124870852118</v>
      </c>
    </row>
    <row r="25" spans="1:32" x14ac:dyDescent="0.25">
      <c r="A25" s="14" t="s">
        <v>100</v>
      </c>
      <c r="B25" s="15">
        <v>0.29799999999999999</v>
      </c>
      <c r="C25" s="15">
        <v>0.34399999999999997</v>
      </c>
      <c r="D25" s="15">
        <v>0.39700000000000002</v>
      </c>
      <c r="E25" s="15">
        <v>0.375</v>
      </c>
      <c r="F25" s="15">
        <v>0.27100000000000002</v>
      </c>
      <c r="G25" s="15">
        <v>0.33300000000000002</v>
      </c>
      <c r="H25" s="15">
        <v>0.52300000000000002</v>
      </c>
      <c r="I25" s="15">
        <v>0.438</v>
      </c>
      <c r="J25" s="15">
        <v>0.502</v>
      </c>
      <c r="K25" s="15">
        <v>0.621</v>
      </c>
      <c r="L25" s="15">
        <v>0.63800000000000001</v>
      </c>
      <c r="M25" s="15">
        <v>0.89900000000000002</v>
      </c>
      <c r="N25" s="15">
        <v>1.087</v>
      </c>
      <c r="O25" s="15">
        <v>1.3140000000000001</v>
      </c>
      <c r="P25" s="16"/>
      <c r="Q25" s="15">
        <v>1.821</v>
      </c>
      <c r="R25" s="16"/>
      <c r="S25" s="15">
        <v>1.337</v>
      </c>
      <c r="T25" s="16"/>
      <c r="U25" s="15">
        <v>1.694</v>
      </c>
      <c r="V25" s="16"/>
      <c r="Y25" s="6">
        <v>2015</v>
      </c>
      <c r="Z25" s="51">
        <f>(2.003/2.855)*Z24</f>
        <v>1.9083322998988332</v>
      </c>
      <c r="AA25" s="51">
        <f>(1.819/2.923)*AA24</f>
        <v>1.8983945548833185</v>
      </c>
      <c r="AB25" s="51">
        <f>(1.285/2.325)*AB24</f>
        <v>1.2970023350846465</v>
      </c>
      <c r="AD25" s="6">
        <f t="shared" ref="AD25:AD27" si="7">Z25/5.23*42</f>
        <v>15.325039502055638</v>
      </c>
      <c r="AE25" s="6">
        <f t="shared" ref="AE25:AE27" si="8">AA25/5.825*42</f>
        <v>13.687995073836804</v>
      </c>
      <c r="AF25" s="6">
        <f t="shared" ref="AF25:AF27" si="9">AB25/6.287*42</f>
        <v>8.6645614877612775</v>
      </c>
    </row>
    <row r="26" spans="1:32" x14ac:dyDescent="0.25">
      <c r="A26" s="10" t="s">
        <v>99</v>
      </c>
      <c r="B26" s="11">
        <v>0.33600000000000002</v>
      </c>
      <c r="C26" s="11">
        <v>0.35399999999999998</v>
      </c>
      <c r="D26" s="11">
        <v>0.47099999999999997</v>
      </c>
      <c r="E26" s="11">
        <v>0.42599999999999999</v>
      </c>
      <c r="F26" s="11">
        <v>0.29699999999999999</v>
      </c>
      <c r="G26" s="11">
        <v>0.35399999999999998</v>
      </c>
      <c r="H26" s="11">
        <v>0.60299999999999998</v>
      </c>
      <c r="I26" s="11">
        <v>0.55600000000000005</v>
      </c>
      <c r="J26" s="11">
        <v>0.44</v>
      </c>
      <c r="K26" s="11">
        <v>0.61499999999999999</v>
      </c>
      <c r="L26" s="11">
        <v>0.76100000000000001</v>
      </c>
      <c r="M26" s="11">
        <v>0.93899999999999995</v>
      </c>
      <c r="N26" s="11">
        <v>1.0409999999999999</v>
      </c>
      <c r="O26" s="11">
        <v>1.206</v>
      </c>
      <c r="P26" s="12"/>
      <c r="Q26" s="11">
        <v>1.4550000000000001</v>
      </c>
      <c r="R26" s="12"/>
      <c r="S26" s="11">
        <v>0.95499999999999996</v>
      </c>
      <c r="T26" s="12"/>
      <c r="U26" s="11">
        <v>1.226</v>
      </c>
      <c r="V26" s="12"/>
      <c r="Y26" s="6">
        <v>2016</v>
      </c>
      <c r="Z26" s="51">
        <f>(1.73/2.003)*Z25</f>
        <v>1.648235086782317</v>
      </c>
      <c r="AA26" s="51">
        <f>(1.511/1.818)*AA25</f>
        <v>1.5778185766934509</v>
      </c>
      <c r="AB26" s="51">
        <f>(0.945/1.285)*AB25</f>
        <v>0.95382661996497353</v>
      </c>
      <c r="AD26" s="6">
        <f t="shared" si="7"/>
        <v>13.23630471220981</v>
      </c>
      <c r="AE26" s="6">
        <f t="shared" si="8"/>
        <v>11.376545960708143</v>
      </c>
      <c r="AF26" s="6">
        <f t="shared" si="9"/>
        <v>6.3719926894431191</v>
      </c>
    </row>
    <row r="27" spans="1:32" x14ac:dyDescent="0.25">
      <c r="A27" s="22"/>
      <c r="B27" s="101">
        <v>0.72899999999999998</v>
      </c>
      <c r="C27" s="101">
        <v>0.76100000000000001</v>
      </c>
      <c r="D27" s="101">
        <v>0.84299999999999997</v>
      </c>
      <c r="E27" s="101">
        <v>0.83099999999999996</v>
      </c>
      <c r="F27" s="101">
        <v>0.66</v>
      </c>
      <c r="G27" s="101">
        <v>0.76200000000000001</v>
      </c>
      <c r="H27" s="101">
        <v>1.091</v>
      </c>
      <c r="I27" s="101">
        <v>1.022</v>
      </c>
      <c r="J27" s="101">
        <v>0.94299999999999995</v>
      </c>
      <c r="K27" s="101">
        <v>1.135</v>
      </c>
      <c r="L27" s="101">
        <v>1.423</v>
      </c>
      <c r="M27" s="101">
        <v>1.8280000000000001</v>
      </c>
      <c r="N27" s="101">
        <v>2.121</v>
      </c>
      <c r="O27" s="101">
        <v>2.3380000000000001</v>
      </c>
      <c r="P27" s="104"/>
      <c r="Q27" s="101">
        <v>2.7719999999999998</v>
      </c>
      <c r="R27" s="104"/>
      <c r="S27" s="101">
        <v>1.893</v>
      </c>
      <c r="T27" s="111" t="s">
        <v>64</v>
      </c>
      <c r="U27" s="101">
        <v>2.3159999999999998</v>
      </c>
      <c r="V27" s="104"/>
      <c r="Y27" s="6">
        <v>2017</v>
      </c>
      <c r="Z27" s="51">
        <f>(1.976/1.73)*Z26</f>
        <v>1.8826083997004963</v>
      </c>
      <c r="AA27" s="51">
        <f>(1.811/1.511)*AA26</f>
        <v>1.8910850048920185</v>
      </c>
      <c r="AB27" s="51">
        <f>(1.287/0.945)*AB26</f>
        <v>1.2990210157618212</v>
      </c>
      <c r="AD27" s="6">
        <f t="shared" si="7"/>
        <v>15.118461336026929</v>
      </c>
      <c r="AE27" s="6">
        <f t="shared" si="8"/>
        <v>13.635291022397386</v>
      </c>
      <c r="AF27" s="6">
        <f t="shared" si="9"/>
        <v>8.6780471865749149</v>
      </c>
    </row>
    <row r="28" spans="1:32" x14ac:dyDescent="0.25">
      <c r="A28" s="21" t="s">
        <v>119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6"/>
      <c r="Q28" s="103"/>
      <c r="R28" s="106"/>
      <c r="S28" s="103"/>
      <c r="T28" s="112"/>
      <c r="U28" s="103"/>
      <c r="V28" s="106"/>
    </row>
    <row r="29" spans="1:32" x14ac:dyDescent="0.25">
      <c r="A29" s="10" t="s">
        <v>118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5"/>
      <c r="Q29" s="102"/>
      <c r="R29" s="105"/>
      <c r="S29" s="102"/>
      <c r="T29" s="113"/>
      <c r="U29" s="102"/>
      <c r="V29" s="105"/>
      <c r="Z29" s="6" t="s">
        <v>127</v>
      </c>
      <c r="AD29" s="6" t="s">
        <v>128</v>
      </c>
    </row>
    <row r="30" spans="1:32" x14ac:dyDescent="0.25">
      <c r="A30" s="10" t="s">
        <v>117</v>
      </c>
      <c r="B30" s="11">
        <v>0.69</v>
      </c>
      <c r="C30" s="11">
        <v>0.72099999999999997</v>
      </c>
      <c r="D30" s="11">
        <v>0.80900000000000005</v>
      </c>
      <c r="E30" s="11">
        <v>0.79700000000000004</v>
      </c>
      <c r="F30" s="11">
        <v>0.623</v>
      </c>
      <c r="G30" s="11">
        <v>0.72799999999999998</v>
      </c>
      <c r="H30" s="11">
        <v>1.0629999999999999</v>
      </c>
      <c r="I30" s="11">
        <v>0.99299999999999999</v>
      </c>
      <c r="J30" s="11">
        <v>0.91500000000000004</v>
      </c>
      <c r="K30" s="11">
        <v>1.1080000000000001</v>
      </c>
      <c r="L30" s="11">
        <v>1.399</v>
      </c>
      <c r="M30" s="11">
        <v>1.8069999999999999</v>
      </c>
      <c r="N30" s="11">
        <v>2.0979999999999999</v>
      </c>
      <c r="O30" s="11">
        <v>2.3130000000000002</v>
      </c>
      <c r="P30" s="12"/>
      <c r="Q30" s="11">
        <v>2.75</v>
      </c>
      <c r="R30" s="12"/>
      <c r="S30" s="11">
        <v>1.867</v>
      </c>
      <c r="T30" s="13" t="s">
        <v>64</v>
      </c>
      <c r="U30" s="11">
        <v>2.29</v>
      </c>
      <c r="V30" s="12"/>
      <c r="Z30" s="6" t="s">
        <v>129</v>
      </c>
      <c r="AD30" s="6" t="s">
        <v>128</v>
      </c>
    </row>
    <row r="31" spans="1:32" x14ac:dyDescent="0.25">
      <c r="A31" s="14" t="s">
        <v>114</v>
      </c>
      <c r="B31" s="15">
        <v>0.68500000000000005</v>
      </c>
      <c r="C31" s="15">
        <v>0.71399999999999997</v>
      </c>
      <c r="D31" s="15">
        <v>0.80100000000000005</v>
      </c>
      <c r="E31" s="15">
        <v>0.78500000000000003</v>
      </c>
      <c r="F31" s="15">
        <v>0.61</v>
      </c>
      <c r="G31" s="15">
        <v>0.70799999999999996</v>
      </c>
      <c r="H31" s="15">
        <v>1.044</v>
      </c>
      <c r="I31" s="15">
        <v>0.96799999999999997</v>
      </c>
      <c r="J31" s="15">
        <v>0.90100000000000002</v>
      </c>
      <c r="K31" s="15">
        <v>1.0820000000000001</v>
      </c>
      <c r="L31" s="15">
        <v>1.373</v>
      </c>
      <c r="M31" s="15">
        <v>1.7889999999999999</v>
      </c>
      <c r="N31" s="15">
        <v>2.073</v>
      </c>
      <c r="O31" s="15">
        <v>2.2970000000000002</v>
      </c>
      <c r="P31" s="17" t="s">
        <v>111</v>
      </c>
      <c r="Q31" s="15">
        <v>2.7309999999999999</v>
      </c>
      <c r="R31" s="17" t="s">
        <v>111</v>
      </c>
      <c r="S31" s="15">
        <v>1.8420000000000001</v>
      </c>
      <c r="T31" s="17" t="s">
        <v>113</v>
      </c>
      <c r="U31" s="15">
        <v>2.2669999999999999</v>
      </c>
      <c r="V31" s="17" t="s">
        <v>111</v>
      </c>
    </row>
    <row r="32" spans="1:32" x14ac:dyDescent="0.25">
      <c r="A32" s="10" t="s">
        <v>112</v>
      </c>
      <c r="B32" s="11">
        <v>0.73699999999999999</v>
      </c>
      <c r="C32" s="11">
        <v>0.77300000000000002</v>
      </c>
      <c r="D32" s="11">
        <v>0.86099999999999999</v>
      </c>
      <c r="E32" s="11">
        <v>0.88700000000000001</v>
      </c>
      <c r="F32" s="11">
        <v>0.69399999999999995</v>
      </c>
      <c r="G32" s="11">
        <v>0.78200000000000003</v>
      </c>
      <c r="H32" s="11">
        <v>1.1180000000000001</v>
      </c>
      <c r="I32" s="11">
        <v>1.0589999999999999</v>
      </c>
      <c r="J32" s="11">
        <v>0.96399999999999997</v>
      </c>
      <c r="K32" s="11">
        <v>1.1419999999999999</v>
      </c>
      <c r="L32" s="11">
        <v>1.4139999999999999</v>
      </c>
      <c r="M32" s="11">
        <v>1.768</v>
      </c>
      <c r="N32" s="11">
        <v>2.0760000000000001</v>
      </c>
      <c r="O32" s="20"/>
      <c r="P32" s="13" t="s">
        <v>111</v>
      </c>
      <c r="Q32" s="20"/>
      <c r="R32" s="13" t="s">
        <v>111</v>
      </c>
      <c r="S32" s="20"/>
      <c r="T32" s="13" t="s">
        <v>111</v>
      </c>
      <c r="U32" s="20"/>
      <c r="V32" s="13" t="s">
        <v>111</v>
      </c>
      <c r="Z32" s="6" t="s">
        <v>236</v>
      </c>
    </row>
    <row r="33" spans="1:22" x14ac:dyDescent="0.25">
      <c r="A33" s="10" t="s">
        <v>110</v>
      </c>
      <c r="B33" s="11">
        <v>0.74299999999999999</v>
      </c>
      <c r="C33" s="11">
        <v>0.74099999999999999</v>
      </c>
      <c r="D33" s="11">
        <v>0.83299999999999996</v>
      </c>
      <c r="E33" s="11">
        <v>0.82199999999999995</v>
      </c>
      <c r="F33" s="11">
        <v>0.65100000000000002</v>
      </c>
      <c r="G33" s="11">
        <v>0.77700000000000002</v>
      </c>
      <c r="H33" s="11">
        <v>1.109</v>
      </c>
      <c r="I33" s="11">
        <v>1.0509999999999999</v>
      </c>
      <c r="J33" s="11">
        <v>0.94899999999999995</v>
      </c>
      <c r="K33" s="11">
        <v>1.1830000000000001</v>
      </c>
      <c r="L33" s="11">
        <v>1.478</v>
      </c>
      <c r="M33" s="11">
        <v>1.861</v>
      </c>
      <c r="N33" s="11">
        <v>2.1680000000000001</v>
      </c>
      <c r="O33" s="11">
        <v>2.3570000000000002</v>
      </c>
      <c r="P33" s="12"/>
      <c r="Q33" s="11">
        <v>2.8069999999999999</v>
      </c>
      <c r="R33" s="12"/>
      <c r="S33" s="11">
        <v>1.944</v>
      </c>
      <c r="T33" s="12"/>
      <c r="U33" s="11">
        <v>2.3580000000000001</v>
      </c>
      <c r="V33" s="12"/>
    </row>
    <row r="34" spans="1:22" x14ac:dyDescent="0.25">
      <c r="A34" s="14" t="s">
        <v>116</v>
      </c>
      <c r="B34" s="15">
        <v>0.77</v>
      </c>
      <c r="C34" s="15">
        <v>0.80200000000000005</v>
      </c>
      <c r="D34" s="15">
        <v>0.88500000000000001</v>
      </c>
      <c r="E34" s="15">
        <v>0.88</v>
      </c>
      <c r="F34" s="15">
        <v>0.71099999999999997</v>
      </c>
      <c r="G34" s="15">
        <v>0.81200000000000006</v>
      </c>
      <c r="H34" s="15">
        <v>1.1459999999999999</v>
      </c>
      <c r="I34" s="15">
        <v>1.0860000000000001</v>
      </c>
      <c r="J34" s="15">
        <v>1.002</v>
      </c>
      <c r="K34" s="15">
        <v>1.1950000000000001</v>
      </c>
      <c r="L34" s="15">
        <v>1.482</v>
      </c>
      <c r="M34" s="15">
        <v>1.877</v>
      </c>
      <c r="N34" s="15">
        <v>2.1829999999999998</v>
      </c>
      <c r="O34" s="15">
        <v>2.4119999999999999</v>
      </c>
      <c r="P34" s="16"/>
      <c r="Q34" s="15">
        <v>2.8460000000000001</v>
      </c>
      <c r="R34" s="16"/>
      <c r="S34" s="15">
        <v>1.9690000000000001</v>
      </c>
      <c r="T34" s="16"/>
      <c r="U34" s="15">
        <v>2.39</v>
      </c>
      <c r="V34" s="16"/>
    </row>
    <row r="35" spans="1:22" x14ac:dyDescent="0.25">
      <c r="A35" s="10" t="s">
        <v>114</v>
      </c>
      <c r="B35" s="11">
        <v>0.76600000000000001</v>
      </c>
      <c r="C35" s="11">
        <v>0.79300000000000004</v>
      </c>
      <c r="D35" s="11">
        <v>0.874</v>
      </c>
      <c r="E35" s="11">
        <v>0.86499999999999999</v>
      </c>
      <c r="F35" s="11">
        <v>0.69499999999999995</v>
      </c>
      <c r="G35" s="11">
        <v>0.78700000000000003</v>
      </c>
      <c r="H35" s="11">
        <v>1.1220000000000001</v>
      </c>
      <c r="I35" s="11">
        <v>1.052</v>
      </c>
      <c r="J35" s="11">
        <v>0.98499999999999999</v>
      </c>
      <c r="K35" s="11">
        <v>1.1659999999999999</v>
      </c>
      <c r="L35" s="11">
        <v>1.4530000000000001</v>
      </c>
      <c r="M35" s="11">
        <v>1.855</v>
      </c>
      <c r="N35" s="11">
        <v>2.1509999999999998</v>
      </c>
      <c r="O35" s="11">
        <v>2.3889999999999998</v>
      </c>
      <c r="P35" s="13" t="s">
        <v>111</v>
      </c>
      <c r="Q35" s="11">
        <v>2.8159999999999998</v>
      </c>
      <c r="R35" s="13" t="s">
        <v>111</v>
      </c>
      <c r="S35" s="11">
        <v>1.9339999999999999</v>
      </c>
      <c r="T35" s="13" t="s">
        <v>113</v>
      </c>
      <c r="U35" s="11">
        <v>2.3570000000000002</v>
      </c>
      <c r="V35" s="13" t="s">
        <v>111</v>
      </c>
    </row>
    <row r="36" spans="1:22" x14ac:dyDescent="0.25">
      <c r="A36" s="10" t="s">
        <v>112</v>
      </c>
      <c r="B36" s="11">
        <v>0.82099999999999995</v>
      </c>
      <c r="C36" s="11">
        <v>0.83799999999999997</v>
      </c>
      <c r="D36" s="11">
        <v>0.92900000000000005</v>
      </c>
      <c r="E36" s="11">
        <v>0.96399999999999997</v>
      </c>
      <c r="F36" s="11">
        <v>0.76300000000000001</v>
      </c>
      <c r="G36" s="11">
        <v>0.85299999999999998</v>
      </c>
      <c r="H36" s="11">
        <v>1.1850000000000001</v>
      </c>
      <c r="I36" s="11">
        <v>1.1200000000000001</v>
      </c>
      <c r="J36" s="11">
        <v>1.0309999999999999</v>
      </c>
      <c r="K36" s="11">
        <v>1.1930000000000001</v>
      </c>
      <c r="L36" s="11">
        <v>1.4590000000000001</v>
      </c>
      <c r="M36" s="11">
        <v>1.8240000000000001</v>
      </c>
      <c r="N36" s="11">
        <v>2.1379999999999999</v>
      </c>
      <c r="O36" s="20"/>
      <c r="P36" s="13" t="s">
        <v>111</v>
      </c>
      <c r="Q36" s="20"/>
      <c r="R36" s="13" t="s">
        <v>111</v>
      </c>
      <c r="S36" s="20"/>
      <c r="T36" s="13" t="s">
        <v>111</v>
      </c>
      <c r="U36" s="20"/>
      <c r="V36" s="13" t="s">
        <v>111</v>
      </c>
    </row>
    <row r="37" spans="1:22" x14ac:dyDescent="0.25">
      <c r="A37" s="14" t="s">
        <v>110</v>
      </c>
      <c r="B37" s="15">
        <v>0.85099999999999998</v>
      </c>
      <c r="C37" s="15">
        <v>0.82899999999999996</v>
      </c>
      <c r="D37" s="15">
        <v>0.91600000000000004</v>
      </c>
      <c r="E37" s="15">
        <v>0.91500000000000004</v>
      </c>
      <c r="F37" s="15">
        <v>0.748</v>
      </c>
      <c r="G37" s="15">
        <v>0.86899999999999999</v>
      </c>
      <c r="H37" s="15">
        <v>1.1970000000000001</v>
      </c>
      <c r="I37" s="15">
        <v>1.1559999999999999</v>
      </c>
      <c r="J37" s="15">
        <v>1.042</v>
      </c>
      <c r="K37" s="15">
        <v>1.2769999999999999</v>
      </c>
      <c r="L37" s="15">
        <v>1.569</v>
      </c>
      <c r="M37" s="15">
        <v>1.9450000000000001</v>
      </c>
      <c r="N37" s="15">
        <v>2.2730000000000001</v>
      </c>
      <c r="O37" s="15">
        <v>2.476</v>
      </c>
      <c r="P37" s="16"/>
      <c r="Q37" s="15">
        <v>2.9359999999999999</v>
      </c>
      <c r="R37" s="16"/>
      <c r="S37" s="15">
        <v>2.077</v>
      </c>
      <c r="T37" s="16"/>
      <c r="U37" s="15">
        <v>2.4940000000000002</v>
      </c>
      <c r="V37" s="16"/>
    </row>
    <row r="38" spans="1:22" x14ac:dyDescent="0.25">
      <c r="A38" s="10" t="s">
        <v>115</v>
      </c>
      <c r="B38" s="11">
        <v>0.85199999999999998</v>
      </c>
      <c r="C38" s="11">
        <v>0.88300000000000001</v>
      </c>
      <c r="D38" s="11">
        <v>0.96199999999999997</v>
      </c>
      <c r="E38" s="11">
        <v>0.95499999999999996</v>
      </c>
      <c r="F38" s="11">
        <v>0.78600000000000003</v>
      </c>
      <c r="G38" s="11">
        <v>0.88</v>
      </c>
      <c r="H38" s="11">
        <v>1.218</v>
      </c>
      <c r="I38" s="11">
        <v>1.1539999999999999</v>
      </c>
      <c r="J38" s="11">
        <v>1.081</v>
      </c>
      <c r="K38" s="11">
        <v>1.282</v>
      </c>
      <c r="L38" s="11">
        <v>1.58</v>
      </c>
      <c r="M38" s="11">
        <v>1.988</v>
      </c>
      <c r="N38" s="11">
        <v>2.3029999999999999</v>
      </c>
      <c r="O38" s="11">
        <v>2.5289999999999999</v>
      </c>
      <c r="P38" s="12"/>
      <c r="Q38" s="11">
        <v>2.9609999999999999</v>
      </c>
      <c r="R38" s="12"/>
      <c r="S38" s="11">
        <v>2.1240000000000001</v>
      </c>
      <c r="T38" s="13" t="s">
        <v>64</v>
      </c>
      <c r="U38" s="11">
        <v>2.5419999999999998</v>
      </c>
      <c r="V38" s="12"/>
    </row>
    <row r="39" spans="1:22" x14ac:dyDescent="0.25">
      <c r="A39" s="10" t="s">
        <v>114</v>
      </c>
      <c r="B39" s="11">
        <v>0.84599999999999997</v>
      </c>
      <c r="C39" s="11">
        <v>0.871</v>
      </c>
      <c r="D39" s="11">
        <v>0.95</v>
      </c>
      <c r="E39" s="11">
        <v>0.93899999999999995</v>
      </c>
      <c r="F39" s="11">
        <v>0.76900000000000002</v>
      </c>
      <c r="G39" s="11">
        <v>0.85599999999999998</v>
      </c>
      <c r="H39" s="11">
        <v>1.1919999999999999</v>
      </c>
      <c r="I39" s="11">
        <v>1.119</v>
      </c>
      <c r="J39" s="11">
        <v>1.0629999999999999</v>
      </c>
      <c r="K39" s="11">
        <v>1.2450000000000001</v>
      </c>
      <c r="L39" s="11">
        <v>1.538</v>
      </c>
      <c r="M39" s="11">
        <v>1.958</v>
      </c>
      <c r="N39" s="11">
        <v>2.2629999999999999</v>
      </c>
      <c r="O39" s="11">
        <v>2.4969999999999999</v>
      </c>
      <c r="P39" s="13" t="s">
        <v>111</v>
      </c>
      <c r="Q39" s="11">
        <v>2.9350000000000001</v>
      </c>
      <c r="R39" s="13" t="s">
        <v>111</v>
      </c>
      <c r="S39" s="11">
        <v>2.0819999999999999</v>
      </c>
      <c r="T39" s="13" t="s">
        <v>113</v>
      </c>
      <c r="U39" s="11">
        <v>2.504</v>
      </c>
      <c r="V39" s="13" t="s">
        <v>111</v>
      </c>
    </row>
    <row r="40" spans="1:22" x14ac:dyDescent="0.25">
      <c r="A40" s="14" t="s">
        <v>112</v>
      </c>
      <c r="B40" s="15">
        <v>0.90800000000000003</v>
      </c>
      <c r="C40" s="15">
        <v>0.93799999999999994</v>
      </c>
      <c r="D40" s="15">
        <v>1.0189999999999999</v>
      </c>
      <c r="E40" s="15">
        <v>1.054</v>
      </c>
      <c r="F40" s="15">
        <v>0.84499999999999997</v>
      </c>
      <c r="G40" s="15">
        <v>0.94</v>
      </c>
      <c r="H40" s="15">
        <v>1.2789999999999999</v>
      </c>
      <c r="I40" s="15">
        <v>1.218</v>
      </c>
      <c r="J40" s="15">
        <v>1.1279999999999999</v>
      </c>
      <c r="K40" s="15">
        <v>1.3069999999999999</v>
      </c>
      <c r="L40" s="15">
        <v>1.5680000000000001</v>
      </c>
      <c r="M40" s="15">
        <v>1.915</v>
      </c>
      <c r="N40" s="15">
        <v>2.2360000000000002</v>
      </c>
      <c r="O40" s="19"/>
      <c r="P40" s="17" t="s">
        <v>111</v>
      </c>
      <c r="Q40" s="19"/>
      <c r="R40" s="17" t="s">
        <v>111</v>
      </c>
      <c r="S40" s="19"/>
      <c r="T40" s="17" t="s">
        <v>111</v>
      </c>
      <c r="U40" s="19"/>
      <c r="V40" s="17" t="s">
        <v>111</v>
      </c>
    </row>
    <row r="41" spans="1:22" x14ac:dyDescent="0.25">
      <c r="A41" s="10" t="s">
        <v>110</v>
      </c>
      <c r="B41" s="11">
        <v>0.93700000000000006</v>
      </c>
      <c r="C41" s="11">
        <v>0.91400000000000003</v>
      </c>
      <c r="D41" s="11">
        <v>0.99099999999999999</v>
      </c>
      <c r="E41" s="11">
        <v>0.98799999999999999</v>
      </c>
      <c r="F41" s="11">
        <v>0.82199999999999995</v>
      </c>
      <c r="G41" s="11">
        <v>0.93100000000000005</v>
      </c>
      <c r="H41" s="11">
        <v>1.2669999999999999</v>
      </c>
      <c r="I41" s="11">
        <v>1.2170000000000001</v>
      </c>
      <c r="J41" s="11">
        <v>1.1160000000000001</v>
      </c>
      <c r="K41" s="11">
        <v>1.355</v>
      </c>
      <c r="L41" s="11">
        <v>1.66</v>
      </c>
      <c r="M41" s="11">
        <v>2.0430000000000001</v>
      </c>
      <c r="N41" s="11">
        <v>2.3730000000000002</v>
      </c>
      <c r="O41" s="11">
        <v>2.5840000000000001</v>
      </c>
      <c r="P41" s="12"/>
      <c r="Q41" s="11">
        <v>3.004</v>
      </c>
      <c r="R41" s="12"/>
      <c r="S41" s="11">
        <v>2.1960000000000002</v>
      </c>
      <c r="T41" s="13" t="s">
        <v>64</v>
      </c>
      <c r="U41" s="11">
        <v>2.6070000000000002</v>
      </c>
      <c r="V41" s="12"/>
    </row>
    <row r="42" spans="1:22" x14ac:dyDescent="0.25">
      <c r="A42" s="10" t="s">
        <v>109</v>
      </c>
      <c r="B42" s="11">
        <v>0.67500000000000004</v>
      </c>
      <c r="C42" s="11">
        <v>0.67300000000000004</v>
      </c>
      <c r="D42" s="11">
        <v>0.79300000000000004</v>
      </c>
      <c r="E42" s="11">
        <v>0.753</v>
      </c>
      <c r="F42" s="11">
        <v>0.59899999999999998</v>
      </c>
      <c r="G42" s="11">
        <v>0.67800000000000005</v>
      </c>
      <c r="H42" s="11">
        <v>1.044</v>
      </c>
      <c r="I42" s="11">
        <v>0.94799999999999995</v>
      </c>
      <c r="J42" s="11">
        <v>0.874</v>
      </c>
      <c r="K42" s="11">
        <v>1.0580000000000001</v>
      </c>
      <c r="L42" s="11">
        <v>1.339</v>
      </c>
      <c r="M42" s="11">
        <v>1.895</v>
      </c>
      <c r="N42" s="11">
        <v>2.1760000000000002</v>
      </c>
      <c r="O42" s="11">
        <v>2.3650000000000002</v>
      </c>
      <c r="P42" s="12"/>
      <c r="Q42" s="11">
        <v>3.222</v>
      </c>
      <c r="R42" s="12"/>
      <c r="S42" s="11">
        <v>1.964</v>
      </c>
      <c r="T42" s="12"/>
      <c r="U42" s="11">
        <v>2.4489999999999998</v>
      </c>
      <c r="V42" s="12"/>
    </row>
    <row r="43" spans="1:22" x14ac:dyDescent="0.25">
      <c r="A43" s="14" t="s">
        <v>108</v>
      </c>
      <c r="B43" s="15">
        <v>0.88400000000000001</v>
      </c>
      <c r="C43" s="15">
        <v>0.86699999999999999</v>
      </c>
      <c r="D43" s="15">
        <v>0.98899999999999999</v>
      </c>
      <c r="E43" s="15">
        <v>0.98399999999999999</v>
      </c>
      <c r="F43" s="15">
        <v>0.85199999999999998</v>
      </c>
      <c r="G43" s="15">
        <v>0.876</v>
      </c>
      <c r="H43" s="15">
        <v>1.3109999999999999</v>
      </c>
      <c r="I43" s="15">
        <v>1.25</v>
      </c>
      <c r="J43" s="15">
        <v>1.129</v>
      </c>
      <c r="K43" s="15">
        <v>1.355</v>
      </c>
      <c r="L43" s="15">
        <v>1.548</v>
      </c>
      <c r="M43" s="15">
        <v>2.052</v>
      </c>
      <c r="N43" s="15">
        <v>2.3650000000000002</v>
      </c>
      <c r="O43" s="15">
        <v>2.5920000000000001</v>
      </c>
      <c r="P43" s="16"/>
      <c r="Q43" s="15">
        <v>3.2189999999999999</v>
      </c>
      <c r="R43" s="16"/>
      <c r="S43" s="15">
        <v>2.3860000000000001</v>
      </c>
      <c r="T43" s="16"/>
      <c r="U43" s="15">
        <v>2.798</v>
      </c>
      <c r="V43" s="16"/>
    </row>
    <row r="44" spans="1:22" x14ac:dyDescent="0.25">
      <c r="A44" s="10" t="s">
        <v>107</v>
      </c>
      <c r="B44" s="11">
        <v>0.628</v>
      </c>
      <c r="C44" s="11">
        <v>0.63600000000000001</v>
      </c>
      <c r="D44" s="11">
        <v>0.75700000000000001</v>
      </c>
      <c r="E44" s="11">
        <v>0.71399999999999997</v>
      </c>
      <c r="F44" s="11">
        <v>0.56200000000000006</v>
      </c>
      <c r="G44" s="11">
        <v>0.65400000000000003</v>
      </c>
      <c r="H44" s="11">
        <v>1.006</v>
      </c>
      <c r="I44" s="11">
        <v>0.91200000000000003</v>
      </c>
      <c r="J44" s="11">
        <v>0.83699999999999997</v>
      </c>
      <c r="K44" s="11">
        <v>1.008</v>
      </c>
      <c r="L44" s="11">
        <v>1.3160000000000001</v>
      </c>
      <c r="M44" s="11">
        <v>1.8859999999999999</v>
      </c>
      <c r="N44" s="11">
        <v>2.165</v>
      </c>
      <c r="O44" s="11">
        <v>2.3479999999999999</v>
      </c>
      <c r="P44" s="12"/>
      <c r="Q44" s="11">
        <v>3.23</v>
      </c>
      <c r="R44" s="12"/>
      <c r="S44" s="11">
        <v>1.9179999999999999</v>
      </c>
      <c r="T44" s="12"/>
      <c r="U44" s="11">
        <v>2.415</v>
      </c>
      <c r="V44" s="12"/>
    </row>
    <row r="45" spans="1:22" x14ac:dyDescent="0.25">
      <c r="A45" s="10" t="s">
        <v>106</v>
      </c>
      <c r="B45" s="11" t="s">
        <v>105</v>
      </c>
      <c r="C45" s="11" t="s">
        <v>105</v>
      </c>
      <c r="D45" s="11" t="s">
        <v>105</v>
      </c>
      <c r="E45" s="11" t="s">
        <v>105</v>
      </c>
      <c r="F45" s="11" t="s">
        <v>105</v>
      </c>
      <c r="G45" s="11" t="s">
        <v>105</v>
      </c>
      <c r="H45" s="11" t="s">
        <v>105</v>
      </c>
      <c r="I45" s="11" t="s">
        <v>105</v>
      </c>
      <c r="J45" s="11" t="s">
        <v>105</v>
      </c>
      <c r="K45" s="11" t="s">
        <v>105</v>
      </c>
      <c r="L45" s="11" t="s">
        <v>105</v>
      </c>
      <c r="M45" s="11" t="s">
        <v>105</v>
      </c>
      <c r="N45" s="11" t="s">
        <v>105</v>
      </c>
      <c r="O45" s="11">
        <v>2.3860000000000001</v>
      </c>
      <c r="P45" s="12"/>
      <c r="Q45" s="11">
        <v>3.2330000000000001</v>
      </c>
      <c r="R45" s="12"/>
      <c r="S45" s="11">
        <v>1.9219999999999999</v>
      </c>
      <c r="T45" s="12"/>
      <c r="U45" s="11">
        <v>2.423</v>
      </c>
      <c r="V45" s="12"/>
    </row>
    <row r="46" spans="1:22" x14ac:dyDescent="0.25">
      <c r="A46" s="14" t="s">
        <v>104</v>
      </c>
      <c r="B46" s="15">
        <v>0.64200000000000002</v>
      </c>
      <c r="C46" s="15">
        <v>0.64500000000000002</v>
      </c>
      <c r="D46" s="15">
        <v>0.76700000000000002</v>
      </c>
      <c r="E46" s="15">
        <v>0.71899999999999997</v>
      </c>
      <c r="F46" s="15">
        <v>0.56499999999999995</v>
      </c>
      <c r="G46" s="15">
        <v>0.66300000000000003</v>
      </c>
      <c r="H46" s="15">
        <v>1.014</v>
      </c>
      <c r="I46" s="15">
        <v>0.91700000000000004</v>
      </c>
      <c r="J46" s="15">
        <v>0.84099999999999997</v>
      </c>
      <c r="K46" s="15">
        <v>1.014</v>
      </c>
      <c r="L46" s="15">
        <v>1.325</v>
      </c>
      <c r="M46" s="15">
        <v>1.899</v>
      </c>
      <c r="N46" s="15">
        <v>2.1829999999999998</v>
      </c>
      <c r="O46" s="15">
        <v>2.3170000000000002</v>
      </c>
      <c r="P46" s="16"/>
      <c r="Q46" s="15">
        <v>3.2320000000000002</v>
      </c>
      <c r="R46" s="16"/>
      <c r="S46" s="15">
        <v>1.913</v>
      </c>
      <c r="T46" s="16"/>
      <c r="U46" s="15">
        <v>2.3809999999999998</v>
      </c>
      <c r="V46" s="16"/>
    </row>
    <row r="47" spans="1:22" x14ac:dyDescent="0.25">
      <c r="A47" s="10" t="s">
        <v>103</v>
      </c>
      <c r="B47" s="11">
        <v>0.59799999999999998</v>
      </c>
      <c r="C47" s="11">
        <v>0.61399999999999999</v>
      </c>
      <c r="D47" s="11">
        <v>0.73199999999999998</v>
      </c>
      <c r="E47" s="11">
        <v>0.69799999999999995</v>
      </c>
      <c r="F47" s="11">
        <v>0.55500000000000005</v>
      </c>
      <c r="G47" s="11">
        <v>0.62</v>
      </c>
      <c r="H47" s="11">
        <v>0.98099999999999998</v>
      </c>
      <c r="I47" s="11">
        <v>0.89200000000000002</v>
      </c>
      <c r="J47" s="11">
        <v>0.82199999999999995</v>
      </c>
      <c r="K47" s="11">
        <v>0.98599999999999999</v>
      </c>
      <c r="L47" s="11">
        <v>1.2809999999999999</v>
      </c>
      <c r="M47" s="11">
        <v>1.833</v>
      </c>
      <c r="N47" s="11">
        <v>2.0840000000000001</v>
      </c>
      <c r="O47" s="11">
        <v>2.1869999999999998</v>
      </c>
      <c r="P47" s="12"/>
      <c r="Q47" s="11">
        <v>3.1869999999999998</v>
      </c>
      <c r="R47" s="12"/>
      <c r="S47" s="11">
        <v>1.865</v>
      </c>
      <c r="T47" s="12"/>
      <c r="U47" s="11">
        <v>2.3079999999999998</v>
      </c>
      <c r="V47" s="12"/>
    </row>
    <row r="48" spans="1:22" x14ac:dyDescent="0.25">
      <c r="A48" s="10" t="s">
        <v>102</v>
      </c>
      <c r="B48" s="11">
        <v>0.35799999999999998</v>
      </c>
      <c r="C48" s="11">
        <v>0.39700000000000002</v>
      </c>
      <c r="D48" s="11">
        <v>0.46400000000000002</v>
      </c>
      <c r="E48" s="11">
        <v>0.42899999999999999</v>
      </c>
      <c r="F48" s="11">
        <v>0.311</v>
      </c>
      <c r="G48" s="11">
        <v>0.378</v>
      </c>
      <c r="H48" s="11">
        <v>0.60899999999999999</v>
      </c>
      <c r="I48" s="11">
        <v>0.53300000000000003</v>
      </c>
      <c r="J48" s="11">
        <v>0.56100000000000005</v>
      </c>
      <c r="K48" s="11">
        <v>0.69599999999999995</v>
      </c>
      <c r="L48" s="11">
        <v>0.72499999999999998</v>
      </c>
      <c r="M48" s="11">
        <v>1.0409999999999999</v>
      </c>
      <c r="N48" s="11">
        <v>1.212</v>
      </c>
      <c r="O48" s="11">
        <v>1.3759999999999999</v>
      </c>
      <c r="P48" s="12"/>
      <c r="Q48" s="11">
        <v>1.944</v>
      </c>
      <c r="R48" s="12"/>
      <c r="S48" s="11">
        <v>1.34</v>
      </c>
      <c r="T48" s="13" t="s">
        <v>64</v>
      </c>
      <c r="U48" s="11">
        <v>1.7290000000000001</v>
      </c>
      <c r="V48" s="12"/>
    </row>
    <row r="49" spans="1:22" x14ac:dyDescent="0.25">
      <c r="A49" s="14" t="s">
        <v>101</v>
      </c>
      <c r="B49" s="15">
        <v>0.40300000000000002</v>
      </c>
      <c r="C49" s="15">
        <v>0.433</v>
      </c>
      <c r="D49" s="15">
        <v>0.52900000000000003</v>
      </c>
      <c r="E49" s="15">
        <v>0.47199999999999998</v>
      </c>
      <c r="F49" s="15">
        <v>0.35599999999999998</v>
      </c>
      <c r="G49" s="15">
        <v>0.40600000000000003</v>
      </c>
      <c r="H49" s="15">
        <v>0.68300000000000005</v>
      </c>
      <c r="I49" s="15">
        <v>0.62</v>
      </c>
      <c r="J49" s="15">
        <v>0.61199999999999999</v>
      </c>
      <c r="K49" s="15">
        <v>0.78500000000000003</v>
      </c>
      <c r="L49" s="15">
        <v>0.79400000000000004</v>
      </c>
      <c r="M49" s="15">
        <v>1.1479999999999999</v>
      </c>
      <c r="N49" s="15">
        <v>1.3220000000000001</v>
      </c>
      <c r="O49" s="15">
        <v>1.4450000000000001</v>
      </c>
      <c r="P49" s="16"/>
      <c r="Q49" s="15">
        <v>2.0979999999999999</v>
      </c>
      <c r="R49" s="16"/>
      <c r="S49" s="15">
        <v>1.4219999999999999</v>
      </c>
      <c r="T49" s="16"/>
      <c r="U49" s="15">
        <v>1.9530000000000001</v>
      </c>
      <c r="V49" s="16"/>
    </row>
    <row r="50" spans="1:22" x14ac:dyDescent="0.25">
      <c r="A50" s="10" t="s">
        <v>100</v>
      </c>
      <c r="B50" s="11">
        <v>0.32700000000000001</v>
      </c>
      <c r="C50" s="11">
        <v>0.376</v>
      </c>
      <c r="D50" s="11">
        <v>0.43</v>
      </c>
      <c r="E50" s="11">
        <v>0.40699999999999997</v>
      </c>
      <c r="F50" s="11">
        <v>0.29199999999999998</v>
      </c>
      <c r="G50" s="11">
        <v>0.36599999999999999</v>
      </c>
      <c r="H50" s="11">
        <v>0.57599999999999996</v>
      </c>
      <c r="I50" s="11">
        <v>0.498</v>
      </c>
      <c r="J50" s="11">
        <v>0.54</v>
      </c>
      <c r="K50" s="11">
        <v>0.65100000000000002</v>
      </c>
      <c r="L50" s="11">
        <v>0.68700000000000006</v>
      </c>
      <c r="M50" s="11">
        <v>0.98499999999999999</v>
      </c>
      <c r="N50" s="11">
        <v>1.175</v>
      </c>
      <c r="O50" s="11">
        <v>1.3540000000000001</v>
      </c>
      <c r="P50" s="12"/>
      <c r="Q50" s="11">
        <v>1.8959999999999999</v>
      </c>
      <c r="R50" s="12"/>
      <c r="S50" s="11">
        <v>1.3120000000000001</v>
      </c>
      <c r="T50" s="13" t="s">
        <v>64</v>
      </c>
      <c r="U50" s="11">
        <v>1.6619999999999999</v>
      </c>
      <c r="V50" s="12"/>
    </row>
    <row r="51" spans="1:22" x14ac:dyDescent="0.25">
      <c r="A51" s="10" t="s">
        <v>99</v>
      </c>
      <c r="B51" s="11">
        <v>0.77600000000000002</v>
      </c>
      <c r="C51" s="11">
        <v>0.76600000000000001</v>
      </c>
      <c r="D51" s="11">
        <v>0.88600000000000001</v>
      </c>
      <c r="E51" s="11">
        <v>0.878</v>
      </c>
      <c r="F51" s="11">
        <v>0.77400000000000002</v>
      </c>
      <c r="G51" s="11">
        <v>0.78100000000000003</v>
      </c>
      <c r="H51" s="11">
        <v>1.048</v>
      </c>
      <c r="I51" s="11">
        <v>1.0940000000000001</v>
      </c>
      <c r="J51" s="11">
        <v>0.95799999999999996</v>
      </c>
      <c r="K51" s="11">
        <v>1.1499999999999999</v>
      </c>
      <c r="L51" s="11">
        <v>1.3069999999999999</v>
      </c>
      <c r="M51" s="11">
        <v>1.53</v>
      </c>
      <c r="N51" s="11">
        <v>1.7270000000000001</v>
      </c>
      <c r="O51" s="11">
        <v>1.8879999999999999</v>
      </c>
      <c r="P51" s="12"/>
      <c r="Q51" s="11">
        <v>2.2450000000000001</v>
      </c>
      <c r="R51" s="12"/>
      <c r="S51" s="11">
        <v>1.7769999999999999</v>
      </c>
      <c r="T51" s="12"/>
      <c r="U51" s="11">
        <v>1.976</v>
      </c>
      <c r="V51" s="12"/>
    </row>
    <row r="52" spans="1:22" x14ac:dyDescent="0.25">
      <c r="A52" s="88" t="s">
        <v>65</v>
      </c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 t="s">
        <v>98</v>
      </c>
      <c r="M52" s="89"/>
      <c r="N52" s="89"/>
      <c r="O52" s="89"/>
      <c r="P52" s="89"/>
      <c r="Q52" s="89"/>
      <c r="R52" s="89"/>
      <c r="S52" s="89"/>
      <c r="T52" s="89"/>
      <c r="U52" s="89"/>
      <c r="V52" s="90"/>
    </row>
    <row r="53" spans="1:22" x14ac:dyDescent="0.25">
      <c r="A53" s="82" t="s">
        <v>97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6" t="s">
        <v>96</v>
      </c>
      <c r="M53" s="86"/>
      <c r="N53" s="86"/>
      <c r="O53" s="86"/>
      <c r="P53" s="86"/>
      <c r="Q53" s="86"/>
      <c r="R53" s="86"/>
      <c r="S53" s="86"/>
      <c r="T53" s="86"/>
      <c r="U53" s="86"/>
      <c r="V53" s="87"/>
    </row>
    <row r="54" spans="1:22" x14ac:dyDescent="0.25">
      <c r="A54" s="91" t="s">
        <v>95</v>
      </c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7"/>
    </row>
    <row r="55" spans="1:22" x14ac:dyDescent="0.25">
      <c r="A55" s="91" t="s">
        <v>94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7"/>
    </row>
    <row r="56" spans="1:22" ht="15" customHeight="1" x14ac:dyDescent="0.25">
      <c r="A56" s="82" t="s">
        <v>93</v>
      </c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96" t="s">
        <v>92</v>
      </c>
      <c r="M56" s="96"/>
      <c r="N56" s="96"/>
      <c r="O56" s="96"/>
      <c r="P56" s="96"/>
      <c r="Q56" s="96"/>
      <c r="R56" s="96"/>
      <c r="S56" s="96"/>
      <c r="T56" s="96"/>
      <c r="U56" s="96"/>
      <c r="V56" s="97"/>
    </row>
    <row r="57" spans="1:22" x14ac:dyDescent="0.25">
      <c r="A57" s="82" t="s">
        <v>91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6" t="s">
        <v>90</v>
      </c>
      <c r="M57" s="86"/>
      <c r="N57" s="86"/>
      <c r="O57" s="86"/>
      <c r="P57" s="86"/>
      <c r="Q57" s="86"/>
      <c r="R57" s="86"/>
      <c r="S57" s="86"/>
      <c r="T57" s="86"/>
      <c r="U57" s="86"/>
      <c r="V57" s="87"/>
    </row>
    <row r="58" spans="1:22" x14ac:dyDescent="0.25">
      <c r="A58" s="82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6" t="s">
        <v>89</v>
      </c>
      <c r="M58" s="86"/>
      <c r="N58" s="86"/>
      <c r="O58" s="86"/>
      <c r="P58" s="86"/>
      <c r="Q58" s="86"/>
      <c r="R58" s="86"/>
      <c r="S58" s="86"/>
      <c r="T58" s="86"/>
      <c r="U58" s="86"/>
      <c r="V58" s="87"/>
    </row>
    <row r="59" spans="1:22" x14ac:dyDescent="0.25">
      <c r="A59" s="82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6" t="s">
        <v>88</v>
      </c>
      <c r="M59" s="86"/>
      <c r="N59" s="86"/>
      <c r="O59" s="86"/>
      <c r="P59" s="86"/>
      <c r="Q59" s="86"/>
      <c r="R59" s="86"/>
      <c r="S59" s="86"/>
      <c r="T59" s="86"/>
      <c r="U59" s="86"/>
      <c r="V59" s="87"/>
    </row>
    <row r="60" spans="1:22" x14ac:dyDescent="0.25">
      <c r="A60" s="82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6" t="s">
        <v>87</v>
      </c>
      <c r="M60" s="86"/>
      <c r="N60" s="86"/>
      <c r="O60" s="86"/>
      <c r="P60" s="86"/>
      <c r="Q60" s="86"/>
      <c r="R60" s="86"/>
      <c r="S60" s="86"/>
      <c r="T60" s="86"/>
      <c r="U60" s="86"/>
      <c r="V60" s="87"/>
    </row>
    <row r="61" spans="1:22" x14ac:dyDescent="0.25">
      <c r="A61" s="107" t="s">
        <v>86</v>
      </c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10"/>
    </row>
  </sheetData>
  <mergeCells count="63">
    <mergeCell ref="D27:D29"/>
    <mergeCell ref="A53:K53"/>
    <mergeCell ref="L53:V55"/>
    <mergeCell ref="A54:K54"/>
    <mergeCell ref="A55:K55"/>
    <mergeCell ref="O27:O29"/>
    <mergeCell ref="P27:P29"/>
    <mergeCell ref="Q27:Q29"/>
    <mergeCell ref="R27:R29"/>
    <mergeCell ref="S27:S29"/>
    <mergeCell ref="T27:T29"/>
    <mergeCell ref="I27:I29"/>
    <mergeCell ref="J27:J29"/>
    <mergeCell ref="E27:E29"/>
    <mergeCell ref="F27:F29"/>
    <mergeCell ref="G27:G29"/>
    <mergeCell ref="A61:K61"/>
    <mergeCell ref="L61:V61"/>
    <mergeCell ref="A56:K56"/>
    <mergeCell ref="L56:V56"/>
    <mergeCell ref="A57:K60"/>
    <mergeCell ref="L57:V57"/>
    <mergeCell ref="L58:V58"/>
    <mergeCell ref="L59:V59"/>
    <mergeCell ref="L60:V60"/>
    <mergeCell ref="H27:H29"/>
    <mergeCell ref="R4:R5"/>
    <mergeCell ref="T4:T5"/>
    <mergeCell ref="U27:U29"/>
    <mergeCell ref="V27:V29"/>
    <mergeCell ref="L4:L5"/>
    <mergeCell ref="S4:S5"/>
    <mergeCell ref="A52:K52"/>
    <mergeCell ref="L52:V52"/>
    <mergeCell ref="H4:H5"/>
    <mergeCell ref="K27:K29"/>
    <mergeCell ref="L27:L29"/>
    <mergeCell ref="M27:M29"/>
    <mergeCell ref="N27:N29"/>
    <mergeCell ref="M4:M5"/>
    <mergeCell ref="U4:U5"/>
    <mergeCell ref="V4:V5"/>
    <mergeCell ref="B27:B29"/>
    <mergeCell ref="C27:C29"/>
    <mergeCell ref="N4:N5"/>
    <mergeCell ref="O4:O5"/>
    <mergeCell ref="P4:P5"/>
    <mergeCell ref="Q4:Q5"/>
    <mergeCell ref="G4:G5"/>
    <mergeCell ref="A1:V1"/>
    <mergeCell ref="A2:V2"/>
    <mergeCell ref="O3:P3"/>
    <mergeCell ref="Q3:R3"/>
    <mergeCell ref="S3:T3"/>
    <mergeCell ref="U3:V3"/>
    <mergeCell ref="B4:B5"/>
    <mergeCell ref="C4:C5"/>
    <mergeCell ref="D4:D5"/>
    <mergeCell ref="E4:E5"/>
    <mergeCell ref="F4:F5"/>
    <mergeCell ref="I4:I5"/>
    <mergeCell ref="J4:J5"/>
    <mergeCell ref="K4:K5"/>
  </mergeCells>
  <hyperlinks>
    <hyperlink ref="L56" r:id="rId1" display="http://www.eia.gov/petroleum/" xr:uid="{00000000-0004-0000-0600-000000000000}"/>
  </hyperlinks>
  <pageMargins left="0.75" right="0.75" top="1" bottom="1" header="0.5" footer="0.5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3"/>
  <sheetViews>
    <sheetView showGridLines="0" topLeftCell="M1" workbookViewId="0">
      <selection activeCell="AC15" sqref="AC15"/>
    </sheetView>
  </sheetViews>
  <sheetFormatPr defaultRowHeight="15" x14ac:dyDescent="0.25"/>
  <cols>
    <col min="1" max="1" width="4.85546875" style="24" customWidth="1"/>
    <col min="2" max="2" width="8.85546875" style="24" customWidth="1"/>
    <col min="3" max="3" width="5.85546875" style="24" customWidth="1"/>
    <col min="4" max="4" width="9" style="24" customWidth="1"/>
    <col min="5" max="5" width="5.85546875" style="24" customWidth="1"/>
    <col min="6" max="6" width="8.85546875" style="24" customWidth="1"/>
    <col min="7" max="7" width="4.85546875" style="24" customWidth="1"/>
    <col min="8" max="8" width="2.42578125" style="24" customWidth="1"/>
    <col min="9" max="9" width="8.85546875" style="24" customWidth="1"/>
    <col min="10" max="10" width="5.7109375" style="24" customWidth="1"/>
    <col min="11" max="11" width="2.7109375" style="24" customWidth="1"/>
    <col min="12" max="12" width="12" style="24" customWidth="1"/>
    <col min="13" max="13" width="5.5703125" style="24" customWidth="1"/>
    <col min="14" max="14" width="10.42578125" style="24" customWidth="1"/>
    <col min="15" max="15" width="7" style="24" customWidth="1"/>
    <col min="16" max="16" width="7.7109375" style="24" customWidth="1"/>
    <col min="17" max="17" width="3.7109375" style="24" customWidth="1"/>
    <col min="18" max="18" width="12.5703125" style="24" customWidth="1"/>
    <col min="19" max="256" width="9.140625" style="24"/>
    <col min="257" max="257" width="4.85546875" style="24" customWidth="1"/>
    <col min="258" max="258" width="8.85546875" style="24" customWidth="1"/>
    <col min="259" max="259" width="5.85546875" style="24" customWidth="1"/>
    <col min="260" max="260" width="9" style="24" customWidth="1"/>
    <col min="261" max="261" width="5.85546875" style="24" customWidth="1"/>
    <col min="262" max="262" width="8.85546875" style="24" customWidth="1"/>
    <col min="263" max="263" width="4.85546875" style="24" customWidth="1"/>
    <col min="264" max="264" width="2.42578125" style="24" customWidth="1"/>
    <col min="265" max="265" width="8.85546875" style="24" customWidth="1"/>
    <col min="266" max="266" width="5.7109375" style="24" customWidth="1"/>
    <col min="267" max="267" width="2.7109375" style="24" customWidth="1"/>
    <col min="268" max="268" width="12" style="24" customWidth="1"/>
    <col min="269" max="269" width="5.5703125" style="24" customWidth="1"/>
    <col min="270" max="270" width="10.42578125" style="24" customWidth="1"/>
    <col min="271" max="271" width="7" style="24" customWidth="1"/>
    <col min="272" max="272" width="7.7109375" style="24" customWidth="1"/>
    <col min="273" max="273" width="3.7109375" style="24" customWidth="1"/>
    <col min="274" max="274" width="12.5703125" style="24" customWidth="1"/>
    <col min="275" max="512" width="9.140625" style="24"/>
    <col min="513" max="513" width="4.85546875" style="24" customWidth="1"/>
    <col min="514" max="514" width="8.85546875" style="24" customWidth="1"/>
    <col min="515" max="515" width="5.85546875" style="24" customWidth="1"/>
    <col min="516" max="516" width="9" style="24" customWidth="1"/>
    <col min="517" max="517" width="5.85546875" style="24" customWidth="1"/>
    <col min="518" max="518" width="8.85546875" style="24" customWidth="1"/>
    <col min="519" max="519" width="4.85546875" style="24" customWidth="1"/>
    <col min="520" max="520" width="2.42578125" style="24" customWidth="1"/>
    <col min="521" max="521" width="8.85546875" style="24" customWidth="1"/>
    <col min="522" max="522" width="5.7109375" style="24" customWidth="1"/>
    <col min="523" max="523" width="2.7109375" style="24" customWidth="1"/>
    <col min="524" max="524" width="12" style="24" customWidth="1"/>
    <col min="525" max="525" width="5.5703125" style="24" customWidth="1"/>
    <col min="526" max="526" width="10.42578125" style="24" customWidth="1"/>
    <col min="527" max="527" width="7" style="24" customWidth="1"/>
    <col min="528" max="528" width="7.7109375" style="24" customWidth="1"/>
    <col min="529" max="529" width="3.7109375" style="24" customWidth="1"/>
    <col min="530" max="530" width="12.5703125" style="24" customWidth="1"/>
    <col min="531" max="768" width="9.140625" style="24"/>
    <col min="769" max="769" width="4.85546875" style="24" customWidth="1"/>
    <col min="770" max="770" width="8.85546875" style="24" customWidth="1"/>
    <col min="771" max="771" width="5.85546875" style="24" customWidth="1"/>
    <col min="772" max="772" width="9" style="24" customWidth="1"/>
    <col min="773" max="773" width="5.85546875" style="24" customWidth="1"/>
    <col min="774" max="774" width="8.85546875" style="24" customWidth="1"/>
    <col min="775" max="775" width="4.85546875" style="24" customWidth="1"/>
    <col min="776" max="776" width="2.42578125" style="24" customWidth="1"/>
    <col min="777" max="777" width="8.85546875" style="24" customWidth="1"/>
    <col min="778" max="778" width="5.7109375" style="24" customWidth="1"/>
    <col min="779" max="779" width="2.7109375" style="24" customWidth="1"/>
    <col min="780" max="780" width="12" style="24" customWidth="1"/>
    <col min="781" max="781" width="5.5703125" style="24" customWidth="1"/>
    <col min="782" max="782" width="10.42578125" style="24" customWidth="1"/>
    <col min="783" max="783" width="7" style="24" customWidth="1"/>
    <col min="784" max="784" width="7.7109375" style="24" customWidth="1"/>
    <col min="785" max="785" width="3.7109375" style="24" customWidth="1"/>
    <col min="786" max="786" width="12.5703125" style="24" customWidth="1"/>
    <col min="787" max="1024" width="9.140625" style="24"/>
    <col min="1025" max="1025" width="4.85546875" style="24" customWidth="1"/>
    <col min="1026" max="1026" width="8.85546875" style="24" customWidth="1"/>
    <col min="1027" max="1027" width="5.85546875" style="24" customWidth="1"/>
    <col min="1028" max="1028" width="9" style="24" customWidth="1"/>
    <col min="1029" max="1029" width="5.85546875" style="24" customWidth="1"/>
    <col min="1030" max="1030" width="8.85546875" style="24" customWidth="1"/>
    <col min="1031" max="1031" width="4.85546875" style="24" customWidth="1"/>
    <col min="1032" max="1032" width="2.42578125" style="24" customWidth="1"/>
    <col min="1033" max="1033" width="8.85546875" style="24" customWidth="1"/>
    <col min="1034" max="1034" width="5.7109375" style="24" customWidth="1"/>
    <col min="1035" max="1035" width="2.7109375" style="24" customWidth="1"/>
    <col min="1036" max="1036" width="12" style="24" customWidth="1"/>
    <col min="1037" max="1037" width="5.5703125" style="24" customWidth="1"/>
    <col min="1038" max="1038" width="10.42578125" style="24" customWidth="1"/>
    <col min="1039" max="1039" width="7" style="24" customWidth="1"/>
    <col min="1040" max="1040" width="7.7109375" style="24" customWidth="1"/>
    <col min="1041" max="1041" width="3.7109375" style="24" customWidth="1"/>
    <col min="1042" max="1042" width="12.5703125" style="24" customWidth="1"/>
    <col min="1043" max="1280" width="9.140625" style="24"/>
    <col min="1281" max="1281" width="4.85546875" style="24" customWidth="1"/>
    <col min="1282" max="1282" width="8.85546875" style="24" customWidth="1"/>
    <col min="1283" max="1283" width="5.85546875" style="24" customWidth="1"/>
    <col min="1284" max="1284" width="9" style="24" customWidth="1"/>
    <col min="1285" max="1285" width="5.85546875" style="24" customWidth="1"/>
    <col min="1286" max="1286" width="8.85546875" style="24" customWidth="1"/>
    <col min="1287" max="1287" width="4.85546875" style="24" customWidth="1"/>
    <col min="1288" max="1288" width="2.42578125" style="24" customWidth="1"/>
    <col min="1289" max="1289" width="8.85546875" style="24" customWidth="1"/>
    <col min="1290" max="1290" width="5.7109375" style="24" customWidth="1"/>
    <col min="1291" max="1291" width="2.7109375" style="24" customWidth="1"/>
    <col min="1292" max="1292" width="12" style="24" customWidth="1"/>
    <col min="1293" max="1293" width="5.5703125" style="24" customWidth="1"/>
    <col min="1294" max="1294" width="10.42578125" style="24" customWidth="1"/>
    <col min="1295" max="1295" width="7" style="24" customWidth="1"/>
    <col min="1296" max="1296" width="7.7109375" style="24" customWidth="1"/>
    <col min="1297" max="1297" width="3.7109375" style="24" customWidth="1"/>
    <col min="1298" max="1298" width="12.5703125" style="24" customWidth="1"/>
    <col min="1299" max="1536" width="9.140625" style="24"/>
    <col min="1537" max="1537" width="4.85546875" style="24" customWidth="1"/>
    <col min="1538" max="1538" width="8.85546875" style="24" customWidth="1"/>
    <col min="1539" max="1539" width="5.85546875" style="24" customWidth="1"/>
    <col min="1540" max="1540" width="9" style="24" customWidth="1"/>
    <col min="1541" max="1541" width="5.85546875" style="24" customWidth="1"/>
    <col min="1542" max="1542" width="8.85546875" style="24" customWidth="1"/>
    <col min="1543" max="1543" width="4.85546875" style="24" customWidth="1"/>
    <col min="1544" max="1544" width="2.42578125" style="24" customWidth="1"/>
    <col min="1545" max="1545" width="8.85546875" style="24" customWidth="1"/>
    <col min="1546" max="1546" width="5.7109375" style="24" customWidth="1"/>
    <col min="1547" max="1547" width="2.7109375" style="24" customWidth="1"/>
    <col min="1548" max="1548" width="12" style="24" customWidth="1"/>
    <col min="1549" max="1549" width="5.5703125" style="24" customWidth="1"/>
    <col min="1550" max="1550" width="10.42578125" style="24" customWidth="1"/>
    <col min="1551" max="1551" width="7" style="24" customWidth="1"/>
    <col min="1552" max="1552" width="7.7109375" style="24" customWidth="1"/>
    <col min="1553" max="1553" width="3.7109375" style="24" customWidth="1"/>
    <col min="1554" max="1554" width="12.5703125" style="24" customWidth="1"/>
    <col min="1555" max="1792" width="9.140625" style="24"/>
    <col min="1793" max="1793" width="4.85546875" style="24" customWidth="1"/>
    <col min="1794" max="1794" width="8.85546875" style="24" customWidth="1"/>
    <col min="1795" max="1795" width="5.85546875" style="24" customWidth="1"/>
    <col min="1796" max="1796" width="9" style="24" customWidth="1"/>
    <col min="1797" max="1797" width="5.85546875" style="24" customWidth="1"/>
    <col min="1798" max="1798" width="8.85546875" style="24" customWidth="1"/>
    <col min="1799" max="1799" width="4.85546875" style="24" customWidth="1"/>
    <col min="1800" max="1800" width="2.42578125" style="24" customWidth="1"/>
    <col min="1801" max="1801" width="8.85546875" style="24" customWidth="1"/>
    <col min="1802" max="1802" width="5.7109375" style="24" customWidth="1"/>
    <col min="1803" max="1803" width="2.7109375" style="24" customWidth="1"/>
    <col min="1804" max="1804" width="12" style="24" customWidth="1"/>
    <col min="1805" max="1805" width="5.5703125" style="24" customWidth="1"/>
    <col min="1806" max="1806" width="10.42578125" style="24" customWidth="1"/>
    <col min="1807" max="1807" width="7" style="24" customWidth="1"/>
    <col min="1808" max="1808" width="7.7109375" style="24" customWidth="1"/>
    <col min="1809" max="1809" width="3.7109375" style="24" customWidth="1"/>
    <col min="1810" max="1810" width="12.5703125" style="24" customWidth="1"/>
    <col min="1811" max="2048" width="9.140625" style="24"/>
    <col min="2049" max="2049" width="4.85546875" style="24" customWidth="1"/>
    <col min="2050" max="2050" width="8.85546875" style="24" customWidth="1"/>
    <col min="2051" max="2051" width="5.85546875" style="24" customWidth="1"/>
    <col min="2052" max="2052" width="9" style="24" customWidth="1"/>
    <col min="2053" max="2053" width="5.85546875" style="24" customWidth="1"/>
    <col min="2054" max="2054" width="8.85546875" style="24" customWidth="1"/>
    <col min="2055" max="2055" width="4.85546875" style="24" customWidth="1"/>
    <col min="2056" max="2056" width="2.42578125" style="24" customWidth="1"/>
    <col min="2057" max="2057" width="8.85546875" style="24" customWidth="1"/>
    <col min="2058" max="2058" width="5.7109375" style="24" customWidth="1"/>
    <col min="2059" max="2059" width="2.7109375" style="24" customWidth="1"/>
    <col min="2060" max="2060" width="12" style="24" customWidth="1"/>
    <col min="2061" max="2061" width="5.5703125" style="24" customWidth="1"/>
    <col min="2062" max="2062" width="10.42578125" style="24" customWidth="1"/>
    <col min="2063" max="2063" width="7" style="24" customWidth="1"/>
    <col min="2064" max="2064" width="7.7109375" style="24" customWidth="1"/>
    <col min="2065" max="2065" width="3.7109375" style="24" customWidth="1"/>
    <col min="2066" max="2066" width="12.5703125" style="24" customWidth="1"/>
    <col min="2067" max="2304" width="9.140625" style="24"/>
    <col min="2305" max="2305" width="4.85546875" style="24" customWidth="1"/>
    <col min="2306" max="2306" width="8.85546875" style="24" customWidth="1"/>
    <col min="2307" max="2307" width="5.85546875" style="24" customWidth="1"/>
    <col min="2308" max="2308" width="9" style="24" customWidth="1"/>
    <col min="2309" max="2309" width="5.85546875" style="24" customWidth="1"/>
    <col min="2310" max="2310" width="8.85546875" style="24" customWidth="1"/>
    <col min="2311" max="2311" width="4.85546875" style="24" customWidth="1"/>
    <col min="2312" max="2312" width="2.42578125" style="24" customWidth="1"/>
    <col min="2313" max="2313" width="8.85546875" style="24" customWidth="1"/>
    <col min="2314" max="2314" width="5.7109375" style="24" customWidth="1"/>
    <col min="2315" max="2315" width="2.7109375" style="24" customWidth="1"/>
    <col min="2316" max="2316" width="12" style="24" customWidth="1"/>
    <col min="2317" max="2317" width="5.5703125" style="24" customWidth="1"/>
    <col min="2318" max="2318" width="10.42578125" style="24" customWidth="1"/>
    <col min="2319" max="2319" width="7" style="24" customWidth="1"/>
    <col min="2320" max="2320" width="7.7109375" style="24" customWidth="1"/>
    <col min="2321" max="2321" width="3.7109375" style="24" customWidth="1"/>
    <col min="2322" max="2322" width="12.5703125" style="24" customWidth="1"/>
    <col min="2323" max="2560" width="9.140625" style="24"/>
    <col min="2561" max="2561" width="4.85546875" style="24" customWidth="1"/>
    <col min="2562" max="2562" width="8.85546875" style="24" customWidth="1"/>
    <col min="2563" max="2563" width="5.85546875" style="24" customWidth="1"/>
    <col min="2564" max="2564" width="9" style="24" customWidth="1"/>
    <col min="2565" max="2565" width="5.85546875" style="24" customWidth="1"/>
    <col min="2566" max="2566" width="8.85546875" style="24" customWidth="1"/>
    <col min="2567" max="2567" width="4.85546875" style="24" customWidth="1"/>
    <col min="2568" max="2568" width="2.42578125" style="24" customWidth="1"/>
    <col min="2569" max="2569" width="8.85546875" style="24" customWidth="1"/>
    <col min="2570" max="2570" width="5.7109375" style="24" customWidth="1"/>
    <col min="2571" max="2571" width="2.7109375" style="24" customWidth="1"/>
    <col min="2572" max="2572" width="12" style="24" customWidth="1"/>
    <col min="2573" max="2573" width="5.5703125" style="24" customWidth="1"/>
    <col min="2574" max="2574" width="10.42578125" style="24" customWidth="1"/>
    <col min="2575" max="2575" width="7" style="24" customWidth="1"/>
    <col min="2576" max="2576" width="7.7109375" style="24" customWidth="1"/>
    <col min="2577" max="2577" width="3.7109375" style="24" customWidth="1"/>
    <col min="2578" max="2578" width="12.5703125" style="24" customWidth="1"/>
    <col min="2579" max="2816" width="9.140625" style="24"/>
    <col min="2817" max="2817" width="4.85546875" style="24" customWidth="1"/>
    <col min="2818" max="2818" width="8.85546875" style="24" customWidth="1"/>
    <col min="2819" max="2819" width="5.85546875" style="24" customWidth="1"/>
    <col min="2820" max="2820" width="9" style="24" customWidth="1"/>
    <col min="2821" max="2821" width="5.85546875" style="24" customWidth="1"/>
    <col min="2822" max="2822" width="8.85546875" style="24" customWidth="1"/>
    <col min="2823" max="2823" width="4.85546875" style="24" customWidth="1"/>
    <col min="2824" max="2824" width="2.42578125" style="24" customWidth="1"/>
    <col min="2825" max="2825" width="8.85546875" style="24" customWidth="1"/>
    <col min="2826" max="2826" width="5.7109375" style="24" customWidth="1"/>
    <col min="2827" max="2827" width="2.7109375" style="24" customWidth="1"/>
    <col min="2828" max="2828" width="12" style="24" customWidth="1"/>
    <col min="2829" max="2829" width="5.5703125" style="24" customWidth="1"/>
    <col min="2830" max="2830" width="10.42578125" style="24" customWidth="1"/>
    <col min="2831" max="2831" width="7" style="24" customWidth="1"/>
    <col min="2832" max="2832" width="7.7109375" style="24" customWidth="1"/>
    <col min="2833" max="2833" width="3.7109375" style="24" customWidth="1"/>
    <col min="2834" max="2834" width="12.5703125" style="24" customWidth="1"/>
    <col min="2835" max="3072" width="9.140625" style="24"/>
    <col min="3073" max="3073" width="4.85546875" style="24" customWidth="1"/>
    <col min="3074" max="3074" width="8.85546875" style="24" customWidth="1"/>
    <col min="3075" max="3075" width="5.85546875" style="24" customWidth="1"/>
    <col min="3076" max="3076" width="9" style="24" customWidth="1"/>
    <col min="3077" max="3077" width="5.85546875" style="24" customWidth="1"/>
    <col min="3078" max="3078" width="8.85546875" style="24" customWidth="1"/>
    <col min="3079" max="3079" width="4.85546875" style="24" customWidth="1"/>
    <col min="3080" max="3080" width="2.42578125" style="24" customWidth="1"/>
    <col min="3081" max="3081" width="8.85546875" style="24" customWidth="1"/>
    <col min="3082" max="3082" width="5.7109375" style="24" customWidth="1"/>
    <col min="3083" max="3083" width="2.7109375" style="24" customWidth="1"/>
    <col min="3084" max="3084" width="12" style="24" customWidth="1"/>
    <col min="3085" max="3085" width="5.5703125" style="24" customWidth="1"/>
    <col min="3086" max="3086" width="10.42578125" style="24" customWidth="1"/>
    <col min="3087" max="3087" width="7" style="24" customWidth="1"/>
    <col min="3088" max="3088" width="7.7109375" style="24" customWidth="1"/>
    <col min="3089" max="3089" width="3.7109375" style="24" customWidth="1"/>
    <col min="3090" max="3090" width="12.5703125" style="24" customWidth="1"/>
    <col min="3091" max="3328" width="9.140625" style="24"/>
    <col min="3329" max="3329" width="4.85546875" style="24" customWidth="1"/>
    <col min="3330" max="3330" width="8.85546875" style="24" customWidth="1"/>
    <col min="3331" max="3331" width="5.85546875" style="24" customWidth="1"/>
    <col min="3332" max="3332" width="9" style="24" customWidth="1"/>
    <col min="3333" max="3333" width="5.85546875" style="24" customWidth="1"/>
    <col min="3334" max="3334" width="8.85546875" style="24" customWidth="1"/>
    <col min="3335" max="3335" width="4.85546875" style="24" customWidth="1"/>
    <col min="3336" max="3336" width="2.42578125" style="24" customWidth="1"/>
    <col min="3337" max="3337" width="8.85546875" style="24" customWidth="1"/>
    <col min="3338" max="3338" width="5.7109375" style="24" customWidth="1"/>
    <col min="3339" max="3339" width="2.7109375" style="24" customWidth="1"/>
    <col min="3340" max="3340" width="12" style="24" customWidth="1"/>
    <col min="3341" max="3341" width="5.5703125" style="24" customWidth="1"/>
    <col min="3342" max="3342" width="10.42578125" style="24" customWidth="1"/>
    <col min="3343" max="3343" width="7" style="24" customWidth="1"/>
    <col min="3344" max="3344" width="7.7109375" style="24" customWidth="1"/>
    <col min="3345" max="3345" width="3.7109375" style="24" customWidth="1"/>
    <col min="3346" max="3346" width="12.5703125" style="24" customWidth="1"/>
    <col min="3347" max="3584" width="9.140625" style="24"/>
    <col min="3585" max="3585" width="4.85546875" style="24" customWidth="1"/>
    <col min="3586" max="3586" width="8.85546875" style="24" customWidth="1"/>
    <col min="3587" max="3587" width="5.85546875" style="24" customWidth="1"/>
    <col min="3588" max="3588" width="9" style="24" customWidth="1"/>
    <col min="3589" max="3589" width="5.85546875" style="24" customWidth="1"/>
    <col min="3590" max="3590" width="8.85546875" style="24" customWidth="1"/>
    <col min="3591" max="3591" width="4.85546875" style="24" customWidth="1"/>
    <col min="3592" max="3592" width="2.42578125" style="24" customWidth="1"/>
    <col min="3593" max="3593" width="8.85546875" style="24" customWidth="1"/>
    <col min="3594" max="3594" width="5.7109375" style="24" customWidth="1"/>
    <col min="3595" max="3595" width="2.7109375" style="24" customWidth="1"/>
    <col min="3596" max="3596" width="12" style="24" customWidth="1"/>
    <col min="3597" max="3597" width="5.5703125" style="24" customWidth="1"/>
    <col min="3598" max="3598" width="10.42578125" style="24" customWidth="1"/>
    <col min="3599" max="3599" width="7" style="24" customWidth="1"/>
    <col min="3600" max="3600" width="7.7109375" style="24" customWidth="1"/>
    <col min="3601" max="3601" width="3.7109375" style="24" customWidth="1"/>
    <col min="3602" max="3602" width="12.5703125" style="24" customWidth="1"/>
    <col min="3603" max="3840" width="9.140625" style="24"/>
    <col min="3841" max="3841" width="4.85546875" style="24" customWidth="1"/>
    <col min="3842" max="3842" width="8.85546875" style="24" customWidth="1"/>
    <col min="3843" max="3843" width="5.85546875" style="24" customWidth="1"/>
    <col min="3844" max="3844" width="9" style="24" customWidth="1"/>
    <col min="3845" max="3845" width="5.85546875" style="24" customWidth="1"/>
    <col min="3846" max="3846" width="8.85546875" style="24" customWidth="1"/>
    <col min="3847" max="3847" width="4.85546875" style="24" customWidth="1"/>
    <col min="3848" max="3848" width="2.42578125" style="24" customWidth="1"/>
    <col min="3849" max="3849" width="8.85546875" style="24" customWidth="1"/>
    <col min="3850" max="3850" width="5.7109375" style="24" customWidth="1"/>
    <col min="3851" max="3851" width="2.7109375" style="24" customWidth="1"/>
    <col min="3852" max="3852" width="12" style="24" customWidth="1"/>
    <col min="3853" max="3853" width="5.5703125" style="24" customWidth="1"/>
    <col min="3854" max="3854" width="10.42578125" style="24" customWidth="1"/>
    <col min="3855" max="3855" width="7" style="24" customWidth="1"/>
    <col min="3856" max="3856" width="7.7109375" style="24" customWidth="1"/>
    <col min="3857" max="3857" width="3.7109375" style="24" customWidth="1"/>
    <col min="3858" max="3858" width="12.5703125" style="24" customWidth="1"/>
    <col min="3859" max="4096" width="9.140625" style="24"/>
    <col min="4097" max="4097" width="4.85546875" style="24" customWidth="1"/>
    <col min="4098" max="4098" width="8.85546875" style="24" customWidth="1"/>
    <col min="4099" max="4099" width="5.85546875" style="24" customWidth="1"/>
    <col min="4100" max="4100" width="9" style="24" customWidth="1"/>
    <col min="4101" max="4101" width="5.85546875" style="24" customWidth="1"/>
    <col min="4102" max="4102" width="8.85546875" style="24" customWidth="1"/>
    <col min="4103" max="4103" width="4.85546875" style="24" customWidth="1"/>
    <col min="4104" max="4104" width="2.42578125" style="24" customWidth="1"/>
    <col min="4105" max="4105" width="8.85546875" style="24" customWidth="1"/>
    <col min="4106" max="4106" width="5.7109375" style="24" customWidth="1"/>
    <col min="4107" max="4107" width="2.7109375" style="24" customWidth="1"/>
    <col min="4108" max="4108" width="12" style="24" customWidth="1"/>
    <col min="4109" max="4109" width="5.5703125" style="24" customWidth="1"/>
    <col min="4110" max="4110" width="10.42578125" style="24" customWidth="1"/>
    <col min="4111" max="4111" width="7" style="24" customWidth="1"/>
    <col min="4112" max="4112" width="7.7109375" style="24" customWidth="1"/>
    <col min="4113" max="4113" width="3.7109375" style="24" customWidth="1"/>
    <col min="4114" max="4114" width="12.5703125" style="24" customWidth="1"/>
    <col min="4115" max="4352" width="9.140625" style="24"/>
    <col min="4353" max="4353" width="4.85546875" style="24" customWidth="1"/>
    <col min="4354" max="4354" width="8.85546875" style="24" customWidth="1"/>
    <col min="4355" max="4355" width="5.85546875" style="24" customWidth="1"/>
    <col min="4356" max="4356" width="9" style="24" customWidth="1"/>
    <col min="4357" max="4357" width="5.85546875" style="24" customWidth="1"/>
    <col min="4358" max="4358" width="8.85546875" style="24" customWidth="1"/>
    <col min="4359" max="4359" width="4.85546875" style="24" customWidth="1"/>
    <col min="4360" max="4360" width="2.42578125" style="24" customWidth="1"/>
    <col min="4361" max="4361" width="8.85546875" style="24" customWidth="1"/>
    <col min="4362" max="4362" width="5.7109375" style="24" customWidth="1"/>
    <col min="4363" max="4363" width="2.7109375" style="24" customWidth="1"/>
    <col min="4364" max="4364" width="12" style="24" customWidth="1"/>
    <col min="4365" max="4365" width="5.5703125" style="24" customWidth="1"/>
    <col min="4366" max="4366" width="10.42578125" style="24" customWidth="1"/>
    <col min="4367" max="4367" width="7" style="24" customWidth="1"/>
    <col min="4368" max="4368" width="7.7109375" style="24" customWidth="1"/>
    <col min="4369" max="4369" width="3.7109375" style="24" customWidth="1"/>
    <col min="4370" max="4370" width="12.5703125" style="24" customWidth="1"/>
    <col min="4371" max="4608" width="9.140625" style="24"/>
    <col min="4609" max="4609" width="4.85546875" style="24" customWidth="1"/>
    <col min="4610" max="4610" width="8.85546875" style="24" customWidth="1"/>
    <col min="4611" max="4611" width="5.85546875" style="24" customWidth="1"/>
    <col min="4612" max="4612" width="9" style="24" customWidth="1"/>
    <col min="4613" max="4613" width="5.85546875" style="24" customWidth="1"/>
    <col min="4614" max="4614" width="8.85546875" style="24" customWidth="1"/>
    <col min="4615" max="4615" width="4.85546875" style="24" customWidth="1"/>
    <col min="4616" max="4616" width="2.42578125" style="24" customWidth="1"/>
    <col min="4617" max="4617" width="8.85546875" style="24" customWidth="1"/>
    <col min="4618" max="4618" width="5.7109375" style="24" customWidth="1"/>
    <col min="4619" max="4619" width="2.7109375" style="24" customWidth="1"/>
    <col min="4620" max="4620" width="12" style="24" customWidth="1"/>
    <col min="4621" max="4621" width="5.5703125" style="24" customWidth="1"/>
    <col min="4622" max="4622" width="10.42578125" style="24" customWidth="1"/>
    <col min="4623" max="4623" width="7" style="24" customWidth="1"/>
    <col min="4624" max="4624" width="7.7109375" style="24" customWidth="1"/>
    <col min="4625" max="4625" width="3.7109375" style="24" customWidth="1"/>
    <col min="4626" max="4626" width="12.5703125" style="24" customWidth="1"/>
    <col min="4627" max="4864" width="9.140625" style="24"/>
    <col min="4865" max="4865" width="4.85546875" style="24" customWidth="1"/>
    <col min="4866" max="4866" width="8.85546875" style="24" customWidth="1"/>
    <col min="4867" max="4867" width="5.85546875" style="24" customWidth="1"/>
    <col min="4868" max="4868" width="9" style="24" customWidth="1"/>
    <col min="4869" max="4869" width="5.85546875" style="24" customWidth="1"/>
    <col min="4870" max="4870" width="8.85546875" style="24" customWidth="1"/>
    <col min="4871" max="4871" width="4.85546875" style="24" customWidth="1"/>
    <col min="4872" max="4872" width="2.42578125" style="24" customWidth="1"/>
    <col min="4873" max="4873" width="8.85546875" style="24" customWidth="1"/>
    <col min="4874" max="4874" width="5.7109375" style="24" customWidth="1"/>
    <col min="4875" max="4875" width="2.7109375" style="24" customWidth="1"/>
    <col min="4876" max="4876" width="12" style="24" customWidth="1"/>
    <col min="4877" max="4877" width="5.5703125" style="24" customWidth="1"/>
    <col min="4878" max="4878" width="10.42578125" style="24" customWidth="1"/>
    <col min="4879" max="4879" width="7" style="24" customWidth="1"/>
    <col min="4880" max="4880" width="7.7109375" style="24" customWidth="1"/>
    <col min="4881" max="4881" width="3.7109375" style="24" customWidth="1"/>
    <col min="4882" max="4882" width="12.5703125" style="24" customWidth="1"/>
    <col min="4883" max="5120" width="9.140625" style="24"/>
    <col min="5121" max="5121" width="4.85546875" style="24" customWidth="1"/>
    <col min="5122" max="5122" width="8.85546875" style="24" customWidth="1"/>
    <col min="5123" max="5123" width="5.85546875" style="24" customWidth="1"/>
    <col min="5124" max="5124" width="9" style="24" customWidth="1"/>
    <col min="5125" max="5125" width="5.85546875" style="24" customWidth="1"/>
    <col min="5126" max="5126" width="8.85546875" style="24" customWidth="1"/>
    <col min="5127" max="5127" width="4.85546875" style="24" customWidth="1"/>
    <col min="5128" max="5128" width="2.42578125" style="24" customWidth="1"/>
    <col min="5129" max="5129" width="8.85546875" style="24" customWidth="1"/>
    <col min="5130" max="5130" width="5.7109375" style="24" customWidth="1"/>
    <col min="5131" max="5131" width="2.7109375" style="24" customWidth="1"/>
    <col min="5132" max="5132" width="12" style="24" customWidth="1"/>
    <col min="5133" max="5133" width="5.5703125" style="24" customWidth="1"/>
    <col min="5134" max="5134" width="10.42578125" style="24" customWidth="1"/>
    <col min="5135" max="5135" width="7" style="24" customWidth="1"/>
    <col min="5136" max="5136" width="7.7109375" style="24" customWidth="1"/>
    <col min="5137" max="5137" width="3.7109375" style="24" customWidth="1"/>
    <col min="5138" max="5138" width="12.5703125" style="24" customWidth="1"/>
    <col min="5139" max="5376" width="9.140625" style="24"/>
    <col min="5377" max="5377" width="4.85546875" style="24" customWidth="1"/>
    <col min="5378" max="5378" width="8.85546875" style="24" customWidth="1"/>
    <col min="5379" max="5379" width="5.85546875" style="24" customWidth="1"/>
    <col min="5380" max="5380" width="9" style="24" customWidth="1"/>
    <col min="5381" max="5381" width="5.85546875" style="24" customWidth="1"/>
    <col min="5382" max="5382" width="8.85546875" style="24" customWidth="1"/>
    <col min="5383" max="5383" width="4.85546875" style="24" customWidth="1"/>
    <col min="5384" max="5384" width="2.42578125" style="24" customWidth="1"/>
    <col min="5385" max="5385" width="8.85546875" style="24" customWidth="1"/>
    <col min="5386" max="5386" width="5.7109375" style="24" customWidth="1"/>
    <col min="5387" max="5387" width="2.7109375" style="24" customWidth="1"/>
    <col min="5388" max="5388" width="12" style="24" customWidth="1"/>
    <col min="5389" max="5389" width="5.5703125" style="24" customWidth="1"/>
    <col min="5390" max="5390" width="10.42578125" style="24" customWidth="1"/>
    <col min="5391" max="5391" width="7" style="24" customWidth="1"/>
    <col min="5392" max="5392" width="7.7109375" style="24" customWidth="1"/>
    <col min="5393" max="5393" width="3.7109375" style="24" customWidth="1"/>
    <col min="5394" max="5394" width="12.5703125" style="24" customWidth="1"/>
    <col min="5395" max="5632" width="9.140625" style="24"/>
    <col min="5633" max="5633" width="4.85546875" style="24" customWidth="1"/>
    <col min="5634" max="5634" width="8.85546875" style="24" customWidth="1"/>
    <col min="5635" max="5635" width="5.85546875" style="24" customWidth="1"/>
    <col min="5636" max="5636" width="9" style="24" customWidth="1"/>
    <col min="5637" max="5637" width="5.85546875" style="24" customWidth="1"/>
    <col min="5638" max="5638" width="8.85546875" style="24" customWidth="1"/>
    <col min="5639" max="5639" width="4.85546875" style="24" customWidth="1"/>
    <col min="5640" max="5640" width="2.42578125" style="24" customWidth="1"/>
    <col min="5641" max="5641" width="8.85546875" style="24" customWidth="1"/>
    <col min="5642" max="5642" width="5.7109375" style="24" customWidth="1"/>
    <col min="5643" max="5643" width="2.7109375" style="24" customWidth="1"/>
    <col min="5644" max="5644" width="12" style="24" customWidth="1"/>
    <col min="5645" max="5645" width="5.5703125" style="24" customWidth="1"/>
    <col min="5646" max="5646" width="10.42578125" style="24" customWidth="1"/>
    <col min="5647" max="5647" width="7" style="24" customWidth="1"/>
    <col min="5648" max="5648" width="7.7109375" style="24" customWidth="1"/>
    <col min="5649" max="5649" width="3.7109375" style="24" customWidth="1"/>
    <col min="5650" max="5650" width="12.5703125" style="24" customWidth="1"/>
    <col min="5651" max="5888" width="9.140625" style="24"/>
    <col min="5889" max="5889" width="4.85546875" style="24" customWidth="1"/>
    <col min="5890" max="5890" width="8.85546875" style="24" customWidth="1"/>
    <col min="5891" max="5891" width="5.85546875" style="24" customWidth="1"/>
    <col min="5892" max="5892" width="9" style="24" customWidth="1"/>
    <col min="5893" max="5893" width="5.85546875" style="24" customWidth="1"/>
    <col min="5894" max="5894" width="8.85546875" style="24" customWidth="1"/>
    <col min="5895" max="5895" width="4.85546875" style="24" customWidth="1"/>
    <col min="5896" max="5896" width="2.42578125" style="24" customWidth="1"/>
    <col min="5897" max="5897" width="8.85546875" style="24" customWidth="1"/>
    <col min="5898" max="5898" width="5.7109375" style="24" customWidth="1"/>
    <col min="5899" max="5899" width="2.7109375" style="24" customWidth="1"/>
    <col min="5900" max="5900" width="12" style="24" customWidth="1"/>
    <col min="5901" max="5901" width="5.5703125" style="24" customWidth="1"/>
    <col min="5902" max="5902" width="10.42578125" style="24" customWidth="1"/>
    <col min="5903" max="5903" width="7" style="24" customWidth="1"/>
    <col min="5904" max="5904" width="7.7109375" style="24" customWidth="1"/>
    <col min="5905" max="5905" width="3.7109375" style="24" customWidth="1"/>
    <col min="5906" max="5906" width="12.5703125" style="24" customWidth="1"/>
    <col min="5907" max="6144" width="9.140625" style="24"/>
    <col min="6145" max="6145" width="4.85546875" style="24" customWidth="1"/>
    <col min="6146" max="6146" width="8.85546875" style="24" customWidth="1"/>
    <col min="6147" max="6147" width="5.85546875" style="24" customWidth="1"/>
    <col min="6148" max="6148" width="9" style="24" customWidth="1"/>
    <col min="6149" max="6149" width="5.85546875" style="24" customWidth="1"/>
    <col min="6150" max="6150" width="8.85546875" style="24" customWidth="1"/>
    <col min="6151" max="6151" width="4.85546875" style="24" customWidth="1"/>
    <col min="6152" max="6152" width="2.42578125" style="24" customWidth="1"/>
    <col min="6153" max="6153" width="8.85546875" style="24" customWidth="1"/>
    <col min="6154" max="6154" width="5.7109375" style="24" customWidth="1"/>
    <col min="6155" max="6155" width="2.7109375" style="24" customWidth="1"/>
    <col min="6156" max="6156" width="12" style="24" customWidth="1"/>
    <col min="6157" max="6157" width="5.5703125" style="24" customWidth="1"/>
    <col min="6158" max="6158" width="10.42578125" style="24" customWidth="1"/>
    <col min="6159" max="6159" width="7" style="24" customWidth="1"/>
    <col min="6160" max="6160" width="7.7109375" style="24" customWidth="1"/>
    <col min="6161" max="6161" width="3.7109375" style="24" customWidth="1"/>
    <col min="6162" max="6162" width="12.5703125" style="24" customWidth="1"/>
    <col min="6163" max="6400" width="9.140625" style="24"/>
    <col min="6401" max="6401" width="4.85546875" style="24" customWidth="1"/>
    <col min="6402" max="6402" width="8.85546875" style="24" customWidth="1"/>
    <col min="6403" max="6403" width="5.85546875" style="24" customWidth="1"/>
    <col min="6404" max="6404" width="9" style="24" customWidth="1"/>
    <col min="6405" max="6405" width="5.85546875" style="24" customWidth="1"/>
    <col min="6406" max="6406" width="8.85546875" style="24" customWidth="1"/>
    <col min="6407" max="6407" width="4.85546875" style="24" customWidth="1"/>
    <col min="6408" max="6408" width="2.42578125" style="24" customWidth="1"/>
    <col min="6409" max="6409" width="8.85546875" style="24" customWidth="1"/>
    <col min="6410" max="6410" width="5.7109375" style="24" customWidth="1"/>
    <col min="6411" max="6411" width="2.7109375" style="24" customWidth="1"/>
    <col min="6412" max="6412" width="12" style="24" customWidth="1"/>
    <col min="6413" max="6413" width="5.5703125" style="24" customWidth="1"/>
    <col min="6414" max="6414" width="10.42578125" style="24" customWidth="1"/>
    <col min="6415" max="6415" width="7" style="24" customWidth="1"/>
    <col min="6416" max="6416" width="7.7109375" style="24" customWidth="1"/>
    <col min="6417" max="6417" width="3.7109375" style="24" customWidth="1"/>
    <col min="6418" max="6418" width="12.5703125" style="24" customWidth="1"/>
    <col min="6419" max="6656" width="9.140625" style="24"/>
    <col min="6657" max="6657" width="4.85546875" style="24" customWidth="1"/>
    <col min="6658" max="6658" width="8.85546875" style="24" customWidth="1"/>
    <col min="6659" max="6659" width="5.85546875" style="24" customWidth="1"/>
    <col min="6660" max="6660" width="9" style="24" customWidth="1"/>
    <col min="6661" max="6661" width="5.85546875" style="24" customWidth="1"/>
    <col min="6662" max="6662" width="8.85546875" style="24" customWidth="1"/>
    <col min="6663" max="6663" width="4.85546875" style="24" customWidth="1"/>
    <col min="6664" max="6664" width="2.42578125" style="24" customWidth="1"/>
    <col min="6665" max="6665" width="8.85546875" style="24" customWidth="1"/>
    <col min="6666" max="6666" width="5.7109375" style="24" customWidth="1"/>
    <col min="6667" max="6667" width="2.7109375" style="24" customWidth="1"/>
    <col min="6668" max="6668" width="12" style="24" customWidth="1"/>
    <col min="6669" max="6669" width="5.5703125" style="24" customWidth="1"/>
    <col min="6670" max="6670" width="10.42578125" style="24" customWidth="1"/>
    <col min="6671" max="6671" width="7" style="24" customWidth="1"/>
    <col min="6672" max="6672" width="7.7109375" style="24" customWidth="1"/>
    <col min="6673" max="6673" width="3.7109375" style="24" customWidth="1"/>
    <col min="6674" max="6674" width="12.5703125" style="24" customWidth="1"/>
    <col min="6675" max="6912" width="9.140625" style="24"/>
    <col min="6913" max="6913" width="4.85546875" style="24" customWidth="1"/>
    <col min="6914" max="6914" width="8.85546875" style="24" customWidth="1"/>
    <col min="6915" max="6915" width="5.85546875" style="24" customWidth="1"/>
    <col min="6916" max="6916" width="9" style="24" customWidth="1"/>
    <col min="6917" max="6917" width="5.85546875" style="24" customWidth="1"/>
    <col min="6918" max="6918" width="8.85546875" style="24" customWidth="1"/>
    <col min="6919" max="6919" width="4.85546875" style="24" customWidth="1"/>
    <col min="6920" max="6920" width="2.42578125" style="24" customWidth="1"/>
    <col min="6921" max="6921" width="8.85546875" style="24" customWidth="1"/>
    <col min="6922" max="6922" width="5.7109375" style="24" customWidth="1"/>
    <col min="6923" max="6923" width="2.7109375" style="24" customWidth="1"/>
    <col min="6924" max="6924" width="12" style="24" customWidth="1"/>
    <col min="6925" max="6925" width="5.5703125" style="24" customWidth="1"/>
    <col min="6926" max="6926" width="10.42578125" style="24" customWidth="1"/>
    <col min="6927" max="6927" width="7" style="24" customWidth="1"/>
    <col min="6928" max="6928" width="7.7109375" style="24" customWidth="1"/>
    <col min="6929" max="6929" width="3.7109375" style="24" customWidth="1"/>
    <col min="6930" max="6930" width="12.5703125" style="24" customWidth="1"/>
    <col min="6931" max="7168" width="9.140625" style="24"/>
    <col min="7169" max="7169" width="4.85546875" style="24" customWidth="1"/>
    <col min="7170" max="7170" width="8.85546875" style="24" customWidth="1"/>
    <col min="7171" max="7171" width="5.85546875" style="24" customWidth="1"/>
    <col min="7172" max="7172" width="9" style="24" customWidth="1"/>
    <col min="7173" max="7173" width="5.85546875" style="24" customWidth="1"/>
    <col min="7174" max="7174" width="8.85546875" style="24" customWidth="1"/>
    <col min="7175" max="7175" width="4.85546875" style="24" customWidth="1"/>
    <col min="7176" max="7176" width="2.42578125" style="24" customWidth="1"/>
    <col min="7177" max="7177" width="8.85546875" style="24" customWidth="1"/>
    <col min="7178" max="7178" width="5.7109375" style="24" customWidth="1"/>
    <col min="7179" max="7179" width="2.7109375" style="24" customWidth="1"/>
    <col min="7180" max="7180" width="12" style="24" customWidth="1"/>
    <col min="7181" max="7181" width="5.5703125" style="24" customWidth="1"/>
    <col min="7182" max="7182" width="10.42578125" style="24" customWidth="1"/>
    <col min="7183" max="7183" width="7" style="24" customWidth="1"/>
    <col min="7184" max="7184" width="7.7109375" style="24" customWidth="1"/>
    <col min="7185" max="7185" width="3.7109375" style="24" customWidth="1"/>
    <col min="7186" max="7186" width="12.5703125" style="24" customWidth="1"/>
    <col min="7187" max="7424" width="9.140625" style="24"/>
    <col min="7425" max="7425" width="4.85546875" style="24" customWidth="1"/>
    <col min="7426" max="7426" width="8.85546875" style="24" customWidth="1"/>
    <col min="7427" max="7427" width="5.85546875" style="24" customWidth="1"/>
    <col min="7428" max="7428" width="9" style="24" customWidth="1"/>
    <col min="7429" max="7429" width="5.85546875" style="24" customWidth="1"/>
    <col min="7430" max="7430" width="8.85546875" style="24" customWidth="1"/>
    <col min="7431" max="7431" width="4.85546875" style="24" customWidth="1"/>
    <col min="7432" max="7432" width="2.42578125" style="24" customWidth="1"/>
    <col min="7433" max="7433" width="8.85546875" style="24" customWidth="1"/>
    <col min="7434" max="7434" width="5.7109375" style="24" customWidth="1"/>
    <col min="7435" max="7435" width="2.7109375" style="24" customWidth="1"/>
    <col min="7436" max="7436" width="12" style="24" customWidth="1"/>
    <col min="7437" max="7437" width="5.5703125" style="24" customWidth="1"/>
    <col min="7438" max="7438" width="10.42578125" style="24" customWidth="1"/>
    <col min="7439" max="7439" width="7" style="24" customWidth="1"/>
    <col min="7440" max="7440" width="7.7109375" style="24" customWidth="1"/>
    <col min="7441" max="7441" width="3.7109375" style="24" customWidth="1"/>
    <col min="7442" max="7442" width="12.5703125" style="24" customWidth="1"/>
    <col min="7443" max="7680" width="9.140625" style="24"/>
    <col min="7681" max="7681" width="4.85546875" style="24" customWidth="1"/>
    <col min="7682" max="7682" width="8.85546875" style="24" customWidth="1"/>
    <col min="7683" max="7683" width="5.85546875" style="24" customWidth="1"/>
    <col min="7684" max="7684" width="9" style="24" customWidth="1"/>
    <col min="7685" max="7685" width="5.85546875" style="24" customWidth="1"/>
    <col min="7686" max="7686" width="8.85546875" style="24" customWidth="1"/>
    <col min="7687" max="7687" width="4.85546875" style="24" customWidth="1"/>
    <col min="7688" max="7688" width="2.42578125" style="24" customWidth="1"/>
    <col min="7689" max="7689" width="8.85546875" style="24" customWidth="1"/>
    <col min="7690" max="7690" width="5.7109375" style="24" customWidth="1"/>
    <col min="7691" max="7691" width="2.7109375" style="24" customWidth="1"/>
    <col min="7692" max="7692" width="12" style="24" customWidth="1"/>
    <col min="7693" max="7693" width="5.5703125" style="24" customWidth="1"/>
    <col min="7694" max="7694" width="10.42578125" style="24" customWidth="1"/>
    <col min="7695" max="7695" width="7" style="24" customWidth="1"/>
    <col min="7696" max="7696" width="7.7109375" style="24" customWidth="1"/>
    <col min="7697" max="7697" width="3.7109375" style="24" customWidth="1"/>
    <col min="7698" max="7698" width="12.5703125" style="24" customWidth="1"/>
    <col min="7699" max="7936" width="9.140625" style="24"/>
    <col min="7937" max="7937" width="4.85546875" style="24" customWidth="1"/>
    <col min="7938" max="7938" width="8.85546875" style="24" customWidth="1"/>
    <col min="7939" max="7939" width="5.85546875" style="24" customWidth="1"/>
    <col min="7940" max="7940" width="9" style="24" customWidth="1"/>
    <col min="7941" max="7941" width="5.85546875" style="24" customWidth="1"/>
    <col min="7942" max="7942" width="8.85546875" style="24" customWidth="1"/>
    <col min="7943" max="7943" width="4.85546875" style="24" customWidth="1"/>
    <col min="7944" max="7944" width="2.42578125" style="24" customWidth="1"/>
    <col min="7945" max="7945" width="8.85546875" style="24" customWidth="1"/>
    <col min="7946" max="7946" width="5.7109375" style="24" customWidth="1"/>
    <col min="7947" max="7947" width="2.7109375" style="24" customWidth="1"/>
    <col min="7948" max="7948" width="12" style="24" customWidth="1"/>
    <col min="7949" max="7949" width="5.5703125" style="24" customWidth="1"/>
    <col min="7950" max="7950" width="10.42578125" style="24" customWidth="1"/>
    <col min="7951" max="7951" width="7" style="24" customWidth="1"/>
    <col min="7952" max="7952" width="7.7109375" style="24" customWidth="1"/>
    <col min="7953" max="7953" width="3.7109375" style="24" customWidth="1"/>
    <col min="7954" max="7954" width="12.5703125" style="24" customWidth="1"/>
    <col min="7955" max="8192" width="9.140625" style="24"/>
    <col min="8193" max="8193" width="4.85546875" style="24" customWidth="1"/>
    <col min="8194" max="8194" width="8.85546875" style="24" customWidth="1"/>
    <col min="8195" max="8195" width="5.85546875" style="24" customWidth="1"/>
    <col min="8196" max="8196" width="9" style="24" customWidth="1"/>
    <col min="8197" max="8197" width="5.85546875" style="24" customWidth="1"/>
    <col min="8198" max="8198" width="8.85546875" style="24" customWidth="1"/>
    <col min="8199" max="8199" width="4.85546875" style="24" customWidth="1"/>
    <col min="8200" max="8200" width="2.42578125" style="24" customWidth="1"/>
    <col min="8201" max="8201" width="8.85546875" style="24" customWidth="1"/>
    <col min="8202" max="8202" width="5.7109375" style="24" customWidth="1"/>
    <col min="8203" max="8203" width="2.7109375" style="24" customWidth="1"/>
    <col min="8204" max="8204" width="12" style="24" customWidth="1"/>
    <col min="8205" max="8205" width="5.5703125" style="24" customWidth="1"/>
    <col min="8206" max="8206" width="10.42578125" style="24" customWidth="1"/>
    <col min="8207" max="8207" width="7" style="24" customWidth="1"/>
    <col min="8208" max="8208" width="7.7109375" style="24" customWidth="1"/>
    <col min="8209" max="8209" width="3.7109375" style="24" customWidth="1"/>
    <col min="8210" max="8210" width="12.5703125" style="24" customWidth="1"/>
    <col min="8211" max="8448" width="9.140625" style="24"/>
    <col min="8449" max="8449" width="4.85546875" style="24" customWidth="1"/>
    <col min="8450" max="8450" width="8.85546875" style="24" customWidth="1"/>
    <col min="8451" max="8451" width="5.85546875" style="24" customWidth="1"/>
    <col min="8452" max="8452" width="9" style="24" customWidth="1"/>
    <col min="8453" max="8453" width="5.85546875" style="24" customWidth="1"/>
    <col min="8454" max="8454" width="8.85546875" style="24" customWidth="1"/>
    <col min="8455" max="8455" width="4.85546875" style="24" customWidth="1"/>
    <col min="8456" max="8456" width="2.42578125" style="24" customWidth="1"/>
    <col min="8457" max="8457" width="8.85546875" style="24" customWidth="1"/>
    <col min="8458" max="8458" width="5.7109375" style="24" customWidth="1"/>
    <col min="8459" max="8459" width="2.7109375" style="24" customWidth="1"/>
    <col min="8460" max="8460" width="12" style="24" customWidth="1"/>
    <col min="8461" max="8461" width="5.5703125" style="24" customWidth="1"/>
    <col min="8462" max="8462" width="10.42578125" style="24" customWidth="1"/>
    <col min="8463" max="8463" width="7" style="24" customWidth="1"/>
    <col min="8464" max="8464" width="7.7109375" style="24" customWidth="1"/>
    <col min="8465" max="8465" width="3.7109375" style="24" customWidth="1"/>
    <col min="8466" max="8466" width="12.5703125" style="24" customWidth="1"/>
    <col min="8467" max="8704" width="9.140625" style="24"/>
    <col min="8705" max="8705" width="4.85546875" style="24" customWidth="1"/>
    <col min="8706" max="8706" width="8.85546875" style="24" customWidth="1"/>
    <col min="8707" max="8707" width="5.85546875" style="24" customWidth="1"/>
    <col min="8708" max="8708" width="9" style="24" customWidth="1"/>
    <col min="8709" max="8709" width="5.85546875" style="24" customWidth="1"/>
    <col min="8710" max="8710" width="8.85546875" style="24" customWidth="1"/>
    <col min="8711" max="8711" width="4.85546875" style="24" customWidth="1"/>
    <col min="8712" max="8712" width="2.42578125" style="24" customWidth="1"/>
    <col min="8713" max="8713" width="8.85546875" style="24" customWidth="1"/>
    <col min="8714" max="8714" width="5.7109375" style="24" customWidth="1"/>
    <col min="8715" max="8715" width="2.7109375" style="24" customWidth="1"/>
    <col min="8716" max="8716" width="12" style="24" customWidth="1"/>
    <col min="8717" max="8717" width="5.5703125" style="24" customWidth="1"/>
    <col min="8718" max="8718" width="10.42578125" style="24" customWidth="1"/>
    <col min="8719" max="8719" width="7" style="24" customWidth="1"/>
    <col min="8720" max="8720" width="7.7109375" style="24" customWidth="1"/>
    <col min="8721" max="8721" width="3.7109375" style="24" customWidth="1"/>
    <col min="8722" max="8722" width="12.5703125" style="24" customWidth="1"/>
    <col min="8723" max="8960" width="9.140625" style="24"/>
    <col min="8961" max="8961" width="4.85546875" style="24" customWidth="1"/>
    <col min="8962" max="8962" width="8.85546875" style="24" customWidth="1"/>
    <col min="8963" max="8963" width="5.85546875" style="24" customWidth="1"/>
    <col min="8964" max="8964" width="9" style="24" customWidth="1"/>
    <col min="8965" max="8965" width="5.85546875" style="24" customWidth="1"/>
    <col min="8966" max="8966" width="8.85546875" style="24" customWidth="1"/>
    <col min="8967" max="8967" width="4.85546875" style="24" customWidth="1"/>
    <col min="8968" max="8968" width="2.42578125" style="24" customWidth="1"/>
    <col min="8969" max="8969" width="8.85546875" style="24" customWidth="1"/>
    <col min="8970" max="8970" width="5.7109375" style="24" customWidth="1"/>
    <col min="8971" max="8971" width="2.7109375" style="24" customWidth="1"/>
    <col min="8972" max="8972" width="12" style="24" customWidth="1"/>
    <col min="8973" max="8973" width="5.5703125" style="24" customWidth="1"/>
    <col min="8974" max="8974" width="10.42578125" style="24" customWidth="1"/>
    <col min="8975" max="8975" width="7" style="24" customWidth="1"/>
    <col min="8976" max="8976" width="7.7109375" style="24" customWidth="1"/>
    <col min="8977" max="8977" width="3.7109375" style="24" customWidth="1"/>
    <col min="8978" max="8978" width="12.5703125" style="24" customWidth="1"/>
    <col min="8979" max="9216" width="9.140625" style="24"/>
    <col min="9217" max="9217" width="4.85546875" style="24" customWidth="1"/>
    <col min="9218" max="9218" width="8.85546875" style="24" customWidth="1"/>
    <col min="9219" max="9219" width="5.85546875" style="24" customWidth="1"/>
    <col min="9220" max="9220" width="9" style="24" customWidth="1"/>
    <col min="9221" max="9221" width="5.85546875" style="24" customWidth="1"/>
    <col min="9222" max="9222" width="8.85546875" style="24" customWidth="1"/>
    <col min="9223" max="9223" width="4.85546875" style="24" customWidth="1"/>
    <col min="9224" max="9224" width="2.42578125" style="24" customWidth="1"/>
    <col min="9225" max="9225" width="8.85546875" style="24" customWidth="1"/>
    <col min="9226" max="9226" width="5.7109375" style="24" customWidth="1"/>
    <col min="9227" max="9227" width="2.7109375" style="24" customWidth="1"/>
    <col min="9228" max="9228" width="12" style="24" customWidth="1"/>
    <col min="9229" max="9229" width="5.5703125" style="24" customWidth="1"/>
    <col min="9230" max="9230" width="10.42578125" style="24" customWidth="1"/>
    <col min="9231" max="9231" width="7" style="24" customWidth="1"/>
    <col min="9232" max="9232" width="7.7109375" style="24" customWidth="1"/>
    <col min="9233" max="9233" width="3.7109375" style="24" customWidth="1"/>
    <col min="9234" max="9234" width="12.5703125" style="24" customWidth="1"/>
    <col min="9235" max="9472" width="9.140625" style="24"/>
    <col min="9473" max="9473" width="4.85546875" style="24" customWidth="1"/>
    <col min="9474" max="9474" width="8.85546875" style="24" customWidth="1"/>
    <col min="9475" max="9475" width="5.85546875" style="24" customWidth="1"/>
    <col min="9476" max="9476" width="9" style="24" customWidth="1"/>
    <col min="9477" max="9477" width="5.85546875" style="24" customWidth="1"/>
    <col min="9478" max="9478" width="8.85546875" style="24" customWidth="1"/>
    <col min="9479" max="9479" width="4.85546875" style="24" customWidth="1"/>
    <col min="9480" max="9480" width="2.42578125" style="24" customWidth="1"/>
    <col min="9481" max="9481" width="8.85546875" style="24" customWidth="1"/>
    <col min="9482" max="9482" width="5.7109375" style="24" customWidth="1"/>
    <col min="9483" max="9483" width="2.7109375" style="24" customWidth="1"/>
    <col min="9484" max="9484" width="12" style="24" customWidth="1"/>
    <col min="9485" max="9485" width="5.5703125" style="24" customWidth="1"/>
    <col min="9486" max="9486" width="10.42578125" style="24" customWidth="1"/>
    <col min="9487" max="9487" width="7" style="24" customWidth="1"/>
    <col min="9488" max="9488" width="7.7109375" style="24" customWidth="1"/>
    <col min="9489" max="9489" width="3.7109375" style="24" customWidth="1"/>
    <col min="9490" max="9490" width="12.5703125" style="24" customWidth="1"/>
    <col min="9491" max="9728" width="9.140625" style="24"/>
    <col min="9729" max="9729" width="4.85546875" style="24" customWidth="1"/>
    <col min="9730" max="9730" width="8.85546875" style="24" customWidth="1"/>
    <col min="9731" max="9731" width="5.85546875" style="24" customWidth="1"/>
    <col min="9732" max="9732" width="9" style="24" customWidth="1"/>
    <col min="9733" max="9733" width="5.85546875" style="24" customWidth="1"/>
    <col min="9734" max="9734" width="8.85546875" style="24" customWidth="1"/>
    <col min="9735" max="9735" width="4.85546875" style="24" customWidth="1"/>
    <col min="9736" max="9736" width="2.42578125" style="24" customWidth="1"/>
    <col min="9737" max="9737" width="8.85546875" style="24" customWidth="1"/>
    <col min="9738" max="9738" width="5.7109375" style="24" customWidth="1"/>
    <col min="9739" max="9739" width="2.7109375" style="24" customWidth="1"/>
    <col min="9740" max="9740" width="12" style="24" customWidth="1"/>
    <col min="9741" max="9741" width="5.5703125" style="24" customWidth="1"/>
    <col min="9742" max="9742" width="10.42578125" style="24" customWidth="1"/>
    <col min="9743" max="9743" width="7" style="24" customWidth="1"/>
    <col min="9744" max="9744" width="7.7109375" style="24" customWidth="1"/>
    <col min="9745" max="9745" width="3.7109375" style="24" customWidth="1"/>
    <col min="9746" max="9746" width="12.5703125" style="24" customWidth="1"/>
    <col min="9747" max="9984" width="9.140625" style="24"/>
    <col min="9985" max="9985" width="4.85546875" style="24" customWidth="1"/>
    <col min="9986" max="9986" width="8.85546875" style="24" customWidth="1"/>
    <col min="9987" max="9987" width="5.85546875" style="24" customWidth="1"/>
    <col min="9988" max="9988" width="9" style="24" customWidth="1"/>
    <col min="9989" max="9989" width="5.85546875" style="24" customWidth="1"/>
    <col min="9990" max="9990" width="8.85546875" style="24" customWidth="1"/>
    <col min="9991" max="9991" width="4.85546875" style="24" customWidth="1"/>
    <col min="9992" max="9992" width="2.42578125" style="24" customWidth="1"/>
    <col min="9993" max="9993" width="8.85546875" style="24" customWidth="1"/>
    <col min="9994" max="9994" width="5.7109375" style="24" customWidth="1"/>
    <col min="9995" max="9995" width="2.7109375" style="24" customWidth="1"/>
    <col min="9996" max="9996" width="12" style="24" customWidth="1"/>
    <col min="9997" max="9997" width="5.5703125" style="24" customWidth="1"/>
    <col min="9998" max="9998" width="10.42578125" style="24" customWidth="1"/>
    <col min="9999" max="9999" width="7" style="24" customWidth="1"/>
    <col min="10000" max="10000" width="7.7109375" style="24" customWidth="1"/>
    <col min="10001" max="10001" width="3.7109375" style="24" customWidth="1"/>
    <col min="10002" max="10002" width="12.5703125" style="24" customWidth="1"/>
    <col min="10003" max="10240" width="9.140625" style="24"/>
    <col min="10241" max="10241" width="4.85546875" style="24" customWidth="1"/>
    <col min="10242" max="10242" width="8.85546875" style="24" customWidth="1"/>
    <col min="10243" max="10243" width="5.85546875" style="24" customWidth="1"/>
    <col min="10244" max="10244" width="9" style="24" customWidth="1"/>
    <col min="10245" max="10245" width="5.85546875" style="24" customWidth="1"/>
    <col min="10246" max="10246" width="8.85546875" style="24" customWidth="1"/>
    <col min="10247" max="10247" width="4.85546875" style="24" customWidth="1"/>
    <col min="10248" max="10248" width="2.42578125" style="24" customWidth="1"/>
    <col min="10249" max="10249" width="8.85546875" style="24" customWidth="1"/>
    <col min="10250" max="10250" width="5.7109375" style="24" customWidth="1"/>
    <col min="10251" max="10251" width="2.7109375" style="24" customWidth="1"/>
    <col min="10252" max="10252" width="12" style="24" customWidth="1"/>
    <col min="10253" max="10253" width="5.5703125" style="24" customWidth="1"/>
    <col min="10254" max="10254" width="10.42578125" style="24" customWidth="1"/>
    <col min="10255" max="10255" width="7" style="24" customWidth="1"/>
    <col min="10256" max="10256" width="7.7109375" style="24" customWidth="1"/>
    <col min="10257" max="10257" width="3.7109375" style="24" customWidth="1"/>
    <col min="10258" max="10258" width="12.5703125" style="24" customWidth="1"/>
    <col min="10259" max="10496" width="9.140625" style="24"/>
    <col min="10497" max="10497" width="4.85546875" style="24" customWidth="1"/>
    <col min="10498" max="10498" width="8.85546875" style="24" customWidth="1"/>
    <col min="10499" max="10499" width="5.85546875" style="24" customWidth="1"/>
    <col min="10500" max="10500" width="9" style="24" customWidth="1"/>
    <col min="10501" max="10501" width="5.85546875" style="24" customWidth="1"/>
    <col min="10502" max="10502" width="8.85546875" style="24" customWidth="1"/>
    <col min="10503" max="10503" width="4.85546875" style="24" customWidth="1"/>
    <col min="10504" max="10504" width="2.42578125" style="24" customWidth="1"/>
    <col min="10505" max="10505" width="8.85546875" style="24" customWidth="1"/>
    <col min="10506" max="10506" width="5.7109375" style="24" customWidth="1"/>
    <col min="10507" max="10507" width="2.7109375" style="24" customWidth="1"/>
    <col min="10508" max="10508" width="12" style="24" customWidth="1"/>
    <col min="10509" max="10509" width="5.5703125" style="24" customWidth="1"/>
    <col min="10510" max="10510" width="10.42578125" style="24" customWidth="1"/>
    <col min="10511" max="10511" width="7" style="24" customWidth="1"/>
    <col min="10512" max="10512" width="7.7109375" style="24" customWidth="1"/>
    <col min="10513" max="10513" width="3.7109375" style="24" customWidth="1"/>
    <col min="10514" max="10514" width="12.5703125" style="24" customWidth="1"/>
    <col min="10515" max="10752" width="9.140625" style="24"/>
    <col min="10753" max="10753" width="4.85546875" style="24" customWidth="1"/>
    <col min="10754" max="10754" width="8.85546875" style="24" customWidth="1"/>
    <col min="10755" max="10755" width="5.85546875" style="24" customWidth="1"/>
    <col min="10756" max="10756" width="9" style="24" customWidth="1"/>
    <col min="10757" max="10757" width="5.85546875" style="24" customWidth="1"/>
    <col min="10758" max="10758" width="8.85546875" style="24" customWidth="1"/>
    <col min="10759" max="10759" width="4.85546875" style="24" customWidth="1"/>
    <col min="10760" max="10760" width="2.42578125" style="24" customWidth="1"/>
    <col min="10761" max="10761" width="8.85546875" style="24" customWidth="1"/>
    <col min="10762" max="10762" width="5.7109375" style="24" customWidth="1"/>
    <col min="10763" max="10763" width="2.7109375" style="24" customWidth="1"/>
    <col min="10764" max="10764" width="12" style="24" customWidth="1"/>
    <col min="10765" max="10765" width="5.5703125" style="24" customWidth="1"/>
    <col min="10766" max="10766" width="10.42578125" style="24" customWidth="1"/>
    <col min="10767" max="10767" width="7" style="24" customWidth="1"/>
    <col min="10768" max="10768" width="7.7109375" style="24" customWidth="1"/>
    <col min="10769" max="10769" width="3.7109375" style="24" customWidth="1"/>
    <col min="10770" max="10770" width="12.5703125" style="24" customWidth="1"/>
    <col min="10771" max="11008" width="9.140625" style="24"/>
    <col min="11009" max="11009" width="4.85546875" style="24" customWidth="1"/>
    <col min="11010" max="11010" width="8.85546875" style="24" customWidth="1"/>
    <col min="11011" max="11011" width="5.85546875" style="24" customWidth="1"/>
    <col min="11012" max="11012" width="9" style="24" customWidth="1"/>
    <col min="11013" max="11013" width="5.85546875" style="24" customWidth="1"/>
    <col min="11014" max="11014" width="8.85546875" style="24" customWidth="1"/>
    <col min="11015" max="11015" width="4.85546875" style="24" customWidth="1"/>
    <col min="11016" max="11016" width="2.42578125" style="24" customWidth="1"/>
    <col min="11017" max="11017" width="8.85546875" style="24" customWidth="1"/>
    <col min="11018" max="11018" width="5.7109375" style="24" customWidth="1"/>
    <col min="11019" max="11019" width="2.7109375" style="24" customWidth="1"/>
    <col min="11020" max="11020" width="12" style="24" customWidth="1"/>
    <col min="11021" max="11021" width="5.5703125" style="24" customWidth="1"/>
    <col min="11022" max="11022" width="10.42578125" style="24" customWidth="1"/>
    <col min="11023" max="11023" width="7" style="24" customWidth="1"/>
    <col min="11024" max="11024" width="7.7109375" style="24" customWidth="1"/>
    <col min="11025" max="11025" width="3.7109375" style="24" customWidth="1"/>
    <col min="11026" max="11026" width="12.5703125" style="24" customWidth="1"/>
    <col min="11027" max="11264" width="9.140625" style="24"/>
    <col min="11265" max="11265" width="4.85546875" style="24" customWidth="1"/>
    <col min="11266" max="11266" width="8.85546875" style="24" customWidth="1"/>
    <col min="11267" max="11267" width="5.85546875" style="24" customWidth="1"/>
    <col min="11268" max="11268" width="9" style="24" customWidth="1"/>
    <col min="11269" max="11269" width="5.85546875" style="24" customWidth="1"/>
    <col min="11270" max="11270" width="8.85546875" style="24" customWidth="1"/>
    <col min="11271" max="11271" width="4.85546875" style="24" customWidth="1"/>
    <col min="11272" max="11272" width="2.42578125" style="24" customWidth="1"/>
    <col min="11273" max="11273" width="8.85546875" style="24" customWidth="1"/>
    <col min="11274" max="11274" width="5.7109375" style="24" customWidth="1"/>
    <col min="11275" max="11275" width="2.7109375" style="24" customWidth="1"/>
    <col min="11276" max="11276" width="12" style="24" customWidth="1"/>
    <col min="11277" max="11277" width="5.5703125" style="24" customWidth="1"/>
    <col min="11278" max="11278" width="10.42578125" style="24" customWidth="1"/>
    <col min="11279" max="11279" width="7" style="24" customWidth="1"/>
    <col min="11280" max="11280" width="7.7109375" style="24" customWidth="1"/>
    <col min="11281" max="11281" width="3.7109375" style="24" customWidth="1"/>
    <col min="11282" max="11282" width="12.5703125" style="24" customWidth="1"/>
    <col min="11283" max="11520" width="9.140625" style="24"/>
    <col min="11521" max="11521" width="4.85546875" style="24" customWidth="1"/>
    <col min="11522" max="11522" width="8.85546875" style="24" customWidth="1"/>
    <col min="11523" max="11523" width="5.85546875" style="24" customWidth="1"/>
    <col min="11524" max="11524" width="9" style="24" customWidth="1"/>
    <col min="11525" max="11525" width="5.85546875" style="24" customWidth="1"/>
    <col min="11526" max="11526" width="8.85546875" style="24" customWidth="1"/>
    <col min="11527" max="11527" width="4.85546875" style="24" customWidth="1"/>
    <col min="11528" max="11528" width="2.42578125" style="24" customWidth="1"/>
    <col min="11529" max="11529" width="8.85546875" style="24" customWidth="1"/>
    <col min="11530" max="11530" width="5.7109375" style="24" customWidth="1"/>
    <col min="11531" max="11531" width="2.7109375" style="24" customWidth="1"/>
    <col min="11532" max="11532" width="12" style="24" customWidth="1"/>
    <col min="11533" max="11533" width="5.5703125" style="24" customWidth="1"/>
    <col min="11534" max="11534" width="10.42578125" style="24" customWidth="1"/>
    <col min="11535" max="11535" width="7" style="24" customWidth="1"/>
    <col min="11536" max="11536" width="7.7109375" style="24" customWidth="1"/>
    <col min="11537" max="11537" width="3.7109375" style="24" customWidth="1"/>
    <col min="11538" max="11538" width="12.5703125" style="24" customWidth="1"/>
    <col min="11539" max="11776" width="9.140625" style="24"/>
    <col min="11777" max="11777" width="4.85546875" style="24" customWidth="1"/>
    <col min="11778" max="11778" width="8.85546875" style="24" customWidth="1"/>
    <col min="11779" max="11779" width="5.85546875" style="24" customWidth="1"/>
    <col min="11780" max="11780" width="9" style="24" customWidth="1"/>
    <col min="11781" max="11781" width="5.85546875" style="24" customWidth="1"/>
    <col min="11782" max="11782" width="8.85546875" style="24" customWidth="1"/>
    <col min="11783" max="11783" width="4.85546875" style="24" customWidth="1"/>
    <col min="11784" max="11784" width="2.42578125" style="24" customWidth="1"/>
    <col min="11785" max="11785" width="8.85546875" style="24" customWidth="1"/>
    <col min="11786" max="11786" width="5.7109375" style="24" customWidth="1"/>
    <col min="11787" max="11787" width="2.7109375" style="24" customWidth="1"/>
    <col min="11788" max="11788" width="12" style="24" customWidth="1"/>
    <col min="11789" max="11789" width="5.5703125" style="24" customWidth="1"/>
    <col min="11790" max="11790" width="10.42578125" style="24" customWidth="1"/>
    <col min="11791" max="11791" width="7" style="24" customWidth="1"/>
    <col min="11792" max="11792" width="7.7109375" style="24" customWidth="1"/>
    <col min="11793" max="11793" width="3.7109375" style="24" customWidth="1"/>
    <col min="11794" max="11794" width="12.5703125" style="24" customWidth="1"/>
    <col min="11795" max="12032" width="9.140625" style="24"/>
    <col min="12033" max="12033" width="4.85546875" style="24" customWidth="1"/>
    <col min="12034" max="12034" width="8.85546875" style="24" customWidth="1"/>
    <col min="12035" max="12035" width="5.85546875" style="24" customWidth="1"/>
    <col min="12036" max="12036" width="9" style="24" customWidth="1"/>
    <col min="12037" max="12037" width="5.85546875" style="24" customWidth="1"/>
    <col min="12038" max="12038" width="8.85546875" style="24" customWidth="1"/>
    <col min="12039" max="12039" width="4.85546875" style="24" customWidth="1"/>
    <col min="12040" max="12040" width="2.42578125" style="24" customWidth="1"/>
    <col min="12041" max="12041" width="8.85546875" style="24" customWidth="1"/>
    <col min="12042" max="12042" width="5.7109375" style="24" customWidth="1"/>
    <col min="12043" max="12043" width="2.7109375" style="24" customWidth="1"/>
    <col min="12044" max="12044" width="12" style="24" customWidth="1"/>
    <col min="12045" max="12045" width="5.5703125" style="24" customWidth="1"/>
    <col min="12046" max="12046" width="10.42578125" style="24" customWidth="1"/>
    <col min="12047" max="12047" width="7" style="24" customWidth="1"/>
    <col min="12048" max="12048" width="7.7109375" style="24" customWidth="1"/>
    <col min="12049" max="12049" width="3.7109375" style="24" customWidth="1"/>
    <col min="12050" max="12050" width="12.5703125" style="24" customWidth="1"/>
    <col min="12051" max="12288" width="9.140625" style="24"/>
    <col min="12289" max="12289" width="4.85546875" style="24" customWidth="1"/>
    <col min="12290" max="12290" width="8.85546875" style="24" customWidth="1"/>
    <col min="12291" max="12291" width="5.85546875" style="24" customWidth="1"/>
    <col min="12292" max="12292" width="9" style="24" customWidth="1"/>
    <col min="12293" max="12293" width="5.85546875" style="24" customWidth="1"/>
    <col min="12294" max="12294" width="8.85546875" style="24" customWidth="1"/>
    <col min="12295" max="12295" width="4.85546875" style="24" customWidth="1"/>
    <col min="12296" max="12296" width="2.42578125" style="24" customWidth="1"/>
    <col min="12297" max="12297" width="8.85546875" style="24" customWidth="1"/>
    <col min="12298" max="12298" width="5.7109375" style="24" customWidth="1"/>
    <col min="12299" max="12299" width="2.7109375" style="24" customWidth="1"/>
    <col min="12300" max="12300" width="12" style="24" customWidth="1"/>
    <col min="12301" max="12301" width="5.5703125" style="24" customWidth="1"/>
    <col min="12302" max="12302" width="10.42578125" style="24" customWidth="1"/>
    <col min="12303" max="12303" width="7" style="24" customWidth="1"/>
    <col min="12304" max="12304" width="7.7109375" style="24" customWidth="1"/>
    <col min="12305" max="12305" width="3.7109375" style="24" customWidth="1"/>
    <col min="12306" max="12306" width="12.5703125" style="24" customWidth="1"/>
    <col min="12307" max="12544" width="9.140625" style="24"/>
    <col min="12545" max="12545" width="4.85546875" style="24" customWidth="1"/>
    <col min="12546" max="12546" width="8.85546875" style="24" customWidth="1"/>
    <col min="12547" max="12547" width="5.85546875" style="24" customWidth="1"/>
    <col min="12548" max="12548" width="9" style="24" customWidth="1"/>
    <col min="12549" max="12549" width="5.85546875" style="24" customWidth="1"/>
    <col min="12550" max="12550" width="8.85546875" style="24" customWidth="1"/>
    <col min="12551" max="12551" width="4.85546875" style="24" customWidth="1"/>
    <col min="12552" max="12552" width="2.42578125" style="24" customWidth="1"/>
    <col min="12553" max="12553" width="8.85546875" style="24" customWidth="1"/>
    <col min="12554" max="12554" width="5.7109375" style="24" customWidth="1"/>
    <col min="12555" max="12555" width="2.7109375" style="24" customWidth="1"/>
    <col min="12556" max="12556" width="12" style="24" customWidth="1"/>
    <col min="12557" max="12557" width="5.5703125" style="24" customWidth="1"/>
    <col min="12558" max="12558" width="10.42578125" style="24" customWidth="1"/>
    <col min="12559" max="12559" width="7" style="24" customWidth="1"/>
    <col min="12560" max="12560" width="7.7109375" style="24" customWidth="1"/>
    <col min="12561" max="12561" width="3.7109375" style="24" customWidth="1"/>
    <col min="12562" max="12562" width="12.5703125" style="24" customWidth="1"/>
    <col min="12563" max="12800" width="9.140625" style="24"/>
    <col min="12801" max="12801" width="4.85546875" style="24" customWidth="1"/>
    <col min="12802" max="12802" width="8.85546875" style="24" customWidth="1"/>
    <col min="12803" max="12803" width="5.85546875" style="24" customWidth="1"/>
    <col min="12804" max="12804" width="9" style="24" customWidth="1"/>
    <col min="12805" max="12805" width="5.85546875" style="24" customWidth="1"/>
    <col min="12806" max="12806" width="8.85546875" style="24" customWidth="1"/>
    <col min="12807" max="12807" width="4.85546875" style="24" customWidth="1"/>
    <col min="12808" max="12808" width="2.42578125" style="24" customWidth="1"/>
    <col min="12809" max="12809" width="8.85546875" style="24" customWidth="1"/>
    <col min="12810" max="12810" width="5.7109375" style="24" customWidth="1"/>
    <col min="12811" max="12811" width="2.7109375" style="24" customWidth="1"/>
    <col min="12812" max="12812" width="12" style="24" customWidth="1"/>
    <col min="12813" max="12813" width="5.5703125" style="24" customWidth="1"/>
    <col min="12814" max="12814" width="10.42578125" style="24" customWidth="1"/>
    <col min="12815" max="12815" width="7" style="24" customWidth="1"/>
    <col min="12816" max="12816" width="7.7109375" style="24" customWidth="1"/>
    <col min="12817" max="12817" width="3.7109375" style="24" customWidth="1"/>
    <col min="12818" max="12818" width="12.5703125" style="24" customWidth="1"/>
    <col min="12819" max="13056" width="9.140625" style="24"/>
    <col min="13057" max="13057" width="4.85546875" style="24" customWidth="1"/>
    <col min="13058" max="13058" width="8.85546875" style="24" customWidth="1"/>
    <col min="13059" max="13059" width="5.85546875" style="24" customWidth="1"/>
    <col min="13060" max="13060" width="9" style="24" customWidth="1"/>
    <col min="13061" max="13061" width="5.85546875" style="24" customWidth="1"/>
    <col min="13062" max="13062" width="8.85546875" style="24" customWidth="1"/>
    <col min="13063" max="13063" width="4.85546875" style="24" customWidth="1"/>
    <col min="13064" max="13064" width="2.42578125" style="24" customWidth="1"/>
    <col min="13065" max="13065" width="8.85546875" style="24" customWidth="1"/>
    <col min="13066" max="13066" width="5.7109375" style="24" customWidth="1"/>
    <col min="13067" max="13067" width="2.7109375" style="24" customWidth="1"/>
    <col min="13068" max="13068" width="12" style="24" customWidth="1"/>
    <col min="13069" max="13069" width="5.5703125" style="24" customWidth="1"/>
    <col min="13070" max="13070" width="10.42578125" style="24" customWidth="1"/>
    <col min="13071" max="13071" width="7" style="24" customWidth="1"/>
    <col min="13072" max="13072" width="7.7109375" style="24" customWidth="1"/>
    <col min="13073" max="13073" width="3.7109375" style="24" customWidth="1"/>
    <col min="13074" max="13074" width="12.5703125" style="24" customWidth="1"/>
    <col min="13075" max="13312" width="9.140625" style="24"/>
    <col min="13313" max="13313" width="4.85546875" style="24" customWidth="1"/>
    <col min="13314" max="13314" width="8.85546875" style="24" customWidth="1"/>
    <col min="13315" max="13315" width="5.85546875" style="24" customWidth="1"/>
    <col min="13316" max="13316" width="9" style="24" customWidth="1"/>
    <col min="13317" max="13317" width="5.85546875" style="24" customWidth="1"/>
    <col min="13318" max="13318" width="8.85546875" style="24" customWidth="1"/>
    <col min="13319" max="13319" width="4.85546875" style="24" customWidth="1"/>
    <col min="13320" max="13320" width="2.42578125" style="24" customWidth="1"/>
    <col min="13321" max="13321" width="8.85546875" style="24" customWidth="1"/>
    <col min="13322" max="13322" width="5.7109375" style="24" customWidth="1"/>
    <col min="13323" max="13323" width="2.7109375" style="24" customWidth="1"/>
    <col min="13324" max="13324" width="12" style="24" customWidth="1"/>
    <col min="13325" max="13325" width="5.5703125" style="24" customWidth="1"/>
    <col min="13326" max="13326" width="10.42578125" style="24" customWidth="1"/>
    <col min="13327" max="13327" width="7" style="24" customWidth="1"/>
    <col min="13328" max="13328" width="7.7109375" style="24" customWidth="1"/>
    <col min="13329" max="13329" width="3.7109375" style="24" customWidth="1"/>
    <col min="13330" max="13330" width="12.5703125" style="24" customWidth="1"/>
    <col min="13331" max="13568" width="9.140625" style="24"/>
    <col min="13569" max="13569" width="4.85546875" style="24" customWidth="1"/>
    <col min="13570" max="13570" width="8.85546875" style="24" customWidth="1"/>
    <col min="13571" max="13571" width="5.85546875" style="24" customWidth="1"/>
    <col min="13572" max="13572" width="9" style="24" customWidth="1"/>
    <col min="13573" max="13573" width="5.85546875" style="24" customWidth="1"/>
    <col min="13574" max="13574" width="8.85546875" style="24" customWidth="1"/>
    <col min="13575" max="13575" width="4.85546875" style="24" customWidth="1"/>
    <col min="13576" max="13576" width="2.42578125" style="24" customWidth="1"/>
    <col min="13577" max="13577" width="8.85546875" style="24" customWidth="1"/>
    <col min="13578" max="13578" width="5.7109375" style="24" customWidth="1"/>
    <col min="13579" max="13579" width="2.7109375" style="24" customWidth="1"/>
    <col min="13580" max="13580" width="12" style="24" customWidth="1"/>
    <col min="13581" max="13581" width="5.5703125" style="24" customWidth="1"/>
    <col min="13582" max="13582" width="10.42578125" style="24" customWidth="1"/>
    <col min="13583" max="13583" width="7" style="24" customWidth="1"/>
    <col min="13584" max="13584" width="7.7109375" style="24" customWidth="1"/>
    <col min="13585" max="13585" width="3.7109375" style="24" customWidth="1"/>
    <col min="13586" max="13586" width="12.5703125" style="24" customWidth="1"/>
    <col min="13587" max="13824" width="9.140625" style="24"/>
    <col min="13825" max="13825" width="4.85546875" style="24" customWidth="1"/>
    <col min="13826" max="13826" width="8.85546875" style="24" customWidth="1"/>
    <col min="13827" max="13827" width="5.85546875" style="24" customWidth="1"/>
    <col min="13828" max="13828" width="9" style="24" customWidth="1"/>
    <col min="13829" max="13829" width="5.85546875" style="24" customWidth="1"/>
    <col min="13830" max="13830" width="8.85546875" style="24" customWidth="1"/>
    <col min="13831" max="13831" width="4.85546875" style="24" customWidth="1"/>
    <col min="13832" max="13832" width="2.42578125" style="24" customWidth="1"/>
    <col min="13833" max="13833" width="8.85546875" style="24" customWidth="1"/>
    <col min="13834" max="13834" width="5.7109375" style="24" customWidth="1"/>
    <col min="13835" max="13835" width="2.7109375" style="24" customWidth="1"/>
    <col min="13836" max="13836" width="12" style="24" customWidth="1"/>
    <col min="13837" max="13837" width="5.5703125" style="24" customWidth="1"/>
    <col min="13838" max="13838" width="10.42578125" style="24" customWidth="1"/>
    <col min="13839" max="13839" width="7" style="24" customWidth="1"/>
    <col min="13840" max="13840" width="7.7109375" style="24" customWidth="1"/>
    <col min="13841" max="13841" width="3.7109375" style="24" customWidth="1"/>
    <col min="13842" max="13842" width="12.5703125" style="24" customWidth="1"/>
    <col min="13843" max="14080" width="9.140625" style="24"/>
    <col min="14081" max="14081" width="4.85546875" style="24" customWidth="1"/>
    <col min="14082" max="14082" width="8.85546875" style="24" customWidth="1"/>
    <col min="14083" max="14083" width="5.85546875" style="24" customWidth="1"/>
    <col min="14084" max="14084" width="9" style="24" customWidth="1"/>
    <col min="14085" max="14085" width="5.85546875" style="24" customWidth="1"/>
    <col min="14086" max="14086" width="8.85546875" style="24" customWidth="1"/>
    <col min="14087" max="14087" width="4.85546875" style="24" customWidth="1"/>
    <col min="14088" max="14088" width="2.42578125" style="24" customWidth="1"/>
    <col min="14089" max="14089" width="8.85546875" style="24" customWidth="1"/>
    <col min="14090" max="14090" width="5.7109375" style="24" customWidth="1"/>
    <col min="14091" max="14091" width="2.7109375" style="24" customWidth="1"/>
    <col min="14092" max="14092" width="12" style="24" customWidth="1"/>
    <col min="14093" max="14093" width="5.5703125" style="24" customWidth="1"/>
    <col min="14094" max="14094" width="10.42578125" style="24" customWidth="1"/>
    <col min="14095" max="14095" width="7" style="24" customWidth="1"/>
    <col min="14096" max="14096" width="7.7109375" style="24" customWidth="1"/>
    <col min="14097" max="14097" width="3.7109375" style="24" customWidth="1"/>
    <col min="14098" max="14098" width="12.5703125" style="24" customWidth="1"/>
    <col min="14099" max="14336" width="9.140625" style="24"/>
    <col min="14337" max="14337" width="4.85546875" style="24" customWidth="1"/>
    <col min="14338" max="14338" width="8.85546875" style="24" customWidth="1"/>
    <col min="14339" max="14339" width="5.85546875" style="24" customWidth="1"/>
    <col min="14340" max="14340" width="9" style="24" customWidth="1"/>
    <col min="14341" max="14341" width="5.85546875" style="24" customWidth="1"/>
    <col min="14342" max="14342" width="8.85546875" style="24" customWidth="1"/>
    <col min="14343" max="14343" width="4.85546875" style="24" customWidth="1"/>
    <col min="14344" max="14344" width="2.42578125" style="24" customWidth="1"/>
    <col min="14345" max="14345" width="8.85546875" style="24" customWidth="1"/>
    <col min="14346" max="14346" width="5.7109375" style="24" customWidth="1"/>
    <col min="14347" max="14347" width="2.7109375" style="24" customWidth="1"/>
    <col min="14348" max="14348" width="12" style="24" customWidth="1"/>
    <col min="14349" max="14349" width="5.5703125" style="24" customWidth="1"/>
    <col min="14350" max="14350" width="10.42578125" style="24" customWidth="1"/>
    <col min="14351" max="14351" width="7" style="24" customWidth="1"/>
    <col min="14352" max="14352" width="7.7109375" style="24" customWidth="1"/>
    <col min="14353" max="14353" width="3.7109375" style="24" customWidth="1"/>
    <col min="14354" max="14354" width="12.5703125" style="24" customWidth="1"/>
    <col min="14355" max="14592" width="9.140625" style="24"/>
    <col min="14593" max="14593" width="4.85546875" style="24" customWidth="1"/>
    <col min="14594" max="14594" width="8.85546875" style="24" customWidth="1"/>
    <col min="14595" max="14595" width="5.85546875" style="24" customWidth="1"/>
    <col min="14596" max="14596" width="9" style="24" customWidth="1"/>
    <col min="14597" max="14597" width="5.85546875" style="24" customWidth="1"/>
    <col min="14598" max="14598" width="8.85546875" style="24" customWidth="1"/>
    <col min="14599" max="14599" width="4.85546875" style="24" customWidth="1"/>
    <col min="14600" max="14600" width="2.42578125" style="24" customWidth="1"/>
    <col min="14601" max="14601" width="8.85546875" style="24" customWidth="1"/>
    <col min="14602" max="14602" width="5.7109375" style="24" customWidth="1"/>
    <col min="14603" max="14603" width="2.7109375" style="24" customWidth="1"/>
    <col min="14604" max="14604" width="12" style="24" customWidth="1"/>
    <col min="14605" max="14605" width="5.5703125" style="24" customWidth="1"/>
    <col min="14606" max="14606" width="10.42578125" style="24" customWidth="1"/>
    <col min="14607" max="14607" width="7" style="24" customWidth="1"/>
    <col min="14608" max="14608" width="7.7109375" style="24" customWidth="1"/>
    <col min="14609" max="14609" width="3.7109375" style="24" customWidth="1"/>
    <col min="14610" max="14610" width="12.5703125" style="24" customWidth="1"/>
    <col min="14611" max="14848" width="9.140625" style="24"/>
    <col min="14849" max="14849" width="4.85546875" style="24" customWidth="1"/>
    <col min="14850" max="14850" width="8.85546875" style="24" customWidth="1"/>
    <col min="14851" max="14851" width="5.85546875" style="24" customWidth="1"/>
    <col min="14852" max="14852" width="9" style="24" customWidth="1"/>
    <col min="14853" max="14853" width="5.85546875" style="24" customWidth="1"/>
    <col min="14854" max="14854" width="8.85546875" style="24" customWidth="1"/>
    <col min="14855" max="14855" width="4.85546875" style="24" customWidth="1"/>
    <col min="14856" max="14856" width="2.42578125" style="24" customWidth="1"/>
    <col min="14857" max="14857" width="8.85546875" style="24" customWidth="1"/>
    <col min="14858" max="14858" width="5.7109375" style="24" customWidth="1"/>
    <col min="14859" max="14859" width="2.7109375" style="24" customWidth="1"/>
    <col min="14860" max="14860" width="12" style="24" customWidth="1"/>
    <col min="14861" max="14861" width="5.5703125" style="24" customWidth="1"/>
    <col min="14862" max="14862" width="10.42578125" style="24" customWidth="1"/>
    <col min="14863" max="14863" width="7" style="24" customWidth="1"/>
    <col min="14864" max="14864" width="7.7109375" style="24" customWidth="1"/>
    <col min="14865" max="14865" width="3.7109375" style="24" customWidth="1"/>
    <col min="14866" max="14866" width="12.5703125" style="24" customWidth="1"/>
    <col min="14867" max="15104" width="9.140625" style="24"/>
    <col min="15105" max="15105" width="4.85546875" style="24" customWidth="1"/>
    <col min="15106" max="15106" width="8.85546875" style="24" customWidth="1"/>
    <col min="15107" max="15107" width="5.85546875" style="24" customWidth="1"/>
    <col min="15108" max="15108" width="9" style="24" customWidth="1"/>
    <col min="15109" max="15109" width="5.85546875" style="24" customWidth="1"/>
    <col min="15110" max="15110" width="8.85546875" style="24" customWidth="1"/>
    <col min="15111" max="15111" width="4.85546875" style="24" customWidth="1"/>
    <col min="15112" max="15112" width="2.42578125" style="24" customWidth="1"/>
    <col min="15113" max="15113" width="8.85546875" style="24" customWidth="1"/>
    <col min="15114" max="15114" width="5.7109375" style="24" customWidth="1"/>
    <col min="15115" max="15115" width="2.7109375" style="24" customWidth="1"/>
    <col min="15116" max="15116" width="12" style="24" customWidth="1"/>
    <col min="15117" max="15117" width="5.5703125" style="24" customWidth="1"/>
    <col min="15118" max="15118" width="10.42578125" style="24" customWidth="1"/>
    <col min="15119" max="15119" width="7" style="24" customWidth="1"/>
    <col min="15120" max="15120" width="7.7109375" style="24" customWidth="1"/>
    <col min="15121" max="15121" width="3.7109375" style="24" customWidth="1"/>
    <col min="15122" max="15122" width="12.5703125" style="24" customWidth="1"/>
    <col min="15123" max="15360" width="9.140625" style="24"/>
    <col min="15361" max="15361" width="4.85546875" style="24" customWidth="1"/>
    <col min="15362" max="15362" width="8.85546875" style="24" customWidth="1"/>
    <col min="15363" max="15363" width="5.85546875" style="24" customWidth="1"/>
    <col min="15364" max="15364" width="9" style="24" customWidth="1"/>
    <col min="15365" max="15365" width="5.85546875" style="24" customWidth="1"/>
    <col min="15366" max="15366" width="8.85546875" style="24" customWidth="1"/>
    <col min="15367" max="15367" width="4.85546875" style="24" customWidth="1"/>
    <col min="15368" max="15368" width="2.42578125" style="24" customWidth="1"/>
    <col min="15369" max="15369" width="8.85546875" style="24" customWidth="1"/>
    <col min="15370" max="15370" width="5.7109375" style="24" customWidth="1"/>
    <col min="15371" max="15371" width="2.7109375" style="24" customWidth="1"/>
    <col min="15372" max="15372" width="12" style="24" customWidth="1"/>
    <col min="15373" max="15373" width="5.5703125" style="24" customWidth="1"/>
    <col min="15374" max="15374" width="10.42578125" style="24" customWidth="1"/>
    <col min="15375" max="15375" width="7" style="24" customWidth="1"/>
    <col min="15376" max="15376" width="7.7109375" style="24" customWidth="1"/>
    <col min="15377" max="15377" width="3.7109375" style="24" customWidth="1"/>
    <col min="15378" max="15378" width="12.5703125" style="24" customWidth="1"/>
    <col min="15379" max="15616" width="9.140625" style="24"/>
    <col min="15617" max="15617" width="4.85546875" style="24" customWidth="1"/>
    <col min="15618" max="15618" width="8.85546875" style="24" customWidth="1"/>
    <col min="15619" max="15619" width="5.85546875" style="24" customWidth="1"/>
    <col min="15620" max="15620" width="9" style="24" customWidth="1"/>
    <col min="15621" max="15621" width="5.85546875" style="24" customWidth="1"/>
    <col min="15622" max="15622" width="8.85546875" style="24" customWidth="1"/>
    <col min="15623" max="15623" width="4.85546875" style="24" customWidth="1"/>
    <col min="15624" max="15624" width="2.42578125" style="24" customWidth="1"/>
    <col min="15625" max="15625" width="8.85546875" style="24" customWidth="1"/>
    <col min="15626" max="15626" width="5.7109375" style="24" customWidth="1"/>
    <col min="15627" max="15627" width="2.7109375" style="24" customWidth="1"/>
    <col min="15628" max="15628" width="12" style="24" customWidth="1"/>
    <col min="15629" max="15629" width="5.5703125" style="24" customWidth="1"/>
    <col min="15630" max="15630" width="10.42578125" style="24" customWidth="1"/>
    <col min="15631" max="15631" width="7" style="24" customWidth="1"/>
    <col min="15632" max="15632" width="7.7109375" style="24" customWidth="1"/>
    <col min="15633" max="15633" width="3.7109375" style="24" customWidth="1"/>
    <col min="15634" max="15634" width="12.5703125" style="24" customWidth="1"/>
    <col min="15635" max="15872" width="9.140625" style="24"/>
    <col min="15873" max="15873" width="4.85546875" style="24" customWidth="1"/>
    <col min="15874" max="15874" width="8.85546875" style="24" customWidth="1"/>
    <col min="15875" max="15875" width="5.85546875" style="24" customWidth="1"/>
    <col min="15876" max="15876" width="9" style="24" customWidth="1"/>
    <col min="15877" max="15877" width="5.85546875" style="24" customWidth="1"/>
    <col min="15878" max="15878" width="8.85546875" style="24" customWidth="1"/>
    <col min="15879" max="15879" width="4.85546875" style="24" customWidth="1"/>
    <col min="15880" max="15880" width="2.42578125" style="24" customWidth="1"/>
    <col min="15881" max="15881" width="8.85546875" style="24" customWidth="1"/>
    <col min="15882" max="15882" width="5.7109375" style="24" customWidth="1"/>
    <col min="15883" max="15883" width="2.7109375" style="24" customWidth="1"/>
    <col min="15884" max="15884" width="12" style="24" customWidth="1"/>
    <col min="15885" max="15885" width="5.5703125" style="24" customWidth="1"/>
    <col min="15886" max="15886" width="10.42578125" style="24" customWidth="1"/>
    <col min="15887" max="15887" width="7" style="24" customWidth="1"/>
    <col min="15888" max="15888" width="7.7109375" style="24" customWidth="1"/>
    <col min="15889" max="15889" width="3.7109375" style="24" customWidth="1"/>
    <col min="15890" max="15890" width="12.5703125" style="24" customWidth="1"/>
    <col min="15891" max="16128" width="9.140625" style="24"/>
    <col min="16129" max="16129" width="4.85546875" style="24" customWidth="1"/>
    <col min="16130" max="16130" width="8.85546875" style="24" customWidth="1"/>
    <col min="16131" max="16131" width="5.85546875" style="24" customWidth="1"/>
    <col min="16132" max="16132" width="9" style="24" customWidth="1"/>
    <col min="16133" max="16133" width="5.85546875" style="24" customWidth="1"/>
    <col min="16134" max="16134" width="8.85546875" style="24" customWidth="1"/>
    <col min="16135" max="16135" width="4.85546875" style="24" customWidth="1"/>
    <col min="16136" max="16136" width="2.42578125" style="24" customWidth="1"/>
    <col min="16137" max="16137" width="8.85546875" style="24" customWidth="1"/>
    <col min="16138" max="16138" width="5.7109375" style="24" customWidth="1"/>
    <col min="16139" max="16139" width="2.7109375" style="24" customWidth="1"/>
    <col min="16140" max="16140" width="12" style="24" customWidth="1"/>
    <col min="16141" max="16141" width="5.5703125" style="24" customWidth="1"/>
    <col min="16142" max="16142" width="10.42578125" style="24" customWidth="1"/>
    <col min="16143" max="16143" width="7" style="24" customWidth="1"/>
    <col min="16144" max="16144" width="7.7109375" style="24" customWidth="1"/>
    <col min="16145" max="16145" width="3.7109375" style="24" customWidth="1"/>
    <col min="16146" max="16146" width="12.5703125" style="24" customWidth="1"/>
    <col min="16147" max="16384" width="9.140625" style="24"/>
  </cols>
  <sheetData>
    <row r="1" spans="1:18" ht="15.75" customHeight="1" x14ac:dyDescent="0.25">
      <c r="A1" s="114" t="s">
        <v>131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6"/>
    </row>
    <row r="2" spans="1:18" x14ac:dyDescent="0.25">
      <c r="A2" s="117" t="s">
        <v>132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9"/>
    </row>
    <row r="3" spans="1:18" x14ac:dyDescent="0.25">
      <c r="A3" s="120" t="s">
        <v>47</v>
      </c>
      <c r="B3" s="123" t="s">
        <v>133</v>
      </c>
      <c r="C3" s="124"/>
      <c r="D3" s="124"/>
      <c r="E3" s="124"/>
      <c r="F3" s="124"/>
      <c r="G3" s="124"/>
      <c r="H3" s="124"/>
      <c r="I3" s="124"/>
      <c r="J3" s="124"/>
      <c r="K3" s="125"/>
      <c r="L3" s="123" t="s">
        <v>134</v>
      </c>
      <c r="M3" s="124"/>
      <c r="N3" s="124"/>
      <c r="O3" s="124"/>
      <c r="P3" s="124"/>
      <c r="Q3" s="125"/>
      <c r="R3" s="25"/>
    </row>
    <row r="4" spans="1:18" x14ac:dyDescent="0.25">
      <c r="A4" s="121"/>
      <c r="B4" s="126"/>
      <c r="C4" s="127"/>
      <c r="D4" s="127"/>
      <c r="E4" s="127"/>
      <c r="F4" s="127"/>
      <c r="G4" s="127"/>
      <c r="H4" s="127"/>
      <c r="I4" s="127"/>
      <c r="J4" s="127"/>
      <c r="K4" s="128"/>
      <c r="L4" s="126"/>
      <c r="M4" s="127"/>
      <c r="N4" s="127"/>
      <c r="O4" s="127"/>
      <c r="P4" s="127"/>
      <c r="Q4" s="128"/>
      <c r="R4" s="26"/>
    </row>
    <row r="5" spans="1:18" x14ac:dyDescent="0.25">
      <c r="A5" s="121"/>
      <c r="B5" s="129"/>
      <c r="C5" s="130"/>
      <c r="D5" s="130"/>
      <c r="E5" s="130"/>
      <c r="F5" s="130"/>
      <c r="G5" s="130"/>
      <c r="H5" s="130"/>
      <c r="I5" s="130"/>
      <c r="J5" s="130"/>
      <c r="K5" s="131"/>
      <c r="L5" s="129"/>
      <c r="M5" s="130"/>
      <c r="N5" s="130"/>
      <c r="O5" s="130"/>
      <c r="P5" s="130"/>
      <c r="Q5" s="131"/>
      <c r="R5" s="27" t="s">
        <v>135</v>
      </c>
    </row>
    <row r="6" spans="1:18" x14ac:dyDescent="0.25">
      <c r="A6" s="121"/>
      <c r="B6" s="123" t="s">
        <v>136</v>
      </c>
      <c r="C6" s="125"/>
      <c r="D6" s="123" t="s">
        <v>137</v>
      </c>
      <c r="E6" s="125"/>
      <c r="F6" s="123" t="s">
        <v>138</v>
      </c>
      <c r="G6" s="124"/>
      <c r="H6" s="125"/>
      <c r="I6" s="123" t="s">
        <v>139</v>
      </c>
      <c r="J6" s="124"/>
      <c r="K6" s="125"/>
      <c r="L6" s="123" t="s">
        <v>140</v>
      </c>
      <c r="M6" s="125"/>
      <c r="N6" s="123" t="s">
        <v>141</v>
      </c>
      <c r="O6" s="125"/>
      <c r="P6" s="123" t="s">
        <v>142</v>
      </c>
      <c r="Q6" s="125"/>
      <c r="R6" s="27" t="s">
        <v>143</v>
      </c>
    </row>
    <row r="7" spans="1:18" x14ac:dyDescent="0.25">
      <c r="A7" s="121"/>
      <c r="B7" s="129"/>
      <c r="C7" s="131"/>
      <c r="D7" s="129"/>
      <c r="E7" s="131"/>
      <c r="F7" s="129"/>
      <c r="G7" s="130"/>
      <c r="H7" s="131"/>
      <c r="I7" s="129"/>
      <c r="J7" s="130"/>
      <c r="K7" s="131"/>
      <c r="L7" s="129" t="s">
        <v>144</v>
      </c>
      <c r="M7" s="131"/>
      <c r="N7" s="129" t="s">
        <v>145</v>
      </c>
      <c r="O7" s="131"/>
      <c r="P7" s="129"/>
      <c r="Q7" s="131"/>
      <c r="R7" s="28"/>
    </row>
    <row r="8" spans="1:18" x14ac:dyDescent="0.25">
      <c r="A8" s="122"/>
      <c r="B8" s="29" t="s">
        <v>146</v>
      </c>
      <c r="C8" s="29" t="s">
        <v>147</v>
      </c>
      <c r="D8" s="29" t="s">
        <v>146</v>
      </c>
      <c r="E8" s="29" t="s">
        <v>147</v>
      </c>
      <c r="F8" s="29" t="s">
        <v>146</v>
      </c>
      <c r="G8" s="136" t="s">
        <v>147</v>
      </c>
      <c r="H8" s="137"/>
      <c r="I8" s="29" t="s">
        <v>146</v>
      </c>
      <c r="J8" s="136" t="s">
        <v>147</v>
      </c>
      <c r="K8" s="137"/>
      <c r="L8" s="136" t="s">
        <v>146</v>
      </c>
      <c r="M8" s="137"/>
      <c r="N8" s="136" t="s">
        <v>148</v>
      </c>
      <c r="O8" s="137"/>
      <c r="P8" s="136" t="s">
        <v>146</v>
      </c>
      <c r="Q8" s="137"/>
      <c r="R8" s="29" t="s">
        <v>148</v>
      </c>
    </row>
    <row r="9" spans="1:18" x14ac:dyDescent="0.25">
      <c r="A9" s="30">
        <v>1949</v>
      </c>
      <c r="B9" s="31">
        <v>0.26800000000000002</v>
      </c>
      <c r="C9" s="31">
        <v>1.85</v>
      </c>
      <c r="D9" s="31" t="s">
        <v>105</v>
      </c>
      <c r="E9" s="31" t="s">
        <v>105</v>
      </c>
      <c r="F9" s="31" t="s">
        <v>105</v>
      </c>
      <c r="G9" s="31" t="s">
        <v>105</v>
      </c>
      <c r="H9" s="32"/>
      <c r="I9" s="31" t="s">
        <v>105</v>
      </c>
      <c r="J9" s="31" t="s">
        <v>105</v>
      </c>
      <c r="K9" s="32"/>
      <c r="L9" s="31" t="s">
        <v>105</v>
      </c>
      <c r="M9" s="32"/>
      <c r="N9" s="31" t="s">
        <v>105</v>
      </c>
      <c r="O9" s="32"/>
      <c r="P9" s="31" t="s">
        <v>105</v>
      </c>
      <c r="Q9" s="32"/>
      <c r="R9" s="31" t="s">
        <v>105</v>
      </c>
    </row>
    <row r="10" spans="1:18" x14ac:dyDescent="0.25">
      <c r="A10" s="30">
        <v>1950</v>
      </c>
      <c r="B10" s="31">
        <v>0.26800000000000002</v>
      </c>
      <c r="C10" s="31">
        <v>1.83</v>
      </c>
      <c r="D10" s="31" t="s">
        <v>105</v>
      </c>
      <c r="E10" s="31" t="s">
        <v>105</v>
      </c>
      <c r="F10" s="31" t="s">
        <v>105</v>
      </c>
      <c r="G10" s="31" t="s">
        <v>105</v>
      </c>
      <c r="H10" s="32"/>
      <c r="I10" s="31" t="s">
        <v>105</v>
      </c>
      <c r="J10" s="31" t="s">
        <v>105</v>
      </c>
      <c r="K10" s="32"/>
      <c r="L10" s="31" t="s">
        <v>105</v>
      </c>
      <c r="M10" s="32"/>
      <c r="N10" s="31" t="s">
        <v>105</v>
      </c>
      <c r="O10" s="32"/>
      <c r="P10" s="31" t="s">
        <v>105</v>
      </c>
      <c r="Q10" s="32"/>
      <c r="R10" s="31" t="s">
        <v>105</v>
      </c>
    </row>
    <row r="11" spans="1:18" x14ac:dyDescent="0.25">
      <c r="A11" s="33">
        <v>1951</v>
      </c>
      <c r="B11" s="34">
        <v>0.27200000000000002</v>
      </c>
      <c r="C11" s="34">
        <v>1.7330000000000001</v>
      </c>
      <c r="D11" s="34" t="s">
        <v>105</v>
      </c>
      <c r="E11" s="34" t="s">
        <v>105</v>
      </c>
      <c r="F11" s="34" t="s">
        <v>105</v>
      </c>
      <c r="G11" s="34" t="s">
        <v>105</v>
      </c>
      <c r="H11" s="35"/>
      <c r="I11" s="34" t="s">
        <v>105</v>
      </c>
      <c r="J11" s="34" t="s">
        <v>105</v>
      </c>
      <c r="K11" s="35"/>
      <c r="L11" s="34" t="s">
        <v>105</v>
      </c>
      <c r="M11" s="35"/>
      <c r="N11" s="34" t="s">
        <v>105</v>
      </c>
      <c r="O11" s="35"/>
      <c r="P11" s="34" t="s">
        <v>105</v>
      </c>
      <c r="Q11" s="35"/>
      <c r="R11" s="34" t="s">
        <v>105</v>
      </c>
    </row>
    <row r="12" spans="1:18" x14ac:dyDescent="0.25">
      <c r="A12" s="30">
        <v>1952</v>
      </c>
      <c r="B12" s="31">
        <v>0.27400000000000002</v>
      </c>
      <c r="C12" s="31">
        <v>1.716</v>
      </c>
      <c r="D12" s="31" t="s">
        <v>105</v>
      </c>
      <c r="E12" s="31" t="s">
        <v>105</v>
      </c>
      <c r="F12" s="31" t="s">
        <v>105</v>
      </c>
      <c r="G12" s="31" t="s">
        <v>105</v>
      </c>
      <c r="H12" s="32"/>
      <c r="I12" s="31" t="s">
        <v>105</v>
      </c>
      <c r="J12" s="31" t="s">
        <v>105</v>
      </c>
      <c r="K12" s="32"/>
      <c r="L12" s="31" t="s">
        <v>105</v>
      </c>
      <c r="M12" s="32"/>
      <c r="N12" s="31" t="s">
        <v>105</v>
      </c>
      <c r="O12" s="32"/>
      <c r="P12" s="31" t="s">
        <v>105</v>
      </c>
      <c r="Q12" s="32"/>
      <c r="R12" s="31" t="s">
        <v>105</v>
      </c>
    </row>
    <row r="13" spans="1:18" x14ac:dyDescent="0.25">
      <c r="A13" s="30">
        <v>1953</v>
      </c>
      <c r="B13" s="31">
        <v>0.28699999999999998</v>
      </c>
      <c r="C13" s="31">
        <v>1.776</v>
      </c>
      <c r="D13" s="31" t="s">
        <v>105</v>
      </c>
      <c r="E13" s="31" t="s">
        <v>105</v>
      </c>
      <c r="F13" s="31" t="s">
        <v>105</v>
      </c>
      <c r="G13" s="31" t="s">
        <v>105</v>
      </c>
      <c r="H13" s="32"/>
      <c r="I13" s="31" t="s">
        <v>105</v>
      </c>
      <c r="J13" s="31" t="s">
        <v>105</v>
      </c>
      <c r="K13" s="32"/>
      <c r="L13" s="31" t="s">
        <v>105</v>
      </c>
      <c r="M13" s="32"/>
      <c r="N13" s="31" t="s">
        <v>105</v>
      </c>
      <c r="O13" s="32"/>
      <c r="P13" s="31" t="s">
        <v>105</v>
      </c>
      <c r="Q13" s="32"/>
      <c r="R13" s="31" t="s">
        <v>105</v>
      </c>
    </row>
    <row r="14" spans="1:18" x14ac:dyDescent="0.25">
      <c r="A14" s="33">
        <v>1954</v>
      </c>
      <c r="B14" s="34">
        <v>0.28999999999999998</v>
      </c>
      <c r="C14" s="34">
        <v>1.778</v>
      </c>
      <c r="D14" s="34" t="s">
        <v>105</v>
      </c>
      <c r="E14" s="34" t="s">
        <v>105</v>
      </c>
      <c r="F14" s="34" t="s">
        <v>105</v>
      </c>
      <c r="G14" s="34" t="s">
        <v>105</v>
      </c>
      <c r="H14" s="35"/>
      <c r="I14" s="34" t="s">
        <v>105</v>
      </c>
      <c r="J14" s="34" t="s">
        <v>105</v>
      </c>
      <c r="K14" s="35"/>
      <c r="L14" s="34" t="s">
        <v>105</v>
      </c>
      <c r="M14" s="35"/>
      <c r="N14" s="34" t="s">
        <v>105</v>
      </c>
      <c r="O14" s="35"/>
      <c r="P14" s="34" t="s">
        <v>105</v>
      </c>
      <c r="Q14" s="35"/>
      <c r="R14" s="34" t="s">
        <v>105</v>
      </c>
    </row>
    <row r="15" spans="1:18" x14ac:dyDescent="0.25">
      <c r="A15" s="30">
        <v>1955</v>
      </c>
      <c r="B15" s="31">
        <v>0.29099999999999998</v>
      </c>
      <c r="C15" s="31">
        <v>1.754</v>
      </c>
      <c r="D15" s="31" t="s">
        <v>105</v>
      </c>
      <c r="E15" s="31" t="s">
        <v>105</v>
      </c>
      <c r="F15" s="31" t="s">
        <v>105</v>
      </c>
      <c r="G15" s="31" t="s">
        <v>105</v>
      </c>
      <c r="H15" s="32"/>
      <c r="I15" s="31" t="s">
        <v>105</v>
      </c>
      <c r="J15" s="31" t="s">
        <v>105</v>
      </c>
      <c r="K15" s="32"/>
      <c r="L15" s="31" t="s">
        <v>105</v>
      </c>
      <c r="M15" s="32"/>
      <c r="N15" s="31" t="s">
        <v>105</v>
      </c>
      <c r="O15" s="32"/>
      <c r="P15" s="31" t="s">
        <v>105</v>
      </c>
      <c r="Q15" s="32"/>
      <c r="R15" s="31" t="s">
        <v>105</v>
      </c>
    </row>
    <row r="16" spans="1:18" x14ac:dyDescent="0.25">
      <c r="A16" s="30">
        <v>1956</v>
      </c>
      <c r="B16" s="31">
        <v>0.29899999999999999</v>
      </c>
      <c r="C16" s="31">
        <v>1.7430000000000001</v>
      </c>
      <c r="D16" s="31" t="s">
        <v>105</v>
      </c>
      <c r="E16" s="31" t="s">
        <v>105</v>
      </c>
      <c r="F16" s="31" t="s">
        <v>105</v>
      </c>
      <c r="G16" s="31" t="s">
        <v>105</v>
      </c>
      <c r="H16" s="32"/>
      <c r="I16" s="31" t="s">
        <v>105</v>
      </c>
      <c r="J16" s="31" t="s">
        <v>105</v>
      </c>
      <c r="K16" s="32"/>
      <c r="L16" s="31" t="s">
        <v>105</v>
      </c>
      <c r="M16" s="32"/>
      <c r="N16" s="31" t="s">
        <v>105</v>
      </c>
      <c r="O16" s="32"/>
      <c r="P16" s="31" t="s">
        <v>105</v>
      </c>
      <c r="Q16" s="32"/>
      <c r="R16" s="31" t="s">
        <v>105</v>
      </c>
    </row>
    <row r="17" spans="1:18" x14ac:dyDescent="0.25">
      <c r="A17" s="33">
        <v>1957</v>
      </c>
      <c r="B17" s="34">
        <v>0.31</v>
      </c>
      <c r="C17" s="34">
        <v>1.7490000000000001</v>
      </c>
      <c r="D17" s="34" t="s">
        <v>105</v>
      </c>
      <c r="E17" s="34" t="s">
        <v>105</v>
      </c>
      <c r="F17" s="34" t="s">
        <v>105</v>
      </c>
      <c r="G17" s="34" t="s">
        <v>105</v>
      </c>
      <c r="H17" s="35"/>
      <c r="I17" s="34" t="s">
        <v>105</v>
      </c>
      <c r="J17" s="34" t="s">
        <v>105</v>
      </c>
      <c r="K17" s="35"/>
      <c r="L17" s="34" t="s">
        <v>105</v>
      </c>
      <c r="M17" s="35"/>
      <c r="N17" s="34" t="s">
        <v>105</v>
      </c>
      <c r="O17" s="35"/>
      <c r="P17" s="34" t="s">
        <v>105</v>
      </c>
      <c r="Q17" s="35"/>
      <c r="R17" s="34" t="s">
        <v>105</v>
      </c>
    </row>
    <row r="18" spans="1:18" x14ac:dyDescent="0.25">
      <c r="A18" s="30">
        <v>1958</v>
      </c>
      <c r="B18" s="31">
        <v>0.30399999999999999</v>
      </c>
      <c r="C18" s="31">
        <v>1.677</v>
      </c>
      <c r="D18" s="31" t="s">
        <v>105</v>
      </c>
      <c r="E18" s="31" t="s">
        <v>105</v>
      </c>
      <c r="F18" s="31" t="s">
        <v>105</v>
      </c>
      <c r="G18" s="31" t="s">
        <v>105</v>
      </c>
      <c r="H18" s="32"/>
      <c r="I18" s="31" t="s">
        <v>105</v>
      </c>
      <c r="J18" s="31" t="s">
        <v>105</v>
      </c>
      <c r="K18" s="32"/>
      <c r="L18" s="31" t="s">
        <v>105</v>
      </c>
      <c r="M18" s="32"/>
      <c r="N18" s="31" t="s">
        <v>105</v>
      </c>
      <c r="O18" s="32"/>
      <c r="P18" s="31" t="s">
        <v>105</v>
      </c>
      <c r="Q18" s="32"/>
      <c r="R18" s="31" t="s">
        <v>105</v>
      </c>
    </row>
    <row r="19" spans="1:18" x14ac:dyDescent="0.25">
      <c r="A19" s="30">
        <v>1959</v>
      </c>
      <c r="B19" s="31">
        <v>0.30499999999999999</v>
      </c>
      <c r="C19" s="31">
        <v>1.663</v>
      </c>
      <c r="D19" s="31" t="s">
        <v>105</v>
      </c>
      <c r="E19" s="31" t="s">
        <v>105</v>
      </c>
      <c r="F19" s="31" t="s">
        <v>105</v>
      </c>
      <c r="G19" s="31" t="s">
        <v>105</v>
      </c>
      <c r="H19" s="32"/>
      <c r="I19" s="31" t="s">
        <v>105</v>
      </c>
      <c r="J19" s="31" t="s">
        <v>105</v>
      </c>
      <c r="K19" s="32"/>
      <c r="L19" s="31" t="s">
        <v>105</v>
      </c>
      <c r="M19" s="32"/>
      <c r="N19" s="31" t="s">
        <v>105</v>
      </c>
      <c r="O19" s="32"/>
      <c r="P19" s="31" t="s">
        <v>105</v>
      </c>
      <c r="Q19" s="32"/>
      <c r="R19" s="31" t="s">
        <v>105</v>
      </c>
    </row>
    <row r="20" spans="1:18" x14ac:dyDescent="0.25">
      <c r="A20" s="33">
        <v>1960</v>
      </c>
      <c r="B20" s="34">
        <v>0.311</v>
      </c>
      <c r="C20" s="34">
        <v>1.6719999999999999</v>
      </c>
      <c r="D20" s="34" t="s">
        <v>105</v>
      </c>
      <c r="E20" s="34" t="s">
        <v>105</v>
      </c>
      <c r="F20" s="34" t="s">
        <v>105</v>
      </c>
      <c r="G20" s="34" t="s">
        <v>105</v>
      </c>
      <c r="H20" s="35"/>
      <c r="I20" s="34" t="s">
        <v>105</v>
      </c>
      <c r="J20" s="34" t="s">
        <v>105</v>
      </c>
      <c r="K20" s="35"/>
      <c r="L20" s="34" t="s">
        <v>105</v>
      </c>
      <c r="M20" s="35"/>
      <c r="N20" s="34" t="s">
        <v>105</v>
      </c>
      <c r="O20" s="35"/>
      <c r="P20" s="34" t="s">
        <v>105</v>
      </c>
      <c r="Q20" s="35"/>
      <c r="R20" s="34" t="s">
        <v>105</v>
      </c>
    </row>
    <row r="21" spans="1:18" x14ac:dyDescent="0.25">
      <c r="A21" s="30">
        <v>1961</v>
      </c>
      <c r="B21" s="31">
        <v>0.308</v>
      </c>
      <c r="C21" s="31">
        <v>1.6379999999999999</v>
      </c>
      <c r="D21" s="31" t="s">
        <v>105</v>
      </c>
      <c r="E21" s="31" t="s">
        <v>105</v>
      </c>
      <c r="F21" s="31" t="s">
        <v>105</v>
      </c>
      <c r="G21" s="31" t="s">
        <v>105</v>
      </c>
      <c r="H21" s="32"/>
      <c r="I21" s="31" t="s">
        <v>105</v>
      </c>
      <c r="J21" s="31" t="s">
        <v>105</v>
      </c>
      <c r="K21" s="32"/>
      <c r="L21" s="31" t="s">
        <v>105</v>
      </c>
      <c r="M21" s="32"/>
      <c r="N21" s="31" t="s">
        <v>105</v>
      </c>
      <c r="O21" s="32"/>
      <c r="P21" s="31" t="s">
        <v>105</v>
      </c>
      <c r="Q21" s="32"/>
      <c r="R21" s="31" t="s">
        <v>105</v>
      </c>
    </row>
    <row r="22" spans="1:18" x14ac:dyDescent="0.25">
      <c r="A22" s="30">
        <v>1962</v>
      </c>
      <c r="B22" s="31">
        <v>0.30599999999999999</v>
      </c>
      <c r="C22" s="31">
        <v>1.605</v>
      </c>
      <c r="D22" s="31" t="s">
        <v>105</v>
      </c>
      <c r="E22" s="31" t="s">
        <v>105</v>
      </c>
      <c r="F22" s="31" t="s">
        <v>105</v>
      </c>
      <c r="G22" s="31" t="s">
        <v>105</v>
      </c>
      <c r="H22" s="32"/>
      <c r="I22" s="31" t="s">
        <v>105</v>
      </c>
      <c r="J22" s="31" t="s">
        <v>105</v>
      </c>
      <c r="K22" s="32"/>
      <c r="L22" s="31" t="s">
        <v>105</v>
      </c>
      <c r="M22" s="32"/>
      <c r="N22" s="31" t="s">
        <v>105</v>
      </c>
      <c r="O22" s="32"/>
      <c r="P22" s="31" t="s">
        <v>105</v>
      </c>
      <c r="Q22" s="32"/>
      <c r="R22" s="31" t="s">
        <v>105</v>
      </c>
    </row>
    <row r="23" spans="1:18" x14ac:dyDescent="0.25">
      <c r="A23" s="33">
        <v>1963</v>
      </c>
      <c r="B23" s="34">
        <v>0.30399999999999999</v>
      </c>
      <c r="C23" s="34">
        <v>1.5780000000000001</v>
      </c>
      <c r="D23" s="34" t="s">
        <v>105</v>
      </c>
      <c r="E23" s="34" t="s">
        <v>105</v>
      </c>
      <c r="F23" s="34" t="s">
        <v>105</v>
      </c>
      <c r="G23" s="34" t="s">
        <v>105</v>
      </c>
      <c r="H23" s="35"/>
      <c r="I23" s="34" t="s">
        <v>105</v>
      </c>
      <c r="J23" s="34" t="s">
        <v>105</v>
      </c>
      <c r="K23" s="35"/>
      <c r="L23" s="34" t="s">
        <v>105</v>
      </c>
      <c r="M23" s="35"/>
      <c r="N23" s="34" t="s">
        <v>105</v>
      </c>
      <c r="O23" s="35"/>
      <c r="P23" s="34" t="s">
        <v>105</v>
      </c>
      <c r="Q23" s="35"/>
      <c r="R23" s="34" t="s">
        <v>105</v>
      </c>
    </row>
    <row r="24" spans="1:18" x14ac:dyDescent="0.25">
      <c r="A24" s="30">
        <v>1964</v>
      </c>
      <c r="B24" s="31">
        <v>0.30399999999999999</v>
      </c>
      <c r="C24" s="31">
        <v>1.554</v>
      </c>
      <c r="D24" s="31" t="s">
        <v>105</v>
      </c>
      <c r="E24" s="31" t="s">
        <v>105</v>
      </c>
      <c r="F24" s="31" t="s">
        <v>105</v>
      </c>
      <c r="G24" s="31" t="s">
        <v>105</v>
      </c>
      <c r="H24" s="32"/>
      <c r="I24" s="31" t="s">
        <v>105</v>
      </c>
      <c r="J24" s="31" t="s">
        <v>105</v>
      </c>
      <c r="K24" s="32"/>
      <c r="L24" s="31" t="s">
        <v>105</v>
      </c>
      <c r="M24" s="32"/>
      <c r="N24" s="31" t="s">
        <v>105</v>
      </c>
      <c r="O24" s="32"/>
      <c r="P24" s="31" t="s">
        <v>105</v>
      </c>
      <c r="Q24" s="32"/>
      <c r="R24" s="31" t="s">
        <v>105</v>
      </c>
    </row>
    <row r="25" spans="1:18" x14ac:dyDescent="0.25">
      <c r="A25" s="30">
        <v>1965</v>
      </c>
      <c r="B25" s="31">
        <v>0.312</v>
      </c>
      <c r="C25" s="31">
        <v>1.5660000000000001</v>
      </c>
      <c r="D25" s="31" t="s">
        <v>105</v>
      </c>
      <c r="E25" s="31" t="s">
        <v>105</v>
      </c>
      <c r="F25" s="31" t="s">
        <v>105</v>
      </c>
      <c r="G25" s="31" t="s">
        <v>105</v>
      </c>
      <c r="H25" s="32"/>
      <c r="I25" s="31" t="s">
        <v>105</v>
      </c>
      <c r="J25" s="31" t="s">
        <v>105</v>
      </c>
      <c r="K25" s="32"/>
      <c r="L25" s="31" t="s">
        <v>105</v>
      </c>
      <c r="M25" s="32"/>
      <c r="N25" s="31" t="s">
        <v>105</v>
      </c>
      <c r="O25" s="32"/>
      <c r="P25" s="31" t="s">
        <v>105</v>
      </c>
      <c r="Q25" s="32"/>
      <c r="R25" s="31" t="s">
        <v>105</v>
      </c>
    </row>
    <row r="26" spans="1:18" x14ac:dyDescent="0.25">
      <c r="A26" s="33">
        <v>1966</v>
      </c>
      <c r="B26" s="34">
        <v>0.32100000000000001</v>
      </c>
      <c r="C26" s="34">
        <v>1.5669999999999999</v>
      </c>
      <c r="D26" s="34" t="s">
        <v>105</v>
      </c>
      <c r="E26" s="34" t="s">
        <v>105</v>
      </c>
      <c r="F26" s="34" t="s">
        <v>105</v>
      </c>
      <c r="G26" s="34" t="s">
        <v>105</v>
      </c>
      <c r="H26" s="35"/>
      <c r="I26" s="34" t="s">
        <v>105</v>
      </c>
      <c r="J26" s="34" t="s">
        <v>105</v>
      </c>
      <c r="K26" s="35"/>
      <c r="L26" s="34" t="s">
        <v>105</v>
      </c>
      <c r="M26" s="35"/>
      <c r="N26" s="34" t="s">
        <v>105</v>
      </c>
      <c r="O26" s="35"/>
      <c r="P26" s="34" t="s">
        <v>105</v>
      </c>
      <c r="Q26" s="35"/>
      <c r="R26" s="34" t="s">
        <v>105</v>
      </c>
    </row>
    <row r="27" spans="1:18" x14ac:dyDescent="0.25">
      <c r="A27" s="30">
        <v>1967</v>
      </c>
      <c r="B27" s="31">
        <v>0.33200000000000002</v>
      </c>
      <c r="C27" s="31">
        <v>1.5720000000000001</v>
      </c>
      <c r="D27" s="31" t="s">
        <v>105</v>
      </c>
      <c r="E27" s="31" t="s">
        <v>105</v>
      </c>
      <c r="F27" s="31" t="s">
        <v>105</v>
      </c>
      <c r="G27" s="31" t="s">
        <v>105</v>
      </c>
      <c r="H27" s="32"/>
      <c r="I27" s="31" t="s">
        <v>105</v>
      </c>
      <c r="J27" s="31" t="s">
        <v>105</v>
      </c>
      <c r="K27" s="32"/>
      <c r="L27" s="31" t="s">
        <v>105</v>
      </c>
      <c r="M27" s="32"/>
      <c r="N27" s="31" t="s">
        <v>105</v>
      </c>
      <c r="O27" s="32"/>
      <c r="P27" s="31" t="s">
        <v>105</v>
      </c>
      <c r="Q27" s="32"/>
      <c r="R27" s="31" t="s">
        <v>105</v>
      </c>
    </row>
    <row r="28" spans="1:18" x14ac:dyDescent="0.25">
      <c r="A28" s="30">
        <v>1968</v>
      </c>
      <c r="B28" s="31">
        <v>0.33700000000000002</v>
      </c>
      <c r="C28" s="31">
        <v>1.5309999999999999</v>
      </c>
      <c r="D28" s="31" t="s">
        <v>105</v>
      </c>
      <c r="E28" s="31" t="s">
        <v>105</v>
      </c>
      <c r="F28" s="31" t="s">
        <v>105</v>
      </c>
      <c r="G28" s="31" t="s">
        <v>105</v>
      </c>
      <c r="H28" s="32"/>
      <c r="I28" s="31" t="s">
        <v>105</v>
      </c>
      <c r="J28" s="31" t="s">
        <v>105</v>
      </c>
      <c r="K28" s="32"/>
      <c r="L28" s="31" t="s">
        <v>105</v>
      </c>
      <c r="M28" s="32"/>
      <c r="N28" s="31" t="s">
        <v>105</v>
      </c>
      <c r="O28" s="32"/>
      <c r="P28" s="31" t="s">
        <v>105</v>
      </c>
      <c r="Q28" s="32"/>
      <c r="R28" s="31" t="s">
        <v>105</v>
      </c>
    </row>
    <row r="29" spans="1:18" x14ac:dyDescent="0.25">
      <c r="A29" s="33">
        <v>1969</v>
      </c>
      <c r="B29" s="34">
        <v>0.34799999999999998</v>
      </c>
      <c r="C29" s="34">
        <v>1.5069999999999999</v>
      </c>
      <c r="D29" s="34" t="s">
        <v>105</v>
      </c>
      <c r="E29" s="34" t="s">
        <v>105</v>
      </c>
      <c r="F29" s="34" t="s">
        <v>105</v>
      </c>
      <c r="G29" s="34" t="s">
        <v>105</v>
      </c>
      <c r="H29" s="35"/>
      <c r="I29" s="34" t="s">
        <v>105</v>
      </c>
      <c r="J29" s="34" t="s">
        <v>105</v>
      </c>
      <c r="K29" s="35"/>
      <c r="L29" s="34" t="s">
        <v>105</v>
      </c>
      <c r="M29" s="35"/>
      <c r="N29" s="34" t="s">
        <v>105</v>
      </c>
      <c r="O29" s="35"/>
      <c r="P29" s="34" t="s">
        <v>105</v>
      </c>
      <c r="Q29" s="35"/>
      <c r="R29" s="34" t="s">
        <v>105</v>
      </c>
    </row>
    <row r="30" spans="1:18" x14ac:dyDescent="0.25">
      <c r="A30" s="30">
        <v>1970</v>
      </c>
      <c r="B30" s="31">
        <v>0.35699999999999998</v>
      </c>
      <c r="C30" s="31">
        <v>1.468</v>
      </c>
      <c r="D30" s="31" t="s">
        <v>105</v>
      </c>
      <c r="E30" s="31" t="s">
        <v>105</v>
      </c>
      <c r="F30" s="31" t="s">
        <v>105</v>
      </c>
      <c r="G30" s="31" t="s">
        <v>105</v>
      </c>
      <c r="H30" s="32"/>
      <c r="I30" s="31" t="s">
        <v>105</v>
      </c>
      <c r="J30" s="31" t="s">
        <v>105</v>
      </c>
      <c r="K30" s="32"/>
      <c r="L30" s="31" t="s">
        <v>105</v>
      </c>
      <c r="M30" s="32"/>
      <c r="N30" s="31" t="s">
        <v>105</v>
      </c>
      <c r="O30" s="32"/>
      <c r="P30" s="31" t="s">
        <v>105</v>
      </c>
      <c r="Q30" s="32"/>
      <c r="R30" s="31" t="s">
        <v>105</v>
      </c>
    </row>
    <row r="31" spans="1:18" x14ac:dyDescent="0.25">
      <c r="A31" s="30">
        <v>1971</v>
      </c>
      <c r="B31" s="31">
        <v>0.36399999999999999</v>
      </c>
      <c r="C31" s="31">
        <v>1.4259999999999999</v>
      </c>
      <c r="D31" s="31" t="s">
        <v>105</v>
      </c>
      <c r="E31" s="31" t="s">
        <v>105</v>
      </c>
      <c r="F31" s="31" t="s">
        <v>105</v>
      </c>
      <c r="G31" s="31" t="s">
        <v>105</v>
      </c>
      <c r="H31" s="32"/>
      <c r="I31" s="31" t="s">
        <v>105</v>
      </c>
      <c r="J31" s="31" t="s">
        <v>105</v>
      </c>
      <c r="K31" s="32"/>
      <c r="L31" s="31" t="s">
        <v>105</v>
      </c>
      <c r="M31" s="32"/>
      <c r="N31" s="31" t="s">
        <v>105</v>
      </c>
      <c r="O31" s="32"/>
      <c r="P31" s="31" t="s">
        <v>105</v>
      </c>
      <c r="Q31" s="32"/>
      <c r="R31" s="31" t="s">
        <v>105</v>
      </c>
    </row>
    <row r="32" spans="1:18" x14ac:dyDescent="0.25">
      <c r="A32" s="33">
        <v>1972</v>
      </c>
      <c r="B32" s="34">
        <v>0.36099999999999999</v>
      </c>
      <c r="C32" s="34">
        <v>1.355</v>
      </c>
      <c r="D32" s="34" t="s">
        <v>105</v>
      </c>
      <c r="E32" s="34" t="s">
        <v>105</v>
      </c>
      <c r="F32" s="34" t="s">
        <v>105</v>
      </c>
      <c r="G32" s="34" t="s">
        <v>105</v>
      </c>
      <c r="H32" s="35"/>
      <c r="I32" s="34" t="s">
        <v>105</v>
      </c>
      <c r="J32" s="34" t="s">
        <v>105</v>
      </c>
      <c r="K32" s="35"/>
      <c r="L32" s="34" t="s">
        <v>105</v>
      </c>
      <c r="M32" s="35"/>
      <c r="N32" s="34" t="s">
        <v>105</v>
      </c>
      <c r="O32" s="35"/>
      <c r="P32" s="34" t="s">
        <v>105</v>
      </c>
      <c r="Q32" s="35"/>
      <c r="R32" s="34" t="s">
        <v>105</v>
      </c>
    </row>
    <row r="33" spans="1:18" x14ac:dyDescent="0.25">
      <c r="A33" s="30">
        <v>1973</v>
      </c>
      <c r="B33" s="31">
        <v>0.38800000000000001</v>
      </c>
      <c r="C33" s="31">
        <v>1.38</v>
      </c>
      <c r="D33" s="31" t="s">
        <v>105</v>
      </c>
      <c r="E33" s="31" t="s">
        <v>105</v>
      </c>
      <c r="F33" s="31" t="s">
        <v>105</v>
      </c>
      <c r="G33" s="31" t="s">
        <v>105</v>
      </c>
      <c r="H33" s="32"/>
      <c r="I33" s="31" t="s">
        <v>105</v>
      </c>
      <c r="J33" s="31" t="s">
        <v>105</v>
      </c>
      <c r="K33" s="32"/>
      <c r="L33" s="31" t="s">
        <v>105</v>
      </c>
      <c r="M33" s="32"/>
      <c r="N33" s="31" t="s">
        <v>105</v>
      </c>
      <c r="O33" s="32"/>
      <c r="P33" s="31" t="s">
        <v>105</v>
      </c>
      <c r="Q33" s="32"/>
      <c r="R33" s="31" t="s">
        <v>105</v>
      </c>
    </row>
    <row r="34" spans="1:18" x14ac:dyDescent="0.25">
      <c r="A34" s="30">
        <v>1974</v>
      </c>
      <c r="B34" s="31">
        <v>0.53200000000000003</v>
      </c>
      <c r="C34" s="31">
        <v>1.7350000000000001</v>
      </c>
      <c r="D34" s="31" t="s">
        <v>105</v>
      </c>
      <c r="E34" s="31" t="s">
        <v>105</v>
      </c>
      <c r="F34" s="31" t="s">
        <v>105</v>
      </c>
      <c r="G34" s="31" t="s">
        <v>105</v>
      </c>
      <c r="H34" s="32"/>
      <c r="I34" s="31" t="s">
        <v>105</v>
      </c>
      <c r="J34" s="31" t="s">
        <v>105</v>
      </c>
      <c r="K34" s="32"/>
      <c r="L34" s="31" t="s">
        <v>105</v>
      </c>
      <c r="M34" s="32"/>
      <c r="N34" s="31" t="s">
        <v>105</v>
      </c>
      <c r="O34" s="32"/>
      <c r="P34" s="31" t="s">
        <v>105</v>
      </c>
      <c r="Q34" s="32"/>
      <c r="R34" s="31" t="s">
        <v>105</v>
      </c>
    </row>
    <row r="35" spans="1:18" x14ac:dyDescent="0.25">
      <c r="A35" s="33">
        <v>1975</v>
      </c>
      <c r="B35" s="34">
        <v>0.56699999999999995</v>
      </c>
      <c r="C35" s="34">
        <v>1.6890000000000001</v>
      </c>
      <c r="D35" s="34" t="s">
        <v>105</v>
      </c>
      <c r="E35" s="34" t="s">
        <v>105</v>
      </c>
      <c r="F35" s="34" t="s">
        <v>105</v>
      </c>
      <c r="G35" s="34" t="s">
        <v>105</v>
      </c>
      <c r="H35" s="35"/>
      <c r="I35" s="34" t="s">
        <v>105</v>
      </c>
      <c r="J35" s="34" t="s">
        <v>105</v>
      </c>
      <c r="K35" s="35"/>
      <c r="L35" s="34" t="s">
        <v>105</v>
      </c>
      <c r="M35" s="35"/>
      <c r="N35" s="34" t="s">
        <v>105</v>
      </c>
      <c r="O35" s="35"/>
      <c r="P35" s="34" t="s">
        <v>105</v>
      </c>
      <c r="Q35" s="35"/>
      <c r="R35" s="34" t="s">
        <v>105</v>
      </c>
    </row>
    <row r="36" spans="1:18" x14ac:dyDescent="0.25">
      <c r="A36" s="30">
        <v>1976</v>
      </c>
      <c r="B36" s="31">
        <v>0.59</v>
      </c>
      <c r="C36" s="31">
        <v>1.6619999999999999</v>
      </c>
      <c r="D36" s="31">
        <v>0.61399999999999999</v>
      </c>
      <c r="E36" s="31">
        <v>1.73</v>
      </c>
      <c r="F36" s="31" t="s">
        <v>105</v>
      </c>
      <c r="G36" s="31" t="s">
        <v>105</v>
      </c>
      <c r="H36" s="32"/>
      <c r="I36" s="31" t="s">
        <v>105</v>
      </c>
      <c r="J36" s="31" t="s">
        <v>105</v>
      </c>
      <c r="K36" s="32"/>
      <c r="L36" s="31" t="s">
        <v>105</v>
      </c>
      <c r="M36" s="32"/>
      <c r="N36" s="31" t="s">
        <v>105</v>
      </c>
      <c r="O36" s="32"/>
      <c r="P36" s="31" t="s">
        <v>105</v>
      </c>
      <c r="Q36" s="32"/>
      <c r="R36" s="31" t="s">
        <v>105</v>
      </c>
    </row>
    <row r="37" spans="1:18" x14ac:dyDescent="0.25">
      <c r="A37" s="30">
        <v>1977</v>
      </c>
      <c r="B37" s="31">
        <v>0.622</v>
      </c>
      <c r="C37" s="31">
        <v>1.6479999999999999</v>
      </c>
      <c r="D37" s="31">
        <v>0.65600000000000003</v>
      </c>
      <c r="E37" s="31">
        <v>1.738</v>
      </c>
      <c r="F37" s="31" t="s">
        <v>105</v>
      </c>
      <c r="G37" s="31" t="s">
        <v>105</v>
      </c>
      <c r="H37" s="32"/>
      <c r="I37" s="31" t="s">
        <v>105</v>
      </c>
      <c r="J37" s="31" t="s">
        <v>105</v>
      </c>
      <c r="K37" s="32"/>
      <c r="L37" s="31" t="s">
        <v>105</v>
      </c>
      <c r="M37" s="32"/>
      <c r="N37" s="31" t="s">
        <v>105</v>
      </c>
      <c r="O37" s="32"/>
      <c r="P37" s="31" t="s">
        <v>105</v>
      </c>
      <c r="Q37" s="32"/>
      <c r="R37" s="31" t="s">
        <v>105</v>
      </c>
    </row>
    <row r="38" spans="1:18" x14ac:dyDescent="0.25">
      <c r="A38" s="33">
        <v>1978</v>
      </c>
      <c r="B38" s="34">
        <v>0.626</v>
      </c>
      <c r="C38" s="34">
        <v>1.55</v>
      </c>
      <c r="D38" s="34">
        <v>0.67</v>
      </c>
      <c r="E38" s="34">
        <v>1.6579999999999999</v>
      </c>
      <c r="F38" s="34" t="s">
        <v>105</v>
      </c>
      <c r="G38" s="34" t="s">
        <v>105</v>
      </c>
      <c r="H38" s="35"/>
      <c r="I38" s="34">
        <v>0.65200000000000002</v>
      </c>
      <c r="J38" s="34">
        <v>1.6140000000000001</v>
      </c>
      <c r="K38" s="35"/>
      <c r="L38" s="34" t="s">
        <v>105</v>
      </c>
      <c r="M38" s="35"/>
      <c r="N38" s="34" t="s">
        <v>105</v>
      </c>
      <c r="O38" s="35"/>
      <c r="P38" s="34" t="s">
        <v>105</v>
      </c>
      <c r="Q38" s="35"/>
      <c r="R38" s="34" t="s">
        <v>105</v>
      </c>
    </row>
    <row r="39" spans="1:18" x14ac:dyDescent="0.25">
      <c r="A39" s="30">
        <v>1979</v>
      </c>
      <c r="B39" s="31">
        <v>0.85699999999999998</v>
      </c>
      <c r="C39" s="31">
        <v>1.958</v>
      </c>
      <c r="D39" s="31">
        <v>0.90300000000000002</v>
      </c>
      <c r="E39" s="31">
        <v>2.0630000000000002</v>
      </c>
      <c r="F39" s="31" t="s">
        <v>105</v>
      </c>
      <c r="G39" s="31" t="s">
        <v>105</v>
      </c>
      <c r="H39" s="32"/>
      <c r="I39" s="31">
        <v>0.88200000000000001</v>
      </c>
      <c r="J39" s="31">
        <v>2.0150000000000001</v>
      </c>
      <c r="K39" s="32"/>
      <c r="L39" s="31" t="s">
        <v>105</v>
      </c>
      <c r="M39" s="32"/>
      <c r="N39" s="31" t="s">
        <v>105</v>
      </c>
      <c r="O39" s="32"/>
      <c r="P39" s="31" t="s">
        <v>105</v>
      </c>
      <c r="Q39" s="32"/>
      <c r="R39" s="31" t="s">
        <v>105</v>
      </c>
    </row>
    <row r="40" spans="1:18" x14ac:dyDescent="0.25">
      <c r="A40" s="30">
        <v>1980</v>
      </c>
      <c r="B40" s="31">
        <v>1.1910000000000001</v>
      </c>
      <c r="C40" s="31">
        <v>2.4940000000000002</v>
      </c>
      <c r="D40" s="31">
        <v>1.2450000000000001</v>
      </c>
      <c r="E40" s="31">
        <v>2.6070000000000002</v>
      </c>
      <c r="F40" s="31" t="s">
        <v>105</v>
      </c>
      <c r="G40" s="31" t="s">
        <v>105</v>
      </c>
      <c r="H40" s="32"/>
      <c r="I40" s="31">
        <v>1.2210000000000001</v>
      </c>
      <c r="J40" s="31">
        <v>2.5569999999999999</v>
      </c>
      <c r="K40" s="32"/>
      <c r="L40" s="31" t="s">
        <v>105</v>
      </c>
      <c r="M40" s="32"/>
      <c r="N40" s="31" t="s">
        <v>105</v>
      </c>
      <c r="O40" s="32"/>
      <c r="P40" s="31" t="s">
        <v>105</v>
      </c>
      <c r="Q40" s="32"/>
      <c r="R40" s="31" t="s">
        <v>105</v>
      </c>
    </row>
    <row r="41" spans="1:18" x14ac:dyDescent="0.25">
      <c r="A41" s="33">
        <v>1981</v>
      </c>
      <c r="B41" s="34">
        <v>1.3109999999999999</v>
      </c>
      <c r="C41" s="34">
        <v>2.5099999999999998</v>
      </c>
      <c r="D41" s="34">
        <v>1.3779999999999999</v>
      </c>
      <c r="E41" s="34">
        <v>2.6389999999999998</v>
      </c>
      <c r="F41" s="34">
        <v>1.47</v>
      </c>
      <c r="G41" s="34">
        <v>2.8149999999999999</v>
      </c>
      <c r="H41" s="35"/>
      <c r="I41" s="34">
        <v>1.353</v>
      </c>
      <c r="J41" s="34">
        <v>2.5910000000000002</v>
      </c>
      <c r="K41" s="35"/>
      <c r="L41" s="34" t="s">
        <v>105</v>
      </c>
      <c r="M41" s="35"/>
      <c r="N41" s="34" t="s">
        <v>105</v>
      </c>
      <c r="O41" s="35"/>
      <c r="P41" s="34" t="s">
        <v>105</v>
      </c>
      <c r="Q41" s="35"/>
      <c r="R41" s="34" t="s">
        <v>105</v>
      </c>
    </row>
    <row r="42" spans="1:18" x14ac:dyDescent="0.25">
      <c r="A42" s="30">
        <v>1982</v>
      </c>
      <c r="B42" s="31">
        <v>1.222</v>
      </c>
      <c r="C42" s="31">
        <v>2.2050000000000001</v>
      </c>
      <c r="D42" s="31">
        <v>1.296</v>
      </c>
      <c r="E42" s="31">
        <v>2.339</v>
      </c>
      <c r="F42" s="31">
        <v>1.415</v>
      </c>
      <c r="G42" s="31">
        <v>2.5539999999999998</v>
      </c>
      <c r="H42" s="32"/>
      <c r="I42" s="31">
        <v>1.2809999999999999</v>
      </c>
      <c r="J42" s="31">
        <v>2.3119999999999998</v>
      </c>
      <c r="K42" s="32"/>
      <c r="L42" s="31" t="s">
        <v>105</v>
      </c>
      <c r="M42" s="32"/>
      <c r="N42" s="31" t="s">
        <v>105</v>
      </c>
      <c r="O42" s="32"/>
      <c r="P42" s="31" t="s">
        <v>105</v>
      </c>
      <c r="Q42" s="32"/>
      <c r="R42" s="31" t="s">
        <v>105</v>
      </c>
    </row>
    <row r="43" spans="1:18" x14ac:dyDescent="0.25">
      <c r="A43" s="30">
        <v>1983</v>
      </c>
      <c r="B43" s="31">
        <v>1.157</v>
      </c>
      <c r="C43" s="31">
        <v>2.0089999999999999</v>
      </c>
      <c r="D43" s="31">
        <v>1.2410000000000001</v>
      </c>
      <c r="E43" s="31">
        <v>2.1539999999999999</v>
      </c>
      <c r="F43" s="31">
        <v>1.383</v>
      </c>
      <c r="G43" s="31">
        <v>2.4009999999999998</v>
      </c>
      <c r="H43" s="32"/>
      <c r="I43" s="31">
        <v>1.2250000000000001</v>
      </c>
      <c r="J43" s="31">
        <v>2.1269999999999998</v>
      </c>
      <c r="K43" s="32"/>
      <c r="L43" s="31" t="s">
        <v>105</v>
      </c>
      <c r="M43" s="32"/>
      <c r="N43" s="31" t="s">
        <v>105</v>
      </c>
      <c r="O43" s="32"/>
      <c r="P43" s="31" t="s">
        <v>105</v>
      </c>
      <c r="Q43" s="32"/>
      <c r="R43" s="31" t="s">
        <v>105</v>
      </c>
    </row>
    <row r="44" spans="1:18" x14ac:dyDescent="0.25">
      <c r="A44" s="33">
        <v>1984</v>
      </c>
      <c r="B44" s="34">
        <v>1.129</v>
      </c>
      <c r="C44" s="34">
        <v>1.889</v>
      </c>
      <c r="D44" s="34">
        <v>1.212</v>
      </c>
      <c r="E44" s="34">
        <v>2.028</v>
      </c>
      <c r="F44" s="34">
        <v>1.3660000000000001</v>
      </c>
      <c r="G44" s="34">
        <v>2.286</v>
      </c>
      <c r="H44" s="35"/>
      <c r="I44" s="34">
        <v>1.198</v>
      </c>
      <c r="J44" s="34">
        <v>2.004</v>
      </c>
      <c r="K44" s="35"/>
      <c r="L44" s="34" t="s">
        <v>105</v>
      </c>
      <c r="M44" s="35"/>
      <c r="N44" s="34" t="s">
        <v>105</v>
      </c>
      <c r="O44" s="35"/>
      <c r="P44" s="34" t="s">
        <v>105</v>
      </c>
      <c r="Q44" s="35"/>
      <c r="R44" s="34" t="s">
        <v>105</v>
      </c>
    </row>
    <row r="45" spans="1:18" x14ac:dyDescent="0.25">
      <c r="A45" s="30">
        <v>1985</v>
      </c>
      <c r="B45" s="31">
        <v>1.115</v>
      </c>
      <c r="C45" s="31">
        <v>1.8109999999999999</v>
      </c>
      <c r="D45" s="31">
        <v>1.202</v>
      </c>
      <c r="E45" s="31">
        <v>1.952</v>
      </c>
      <c r="F45" s="31">
        <v>1.34</v>
      </c>
      <c r="G45" s="31">
        <v>2.1760000000000002</v>
      </c>
      <c r="H45" s="32"/>
      <c r="I45" s="31">
        <v>1.196</v>
      </c>
      <c r="J45" s="31">
        <v>1.9419999999999999</v>
      </c>
      <c r="K45" s="32"/>
      <c r="L45" s="31" t="s">
        <v>105</v>
      </c>
      <c r="M45" s="32"/>
      <c r="N45" s="31" t="s">
        <v>105</v>
      </c>
      <c r="O45" s="32"/>
      <c r="P45" s="31" t="s">
        <v>105</v>
      </c>
      <c r="Q45" s="32"/>
      <c r="R45" s="31" t="s">
        <v>105</v>
      </c>
    </row>
    <row r="46" spans="1:18" x14ac:dyDescent="0.25">
      <c r="A46" s="30">
        <v>1986</v>
      </c>
      <c r="B46" s="31">
        <v>0.85699999999999998</v>
      </c>
      <c r="C46" s="31">
        <v>1.3620000000000001</v>
      </c>
      <c r="D46" s="31">
        <v>0.92700000000000005</v>
      </c>
      <c r="E46" s="31">
        <v>1.4730000000000001</v>
      </c>
      <c r="F46" s="31">
        <v>1.085</v>
      </c>
      <c r="G46" s="31">
        <v>1.724</v>
      </c>
      <c r="H46" s="32"/>
      <c r="I46" s="31">
        <v>0.93100000000000005</v>
      </c>
      <c r="J46" s="31">
        <v>1.4790000000000001</v>
      </c>
      <c r="K46" s="32"/>
      <c r="L46" s="31" t="s">
        <v>105</v>
      </c>
      <c r="M46" s="32"/>
      <c r="N46" s="31" t="s">
        <v>105</v>
      </c>
      <c r="O46" s="32"/>
      <c r="P46" s="31" t="s">
        <v>105</v>
      </c>
      <c r="Q46" s="32"/>
      <c r="R46" s="31" t="s">
        <v>105</v>
      </c>
    </row>
    <row r="47" spans="1:18" x14ac:dyDescent="0.25">
      <c r="A47" s="33">
        <v>1987</v>
      </c>
      <c r="B47" s="34">
        <v>0.89700000000000002</v>
      </c>
      <c r="C47" s="34">
        <v>1.385</v>
      </c>
      <c r="D47" s="34">
        <v>0.94799999999999995</v>
      </c>
      <c r="E47" s="34">
        <v>1.464</v>
      </c>
      <c r="F47" s="34">
        <v>1.093</v>
      </c>
      <c r="G47" s="34">
        <v>1.6879999999999999</v>
      </c>
      <c r="H47" s="35"/>
      <c r="I47" s="34">
        <v>0.95699999999999996</v>
      </c>
      <c r="J47" s="34">
        <v>1.478</v>
      </c>
      <c r="K47" s="35"/>
      <c r="L47" s="34" t="s">
        <v>105</v>
      </c>
      <c r="M47" s="35"/>
      <c r="N47" s="34" t="s">
        <v>105</v>
      </c>
      <c r="O47" s="35"/>
      <c r="P47" s="34" t="s">
        <v>105</v>
      </c>
      <c r="Q47" s="35"/>
      <c r="R47" s="34" t="s">
        <v>105</v>
      </c>
    </row>
    <row r="48" spans="1:18" x14ac:dyDescent="0.25">
      <c r="A48" s="30">
        <v>1988</v>
      </c>
      <c r="B48" s="31">
        <v>0.89900000000000002</v>
      </c>
      <c r="C48" s="31">
        <v>1.3420000000000001</v>
      </c>
      <c r="D48" s="31">
        <v>0.94599999999999995</v>
      </c>
      <c r="E48" s="31">
        <v>1.4119999999999999</v>
      </c>
      <c r="F48" s="31">
        <v>1.107</v>
      </c>
      <c r="G48" s="31">
        <v>1.653</v>
      </c>
      <c r="H48" s="32"/>
      <c r="I48" s="31">
        <v>0.96299999999999997</v>
      </c>
      <c r="J48" s="31">
        <v>1.4379999999999999</v>
      </c>
      <c r="K48" s="32"/>
      <c r="L48" s="31" t="s">
        <v>105</v>
      </c>
      <c r="M48" s="32"/>
      <c r="N48" s="31" t="s">
        <v>105</v>
      </c>
      <c r="O48" s="32"/>
      <c r="P48" s="31" t="s">
        <v>105</v>
      </c>
      <c r="Q48" s="32"/>
      <c r="R48" s="31" t="s">
        <v>105</v>
      </c>
    </row>
    <row r="49" spans="1:18" x14ac:dyDescent="0.25">
      <c r="A49" s="30">
        <v>1989</v>
      </c>
      <c r="B49" s="31">
        <v>0.998</v>
      </c>
      <c r="C49" s="31">
        <v>1.4359999999999999</v>
      </c>
      <c r="D49" s="31">
        <v>1.0209999999999999</v>
      </c>
      <c r="E49" s="31">
        <v>1.4690000000000001</v>
      </c>
      <c r="F49" s="31">
        <v>1.1970000000000001</v>
      </c>
      <c r="G49" s="31">
        <v>1.722</v>
      </c>
      <c r="H49" s="32"/>
      <c r="I49" s="31">
        <v>1.06</v>
      </c>
      <c r="J49" s="31">
        <v>1.5249999999999999</v>
      </c>
      <c r="K49" s="32"/>
      <c r="L49" s="31" t="s">
        <v>105</v>
      </c>
      <c r="M49" s="32"/>
      <c r="N49" s="31" t="s">
        <v>105</v>
      </c>
      <c r="O49" s="32"/>
      <c r="P49" s="31" t="s">
        <v>105</v>
      </c>
      <c r="Q49" s="32"/>
      <c r="R49" s="31" t="s">
        <v>105</v>
      </c>
    </row>
    <row r="50" spans="1:18" x14ac:dyDescent="0.25">
      <c r="A50" s="33">
        <v>1990</v>
      </c>
      <c r="B50" s="34">
        <v>1.149</v>
      </c>
      <c r="C50" s="34">
        <v>1.591</v>
      </c>
      <c r="D50" s="34">
        <v>1.1639999999999999</v>
      </c>
      <c r="E50" s="34">
        <v>1.6120000000000001</v>
      </c>
      <c r="F50" s="34">
        <v>1.349</v>
      </c>
      <c r="G50" s="34">
        <v>1.8680000000000001</v>
      </c>
      <c r="H50" s="35"/>
      <c r="I50" s="34">
        <v>1.2170000000000001</v>
      </c>
      <c r="J50" s="34">
        <v>1.6859999999999999</v>
      </c>
      <c r="K50" s="35"/>
      <c r="L50" s="34" t="s">
        <v>105</v>
      </c>
      <c r="M50" s="35"/>
      <c r="N50" s="34" t="s">
        <v>105</v>
      </c>
      <c r="O50" s="35"/>
      <c r="P50" s="34" t="s">
        <v>105</v>
      </c>
      <c r="Q50" s="35"/>
      <c r="R50" s="34" t="s">
        <v>105</v>
      </c>
    </row>
    <row r="51" spans="1:18" x14ac:dyDescent="0.25">
      <c r="A51" s="30">
        <v>1991</v>
      </c>
      <c r="B51" s="31" t="s">
        <v>105</v>
      </c>
      <c r="C51" s="31" t="s">
        <v>105</v>
      </c>
      <c r="D51" s="31">
        <v>1.1399999999999999</v>
      </c>
      <c r="E51" s="31">
        <v>1.5249999999999999</v>
      </c>
      <c r="F51" s="31">
        <v>1.321</v>
      </c>
      <c r="G51" s="31">
        <v>1.7669999999999999</v>
      </c>
      <c r="H51" s="32"/>
      <c r="I51" s="31">
        <v>1.196</v>
      </c>
      <c r="J51" s="31">
        <v>1.6</v>
      </c>
      <c r="K51" s="32"/>
      <c r="L51" s="31">
        <v>1.0980000000000001</v>
      </c>
      <c r="M51" s="32"/>
      <c r="N51" s="31" t="s">
        <v>105</v>
      </c>
      <c r="O51" s="32"/>
      <c r="P51" s="31">
        <v>1.0980000000000001</v>
      </c>
      <c r="Q51" s="32"/>
      <c r="R51" s="31" t="s">
        <v>105</v>
      </c>
    </row>
    <row r="52" spans="1:18" x14ac:dyDescent="0.25">
      <c r="A52" s="30">
        <v>1992</v>
      </c>
      <c r="B52" s="31" t="s">
        <v>105</v>
      </c>
      <c r="C52" s="31" t="s">
        <v>105</v>
      </c>
      <c r="D52" s="31">
        <v>1.127</v>
      </c>
      <c r="E52" s="31">
        <v>1.4730000000000001</v>
      </c>
      <c r="F52" s="31">
        <v>1.3160000000000001</v>
      </c>
      <c r="G52" s="31">
        <v>1.72</v>
      </c>
      <c r="H52" s="32"/>
      <c r="I52" s="31">
        <v>1.19</v>
      </c>
      <c r="J52" s="31">
        <v>1.5549999999999999</v>
      </c>
      <c r="K52" s="32"/>
      <c r="L52" s="31">
        <v>1.087</v>
      </c>
      <c r="M52" s="32"/>
      <c r="N52" s="31" t="s">
        <v>105</v>
      </c>
      <c r="O52" s="32"/>
      <c r="P52" s="31">
        <v>1.087</v>
      </c>
      <c r="Q52" s="32"/>
      <c r="R52" s="31" t="s">
        <v>105</v>
      </c>
    </row>
    <row r="53" spans="1:18" x14ac:dyDescent="0.25">
      <c r="A53" s="33">
        <v>1993</v>
      </c>
      <c r="B53" s="34" t="s">
        <v>105</v>
      </c>
      <c r="C53" s="34" t="s">
        <v>105</v>
      </c>
      <c r="D53" s="34">
        <v>1.1080000000000001</v>
      </c>
      <c r="E53" s="34">
        <v>1.4159999999999999</v>
      </c>
      <c r="F53" s="34">
        <v>1.302</v>
      </c>
      <c r="G53" s="34">
        <v>1.6639999999999999</v>
      </c>
      <c r="H53" s="35"/>
      <c r="I53" s="34">
        <v>1.173</v>
      </c>
      <c r="J53" s="34">
        <v>1.5</v>
      </c>
      <c r="K53" s="35"/>
      <c r="L53" s="34">
        <v>1.0669999999999999</v>
      </c>
      <c r="M53" s="36" t="s">
        <v>149</v>
      </c>
      <c r="N53" s="34" t="s">
        <v>105</v>
      </c>
      <c r="O53" s="35"/>
      <c r="P53" s="34">
        <v>1.0669999999999999</v>
      </c>
      <c r="Q53" s="35"/>
      <c r="R53" s="34" t="s">
        <v>105</v>
      </c>
    </row>
    <row r="54" spans="1:18" x14ac:dyDescent="0.25">
      <c r="A54" s="30">
        <v>1994</v>
      </c>
      <c r="B54" s="31" t="s">
        <v>105</v>
      </c>
      <c r="C54" s="31" t="s">
        <v>105</v>
      </c>
      <c r="D54" s="31">
        <v>1.1120000000000001</v>
      </c>
      <c r="E54" s="31">
        <v>1.3919999999999999</v>
      </c>
      <c r="F54" s="31">
        <v>1.3049999999999999</v>
      </c>
      <c r="G54" s="31">
        <v>1.6339999999999999</v>
      </c>
      <c r="H54" s="32"/>
      <c r="I54" s="31">
        <v>1.1739999999999999</v>
      </c>
      <c r="J54" s="31">
        <v>1.47</v>
      </c>
      <c r="K54" s="32"/>
      <c r="L54" s="31">
        <v>1.0720000000000001</v>
      </c>
      <c r="M54" s="37" t="s">
        <v>149</v>
      </c>
      <c r="N54" s="31" t="s">
        <v>105</v>
      </c>
      <c r="O54" s="32"/>
      <c r="P54" s="31">
        <v>1.075</v>
      </c>
      <c r="Q54" s="32"/>
      <c r="R54" s="31" t="s">
        <v>105</v>
      </c>
    </row>
    <row r="55" spans="1:18" x14ac:dyDescent="0.25">
      <c r="A55" s="30">
        <v>1995</v>
      </c>
      <c r="B55" s="31" t="s">
        <v>105</v>
      </c>
      <c r="C55" s="31" t="s">
        <v>105</v>
      </c>
      <c r="D55" s="31">
        <v>1.147</v>
      </c>
      <c r="E55" s="31">
        <v>1.407</v>
      </c>
      <c r="F55" s="31">
        <v>1.3360000000000001</v>
      </c>
      <c r="G55" s="31">
        <v>1.639</v>
      </c>
      <c r="H55" s="32"/>
      <c r="I55" s="31">
        <v>1.2050000000000001</v>
      </c>
      <c r="J55" s="31">
        <v>1.478</v>
      </c>
      <c r="K55" s="32"/>
      <c r="L55" s="31">
        <v>1.103</v>
      </c>
      <c r="M55" s="37" t="s">
        <v>149</v>
      </c>
      <c r="N55" s="31">
        <v>1.163</v>
      </c>
      <c r="O55" s="37" t="s">
        <v>150</v>
      </c>
      <c r="P55" s="31">
        <v>1.111</v>
      </c>
      <c r="Q55" s="32"/>
      <c r="R55" s="31">
        <v>1.109</v>
      </c>
    </row>
    <row r="56" spans="1:18" x14ac:dyDescent="0.25">
      <c r="A56" s="33">
        <v>1996</v>
      </c>
      <c r="B56" s="34" t="s">
        <v>105</v>
      </c>
      <c r="C56" s="34" t="s">
        <v>105</v>
      </c>
      <c r="D56" s="34">
        <v>1.2310000000000001</v>
      </c>
      <c r="E56" s="34">
        <v>1.482</v>
      </c>
      <c r="F56" s="34">
        <v>1.413</v>
      </c>
      <c r="G56" s="34">
        <v>1.7010000000000001</v>
      </c>
      <c r="H56" s="35"/>
      <c r="I56" s="34">
        <v>1.288</v>
      </c>
      <c r="J56" s="34">
        <v>1.55</v>
      </c>
      <c r="K56" s="35"/>
      <c r="L56" s="34">
        <v>1.1919999999999999</v>
      </c>
      <c r="M56" s="36" t="s">
        <v>149</v>
      </c>
      <c r="N56" s="34">
        <v>1.242</v>
      </c>
      <c r="O56" s="36" t="s">
        <v>151</v>
      </c>
      <c r="P56" s="34">
        <v>1.1990000000000001</v>
      </c>
      <c r="Q56" s="36" t="s">
        <v>64</v>
      </c>
      <c r="R56" s="34">
        <v>1.2350000000000001</v>
      </c>
    </row>
    <row r="57" spans="1:18" x14ac:dyDescent="0.25">
      <c r="A57" s="30">
        <v>1997</v>
      </c>
      <c r="B57" s="31" t="s">
        <v>105</v>
      </c>
      <c r="C57" s="31" t="s">
        <v>105</v>
      </c>
      <c r="D57" s="31">
        <v>1.234</v>
      </c>
      <c r="E57" s="31">
        <v>1.4590000000000001</v>
      </c>
      <c r="F57" s="31">
        <v>1.4159999999999999</v>
      </c>
      <c r="G57" s="31">
        <v>1.675</v>
      </c>
      <c r="H57" s="32"/>
      <c r="I57" s="31">
        <v>1.2909999999999999</v>
      </c>
      <c r="J57" s="31">
        <v>1.5269999999999999</v>
      </c>
      <c r="K57" s="32"/>
      <c r="L57" s="31">
        <v>1.1890000000000001</v>
      </c>
      <c r="M57" s="37" t="s">
        <v>149</v>
      </c>
      <c r="N57" s="31">
        <v>1.252</v>
      </c>
      <c r="O57" s="37" t="s">
        <v>150</v>
      </c>
      <c r="P57" s="31">
        <v>1.1990000000000001</v>
      </c>
      <c r="Q57" s="32"/>
      <c r="R57" s="31">
        <v>1.198</v>
      </c>
    </row>
    <row r="58" spans="1:18" x14ac:dyDescent="0.25">
      <c r="A58" s="30">
        <v>1998</v>
      </c>
      <c r="B58" s="31" t="s">
        <v>105</v>
      </c>
      <c r="C58" s="31" t="s">
        <v>105</v>
      </c>
      <c r="D58" s="31">
        <v>1.0589999999999999</v>
      </c>
      <c r="E58" s="31">
        <v>1.238</v>
      </c>
      <c r="F58" s="31">
        <v>1.25</v>
      </c>
      <c r="G58" s="31">
        <v>1.462</v>
      </c>
      <c r="H58" s="32"/>
      <c r="I58" s="31">
        <v>1.115</v>
      </c>
      <c r="J58" s="31">
        <v>1.304</v>
      </c>
      <c r="K58" s="32"/>
      <c r="L58" s="31">
        <v>1.0169999999999999</v>
      </c>
      <c r="M58" s="37" t="s">
        <v>149</v>
      </c>
      <c r="N58" s="31">
        <v>1.0780000000000001</v>
      </c>
      <c r="O58" s="37" t="s">
        <v>150</v>
      </c>
      <c r="P58" s="31">
        <v>1.03</v>
      </c>
      <c r="Q58" s="32"/>
      <c r="R58" s="31">
        <v>1.044</v>
      </c>
    </row>
    <row r="59" spans="1:18" x14ac:dyDescent="0.25">
      <c r="A59" s="33">
        <v>1999</v>
      </c>
      <c r="B59" s="34" t="s">
        <v>105</v>
      </c>
      <c r="C59" s="34" t="s">
        <v>105</v>
      </c>
      <c r="D59" s="34">
        <v>1.165</v>
      </c>
      <c r="E59" s="34">
        <v>1.343</v>
      </c>
      <c r="F59" s="34">
        <v>1.357</v>
      </c>
      <c r="G59" s="34">
        <v>1.5640000000000001</v>
      </c>
      <c r="H59" s="35"/>
      <c r="I59" s="34">
        <v>1.2210000000000001</v>
      </c>
      <c r="J59" s="34">
        <v>1.407</v>
      </c>
      <c r="K59" s="35"/>
      <c r="L59" s="34">
        <v>1.1160000000000001</v>
      </c>
      <c r="M59" s="36" t="s">
        <v>149</v>
      </c>
      <c r="N59" s="34">
        <v>1.1950000000000001</v>
      </c>
      <c r="O59" s="36" t="s">
        <v>150</v>
      </c>
      <c r="P59" s="34">
        <v>1.1359999999999999</v>
      </c>
      <c r="Q59" s="35"/>
      <c r="R59" s="34">
        <v>1.121</v>
      </c>
    </row>
    <row r="60" spans="1:18" x14ac:dyDescent="0.25">
      <c r="A60" s="30">
        <v>2000</v>
      </c>
      <c r="B60" s="31" t="s">
        <v>105</v>
      </c>
      <c r="C60" s="31" t="s">
        <v>105</v>
      </c>
      <c r="D60" s="31">
        <v>1.51</v>
      </c>
      <c r="E60" s="31">
        <v>1.7030000000000001</v>
      </c>
      <c r="F60" s="31">
        <v>1.6930000000000001</v>
      </c>
      <c r="G60" s="31">
        <v>1.91</v>
      </c>
      <c r="H60" s="32"/>
      <c r="I60" s="31">
        <v>1.5629999999999999</v>
      </c>
      <c r="J60" s="31">
        <v>1.7629999999999999</v>
      </c>
      <c r="K60" s="32"/>
      <c r="L60" s="31">
        <v>1.462</v>
      </c>
      <c r="M60" s="37" t="s">
        <v>149</v>
      </c>
      <c r="N60" s="31">
        <v>1.5429999999999999</v>
      </c>
      <c r="O60" s="37" t="s">
        <v>150</v>
      </c>
      <c r="P60" s="31">
        <v>1.484</v>
      </c>
      <c r="Q60" s="32"/>
      <c r="R60" s="31">
        <v>1.4910000000000001</v>
      </c>
    </row>
    <row r="61" spans="1:18" x14ac:dyDescent="0.25">
      <c r="A61" s="30">
        <v>2001</v>
      </c>
      <c r="B61" s="31" t="s">
        <v>105</v>
      </c>
      <c r="C61" s="31" t="s">
        <v>105</v>
      </c>
      <c r="D61" s="31">
        <v>1.4610000000000001</v>
      </c>
      <c r="E61" s="31">
        <v>1.6120000000000001</v>
      </c>
      <c r="F61" s="31">
        <v>1.657</v>
      </c>
      <c r="G61" s="31">
        <v>1.8280000000000001</v>
      </c>
      <c r="H61" s="32"/>
      <c r="I61" s="31">
        <v>1.5309999999999999</v>
      </c>
      <c r="J61" s="31">
        <v>1.6890000000000001</v>
      </c>
      <c r="K61" s="32"/>
      <c r="L61" s="31">
        <v>1.3839999999999999</v>
      </c>
      <c r="M61" s="32"/>
      <c r="N61" s="31">
        <v>1.498</v>
      </c>
      <c r="O61" s="32"/>
      <c r="P61" s="31">
        <v>1.42</v>
      </c>
      <c r="Q61" s="32"/>
      <c r="R61" s="31">
        <v>1.401</v>
      </c>
    </row>
    <row r="62" spans="1:18" x14ac:dyDescent="0.25">
      <c r="A62" s="33">
        <v>2002</v>
      </c>
      <c r="B62" s="34" t="s">
        <v>105</v>
      </c>
      <c r="C62" s="34" t="s">
        <v>105</v>
      </c>
      <c r="D62" s="34">
        <v>1.3580000000000001</v>
      </c>
      <c r="E62" s="34">
        <v>1.474</v>
      </c>
      <c r="F62" s="34">
        <v>1.556</v>
      </c>
      <c r="G62" s="34">
        <v>1.6890000000000001</v>
      </c>
      <c r="H62" s="35"/>
      <c r="I62" s="34">
        <v>1.4410000000000001</v>
      </c>
      <c r="J62" s="34">
        <v>1.5640000000000001</v>
      </c>
      <c r="K62" s="35"/>
      <c r="L62" s="34">
        <v>1.3129999999999999</v>
      </c>
      <c r="M62" s="35"/>
      <c r="N62" s="34">
        <v>1.4079999999999999</v>
      </c>
      <c r="O62" s="35"/>
      <c r="P62" s="34">
        <v>1.345</v>
      </c>
      <c r="Q62" s="35"/>
      <c r="R62" s="34">
        <v>1.319</v>
      </c>
    </row>
    <row r="63" spans="1:18" x14ac:dyDescent="0.25">
      <c r="A63" s="30">
        <v>2003</v>
      </c>
      <c r="B63" s="31" t="s">
        <v>105</v>
      </c>
      <c r="C63" s="31" t="s">
        <v>105</v>
      </c>
      <c r="D63" s="31">
        <v>1.591</v>
      </c>
      <c r="E63" s="31">
        <v>1.6910000000000001</v>
      </c>
      <c r="F63" s="31">
        <v>1.7769999999999999</v>
      </c>
      <c r="G63" s="31">
        <v>1.8879999999999999</v>
      </c>
      <c r="H63" s="32"/>
      <c r="I63" s="31">
        <v>1.6379999999999999</v>
      </c>
      <c r="J63" s="31">
        <v>1.7410000000000001</v>
      </c>
      <c r="K63" s="32"/>
      <c r="L63" s="31">
        <v>1.516</v>
      </c>
      <c r="M63" s="32"/>
      <c r="N63" s="31">
        <v>1.655</v>
      </c>
      <c r="O63" s="32"/>
      <c r="P63" s="31">
        <v>1.5609999999999999</v>
      </c>
      <c r="Q63" s="32"/>
      <c r="R63" s="31">
        <v>1.5089999999999999</v>
      </c>
    </row>
    <row r="64" spans="1:18" x14ac:dyDescent="0.25">
      <c r="A64" s="30">
        <v>2004</v>
      </c>
      <c r="B64" s="31" t="s">
        <v>105</v>
      </c>
      <c r="C64" s="31" t="s">
        <v>105</v>
      </c>
      <c r="D64" s="31">
        <v>1.88</v>
      </c>
      <c r="E64" s="31">
        <v>1.9430000000000001</v>
      </c>
      <c r="F64" s="31">
        <v>2.0680000000000001</v>
      </c>
      <c r="G64" s="31">
        <v>2.137</v>
      </c>
      <c r="H64" s="32"/>
      <c r="I64" s="31">
        <v>1.923</v>
      </c>
      <c r="J64" s="31">
        <v>1.9870000000000001</v>
      </c>
      <c r="K64" s="32"/>
      <c r="L64" s="31">
        <v>1.8120000000000001</v>
      </c>
      <c r="M64" s="32"/>
      <c r="N64" s="31">
        <v>1.9370000000000001</v>
      </c>
      <c r="O64" s="32"/>
      <c r="P64" s="31">
        <v>1.8520000000000001</v>
      </c>
      <c r="Q64" s="32"/>
      <c r="R64" s="31">
        <v>1.81</v>
      </c>
    </row>
    <row r="65" spans="1:18" x14ac:dyDescent="0.25">
      <c r="A65" s="33">
        <v>2005</v>
      </c>
      <c r="B65" s="34" t="s">
        <v>105</v>
      </c>
      <c r="C65" s="34" t="s">
        <v>105</v>
      </c>
      <c r="D65" s="34">
        <v>2.2949999999999999</v>
      </c>
      <c r="E65" s="34">
        <v>2.2949999999999999</v>
      </c>
      <c r="F65" s="34">
        <v>2.4910000000000001</v>
      </c>
      <c r="G65" s="34">
        <v>2.4910000000000001</v>
      </c>
      <c r="H65" s="35"/>
      <c r="I65" s="34">
        <v>2.3380000000000001</v>
      </c>
      <c r="J65" s="34">
        <v>2.3380000000000001</v>
      </c>
      <c r="K65" s="35"/>
      <c r="L65" s="34">
        <v>2.2400000000000002</v>
      </c>
      <c r="M65" s="35"/>
      <c r="N65" s="34">
        <v>2.335</v>
      </c>
      <c r="O65" s="35"/>
      <c r="P65" s="34">
        <v>2.27</v>
      </c>
      <c r="Q65" s="35"/>
      <c r="R65" s="34">
        <v>2.4020000000000001</v>
      </c>
    </row>
    <row r="66" spans="1:18" x14ac:dyDescent="0.25">
      <c r="A66" s="30">
        <v>2006</v>
      </c>
      <c r="B66" s="31" t="s">
        <v>105</v>
      </c>
      <c r="C66" s="31" t="s">
        <v>105</v>
      </c>
      <c r="D66" s="31">
        <v>2.589</v>
      </c>
      <c r="E66" s="31">
        <v>2.5070000000000001</v>
      </c>
      <c r="F66" s="31">
        <v>2.8050000000000002</v>
      </c>
      <c r="G66" s="31">
        <v>2.7170000000000001</v>
      </c>
      <c r="H66" s="32"/>
      <c r="I66" s="31">
        <v>2.6349999999999998</v>
      </c>
      <c r="J66" s="31">
        <v>2.552</v>
      </c>
      <c r="K66" s="32"/>
      <c r="L66" s="31">
        <v>2.5329999999999999</v>
      </c>
      <c r="M66" s="32"/>
      <c r="N66" s="31">
        <v>2.6539999999999999</v>
      </c>
      <c r="O66" s="32"/>
      <c r="P66" s="31">
        <v>2.5720000000000001</v>
      </c>
      <c r="Q66" s="32"/>
      <c r="R66" s="31">
        <v>2.7050000000000001</v>
      </c>
    </row>
    <row r="67" spans="1:18" x14ac:dyDescent="0.25">
      <c r="A67" s="30">
        <v>2007</v>
      </c>
      <c r="B67" s="31" t="s">
        <v>105</v>
      </c>
      <c r="C67" s="31" t="s">
        <v>105</v>
      </c>
      <c r="D67" s="31">
        <v>2.8010000000000002</v>
      </c>
      <c r="E67" s="31">
        <v>2.6349999999999998</v>
      </c>
      <c r="F67" s="31">
        <v>3.0329999999999999</v>
      </c>
      <c r="G67" s="31">
        <v>2.8530000000000002</v>
      </c>
      <c r="H67" s="37" t="s">
        <v>64</v>
      </c>
      <c r="I67" s="31">
        <v>2.8490000000000002</v>
      </c>
      <c r="J67" s="31">
        <v>2.68</v>
      </c>
      <c r="K67" s="32"/>
      <c r="L67" s="31">
        <v>2.7669999999999999</v>
      </c>
      <c r="M67" s="32"/>
      <c r="N67" s="31">
        <v>2.8570000000000002</v>
      </c>
      <c r="O67" s="32"/>
      <c r="P67" s="31">
        <v>2.7959999999999998</v>
      </c>
      <c r="Q67" s="32"/>
      <c r="R67" s="31">
        <v>2.8849999999999998</v>
      </c>
    </row>
    <row r="68" spans="1:18" x14ac:dyDescent="0.25">
      <c r="A68" s="33">
        <v>2008</v>
      </c>
      <c r="B68" s="34" t="s">
        <v>105</v>
      </c>
      <c r="C68" s="34" t="s">
        <v>105</v>
      </c>
      <c r="D68" s="34">
        <v>3.266</v>
      </c>
      <c r="E68" s="34">
        <v>3.0070000000000001</v>
      </c>
      <c r="F68" s="34">
        <v>3.5190000000000001</v>
      </c>
      <c r="G68" s="34">
        <v>3.24</v>
      </c>
      <c r="H68" s="35"/>
      <c r="I68" s="34">
        <v>3.3170000000000002</v>
      </c>
      <c r="J68" s="34">
        <v>3.0539999999999998</v>
      </c>
      <c r="K68" s="36" t="s">
        <v>64</v>
      </c>
      <c r="L68" s="34">
        <v>3.2130000000000001</v>
      </c>
      <c r="M68" s="35"/>
      <c r="N68" s="34">
        <v>3.3140000000000001</v>
      </c>
      <c r="O68" s="35"/>
      <c r="P68" s="34">
        <v>3.246</v>
      </c>
      <c r="Q68" s="35"/>
      <c r="R68" s="34">
        <v>3.8029999999999999</v>
      </c>
    </row>
    <row r="69" spans="1:18" x14ac:dyDescent="0.25">
      <c r="A69" s="30">
        <v>2009</v>
      </c>
      <c r="B69" s="31" t="s">
        <v>105</v>
      </c>
      <c r="C69" s="31" t="s">
        <v>105</v>
      </c>
      <c r="D69" s="31">
        <v>2.35</v>
      </c>
      <c r="E69" s="31">
        <v>2.1440000000000001</v>
      </c>
      <c r="F69" s="31">
        <v>2.6070000000000002</v>
      </c>
      <c r="G69" s="31">
        <v>2.3780000000000001</v>
      </c>
      <c r="H69" s="32"/>
      <c r="I69" s="31">
        <v>2.4009999999999998</v>
      </c>
      <c r="J69" s="31">
        <v>2.19</v>
      </c>
      <c r="K69" s="32"/>
      <c r="L69" s="31">
        <v>2.3149999999999999</v>
      </c>
      <c r="M69" s="32"/>
      <c r="N69" s="31">
        <v>2.4329999999999998</v>
      </c>
      <c r="O69" s="32"/>
      <c r="P69" s="31">
        <v>2.3530000000000002</v>
      </c>
      <c r="Q69" s="32"/>
      <c r="R69" s="31">
        <v>2.4670000000000001</v>
      </c>
    </row>
    <row r="70" spans="1:18" x14ac:dyDescent="0.25">
      <c r="A70" s="30">
        <v>2010</v>
      </c>
      <c r="B70" s="31" t="s">
        <v>105</v>
      </c>
      <c r="C70" s="31" t="s">
        <v>105</v>
      </c>
      <c r="D70" s="31">
        <v>2.7879999999999998</v>
      </c>
      <c r="E70" s="31">
        <v>2.5190000000000001</v>
      </c>
      <c r="F70" s="31">
        <v>3.0470000000000002</v>
      </c>
      <c r="G70" s="31">
        <v>2.754</v>
      </c>
      <c r="H70" s="32"/>
      <c r="I70" s="31">
        <v>2.8359999999999999</v>
      </c>
      <c r="J70" s="31">
        <v>2.5630000000000002</v>
      </c>
      <c r="K70" s="32"/>
      <c r="L70" s="31">
        <v>2.742</v>
      </c>
      <c r="M70" s="32"/>
      <c r="N70" s="31">
        <v>2.8639999999999999</v>
      </c>
      <c r="O70" s="32"/>
      <c r="P70" s="31">
        <v>2.782</v>
      </c>
      <c r="Q70" s="32"/>
      <c r="R70" s="31">
        <v>2.992</v>
      </c>
    </row>
    <row r="71" spans="1:18" x14ac:dyDescent="0.25">
      <c r="A71" s="138" t="s">
        <v>152</v>
      </c>
      <c r="B71" s="139"/>
      <c r="C71" s="139"/>
      <c r="D71" s="139"/>
      <c r="E71" s="139"/>
      <c r="F71" s="139"/>
      <c r="G71" s="139"/>
      <c r="H71" s="139"/>
      <c r="I71" s="139"/>
      <c r="J71" s="139" t="s">
        <v>153</v>
      </c>
      <c r="K71" s="139"/>
      <c r="L71" s="139"/>
      <c r="M71" s="139"/>
      <c r="N71" s="139"/>
      <c r="O71" s="139"/>
      <c r="P71" s="139"/>
      <c r="Q71" s="139"/>
      <c r="R71" s="140"/>
    </row>
    <row r="72" spans="1:18" x14ac:dyDescent="0.25">
      <c r="A72" s="132"/>
      <c r="B72" s="133"/>
      <c r="C72" s="133"/>
      <c r="D72" s="133"/>
      <c r="E72" s="133"/>
      <c r="F72" s="133"/>
      <c r="G72" s="133"/>
      <c r="H72" s="133"/>
      <c r="I72" s="133"/>
      <c r="J72" s="134" t="s">
        <v>154</v>
      </c>
      <c r="K72" s="134"/>
      <c r="L72" s="134"/>
      <c r="M72" s="134"/>
      <c r="N72" s="134"/>
      <c r="O72" s="134"/>
      <c r="P72" s="134"/>
      <c r="Q72" s="134"/>
      <c r="R72" s="135"/>
    </row>
    <row r="73" spans="1:18" x14ac:dyDescent="0.25">
      <c r="A73" s="132" t="s">
        <v>155</v>
      </c>
      <c r="B73" s="133"/>
      <c r="C73" s="133"/>
      <c r="D73" s="133"/>
      <c r="E73" s="133"/>
      <c r="F73" s="133"/>
      <c r="G73" s="133"/>
      <c r="H73" s="133"/>
      <c r="I73" s="133"/>
      <c r="J73" s="134" t="s">
        <v>156</v>
      </c>
      <c r="K73" s="134"/>
      <c r="L73" s="134"/>
      <c r="M73" s="134"/>
      <c r="N73" s="134"/>
      <c r="O73" s="134"/>
      <c r="P73" s="134"/>
      <c r="Q73" s="134"/>
      <c r="R73" s="135"/>
    </row>
    <row r="74" spans="1:18" x14ac:dyDescent="0.25">
      <c r="A74" s="132" t="s">
        <v>157</v>
      </c>
      <c r="B74" s="133"/>
      <c r="C74" s="133"/>
      <c r="D74" s="133"/>
      <c r="E74" s="133"/>
      <c r="F74" s="133"/>
      <c r="G74" s="133"/>
      <c r="H74" s="133"/>
      <c r="I74" s="133"/>
      <c r="J74" s="134" t="s">
        <v>158</v>
      </c>
      <c r="K74" s="134"/>
      <c r="L74" s="134"/>
      <c r="M74" s="134"/>
      <c r="N74" s="134"/>
      <c r="O74" s="134"/>
      <c r="P74" s="134"/>
      <c r="Q74" s="134"/>
      <c r="R74" s="135"/>
    </row>
    <row r="75" spans="1:18" x14ac:dyDescent="0.25">
      <c r="A75" s="143" t="s">
        <v>159</v>
      </c>
      <c r="B75" s="134"/>
      <c r="C75" s="134"/>
      <c r="D75" s="134"/>
      <c r="E75" s="134"/>
      <c r="F75" s="134"/>
      <c r="G75" s="134"/>
      <c r="H75" s="134"/>
      <c r="I75" s="134"/>
      <c r="J75" s="134" t="s">
        <v>160</v>
      </c>
      <c r="K75" s="134"/>
      <c r="L75" s="134"/>
      <c r="M75" s="134"/>
      <c r="N75" s="134"/>
      <c r="O75" s="134"/>
      <c r="P75" s="134"/>
      <c r="Q75" s="134"/>
      <c r="R75" s="135"/>
    </row>
    <row r="76" spans="1:18" x14ac:dyDescent="0.25">
      <c r="A76" s="132" t="s">
        <v>161</v>
      </c>
      <c r="B76" s="133"/>
      <c r="C76" s="133"/>
      <c r="D76" s="133"/>
      <c r="E76" s="133"/>
      <c r="F76" s="133"/>
      <c r="G76" s="133"/>
      <c r="H76" s="133"/>
      <c r="I76" s="133"/>
      <c r="J76" s="144" t="s">
        <v>92</v>
      </c>
      <c r="K76" s="144"/>
      <c r="L76" s="144"/>
      <c r="M76" s="144"/>
      <c r="N76" s="144"/>
      <c r="O76" s="144"/>
      <c r="P76" s="144"/>
      <c r="Q76" s="144"/>
      <c r="R76" s="145"/>
    </row>
    <row r="77" spans="1:18" x14ac:dyDescent="0.25">
      <c r="A77" s="143" t="s">
        <v>162</v>
      </c>
      <c r="B77" s="134"/>
      <c r="C77" s="134"/>
      <c r="D77" s="134"/>
      <c r="E77" s="134"/>
      <c r="F77" s="134"/>
      <c r="G77" s="134"/>
      <c r="H77" s="134"/>
      <c r="I77" s="134"/>
      <c r="J77" s="144"/>
      <c r="K77" s="144"/>
      <c r="L77" s="144"/>
      <c r="M77" s="144"/>
      <c r="N77" s="144"/>
      <c r="O77" s="144"/>
      <c r="P77" s="144"/>
      <c r="Q77" s="144"/>
      <c r="R77" s="145"/>
    </row>
    <row r="78" spans="1:18" x14ac:dyDescent="0.25">
      <c r="A78" s="132" t="s">
        <v>163</v>
      </c>
      <c r="B78" s="133"/>
      <c r="C78" s="133"/>
      <c r="D78" s="133"/>
      <c r="E78" s="133"/>
      <c r="F78" s="133"/>
      <c r="G78" s="133"/>
      <c r="H78" s="133"/>
      <c r="I78" s="133"/>
      <c r="J78" s="134" t="s">
        <v>164</v>
      </c>
      <c r="K78" s="134"/>
      <c r="L78" s="134"/>
      <c r="M78" s="134"/>
      <c r="N78" s="134"/>
      <c r="O78" s="134"/>
      <c r="P78" s="134"/>
      <c r="Q78" s="134"/>
      <c r="R78" s="135"/>
    </row>
    <row r="79" spans="1:18" x14ac:dyDescent="0.25">
      <c r="A79" s="132"/>
      <c r="B79" s="133"/>
      <c r="C79" s="133"/>
      <c r="D79" s="133"/>
      <c r="E79" s="133"/>
      <c r="F79" s="133"/>
      <c r="G79" s="133"/>
      <c r="H79" s="133"/>
      <c r="I79" s="133"/>
      <c r="J79" s="134" t="s">
        <v>165</v>
      </c>
      <c r="K79" s="134"/>
      <c r="L79" s="134"/>
      <c r="M79" s="134"/>
      <c r="N79" s="134"/>
      <c r="O79" s="134"/>
      <c r="P79" s="134"/>
      <c r="Q79" s="134"/>
      <c r="R79" s="135"/>
    </row>
    <row r="80" spans="1:18" x14ac:dyDescent="0.25">
      <c r="A80" s="132"/>
      <c r="B80" s="133"/>
      <c r="C80" s="133"/>
      <c r="D80" s="133"/>
      <c r="E80" s="133"/>
      <c r="F80" s="133"/>
      <c r="G80" s="133"/>
      <c r="H80" s="133"/>
      <c r="I80" s="133"/>
      <c r="J80" s="134" t="s">
        <v>166</v>
      </c>
      <c r="K80" s="134"/>
      <c r="L80" s="134"/>
      <c r="M80" s="134"/>
      <c r="N80" s="134"/>
      <c r="O80" s="134"/>
      <c r="P80" s="134"/>
      <c r="Q80" s="134"/>
      <c r="R80" s="135"/>
    </row>
    <row r="81" spans="1:18" x14ac:dyDescent="0.25">
      <c r="A81" s="132"/>
      <c r="B81" s="133"/>
      <c r="C81" s="133"/>
      <c r="D81" s="133"/>
      <c r="E81" s="133"/>
      <c r="F81" s="133"/>
      <c r="G81" s="133"/>
      <c r="H81" s="133"/>
      <c r="I81" s="133"/>
      <c r="J81" s="148" t="s">
        <v>167</v>
      </c>
      <c r="K81" s="148"/>
      <c r="L81" s="148"/>
      <c r="M81" s="148"/>
      <c r="N81" s="148"/>
      <c r="O81" s="148"/>
      <c r="P81" s="148"/>
      <c r="Q81" s="148"/>
      <c r="R81" s="149"/>
    </row>
    <row r="82" spans="1:18" x14ac:dyDescent="0.25">
      <c r="A82" s="132"/>
      <c r="B82" s="133"/>
      <c r="C82" s="133"/>
      <c r="D82" s="133"/>
      <c r="E82" s="133"/>
      <c r="F82" s="133"/>
      <c r="G82" s="133"/>
      <c r="H82" s="133"/>
      <c r="I82" s="133"/>
      <c r="J82" s="134" t="s">
        <v>168</v>
      </c>
      <c r="K82" s="134"/>
      <c r="L82" s="134"/>
      <c r="M82" s="134"/>
      <c r="N82" s="134"/>
      <c r="O82" s="134"/>
      <c r="P82" s="134"/>
      <c r="Q82" s="134"/>
      <c r="R82" s="135"/>
    </row>
    <row r="83" spans="1:18" x14ac:dyDescent="0.25">
      <c r="A83" s="146"/>
      <c r="B83" s="147"/>
      <c r="C83" s="147"/>
      <c r="D83" s="147"/>
      <c r="E83" s="147"/>
      <c r="F83" s="147"/>
      <c r="G83" s="147"/>
      <c r="H83" s="147"/>
      <c r="I83" s="147"/>
      <c r="J83" s="141" t="s">
        <v>169</v>
      </c>
      <c r="K83" s="141"/>
      <c r="L83" s="141"/>
      <c r="M83" s="141"/>
      <c r="N83" s="141"/>
      <c r="O83" s="141"/>
      <c r="P83" s="141"/>
      <c r="Q83" s="141"/>
      <c r="R83" s="142"/>
    </row>
  </sheetData>
  <mergeCells count="38">
    <mergeCell ref="J82:R82"/>
    <mergeCell ref="J83:R83"/>
    <mergeCell ref="A75:I75"/>
    <mergeCell ref="J75:R75"/>
    <mergeCell ref="A76:I76"/>
    <mergeCell ref="J76:R77"/>
    <mergeCell ref="A77:I77"/>
    <mergeCell ref="A78:I83"/>
    <mergeCell ref="J78:R78"/>
    <mergeCell ref="J79:R79"/>
    <mergeCell ref="J80:R80"/>
    <mergeCell ref="J81:R81"/>
    <mergeCell ref="A74:I74"/>
    <mergeCell ref="J74:R74"/>
    <mergeCell ref="N6:O6"/>
    <mergeCell ref="P6:Q7"/>
    <mergeCell ref="L7:M7"/>
    <mergeCell ref="N7:O7"/>
    <mergeCell ref="G8:H8"/>
    <mergeCell ref="J8:K8"/>
    <mergeCell ref="L8:M8"/>
    <mergeCell ref="N8:O8"/>
    <mergeCell ref="P8:Q8"/>
    <mergeCell ref="A71:I72"/>
    <mergeCell ref="J71:R71"/>
    <mergeCell ref="J72:R72"/>
    <mergeCell ref="A73:I73"/>
    <mergeCell ref="J73:R73"/>
    <mergeCell ref="A1:R1"/>
    <mergeCell ref="A2:R2"/>
    <mergeCell ref="A3:A8"/>
    <mergeCell ref="B3:K5"/>
    <mergeCell ref="L3:Q5"/>
    <mergeCell ref="B6:C7"/>
    <mergeCell ref="D6:E7"/>
    <mergeCell ref="F6:H7"/>
    <mergeCell ref="I6:K7"/>
    <mergeCell ref="L6:M6"/>
  </mergeCells>
  <hyperlinks>
    <hyperlink ref="J76" r:id="rId1" display="http://www.eia.gov/petroleum/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AB45"/>
  <sheetViews>
    <sheetView workbookViewId="0">
      <selection activeCell="I25" sqref="I25"/>
    </sheetView>
  </sheetViews>
  <sheetFormatPr defaultRowHeight="12.75" x14ac:dyDescent="0.2"/>
  <cols>
    <col min="5" max="5" width="9.5703125" bestFit="1" customWidth="1"/>
    <col min="6" max="6" width="10.5703125" bestFit="1" customWidth="1"/>
    <col min="9" max="9" width="9.5703125" bestFit="1" customWidth="1"/>
    <col min="13" max="13" width="10.5703125" bestFit="1" customWidth="1"/>
  </cols>
  <sheetData>
    <row r="1" spans="3:28" x14ac:dyDescent="0.2">
      <c r="K1" t="s">
        <v>234</v>
      </c>
    </row>
    <row r="2" spans="3:28" x14ac:dyDescent="0.2">
      <c r="C2" t="s">
        <v>125</v>
      </c>
      <c r="H2" t="s">
        <v>126</v>
      </c>
      <c r="K2" t="s">
        <v>235</v>
      </c>
      <c r="M2" t="s">
        <v>217</v>
      </c>
      <c r="Q2">
        <v>0.3</v>
      </c>
      <c r="R2">
        <v>0.7</v>
      </c>
      <c r="T2" t="s">
        <v>219</v>
      </c>
      <c r="W2">
        <v>2</v>
      </c>
      <c r="Y2" t="s">
        <v>186</v>
      </c>
    </row>
    <row r="3" spans="3:28" x14ac:dyDescent="0.2">
      <c r="I3" t="s">
        <v>182</v>
      </c>
      <c r="J3" t="s">
        <v>170</v>
      </c>
      <c r="K3" t="s">
        <v>171</v>
      </c>
      <c r="Z3" t="s">
        <v>186</v>
      </c>
      <c r="AA3" t="s">
        <v>170</v>
      </c>
      <c r="AB3" t="s">
        <v>171</v>
      </c>
    </row>
    <row r="4" spans="3:28" x14ac:dyDescent="0.2">
      <c r="D4" t="s">
        <v>61</v>
      </c>
      <c r="E4" t="s">
        <v>170</v>
      </c>
      <c r="F4" t="s">
        <v>171</v>
      </c>
      <c r="I4" t="s">
        <v>216</v>
      </c>
      <c r="M4" t="s">
        <v>218</v>
      </c>
      <c r="Z4" t="s">
        <v>216</v>
      </c>
    </row>
    <row r="5" spans="3:28" x14ac:dyDescent="0.2">
      <c r="C5">
        <f>1977</f>
        <v>1977</v>
      </c>
      <c r="D5">
        <f>'stb0524'!D37</f>
        <v>0.65600000000000003</v>
      </c>
      <c r="E5" s="3">
        <f>D5/D$22*E$22</f>
        <v>0.40410071942446046</v>
      </c>
      <c r="F5" s="3">
        <f>D5/D$22*F$22</f>
        <v>3.2451683013054184</v>
      </c>
      <c r="H5">
        <f>1977</f>
        <v>1977</v>
      </c>
      <c r="I5">
        <f>'stb0303'!E19</f>
        <v>3.11</v>
      </c>
      <c r="J5" s="3">
        <f>I5/I$22*J$22</f>
        <v>0.27941058655221745</v>
      </c>
      <c r="K5" s="3">
        <f>I5/I$22*K$22</f>
        <v>2.0146342721361603</v>
      </c>
      <c r="M5" s="38">
        <f>$Q$2*F5+$R$2*K5</f>
        <v>2.3837944808869374</v>
      </c>
      <c r="N5" s="4">
        <f t="shared" ref="N5:N38" si="0">M5*W$2</f>
        <v>4.7675889617738747</v>
      </c>
      <c r="Y5">
        <f>1977</f>
        <v>1977</v>
      </c>
      <c r="Z5">
        <f>'stb0303'!L19</f>
        <v>2.14</v>
      </c>
      <c r="AA5" s="3">
        <f>Z5/Z$22*AA$22</f>
        <v>0.3302241379310345</v>
      </c>
      <c r="AB5" s="3">
        <f>Z5/Z$22*AB$22</f>
        <v>2.2060464121367027</v>
      </c>
    </row>
    <row r="6" spans="3:28" x14ac:dyDescent="0.2">
      <c r="C6">
        <f>C5+1</f>
        <v>1978</v>
      </c>
      <c r="D6">
        <f>'stb0524'!D38</f>
        <v>0.67</v>
      </c>
      <c r="E6" s="3">
        <f t="shared" ref="E6:E21" si="1">D6/D$22*E$22</f>
        <v>0.41272482014388495</v>
      </c>
      <c r="F6" s="3">
        <f t="shared" ref="F6:F20" si="2">D6/D$22*F$22</f>
        <v>3.3144249418820584</v>
      </c>
      <c r="H6">
        <f>H5+1</f>
        <v>1978</v>
      </c>
      <c r="I6">
        <f>'stb0303'!E20</f>
        <v>3.26</v>
      </c>
      <c r="J6" s="3">
        <f t="shared" ref="J6" si="3">I6/I$22*J$22</f>
        <v>0.29288698140200281</v>
      </c>
      <c r="K6" s="3">
        <f t="shared" ref="K6:K20" si="4">I6/I$22*K$22</f>
        <v>2.1118031277054281</v>
      </c>
      <c r="M6" s="38">
        <f t="shared" ref="M6:M38" si="5">$Q$2*F6+$R$2*K6</f>
        <v>2.4725896719584171</v>
      </c>
      <c r="N6" s="4">
        <f t="shared" si="0"/>
        <v>4.9451793439168341</v>
      </c>
      <c r="Y6">
        <f>Y5+1</f>
        <v>1978</v>
      </c>
      <c r="Z6">
        <f>'stb0303'!L20</f>
        <v>2.08</v>
      </c>
      <c r="AA6" s="3">
        <f t="shared" ref="AA6" si="6">Z6/Z$22*AA$22</f>
        <v>0.32096551724137934</v>
      </c>
      <c r="AB6" s="3">
        <f t="shared" ref="AB6:AB20" si="7">Z6/Z$22*AB$22</f>
        <v>2.144194643572122</v>
      </c>
    </row>
    <row r="7" spans="3:28" x14ac:dyDescent="0.2">
      <c r="C7">
        <f t="shared" ref="C7:C42" si="8">C6+1</f>
        <v>1979</v>
      </c>
      <c r="D7">
        <f>'stb0524'!D39</f>
        <v>0.90300000000000002</v>
      </c>
      <c r="E7" s="3">
        <f t="shared" si="1"/>
        <v>0.55625449640287772</v>
      </c>
      <c r="F7" s="3">
        <f t="shared" si="2"/>
        <v>4.4670533171932814</v>
      </c>
      <c r="H7">
        <f t="shared" ref="H7:H42" si="9">H6+1</f>
        <v>1979</v>
      </c>
      <c r="I7">
        <f>'stb0303'!E21</f>
        <v>4.6900000000000004</v>
      </c>
      <c r="J7" s="3">
        <f t="shared" ref="J7" si="10">I7/I$22*J$22</f>
        <v>0.42136194563662377</v>
      </c>
      <c r="K7" s="3">
        <f t="shared" si="4"/>
        <v>3.0381462174657856</v>
      </c>
      <c r="M7" s="38">
        <f t="shared" si="5"/>
        <v>3.4668183473840344</v>
      </c>
      <c r="N7" s="4">
        <f t="shared" si="0"/>
        <v>6.9336366947680688</v>
      </c>
      <c r="Y7">
        <f t="shared" ref="Y7:Y38" si="11">Y6+1</f>
        <v>1979</v>
      </c>
      <c r="Z7">
        <f>'stb0303'!L21</f>
        <v>2.83</v>
      </c>
      <c r="AA7" s="3">
        <f t="shared" ref="AA7" si="12">Z7/Z$22*AA$22</f>
        <v>0.43669827586206894</v>
      </c>
      <c r="AB7" s="3">
        <f t="shared" si="7"/>
        <v>2.9173417506293773</v>
      </c>
    </row>
    <row r="8" spans="3:28" x14ac:dyDescent="0.2">
      <c r="C8">
        <f t="shared" si="8"/>
        <v>1980</v>
      </c>
      <c r="D8">
        <f>'stb0524'!D40</f>
        <v>1.2450000000000001</v>
      </c>
      <c r="E8" s="3">
        <f t="shared" si="1"/>
        <v>0.76692895683453244</v>
      </c>
      <c r="F8" s="3">
        <f t="shared" si="2"/>
        <v>6.158894108422631</v>
      </c>
      <c r="H8">
        <f t="shared" si="9"/>
        <v>1980</v>
      </c>
      <c r="I8">
        <f>'stb0303'!E22</f>
        <v>6.7</v>
      </c>
      <c r="J8" s="3">
        <f t="shared" ref="J8" si="13">I8/I$22*J$22</f>
        <v>0.60194563662374823</v>
      </c>
      <c r="K8" s="3">
        <f t="shared" si="4"/>
        <v>4.3402088820939788</v>
      </c>
      <c r="M8" s="38">
        <f t="shared" si="5"/>
        <v>4.8858144499925746</v>
      </c>
      <c r="N8" s="4">
        <f t="shared" si="0"/>
        <v>9.7716288999851493</v>
      </c>
      <c r="Y8">
        <f t="shared" si="11"/>
        <v>1980</v>
      </c>
      <c r="Z8">
        <f>'stb0303'!L22</f>
        <v>3.88</v>
      </c>
      <c r="AA8" s="3">
        <f t="shared" ref="AA8" si="14">Z8/Z$22*AA$22</f>
        <v>0.59872413793103452</v>
      </c>
      <c r="AB8" s="3">
        <f t="shared" si="7"/>
        <v>3.9997477005095354</v>
      </c>
    </row>
    <row r="9" spans="3:28" x14ac:dyDescent="0.2">
      <c r="C9">
        <f t="shared" si="8"/>
        <v>1981</v>
      </c>
      <c r="D9">
        <f>'stb0524'!D41</f>
        <v>1.3779999999999999</v>
      </c>
      <c r="E9" s="3">
        <f t="shared" si="1"/>
        <v>0.84885791366906471</v>
      </c>
      <c r="F9" s="3">
        <f t="shared" si="2"/>
        <v>6.8168321939007104</v>
      </c>
      <c r="H9">
        <f t="shared" si="9"/>
        <v>1981</v>
      </c>
      <c r="I9">
        <f>'stb0303'!E23</f>
        <v>8.0299999999999994</v>
      </c>
      <c r="J9" s="3">
        <f t="shared" ref="J9" si="15">I9/I$22*J$22</f>
        <v>0.72143633762517878</v>
      </c>
      <c r="K9" s="3">
        <f t="shared" si="4"/>
        <v>5.2017727348081566</v>
      </c>
      <c r="M9" s="38">
        <f t="shared" si="5"/>
        <v>5.6862905725359223</v>
      </c>
      <c r="N9" s="4">
        <f t="shared" si="0"/>
        <v>11.372581145071845</v>
      </c>
      <c r="Y9">
        <f t="shared" si="11"/>
        <v>1981</v>
      </c>
      <c r="Z9">
        <f>'stb0303'!L23</f>
        <v>4.91</v>
      </c>
      <c r="AA9" s="3">
        <f t="shared" ref="AA9" si="16">Z9/Z$22*AA$22</f>
        <v>0.75766379310344834</v>
      </c>
      <c r="AB9" s="3">
        <f t="shared" si="7"/>
        <v>5.0615363942015001</v>
      </c>
    </row>
    <row r="10" spans="3:28" x14ac:dyDescent="0.2">
      <c r="C10">
        <f t="shared" si="8"/>
        <v>1982</v>
      </c>
      <c r="D10">
        <f>'stb0524'!D42</f>
        <v>1.296</v>
      </c>
      <c r="E10" s="3">
        <f t="shared" si="1"/>
        <v>0.7983453237410072</v>
      </c>
      <c r="F10" s="3">
        <f t="shared" si="2"/>
        <v>6.411186156237533</v>
      </c>
      <c r="H10">
        <f t="shared" si="9"/>
        <v>1982</v>
      </c>
      <c r="I10">
        <f>'stb0303'!E24</f>
        <v>7.78</v>
      </c>
      <c r="J10" s="3">
        <f t="shared" ref="J10" si="17">I10/I$22*J$22</f>
        <v>0.69897567954220319</v>
      </c>
      <c r="K10" s="3">
        <f t="shared" si="4"/>
        <v>5.03982464219271</v>
      </c>
      <c r="M10" s="38">
        <f t="shared" si="5"/>
        <v>5.4512330964061562</v>
      </c>
      <c r="N10" s="4">
        <f t="shared" si="0"/>
        <v>10.902466192812312</v>
      </c>
      <c r="Y10">
        <f t="shared" si="11"/>
        <v>1982</v>
      </c>
      <c r="Z10">
        <f>'stb0303'!L24</f>
        <v>4.6500000000000004</v>
      </c>
      <c r="AA10" s="3">
        <f t="shared" ref="AA10" si="18">Z10/Z$22*AA$22</f>
        <v>0.71754310344827588</v>
      </c>
      <c r="AB10" s="3">
        <f t="shared" si="7"/>
        <v>4.7935120637549842</v>
      </c>
    </row>
    <row r="11" spans="3:28" x14ac:dyDescent="0.2">
      <c r="C11">
        <f t="shared" si="8"/>
        <v>1983</v>
      </c>
      <c r="D11">
        <f>'stb0524'!D43</f>
        <v>1.2410000000000001</v>
      </c>
      <c r="E11" s="3">
        <f t="shared" si="1"/>
        <v>0.76446492805755406</v>
      </c>
      <c r="F11" s="3">
        <f t="shared" si="2"/>
        <v>6.1391064968293056</v>
      </c>
      <c r="H11">
        <f t="shared" si="9"/>
        <v>1983</v>
      </c>
      <c r="I11">
        <f>'stb0303'!E25</f>
        <v>7.32</v>
      </c>
      <c r="J11" s="3">
        <f t="shared" ref="J11" si="19">I11/I$22*J$22</f>
        <v>0.65764806866952796</v>
      </c>
      <c r="K11" s="3">
        <f t="shared" si="4"/>
        <v>4.7418401517802877</v>
      </c>
      <c r="M11" s="38">
        <f t="shared" si="5"/>
        <v>5.1610200552949932</v>
      </c>
      <c r="N11" s="4">
        <f t="shared" si="0"/>
        <v>10.322040110589986</v>
      </c>
      <c r="Y11">
        <f t="shared" si="11"/>
        <v>1983</v>
      </c>
      <c r="Z11">
        <f>'stb0303'!L25</f>
        <v>4.5</v>
      </c>
      <c r="AA11" s="3">
        <f t="shared" ref="AA11" si="20">Z11/Z$22*AA$22</f>
        <v>0.69439655172413794</v>
      </c>
      <c r="AB11" s="3">
        <f t="shared" si="7"/>
        <v>4.6388826423435328</v>
      </c>
    </row>
    <row r="12" spans="3:28" x14ac:dyDescent="0.2">
      <c r="C12">
        <f t="shared" si="8"/>
        <v>1984</v>
      </c>
      <c r="D12">
        <f>'stb0524'!D44</f>
        <v>1.212</v>
      </c>
      <c r="E12" s="3">
        <f t="shared" si="1"/>
        <v>0.74660071942446038</v>
      </c>
      <c r="F12" s="3">
        <f t="shared" si="2"/>
        <v>5.9956463127776933</v>
      </c>
      <c r="H12">
        <f t="shared" si="9"/>
        <v>1984</v>
      </c>
      <c r="I12">
        <f>'stb0303'!E26</f>
        <v>7.37</v>
      </c>
      <c r="J12" s="3">
        <f t="shared" ref="J12" si="21">I12/I$22*J$22</f>
        <v>0.66214020028612308</v>
      </c>
      <c r="K12" s="3">
        <f t="shared" si="4"/>
        <v>4.7742297703033767</v>
      </c>
      <c r="M12" s="38">
        <f t="shared" si="5"/>
        <v>5.1406547330456718</v>
      </c>
      <c r="N12" s="4">
        <f t="shared" si="0"/>
        <v>10.281309466091344</v>
      </c>
      <c r="Y12">
        <f t="shared" si="11"/>
        <v>1984</v>
      </c>
      <c r="Z12">
        <f>'stb0303'!L26</f>
        <v>4.75</v>
      </c>
      <c r="AA12" s="3">
        <f t="shared" ref="AA12" si="22">Z12/Z$22*AA$22</f>
        <v>0.7329741379310345</v>
      </c>
      <c r="AB12" s="3">
        <f t="shared" si="7"/>
        <v>4.8965983446959518</v>
      </c>
    </row>
    <row r="13" spans="3:28" x14ac:dyDescent="0.2">
      <c r="C13">
        <f t="shared" si="8"/>
        <v>1985</v>
      </c>
      <c r="D13">
        <f>'stb0524'!D45</f>
        <v>1.202</v>
      </c>
      <c r="E13" s="3">
        <f t="shared" si="1"/>
        <v>0.74044064748201444</v>
      </c>
      <c r="F13" s="3">
        <f t="shared" si="2"/>
        <v>5.9461772837943787</v>
      </c>
      <c r="H13">
        <f t="shared" si="9"/>
        <v>1985</v>
      </c>
      <c r="I13">
        <f>'stb0303'!E27</f>
        <v>7.22</v>
      </c>
      <c r="J13" s="3">
        <f t="shared" ref="J13" si="23">I13/I$22*J$22</f>
        <v>0.6486638054363375</v>
      </c>
      <c r="K13" s="3">
        <f t="shared" si="4"/>
        <v>4.677060914734108</v>
      </c>
      <c r="M13" s="38">
        <f t="shared" si="5"/>
        <v>5.0577958254521889</v>
      </c>
      <c r="N13" s="4">
        <f t="shared" si="0"/>
        <v>10.115591650904378</v>
      </c>
      <c r="Y13">
        <f t="shared" si="11"/>
        <v>1985</v>
      </c>
      <c r="Z13">
        <f>'stb0303'!L27</f>
        <v>4.3</v>
      </c>
      <c r="AA13" s="3">
        <f t="shared" ref="AA13" si="24">Z13/Z$22*AA$22</f>
        <v>0.6635344827586207</v>
      </c>
      <c r="AB13" s="3">
        <f t="shared" si="7"/>
        <v>4.4327100804615984</v>
      </c>
    </row>
    <row r="14" spans="3:28" x14ac:dyDescent="0.2">
      <c r="C14">
        <f t="shared" si="8"/>
        <v>1986</v>
      </c>
      <c r="D14">
        <f>'stb0524'!D46</f>
        <v>0.92700000000000005</v>
      </c>
      <c r="E14" s="3">
        <f t="shared" si="1"/>
        <v>0.57103866906474821</v>
      </c>
      <c r="F14" s="3">
        <f t="shared" si="2"/>
        <v>4.5857789867532359</v>
      </c>
      <c r="H14">
        <f t="shared" si="9"/>
        <v>1986</v>
      </c>
      <c r="I14">
        <f>'stb0303'!E28</f>
        <v>5.68</v>
      </c>
      <c r="J14" s="3">
        <f t="shared" ref="J14" si="25">I14/I$22*J$22</f>
        <v>0.51030615164520743</v>
      </c>
      <c r="K14" s="3">
        <f t="shared" si="4"/>
        <v>3.6794606642229546</v>
      </c>
      <c r="M14" s="38">
        <f t="shared" si="5"/>
        <v>3.9513561609820389</v>
      </c>
      <c r="N14" s="4">
        <f t="shared" si="0"/>
        <v>7.9027123219640778</v>
      </c>
      <c r="Y14">
        <f t="shared" si="11"/>
        <v>1986</v>
      </c>
      <c r="Z14">
        <f>'stb0303'!L28</f>
        <v>2.37</v>
      </c>
      <c r="AA14" s="3">
        <f t="shared" ref="AA14" si="26">Z14/Z$22*AA$22</f>
        <v>0.3657155172413793</v>
      </c>
      <c r="AB14" s="3">
        <f t="shared" si="7"/>
        <v>2.4431448583009274</v>
      </c>
    </row>
    <row r="15" spans="3:28" x14ac:dyDescent="0.2">
      <c r="C15">
        <f t="shared" si="8"/>
        <v>1987</v>
      </c>
      <c r="D15">
        <f>'stb0524'!D47</f>
        <v>0.94799999999999995</v>
      </c>
      <c r="E15" s="3">
        <f t="shared" si="1"/>
        <v>0.58397482014388491</v>
      </c>
      <c r="F15" s="3">
        <f t="shared" si="2"/>
        <v>4.6896639476181958</v>
      </c>
      <c r="H15">
        <f t="shared" si="9"/>
        <v>1987</v>
      </c>
      <c r="I15">
        <f>'stb0303'!E29</f>
        <v>5.97</v>
      </c>
      <c r="J15" s="3">
        <f t="shared" ref="J15" si="27">I15/I$22*J$22</f>
        <v>0.53636051502145921</v>
      </c>
      <c r="K15" s="3">
        <f t="shared" si="4"/>
        <v>3.8673204516568735</v>
      </c>
      <c r="M15" s="38">
        <f t="shared" si="5"/>
        <v>4.1140235004452705</v>
      </c>
      <c r="N15" s="4">
        <f t="shared" si="0"/>
        <v>8.2280470008905411</v>
      </c>
      <c r="Y15">
        <f t="shared" si="11"/>
        <v>1987</v>
      </c>
      <c r="Z15">
        <f>'stb0303'!L29</f>
        <v>2.86</v>
      </c>
      <c r="AA15" s="3">
        <f t="shared" ref="AA15" si="28">Z15/Z$22*AA$22</f>
        <v>0.44132758620689655</v>
      </c>
      <c r="AB15" s="3">
        <f t="shared" si="7"/>
        <v>2.9482676349116677</v>
      </c>
    </row>
    <row r="16" spans="3:28" x14ac:dyDescent="0.2">
      <c r="C16">
        <f t="shared" si="8"/>
        <v>1988</v>
      </c>
      <c r="D16">
        <f>'stb0524'!D48</f>
        <v>0.94599999999999995</v>
      </c>
      <c r="E16" s="3">
        <f t="shared" si="1"/>
        <v>0.58274280575539572</v>
      </c>
      <c r="F16" s="3">
        <f t="shared" si="2"/>
        <v>4.6797701418215327</v>
      </c>
      <c r="H16">
        <f t="shared" si="9"/>
        <v>1988</v>
      </c>
      <c r="I16">
        <f>'stb0303'!E30</f>
        <v>5.83</v>
      </c>
      <c r="J16" s="3">
        <f t="shared" ref="J16" si="29">I16/I$22*J$22</f>
        <v>0.5237825464949929</v>
      </c>
      <c r="K16" s="3">
        <f t="shared" si="4"/>
        <v>3.7766295197922233</v>
      </c>
      <c r="M16" s="38">
        <f t="shared" si="5"/>
        <v>4.0475717064010155</v>
      </c>
      <c r="N16" s="4">
        <f t="shared" si="0"/>
        <v>8.095143412802031</v>
      </c>
      <c r="Y16">
        <f t="shared" si="11"/>
        <v>1988</v>
      </c>
      <c r="Z16">
        <f>'stb0303'!L30</f>
        <v>2.35</v>
      </c>
      <c r="AA16" s="3">
        <f t="shared" ref="AA16" si="30">Z16/Z$22*AA$22</f>
        <v>0.36262931034482759</v>
      </c>
      <c r="AB16" s="3">
        <f t="shared" si="7"/>
        <v>2.422527602112734</v>
      </c>
    </row>
    <row r="17" spans="3:28" x14ac:dyDescent="0.2">
      <c r="C17">
        <f t="shared" si="8"/>
        <v>1989</v>
      </c>
      <c r="D17">
        <f>'stb0524'!D49</f>
        <v>1.0209999999999999</v>
      </c>
      <c r="E17" s="3">
        <f t="shared" si="1"/>
        <v>0.62894334532374097</v>
      </c>
      <c r="F17" s="3">
        <f t="shared" si="2"/>
        <v>5.0507878591963893</v>
      </c>
      <c r="H17">
        <f t="shared" si="9"/>
        <v>1989</v>
      </c>
      <c r="I17">
        <f>'stb0303'!E31</f>
        <v>6.43</v>
      </c>
      <c r="J17" s="3">
        <f t="shared" ref="J17" si="31">I17/I$22*J$22</f>
        <v>0.57768812589413443</v>
      </c>
      <c r="K17" s="3">
        <f t="shared" si="4"/>
        <v>4.1653049420692962</v>
      </c>
      <c r="M17" s="38">
        <f t="shared" si="5"/>
        <v>4.4309498172074235</v>
      </c>
      <c r="N17" s="4">
        <f t="shared" si="0"/>
        <v>8.8618996344148471</v>
      </c>
      <c r="Y17">
        <f t="shared" si="11"/>
        <v>1989</v>
      </c>
      <c r="Z17">
        <f>'stb0303'!L31</f>
        <v>2.72</v>
      </c>
      <c r="AA17" s="3">
        <f t="shared" ref="AA17" si="32">Z17/Z$22*AA$22</f>
        <v>0.41972413793103452</v>
      </c>
      <c r="AB17" s="3">
        <f t="shared" si="7"/>
        <v>2.8039468415943136</v>
      </c>
    </row>
    <row r="18" spans="3:28" x14ac:dyDescent="0.2">
      <c r="C18">
        <f t="shared" si="8"/>
        <v>1990</v>
      </c>
      <c r="D18">
        <f>'stb0524'!D50</f>
        <v>1.1639999999999999</v>
      </c>
      <c r="E18" s="3">
        <f t="shared" si="1"/>
        <v>0.71703237410071941</v>
      </c>
      <c r="F18" s="3">
        <f t="shared" si="2"/>
        <v>5.7581949736577851</v>
      </c>
      <c r="H18">
        <f t="shared" si="9"/>
        <v>1990</v>
      </c>
      <c r="I18">
        <f>'stb0303'!E32</f>
        <v>7.68</v>
      </c>
      <c r="J18" s="3">
        <f t="shared" ref="J18" si="33">I18/I$22*J$22</f>
        <v>0.68999141630901284</v>
      </c>
      <c r="K18" s="3">
        <f t="shared" si="4"/>
        <v>4.9750454051465312</v>
      </c>
      <c r="M18" s="38">
        <f t="shared" si="5"/>
        <v>5.2099902756999068</v>
      </c>
      <c r="N18" s="4">
        <f t="shared" si="0"/>
        <v>10.419980551399814</v>
      </c>
      <c r="Y18">
        <f t="shared" si="11"/>
        <v>1990</v>
      </c>
      <c r="Z18">
        <f>'stb0303'!L32</f>
        <v>3.17</v>
      </c>
      <c r="AA18" s="3">
        <f t="shared" ref="AA18" si="34">Z18/Z$22*AA$22</f>
        <v>0.48916379310344826</v>
      </c>
      <c r="AB18" s="3">
        <f t="shared" si="7"/>
        <v>3.2678351058286665</v>
      </c>
    </row>
    <row r="19" spans="3:28" x14ac:dyDescent="0.2">
      <c r="C19">
        <f t="shared" si="8"/>
        <v>1991</v>
      </c>
      <c r="D19">
        <f>'stb0524'!D51</f>
        <v>1.1399999999999999</v>
      </c>
      <c r="E19" s="3">
        <f t="shared" si="1"/>
        <v>0.70224820143884892</v>
      </c>
      <c r="F19" s="3">
        <f t="shared" si="2"/>
        <v>5.6394693040978296</v>
      </c>
      <c r="H19">
        <f t="shared" si="9"/>
        <v>1991</v>
      </c>
      <c r="I19">
        <f>'stb0303'!E33</f>
        <v>7.29</v>
      </c>
      <c r="J19" s="3">
        <f t="shared" ref="J19" si="35">I19/I$22*J$22</f>
        <v>0.65495278969957083</v>
      </c>
      <c r="K19" s="3">
        <f t="shared" si="4"/>
        <v>4.7224063806664338</v>
      </c>
      <c r="M19" s="38">
        <f t="shared" si="5"/>
        <v>4.9975252576958527</v>
      </c>
      <c r="N19" s="4">
        <f t="shared" si="0"/>
        <v>9.9950505153917053</v>
      </c>
      <c r="Y19">
        <f t="shared" si="11"/>
        <v>1991</v>
      </c>
      <c r="Z19">
        <f>'stb0303'!L33</f>
        <v>2.62</v>
      </c>
      <c r="AA19" s="3">
        <f t="shared" ref="AA19" si="36">Z19/Z$22*AA$22</f>
        <v>0.4042931034482759</v>
      </c>
      <c r="AB19" s="3">
        <f t="shared" si="7"/>
        <v>2.700860560653346</v>
      </c>
    </row>
    <row r="20" spans="3:28" x14ac:dyDescent="0.2">
      <c r="C20">
        <f t="shared" si="8"/>
        <v>1992</v>
      </c>
      <c r="D20">
        <f>'stb0524'!D52</f>
        <v>1.127</v>
      </c>
      <c r="E20" s="3">
        <f t="shared" si="1"/>
        <v>0.69424010791366897</v>
      </c>
      <c r="F20" s="3">
        <f t="shared" si="2"/>
        <v>5.5751595664195213</v>
      </c>
      <c r="H20">
        <f t="shared" si="9"/>
        <v>1992</v>
      </c>
      <c r="I20">
        <f>'stb0303'!E34</f>
        <v>7.09</v>
      </c>
      <c r="J20" s="3">
        <f t="shared" ref="J20" si="37">I20/I$22*J$22</f>
        <v>0.63698426323319024</v>
      </c>
      <c r="K20" s="3">
        <f t="shared" si="4"/>
        <v>4.5928479065740762</v>
      </c>
      <c r="M20" s="38">
        <f t="shared" si="5"/>
        <v>4.8875414045277097</v>
      </c>
      <c r="N20" s="4">
        <f t="shared" si="0"/>
        <v>9.7750828090554194</v>
      </c>
      <c r="Y20">
        <f t="shared" si="11"/>
        <v>1992</v>
      </c>
      <c r="Z20">
        <f>'stb0303'!L34</f>
        <v>2.2799999999999998</v>
      </c>
      <c r="AA20" s="3">
        <f t="shared" ref="AA20" si="38">Z20/Z$22*AA$22</f>
        <v>0.35182758620689653</v>
      </c>
      <c r="AB20" s="3">
        <f t="shared" si="7"/>
        <v>2.3503672054540568</v>
      </c>
    </row>
    <row r="21" spans="3:28" x14ac:dyDescent="0.2">
      <c r="C21">
        <f t="shared" si="8"/>
        <v>1993</v>
      </c>
      <c r="D21">
        <f>'stb0524'!D53</f>
        <v>1.1080000000000001</v>
      </c>
      <c r="E21" s="3">
        <f t="shared" si="1"/>
        <v>0.68253597122302168</v>
      </c>
      <c r="F21" s="3">
        <f>D21/D$22*F$22</f>
        <v>5.4811684113512253</v>
      </c>
      <c r="H21">
        <f t="shared" si="9"/>
        <v>1993</v>
      </c>
      <c r="I21">
        <f>'stb0303'!E35</f>
        <v>7.08</v>
      </c>
      <c r="J21" s="3">
        <f t="shared" ref="J21" si="39">I21/I$22*J$22</f>
        <v>0.6360858369098713</v>
      </c>
      <c r="K21" s="3">
        <f>I21/I$22*K$22</f>
        <v>4.5863699828694582</v>
      </c>
      <c r="M21" s="38">
        <f t="shared" si="5"/>
        <v>4.854809511413988</v>
      </c>
      <c r="N21" s="4">
        <f t="shared" si="0"/>
        <v>9.709619022827976</v>
      </c>
      <c r="Y21">
        <f t="shared" si="11"/>
        <v>1993</v>
      </c>
      <c r="Z21">
        <f>'stb0303'!L35</f>
        <v>2.2599999999999998</v>
      </c>
      <c r="AA21" s="3">
        <f t="shared" ref="AA21" si="40">Z21/Z$22*AA$22</f>
        <v>0.34874137931034482</v>
      </c>
      <c r="AB21" s="3">
        <f>Z21/Z$22*AB$22</f>
        <v>2.3297499492658633</v>
      </c>
    </row>
    <row r="22" spans="3:28" x14ac:dyDescent="0.2">
      <c r="C22">
        <f t="shared" si="8"/>
        <v>1994</v>
      </c>
      <c r="D22">
        <f>'stb0524'!D54</f>
        <v>1.1120000000000001</v>
      </c>
      <c r="E22" s="3">
        <f>'stb0523'!Z4</f>
        <v>0.68500000000000005</v>
      </c>
      <c r="F22" s="3">
        <f>'stb0523'!AD4</f>
        <v>5.5009560229445507</v>
      </c>
      <c r="H22">
        <f t="shared" si="9"/>
        <v>1994</v>
      </c>
      <c r="I22">
        <f>'stb0303'!E36</f>
        <v>6.99</v>
      </c>
      <c r="J22" s="3">
        <f>'stb0523'!AA4</f>
        <v>0.628</v>
      </c>
      <c r="K22" s="3">
        <f>'stb0523'!AE4</f>
        <v>4.5280686695278973</v>
      </c>
      <c r="M22" s="38">
        <f t="shared" si="5"/>
        <v>4.8199348755528932</v>
      </c>
      <c r="N22" s="4">
        <f t="shared" si="0"/>
        <v>9.6398697511057865</v>
      </c>
      <c r="Y22">
        <f t="shared" si="11"/>
        <v>1994</v>
      </c>
      <c r="Z22">
        <f>'stb0303'!L36</f>
        <v>2.3199999999999998</v>
      </c>
      <c r="AA22" s="3">
        <f>'stb0523'!AB4</f>
        <v>0.35799999999999998</v>
      </c>
      <c r="AB22" s="3">
        <f>'stb0523'!AF4</f>
        <v>2.3916017178304436</v>
      </c>
    </row>
    <row r="23" spans="3:28" x14ac:dyDescent="0.2">
      <c r="C23">
        <f t="shared" si="8"/>
        <v>1995</v>
      </c>
      <c r="D23">
        <f>'stb0524'!D55</f>
        <v>1.147</v>
      </c>
      <c r="E23">
        <f>'stb0523'!Z5</f>
        <v>0.71399999999999997</v>
      </c>
      <c r="F23" s="3">
        <f>'stb0523'!AD5</f>
        <v>5.7338432122370921</v>
      </c>
      <c r="H23">
        <f t="shared" si="9"/>
        <v>1995</v>
      </c>
      <c r="I23">
        <f>'stb0303'!E37</f>
        <v>6.98</v>
      </c>
      <c r="J23" s="3">
        <f>'stb0523'!AA5</f>
        <v>0.63600000000000001</v>
      </c>
      <c r="K23" s="3">
        <f>'stb0523'!AE5</f>
        <v>4.5857510729613731</v>
      </c>
      <c r="M23" s="38">
        <f t="shared" si="5"/>
        <v>4.9301787147440885</v>
      </c>
      <c r="N23" s="4">
        <f t="shared" si="0"/>
        <v>9.8603574294881771</v>
      </c>
      <c r="Y23">
        <f t="shared" si="11"/>
        <v>1995</v>
      </c>
      <c r="Z23">
        <f>'stb0303'!L37</f>
        <v>2.46</v>
      </c>
      <c r="AA23" s="3">
        <f>'stb0523'!AB5</f>
        <v>0.39700000000000002</v>
      </c>
      <c r="AB23" s="3">
        <f>'stb0523'!AF5</f>
        <v>2.652139335135995</v>
      </c>
    </row>
    <row r="24" spans="3:28" x14ac:dyDescent="0.2">
      <c r="C24">
        <f t="shared" si="8"/>
        <v>1996</v>
      </c>
      <c r="D24">
        <f>'stb0524'!D56</f>
        <v>1.2310000000000001</v>
      </c>
      <c r="E24">
        <f>'stb0523'!Z6</f>
        <v>0.80100000000000005</v>
      </c>
      <c r="F24" s="3">
        <f>'stb0523'!AD6</f>
        <v>6.4325047801147219</v>
      </c>
      <c r="H24">
        <f t="shared" si="9"/>
        <v>1996</v>
      </c>
      <c r="I24">
        <f>'stb0303'!E38</f>
        <v>7.87</v>
      </c>
      <c r="J24" s="3">
        <f>'stb0523'!AA6</f>
        <v>0.75700000000000001</v>
      </c>
      <c r="K24" s="3">
        <f>'stb0523'!AE6</f>
        <v>5.4581974248927043</v>
      </c>
      <c r="M24" s="38">
        <f t="shared" si="5"/>
        <v>5.7504896314593097</v>
      </c>
      <c r="N24" s="4">
        <f t="shared" si="0"/>
        <v>11.500979262918619</v>
      </c>
      <c r="Y24">
        <f t="shared" si="11"/>
        <v>1996</v>
      </c>
      <c r="Z24">
        <f>'stb0303'!L38</f>
        <v>2.8</v>
      </c>
      <c r="AA24" s="3">
        <f>'stb0523'!AB6</f>
        <v>0.46400000000000002</v>
      </c>
      <c r="AB24" s="3">
        <f>'stb0523'!AF6</f>
        <v>3.0997296007634803</v>
      </c>
    </row>
    <row r="25" spans="3:28" x14ac:dyDescent="0.2">
      <c r="C25">
        <f t="shared" si="8"/>
        <v>1997</v>
      </c>
      <c r="D25">
        <f>'stb0524'!D57</f>
        <v>1.234</v>
      </c>
      <c r="E25">
        <f>'stb0523'!Z7</f>
        <v>0.78500000000000003</v>
      </c>
      <c r="F25" s="3">
        <f>'stb0523'!AD7</f>
        <v>6.3040152963671128</v>
      </c>
      <c r="H25">
        <f t="shared" si="9"/>
        <v>1997</v>
      </c>
      <c r="I25">
        <f>'stb0303'!E39</f>
        <v>7.66</v>
      </c>
      <c r="J25" s="3">
        <f>'stb0523'!AA7</f>
        <v>0.71399999999999997</v>
      </c>
      <c r="K25" s="3">
        <f>'stb0523'!AE7</f>
        <v>5.1481545064377681</v>
      </c>
      <c r="M25" s="38">
        <f t="shared" si="5"/>
        <v>5.4949127434165712</v>
      </c>
      <c r="N25" s="4">
        <f t="shared" si="0"/>
        <v>10.989825486833142</v>
      </c>
      <c r="Y25">
        <f t="shared" si="11"/>
        <v>1997</v>
      </c>
      <c r="Z25">
        <f>'stb0303'!L39</f>
        <v>2.93</v>
      </c>
      <c r="AA25" s="3">
        <f>'stb0523'!AB7</f>
        <v>0.42899999999999999</v>
      </c>
      <c r="AB25" s="3">
        <f>'stb0523'!AF7</f>
        <v>2.8659137903610628</v>
      </c>
    </row>
    <row r="26" spans="3:28" x14ac:dyDescent="0.2">
      <c r="C26">
        <f t="shared" si="8"/>
        <v>1998</v>
      </c>
      <c r="D26">
        <f>'stb0524'!D58</f>
        <v>1.0589999999999999</v>
      </c>
      <c r="E26">
        <f>'stb0523'!Z8</f>
        <v>0.61</v>
      </c>
      <c r="F26" s="3">
        <f>'stb0523'!AD8</f>
        <v>4.8986615678776291</v>
      </c>
      <c r="H26">
        <f t="shared" si="9"/>
        <v>1998</v>
      </c>
      <c r="I26">
        <f>'stb0303'!E40</f>
        <v>6.57</v>
      </c>
      <c r="J26" s="3">
        <f>'stb0523'!AA8</f>
        <v>0.56200000000000006</v>
      </c>
      <c r="K26" s="3">
        <f>'stb0523'!AE8</f>
        <v>4.0521888412017173</v>
      </c>
      <c r="M26" s="38">
        <f t="shared" si="5"/>
        <v>4.3061306592044906</v>
      </c>
      <c r="N26" s="4">
        <f t="shared" si="0"/>
        <v>8.6122613184089811</v>
      </c>
      <c r="Y26">
        <f t="shared" si="11"/>
        <v>1998</v>
      </c>
      <c r="Z26">
        <f>'stb0303'!L40</f>
        <v>2.15</v>
      </c>
      <c r="AA26" s="3">
        <f>'stb0523'!AB8</f>
        <v>0.311</v>
      </c>
      <c r="AB26" s="3">
        <f>'stb0523'!AF8</f>
        <v>2.0776204867186259</v>
      </c>
    </row>
    <row r="27" spans="3:28" x14ac:dyDescent="0.2">
      <c r="C27">
        <f t="shared" si="8"/>
        <v>1999</v>
      </c>
      <c r="D27">
        <f>'stb0524'!D59</f>
        <v>1.165</v>
      </c>
      <c r="E27">
        <f>'stb0523'!Z9</f>
        <v>0.70799999999999996</v>
      </c>
      <c r="F27" s="3">
        <f>'stb0523'!AD9</f>
        <v>5.6856596558317385</v>
      </c>
      <c r="H27">
        <f t="shared" si="9"/>
        <v>1999</v>
      </c>
      <c r="I27">
        <f>'stb0303'!E41</f>
        <v>7.19</v>
      </c>
      <c r="J27" s="3">
        <f>'stb0523'!AA9</f>
        <v>0.65400000000000003</v>
      </c>
      <c r="K27" s="3">
        <f>'stb0523'!AE9</f>
        <v>4.7155364806866951</v>
      </c>
      <c r="M27" s="38">
        <f t="shared" si="5"/>
        <v>5.0065734332302085</v>
      </c>
      <c r="N27" s="4">
        <f t="shared" si="0"/>
        <v>10.013146866460417</v>
      </c>
      <c r="Y27">
        <f t="shared" si="11"/>
        <v>1999</v>
      </c>
      <c r="Z27">
        <f>'stb0303'!L41</f>
        <v>2.5099999999999998</v>
      </c>
      <c r="AA27" s="3">
        <f>'stb0523'!AB9</f>
        <v>0.378</v>
      </c>
      <c r="AB27" s="3">
        <f>'stb0523'!AF9</f>
        <v>2.5252107523461111</v>
      </c>
    </row>
    <row r="28" spans="3:28" x14ac:dyDescent="0.2">
      <c r="C28">
        <f t="shared" si="8"/>
        <v>2000</v>
      </c>
      <c r="D28">
        <f>'stb0524'!D60</f>
        <v>1.51</v>
      </c>
      <c r="E28">
        <f>'stb0523'!Z10</f>
        <v>1.044</v>
      </c>
      <c r="F28" s="3">
        <f>'stb0523'!AD10</f>
        <v>8.3839388145315485</v>
      </c>
      <c r="H28">
        <f t="shared" si="9"/>
        <v>2000</v>
      </c>
      <c r="I28">
        <f>'stb0303'!E42</f>
        <v>9.86</v>
      </c>
      <c r="J28" s="3">
        <f>'stb0523'!AA10</f>
        <v>1.006</v>
      </c>
      <c r="K28" s="3">
        <f>'stb0523'!AE10</f>
        <v>7.2535622317596564</v>
      </c>
      <c r="M28" s="38">
        <f t="shared" si="5"/>
        <v>7.592675206591224</v>
      </c>
      <c r="N28" s="4">
        <f t="shared" si="0"/>
        <v>15.185350413182448</v>
      </c>
      <c r="Y28">
        <f t="shared" si="11"/>
        <v>2000</v>
      </c>
      <c r="Z28">
        <f>'stb0303'!L42</f>
        <v>4.32</v>
      </c>
      <c r="AA28" s="3">
        <f>'stb0523'!AB10</f>
        <v>0.60899999999999999</v>
      </c>
      <c r="AB28" s="3">
        <f>'stb0523'!AF10</f>
        <v>4.0683951010020678</v>
      </c>
    </row>
    <row r="29" spans="3:28" x14ac:dyDescent="0.2">
      <c r="C29">
        <f t="shared" si="8"/>
        <v>2001</v>
      </c>
      <c r="D29">
        <f>'stb0524'!D61</f>
        <v>1.4610000000000001</v>
      </c>
      <c r="E29">
        <f>'stb0523'!Z11</f>
        <v>0.96799999999999997</v>
      </c>
      <c r="F29" s="3">
        <f>'stb0523'!AD11</f>
        <v>7.7736137667304002</v>
      </c>
      <c r="H29">
        <f t="shared" si="9"/>
        <v>2001</v>
      </c>
      <c r="I29">
        <f>'stb0303'!E43</f>
        <v>9.18</v>
      </c>
      <c r="J29" s="3">
        <f>'stb0523'!AA11</f>
        <v>0.91200000000000003</v>
      </c>
      <c r="K29" s="3">
        <f>'stb0523'!AE11</f>
        <v>6.575793991416309</v>
      </c>
      <c r="M29" s="38">
        <f t="shared" si="5"/>
        <v>6.935139924010536</v>
      </c>
      <c r="N29" s="4">
        <f t="shared" si="0"/>
        <v>13.870279848021072</v>
      </c>
      <c r="Y29">
        <f t="shared" si="11"/>
        <v>2001</v>
      </c>
      <c r="Z29">
        <f>'stb0303'!L43</f>
        <v>3.99</v>
      </c>
      <c r="AA29" s="3">
        <f>'stb0523'!AB11</f>
        <v>0.53300000000000003</v>
      </c>
      <c r="AB29" s="3">
        <f>'stb0523'!AF11</f>
        <v>3.5606807698425329</v>
      </c>
    </row>
    <row r="30" spans="3:28" x14ac:dyDescent="0.2">
      <c r="C30">
        <f t="shared" si="8"/>
        <v>2002</v>
      </c>
      <c r="D30">
        <f>'stb0524'!D62</f>
        <v>1.3580000000000001</v>
      </c>
      <c r="E30">
        <f>'stb0523'!Z12</f>
        <v>0.90100000000000002</v>
      </c>
      <c r="F30" s="3">
        <f>'stb0523'!AD12</f>
        <v>7.235564053537284</v>
      </c>
      <c r="H30">
        <f t="shared" si="9"/>
        <v>2002</v>
      </c>
      <c r="I30">
        <f>'stb0303'!E44</f>
        <v>8.64</v>
      </c>
      <c r="J30" s="3">
        <f>'stb0523'!AA12</f>
        <v>0.83699999999999997</v>
      </c>
      <c r="K30" s="3">
        <f>'stb0523'!AE12</f>
        <v>6.035021459227468</v>
      </c>
      <c r="M30" s="38">
        <f t="shared" si="5"/>
        <v>6.3951842375204127</v>
      </c>
      <c r="N30" s="4">
        <f t="shared" si="0"/>
        <v>12.790368475040825</v>
      </c>
      <c r="Y30">
        <f t="shared" si="11"/>
        <v>2002</v>
      </c>
      <c r="Z30">
        <f>'stb0303'!L44</f>
        <v>3.91</v>
      </c>
      <c r="AA30" s="3">
        <f>'stb0523'!AB12</f>
        <v>0.56100000000000005</v>
      </c>
      <c r="AB30" s="3">
        <f>'stb0523'!AF12</f>
        <v>3.7477334181644668</v>
      </c>
    </row>
    <row r="31" spans="3:28" x14ac:dyDescent="0.2">
      <c r="C31">
        <f t="shared" si="8"/>
        <v>2003</v>
      </c>
      <c r="D31">
        <f>'stb0524'!D63</f>
        <v>1.591</v>
      </c>
      <c r="E31">
        <f>'stb0523'!Z13</f>
        <v>1.0820000000000001</v>
      </c>
      <c r="F31" s="3">
        <f>'stb0523'!AD13</f>
        <v>8.6891013384321223</v>
      </c>
      <c r="H31">
        <f t="shared" si="9"/>
        <v>2003</v>
      </c>
      <c r="I31">
        <f>'stb0303'!E45</f>
        <v>10.050000000000001</v>
      </c>
      <c r="J31" s="3">
        <f>'stb0523'!AA13</f>
        <v>1.008</v>
      </c>
      <c r="K31" s="3">
        <f>'stb0523'!AE13</f>
        <v>7.267982832618026</v>
      </c>
      <c r="M31" s="38">
        <f t="shared" si="5"/>
        <v>7.6943183843622549</v>
      </c>
      <c r="N31" s="4">
        <f t="shared" si="0"/>
        <v>15.38863676872451</v>
      </c>
      <c r="Y31">
        <f t="shared" si="11"/>
        <v>2003</v>
      </c>
      <c r="Z31">
        <f>'stb0303'!L45</f>
        <v>4.75</v>
      </c>
      <c r="AA31" s="3">
        <f>'stb0523'!AB13</f>
        <v>0.69599999999999995</v>
      </c>
      <c r="AB31" s="3">
        <f>'stb0523'!AF13</f>
        <v>4.6495944011452197</v>
      </c>
    </row>
    <row r="32" spans="3:28" x14ac:dyDescent="0.2">
      <c r="C32">
        <f t="shared" si="8"/>
        <v>2004</v>
      </c>
      <c r="D32">
        <f>'stb0524'!D64</f>
        <v>1.88</v>
      </c>
      <c r="E32">
        <f>'stb0523'!Z14</f>
        <v>1.373</v>
      </c>
      <c r="F32" s="3">
        <f>'stb0523'!AD14</f>
        <v>11.026003824091777</v>
      </c>
      <c r="H32">
        <f t="shared" si="9"/>
        <v>2004</v>
      </c>
      <c r="I32">
        <f>'stb0303'!E46</f>
        <v>12.23</v>
      </c>
      <c r="J32" s="3">
        <f>'stb0523'!AA14</f>
        <v>1.3160000000000001</v>
      </c>
      <c r="K32" s="3">
        <f>'stb0523'!AE14</f>
        <v>9.4887553648068668</v>
      </c>
      <c r="M32" s="38">
        <f t="shared" si="5"/>
        <v>9.9499299025923396</v>
      </c>
      <c r="N32" s="4">
        <f t="shared" si="0"/>
        <v>19.899859805184679</v>
      </c>
      <c r="Y32">
        <f t="shared" si="11"/>
        <v>2004</v>
      </c>
      <c r="Z32">
        <f>'stb0303'!L46</f>
        <v>4.92</v>
      </c>
      <c r="AA32" s="3">
        <f>'stb0523'!AB14</f>
        <v>0.72499999999999998</v>
      </c>
      <c r="AB32" s="3">
        <f>'stb0523'!AF14</f>
        <v>4.8433275011929382</v>
      </c>
    </row>
    <row r="33" spans="3:28" x14ac:dyDescent="0.2">
      <c r="C33">
        <f t="shared" si="8"/>
        <v>2005</v>
      </c>
      <c r="D33">
        <f>'stb0524'!D65</f>
        <v>2.2949999999999999</v>
      </c>
      <c r="E33">
        <f>'stb0523'!Z15</f>
        <v>1.7889999999999999</v>
      </c>
      <c r="F33" s="3">
        <f>'stb0523'!AD15</f>
        <v>14.366730401529635</v>
      </c>
      <c r="H33">
        <f t="shared" si="9"/>
        <v>2005</v>
      </c>
      <c r="I33">
        <f>'stb0303'!E47</f>
        <v>16.41</v>
      </c>
      <c r="J33" s="3">
        <f>'stb0523'!AA15</f>
        <v>1.8859999999999999</v>
      </c>
      <c r="K33" s="3">
        <f>'stb0523'!AE15</f>
        <v>13.598626609442059</v>
      </c>
      <c r="M33" s="38">
        <f t="shared" si="5"/>
        <v>13.82905774706833</v>
      </c>
      <c r="N33" s="4">
        <f t="shared" si="0"/>
        <v>27.658115494136659</v>
      </c>
      <c r="Y33">
        <f t="shared" si="11"/>
        <v>2005</v>
      </c>
      <c r="Z33">
        <f>'stb0303'!L47</f>
        <v>6.65</v>
      </c>
      <c r="AA33" s="3">
        <f>'stb0523'!AB15</f>
        <v>1.0409999999999999</v>
      </c>
      <c r="AB33" s="3">
        <f>'stb0523'!AF15</f>
        <v>6.9543502465404803</v>
      </c>
    </row>
    <row r="34" spans="3:28" x14ac:dyDescent="0.2">
      <c r="C34">
        <f t="shared" si="8"/>
        <v>2006</v>
      </c>
      <c r="D34">
        <f>'stb0524'!D66</f>
        <v>2.589</v>
      </c>
      <c r="E34">
        <f>'stb0523'!Z16</f>
        <v>2.073</v>
      </c>
      <c r="F34" s="3">
        <f>'stb0523'!AD16</f>
        <v>16.647418738049712</v>
      </c>
      <c r="H34">
        <f t="shared" si="9"/>
        <v>2006</v>
      </c>
      <c r="I34">
        <f>'stb0303'!E48</f>
        <v>18.55</v>
      </c>
      <c r="J34" s="3">
        <f>'stb0523'!AA16</f>
        <v>2.165</v>
      </c>
      <c r="K34" s="3">
        <f>'stb0523'!AE16</f>
        <v>15.610300429184548</v>
      </c>
      <c r="M34" s="38">
        <f t="shared" si="5"/>
        <v>15.921435921844097</v>
      </c>
      <c r="N34" s="4">
        <f t="shared" si="0"/>
        <v>31.842871843688194</v>
      </c>
      <c r="Y34">
        <f t="shared" si="11"/>
        <v>2006</v>
      </c>
      <c r="Z34">
        <f>'stb0303'!L48</f>
        <v>7.93</v>
      </c>
      <c r="AA34" s="3">
        <f>'stb0523'!AB16</f>
        <v>1.212</v>
      </c>
      <c r="AB34" s="3">
        <f>'stb0523'!AF16</f>
        <v>8.0967074916494362</v>
      </c>
    </row>
    <row r="35" spans="3:28" x14ac:dyDescent="0.2">
      <c r="C35">
        <f t="shared" si="8"/>
        <v>2007</v>
      </c>
      <c r="D35">
        <f>'stb0524'!D67</f>
        <v>2.8010000000000002</v>
      </c>
      <c r="E35">
        <f>'stb0523'!Z17</f>
        <v>2.2970000000000002</v>
      </c>
      <c r="F35" s="3">
        <f>'stb0523'!AD17</f>
        <v>18.446271510516254</v>
      </c>
      <c r="H35">
        <f t="shared" si="9"/>
        <v>2007</v>
      </c>
      <c r="I35">
        <f>'stb0303'!E49</f>
        <v>19.87</v>
      </c>
      <c r="J35" s="3">
        <f>'stb0523'!AA17</f>
        <v>2.3479999999999999</v>
      </c>
      <c r="K35" s="3">
        <f>'stb0523'!AE17</f>
        <v>16.929785407725319</v>
      </c>
      <c r="M35" s="38">
        <f t="shared" si="5"/>
        <v>17.384731238562601</v>
      </c>
      <c r="N35" s="4">
        <f t="shared" si="0"/>
        <v>34.769462477125202</v>
      </c>
      <c r="Y35">
        <f t="shared" si="11"/>
        <v>2007</v>
      </c>
      <c r="Z35">
        <f>'stb0303'!L49</f>
        <v>8.57</v>
      </c>
      <c r="AA35" s="3">
        <f>'stb0523'!AB17</f>
        <v>1.3759999999999999</v>
      </c>
      <c r="AB35" s="3">
        <f>'stb0523'!AF17</f>
        <v>9.1923015746779058</v>
      </c>
    </row>
    <row r="36" spans="3:28" x14ac:dyDescent="0.2">
      <c r="C36">
        <f t="shared" si="8"/>
        <v>2008</v>
      </c>
      <c r="D36">
        <f>'stb0524'!D68</f>
        <v>3.266</v>
      </c>
      <c r="E36">
        <f>'stb0523'!Z18</f>
        <v>2.7309999999999999</v>
      </c>
      <c r="F36" s="3">
        <f>'stb0523'!AD18</f>
        <v>21.931548757170169</v>
      </c>
      <c r="H36">
        <f t="shared" si="9"/>
        <v>2008</v>
      </c>
      <c r="I36">
        <f>'stb0303'!E50</f>
        <v>26.33</v>
      </c>
      <c r="J36" s="3">
        <f>'stb0523'!AA18</f>
        <v>3.23</v>
      </c>
      <c r="K36" s="3">
        <f>'stb0523'!AE18</f>
        <v>23.289270386266097</v>
      </c>
      <c r="M36" s="38">
        <f t="shared" si="5"/>
        <v>22.881953897537318</v>
      </c>
      <c r="N36" s="4">
        <f t="shared" si="0"/>
        <v>45.763907795074637</v>
      </c>
      <c r="Y36">
        <f t="shared" si="11"/>
        <v>2008</v>
      </c>
      <c r="Z36">
        <f>'stb0303'!L50</f>
        <v>12.64</v>
      </c>
      <c r="AA36" s="3">
        <f>'stb0523'!AB18</f>
        <v>1.944</v>
      </c>
      <c r="AB36" s="3">
        <f>'stb0523'!AF18</f>
        <v>12.986798154922855</v>
      </c>
    </row>
    <row r="37" spans="3:28" x14ac:dyDescent="0.2">
      <c r="C37">
        <f t="shared" si="8"/>
        <v>2009</v>
      </c>
      <c r="D37">
        <f>'stb0524'!D69</f>
        <v>2.35</v>
      </c>
      <c r="E37">
        <f>'stb0523'!Z19</f>
        <v>1.8420000000000001</v>
      </c>
      <c r="F37" s="3">
        <f>'stb0523'!AD19</f>
        <v>14.792351816443595</v>
      </c>
      <c r="H37">
        <f t="shared" si="9"/>
        <v>2009</v>
      </c>
      <c r="I37">
        <f>'stb0303'!E51</f>
        <v>16.98</v>
      </c>
      <c r="J37" s="3">
        <f>'stb0523'!AA19</f>
        <v>1.9179999999999999</v>
      </c>
      <c r="K37" s="3">
        <f>'stb0523'!AE19</f>
        <v>13.829356223175964</v>
      </c>
      <c r="M37" s="38">
        <f t="shared" si="5"/>
        <v>14.118254901156252</v>
      </c>
      <c r="N37" s="4">
        <f t="shared" si="0"/>
        <v>28.236509802312504</v>
      </c>
      <c r="Y37">
        <f t="shared" si="11"/>
        <v>2009</v>
      </c>
      <c r="Z37">
        <f>'stb0303'!L51</f>
        <v>9.69</v>
      </c>
      <c r="AA37" s="3">
        <f>'stb0523'!AB19</f>
        <v>1.34</v>
      </c>
      <c r="AB37" s="3">
        <f>'stb0523'!AF19</f>
        <v>8.9518053125497055</v>
      </c>
    </row>
    <row r="38" spans="3:28" x14ac:dyDescent="0.2">
      <c r="C38">
        <f t="shared" si="8"/>
        <v>2010</v>
      </c>
      <c r="D38">
        <f>'stb0524'!D70</f>
        <v>2.7879999999999998</v>
      </c>
      <c r="E38">
        <f>'stb0523'!Z20</f>
        <v>2.2669999999999999</v>
      </c>
      <c r="F38" s="3">
        <f>'stb0523'!AD20</f>
        <v>18.205353728489481</v>
      </c>
      <c r="H38">
        <f t="shared" si="9"/>
        <v>2010</v>
      </c>
      <c r="I38" s="4">
        <f>((2.147/1.657)*I37)</f>
        <v>22.001243210621602</v>
      </c>
      <c r="J38" s="3">
        <f>'stb0523'!AA20</f>
        <v>2.415</v>
      </c>
      <c r="K38" s="3">
        <f>'stb0523'!AE20</f>
        <v>17.412875536480687</v>
      </c>
      <c r="M38" s="38">
        <f t="shared" si="5"/>
        <v>17.650618994083324</v>
      </c>
      <c r="N38" s="4">
        <f t="shared" si="0"/>
        <v>35.301237988166648</v>
      </c>
      <c r="Y38">
        <f t="shared" si="11"/>
        <v>2010</v>
      </c>
      <c r="Z38">
        <f>'stb0303'!L52</f>
        <v>0</v>
      </c>
      <c r="AA38" s="3">
        <f>'stb0523'!AB20</f>
        <v>1.7290000000000001</v>
      </c>
      <c r="AB38" s="3">
        <f>'stb0523'!AF20</f>
        <v>11.550501033879435</v>
      </c>
    </row>
    <row r="39" spans="3:28" x14ac:dyDescent="0.2">
      <c r="C39">
        <f t="shared" si="8"/>
        <v>2011</v>
      </c>
      <c r="D39">
        <v>3.5270000000000001</v>
      </c>
      <c r="E39" s="3">
        <f>'stb0523'!Z21</f>
        <v>3.0049326379834849</v>
      </c>
      <c r="F39" s="3">
        <f>'stb0523'!AD21</f>
        <v>24.1313902094276</v>
      </c>
      <c r="H39">
        <f t="shared" si="9"/>
        <v>2011</v>
      </c>
      <c r="I39" s="4">
        <f>(2.907/2.147)*I38</f>
        <v>29.78929390464695</v>
      </c>
      <c r="J39" s="3">
        <f>'stb0523'!AA21</f>
        <v>3.2530488331892826</v>
      </c>
      <c r="K39" s="3">
        <f>'stb0523'!AE21</f>
        <v>23.455459398102981</v>
      </c>
      <c r="M39" s="38">
        <f t="shared" ref="M39:M45" si="41">$Q$2*F39+$R$2*K39</f>
        <v>23.658238641500368</v>
      </c>
      <c r="N39" s="4">
        <f t="shared" ref="N39:N45" si="42">M39*W$2</f>
        <v>47.316477283000737</v>
      </c>
    </row>
    <row r="40" spans="3:28" x14ac:dyDescent="0.2">
      <c r="C40">
        <f t="shared" si="8"/>
        <v>2012</v>
      </c>
      <c r="D40">
        <v>3.6440000000000001</v>
      </c>
      <c r="E40" s="3">
        <f>'stb0523'!Z22</f>
        <v>3.1073959148196431</v>
      </c>
      <c r="F40" s="3">
        <f>'stb0523'!AD22</f>
        <v>24.954231055913002</v>
      </c>
      <c r="H40">
        <f t="shared" si="9"/>
        <v>2012</v>
      </c>
      <c r="I40" s="4">
        <f>(3.031/2.907)*39</f>
        <v>40.663570691434472</v>
      </c>
      <c r="J40" s="3">
        <f>'stb0523'!AA22</f>
        <v>3.3417588591184093</v>
      </c>
      <c r="K40" s="3">
        <f>'stb0523'!AE22</f>
        <v>24.095085336132737</v>
      </c>
      <c r="M40" s="38">
        <f t="shared" si="41"/>
        <v>24.352829052066813</v>
      </c>
      <c r="N40" s="4">
        <f t="shared" si="42"/>
        <v>48.705658104133626</v>
      </c>
    </row>
    <row r="41" spans="3:28" x14ac:dyDescent="0.2">
      <c r="C41">
        <f t="shared" si="8"/>
        <v>2013</v>
      </c>
      <c r="D41">
        <v>3.5259999999999998</v>
      </c>
      <c r="E41" s="3">
        <f>'stb0523'!Z23</f>
        <v>2.9048952483232866</v>
      </c>
      <c r="F41" s="3">
        <f>'stb0523'!AD23</f>
        <v>23.328030674871517</v>
      </c>
      <c r="H41">
        <f t="shared" si="9"/>
        <v>2013</v>
      </c>
      <c r="I41" s="4">
        <f>(2.966/3.031)*I40</f>
        <v>39.791537667698663</v>
      </c>
      <c r="J41" s="3">
        <f>'stb0523'!AA23</f>
        <v>3.2582670700086425</v>
      </c>
      <c r="K41" s="3">
        <f>'stb0523'!AE23</f>
        <v>23.493084453281199</v>
      </c>
      <c r="M41" s="38">
        <f t="shared" si="41"/>
        <v>23.443568319758295</v>
      </c>
      <c r="N41" s="4">
        <f t="shared" si="42"/>
        <v>46.887136639516591</v>
      </c>
    </row>
    <row r="42" spans="3:28" x14ac:dyDescent="0.2">
      <c r="C42">
        <f t="shared" si="8"/>
        <v>2014</v>
      </c>
      <c r="D42">
        <v>3.367</v>
      </c>
      <c r="E42" s="3">
        <f>'stb0523'!Z24</f>
        <v>2.7200642617130151</v>
      </c>
      <c r="F42" s="3">
        <f>'stb0523'!AD24</f>
        <v>21.843728296739314</v>
      </c>
      <c r="H42">
        <f t="shared" si="9"/>
        <v>2014</v>
      </c>
      <c r="I42" s="4">
        <f>(2.741/2.966)*I41</f>
        <v>36.772961816305475</v>
      </c>
      <c r="J42" s="3">
        <f>'stb0523'!AA24</f>
        <v>3.0505812445980984</v>
      </c>
      <c r="K42" s="3">
        <f>'stb0523'!AE24</f>
        <v>21.995607257188006</v>
      </c>
      <c r="M42" s="38">
        <f t="shared" si="41"/>
        <v>21.950043569053395</v>
      </c>
      <c r="N42" s="4">
        <f t="shared" si="42"/>
        <v>43.900087138106791</v>
      </c>
    </row>
    <row r="43" spans="3:28" x14ac:dyDescent="0.2">
      <c r="C43">
        <v>2015</v>
      </c>
      <c r="D43">
        <v>2.448</v>
      </c>
      <c r="E43">
        <f>'stb0523'!Z25</f>
        <v>1.9083322998988332</v>
      </c>
      <c r="F43" s="3">
        <f>'stb0523'!AD25</f>
        <v>15.325039502055638</v>
      </c>
      <c r="H43">
        <v>2015</v>
      </c>
      <c r="J43" s="3">
        <f>'stb0523'!AA25</f>
        <v>1.8983945548833185</v>
      </c>
      <c r="K43" s="3">
        <f>'stb0523'!AE25</f>
        <v>13.687995073836804</v>
      </c>
      <c r="M43" s="38">
        <f t="shared" si="41"/>
        <v>14.179108402302454</v>
      </c>
      <c r="N43" s="4">
        <f t="shared" si="42"/>
        <v>28.358216804604908</v>
      </c>
    </row>
    <row r="44" spans="3:28" x14ac:dyDescent="0.2">
      <c r="C44">
        <v>2016</v>
      </c>
      <c r="D44">
        <v>2.1419999999999999</v>
      </c>
      <c r="E44">
        <f>'stb0523'!Z26</f>
        <v>1.648235086782317</v>
      </c>
      <c r="F44" s="3">
        <f>'stb0523'!AD26</f>
        <v>13.23630471220981</v>
      </c>
      <c r="H44">
        <v>2016</v>
      </c>
      <c r="J44" s="3">
        <f>'stb0523'!AA26</f>
        <v>1.5778185766934509</v>
      </c>
      <c r="K44" s="3">
        <f>'stb0523'!AE26</f>
        <v>11.376545960708143</v>
      </c>
      <c r="M44" s="38">
        <f t="shared" si="41"/>
        <v>11.934473586158642</v>
      </c>
      <c r="N44" s="4">
        <f t="shared" si="42"/>
        <v>23.868947172317284</v>
      </c>
    </row>
    <row r="45" spans="3:28" x14ac:dyDescent="0.2">
      <c r="C45">
        <v>2017</v>
      </c>
      <c r="D45">
        <v>2.4079999999999999</v>
      </c>
      <c r="E45">
        <f>'stb0523'!Z27</f>
        <v>1.8826083997004963</v>
      </c>
      <c r="F45" s="3">
        <f>'stb0523'!AD27</f>
        <v>15.118461336026929</v>
      </c>
      <c r="H45">
        <v>2017</v>
      </c>
      <c r="J45" s="3">
        <f>'stb0523'!AA27</f>
        <v>1.8910850048920185</v>
      </c>
      <c r="K45" s="3">
        <f>'stb0523'!AE27</f>
        <v>13.635291022397386</v>
      </c>
      <c r="M45" s="38">
        <f t="shared" si="41"/>
        <v>14.080242116486247</v>
      </c>
      <c r="N45" s="4">
        <f t="shared" si="42"/>
        <v>28.160484232972493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NEA_Data</vt:lpstr>
      <vt:lpstr>Construction</vt:lpstr>
      <vt:lpstr>Report_tables</vt:lpstr>
      <vt:lpstr>Intensity_estimates</vt:lpstr>
      <vt:lpstr>stb0303</vt:lpstr>
      <vt:lpstr>stb0304</vt:lpstr>
      <vt:lpstr>stb0523</vt:lpstr>
      <vt:lpstr>stb0524</vt:lpstr>
      <vt:lpstr>Petroleum_prices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Belzer, David B</dc:creator>
  <cp:lastModifiedBy>David</cp:lastModifiedBy>
  <dcterms:created xsi:type="dcterms:W3CDTF">2012-08-06T22:40:02Z</dcterms:created>
  <dcterms:modified xsi:type="dcterms:W3CDTF">2020-03-12T18:21:50Z</dcterms:modified>
</cp:coreProperties>
</file>