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2.xml" ContentType="application/vnd.openxmlformats-officedocument.drawing+xml"/>
  <Override PartName="/xl/charts/chart1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430"/>
  <workbookPr/>
  <mc:AlternateContent xmlns:mc="http://schemas.openxmlformats.org/markup-compatibility/2006">
    <mc:Choice Requires="x15">
      <x15ac:absPath xmlns:x15ac="http://schemas.microsoft.com/office/spreadsheetml/2010/11/ac" url="D:\Indicators - Commercial - 2020\"/>
    </mc:Choice>
  </mc:AlternateContent>
  <xr:revisionPtr revIDLastSave="0" documentId="13_ncr:1_{9F8F084D-2B3E-41F8-9F11-3F4624705B5F}" xr6:coauthVersionLast="45" xr6:coauthVersionMax="45" xr10:uidLastSave="{00000000-0000-0000-0000-000000000000}"/>
  <bookViews>
    <workbookView xWindow="780" yWindow="780" windowWidth="17100" windowHeight="14055" tabRatio="844" xr2:uid="{00000000-000D-0000-FFFF-FFFF00000000}"/>
  </bookViews>
  <sheets>
    <sheet name="NEMS_Logistic (current) " sheetId="14" r:id="rId1"/>
    <sheet name="New Floorspace_plot" sheetId="30" r:id="rId2"/>
    <sheet name="Floor Space Graph" sheetId="29" r:id="rId3"/>
    <sheet name="Dodge_Revised" sheetId="11" r:id="rId4"/>
    <sheet name="Dodge_to_CBECS" sheetId="12" r:id="rId5"/>
    <sheet name="2003 CBECS" sheetId="16" r:id="rId6"/>
    <sheet name="Hist_Stat" sheetId="8" r:id="rId7"/>
    <sheet name="West_inflation" sheetId="9" r:id="rId8"/>
    <sheet name="Hist_Stat_Adj" sheetId="10" r:id="rId9"/>
    <sheet name="DODCompareOld" sheetId="2" r:id="rId10"/>
    <sheet name="DODRevOld" sheetId="5" r:id="rId11"/>
    <sheet name="Dodge_to_CBECSOld" sheetId="7" r:id="rId12"/>
    <sheet name="SAUS2002" sheetId="3" r:id="rId13"/>
  </sheets>
  <externalReferences>
    <externalReference r:id="rId14"/>
    <externalReference r:id="rId15"/>
    <externalReference r:id="rId16"/>
  </externalReferences>
  <definedNames>
    <definedName name="solver_adj" localSheetId="0" hidden="1">'NEMS_Logistic (current) '!$C$3:$C$4</definedName>
    <definedName name="solver_cvg" localSheetId="0" hidden="1">0.0001</definedName>
    <definedName name="solver_drv" localSheetId="0" hidden="1">1</definedName>
    <definedName name="solver_est" localSheetId="0" hidden="1">1</definedName>
    <definedName name="solver_itr" localSheetId="0" hidden="1">100</definedName>
    <definedName name="solver_lin" localSheetId="0" hidden="1">2</definedName>
    <definedName name="solver_neg" localSheetId="0" hidden="1">2</definedName>
    <definedName name="solver_num" localSheetId="0" hidden="1">0</definedName>
    <definedName name="solver_nwt" localSheetId="0" hidden="1">1</definedName>
    <definedName name="solver_opt" localSheetId="0" hidden="1">'NEMS_Logistic (current) '!$AN$427</definedName>
    <definedName name="solver_pre" localSheetId="0" hidden="1">0.000001</definedName>
    <definedName name="solver_scl" localSheetId="0" hidden="1">2</definedName>
    <definedName name="solver_sho" localSheetId="0" hidden="1">2</definedName>
    <definedName name="solver_tim" localSheetId="0" hidden="1">100</definedName>
    <definedName name="solver_tol" localSheetId="0" hidden="1">0.05</definedName>
    <definedName name="solver_typ" localSheetId="0" hidden="1">2</definedName>
    <definedName name="solver_val" localSheetId="0" hidden="1">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N395" i="14" l="1"/>
  <c r="AQ392" i="14"/>
  <c r="AQ391" i="14"/>
  <c r="AQ390" i="14"/>
  <c r="AQ389" i="14"/>
  <c r="AT381" i="14"/>
  <c r="AT382" i="14"/>
  <c r="AQ393" i="14"/>
  <c r="AQ394" i="14"/>
  <c r="AQ395" i="14"/>
  <c r="AC389" i="14"/>
  <c r="AC390" i="14"/>
  <c r="AC391" i="14"/>
  <c r="AC392" i="14"/>
  <c r="AC393" i="14"/>
  <c r="AC394" i="14"/>
  <c r="AC395" i="14"/>
  <c r="AD388" i="14"/>
  <c r="AD389" i="14"/>
  <c r="AD390" i="14"/>
  <c r="AD391" i="14"/>
  <c r="AD392" i="14"/>
  <c r="AD393" i="14"/>
  <c r="AD394" i="14"/>
  <c r="AD395" i="14"/>
  <c r="X389" i="14"/>
  <c r="AA389" i="14"/>
  <c r="X390" i="14"/>
  <c r="AA390" i="14"/>
  <c r="X391" i="14"/>
  <c r="AA391" i="14"/>
  <c r="X392" i="14"/>
  <c r="AA392" i="14"/>
  <c r="X393" i="14"/>
  <c r="AA393" i="14"/>
  <c r="X394" i="14"/>
  <c r="AA394" i="14"/>
  <c r="X395" i="14"/>
  <c r="AA395" i="14"/>
  <c r="X396" i="14"/>
  <c r="AA396" i="14"/>
  <c r="X397" i="14"/>
  <c r="AA397" i="14"/>
  <c r="G519" i="14"/>
  <c r="E79" i="30" l="1"/>
  <c r="E80" i="30" s="1"/>
  <c r="E81" i="30" s="1"/>
  <c r="E82" i="30" s="1"/>
  <c r="E83" i="30" s="1"/>
  <c r="E84" i="30" s="1"/>
  <c r="E85" i="30" s="1"/>
  <c r="E86" i="30" s="1"/>
  <c r="E87" i="30" s="1"/>
  <c r="E88" i="30" s="1"/>
  <c r="E89" i="30" s="1"/>
  <c r="E90" i="30" s="1"/>
  <c r="E91" i="30" s="1"/>
  <c r="E92" i="30" s="1"/>
  <c r="E93" i="30" s="1"/>
  <c r="E94" i="30" s="1"/>
  <c r="E95" i="30" s="1"/>
  <c r="E96" i="30" s="1"/>
  <c r="E97" i="30" s="1"/>
  <c r="E98" i="30" s="1"/>
  <c r="E99" i="30" s="1"/>
  <c r="E100" i="30" s="1"/>
  <c r="E101" i="30" s="1"/>
  <c r="E102" i="30" s="1"/>
  <c r="E6" i="30"/>
  <c r="E7" i="30" s="1"/>
  <c r="E8" i="30" s="1"/>
  <c r="E9" i="30" s="1"/>
  <c r="E10" i="30" s="1"/>
  <c r="E11" i="30" s="1"/>
  <c r="E12" i="30" s="1"/>
  <c r="E13" i="30" s="1"/>
  <c r="E14" i="30" s="1"/>
  <c r="E15" i="30" s="1"/>
  <c r="E16" i="30" s="1"/>
  <c r="E17" i="30" s="1"/>
  <c r="E18" i="30" s="1"/>
  <c r="E19" i="30" s="1"/>
  <c r="E20" i="30" s="1"/>
  <c r="E21" i="30" s="1"/>
  <c r="E22" i="30" s="1"/>
  <c r="E23" i="30" s="1"/>
  <c r="E24" i="30" s="1"/>
  <c r="E25" i="30" s="1"/>
  <c r="E26" i="30" s="1"/>
  <c r="E27" i="30" s="1"/>
  <c r="E28" i="30" s="1"/>
  <c r="E29" i="30" s="1"/>
  <c r="E30" i="30" s="1"/>
  <c r="E31" i="30" s="1"/>
  <c r="E32" i="30" s="1"/>
  <c r="E33" i="30" s="1"/>
  <c r="E34" i="30" s="1"/>
  <c r="E35" i="30" s="1"/>
  <c r="E36" i="30" s="1"/>
  <c r="E37" i="30" s="1"/>
  <c r="E38" i="30" s="1"/>
  <c r="E39" i="30" s="1"/>
  <c r="E40" i="30" s="1"/>
  <c r="E41" i="30" s="1"/>
  <c r="E42" i="30" s="1"/>
  <c r="E43" i="30" s="1"/>
  <c r="E44" i="30" s="1"/>
  <c r="E45" i="30" s="1"/>
  <c r="E46" i="30" s="1"/>
  <c r="E47" i="30" s="1"/>
  <c r="E48" i="30" s="1"/>
  <c r="E49" i="30" s="1"/>
  <c r="E50" i="30" s="1"/>
  <c r="E51" i="30" s="1"/>
  <c r="E52" i="30" s="1"/>
  <c r="E53" i="30" s="1"/>
  <c r="E54" i="30" s="1"/>
  <c r="E55" i="30" s="1"/>
  <c r="E56" i="30" s="1"/>
  <c r="E57" i="30" s="1"/>
  <c r="E58" i="30" s="1"/>
  <c r="E59" i="30" s="1"/>
  <c r="E60" i="30" s="1"/>
  <c r="E61" i="30" s="1"/>
  <c r="E62" i="30" s="1"/>
  <c r="E63" i="30" s="1"/>
  <c r="E64" i="30" s="1"/>
  <c r="E65" i="30" s="1"/>
  <c r="E66" i="30" s="1"/>
  <c r="E67" i="30" s="1"/>
  <c r="E68" i="30" s="1"/>
  <c r="E69" i="30" s="1"/>
  <c r="E70" i="30" s="1"/>
  <c r="E71" i="30" s="1"/>
  <c r="E72" i="30" s="1"/>
  <c r="E73" i="30" s="1"/>
  <c r="E74" i="30" s="1"/>
  <c r="E75" i="30" s="1"/>
  <c r="E76" i="30" s="1"/>
  <c r="E77" i="30" s="1"/>
  <c r="E78" i="30" s="1"/>
  <c r="E5" i="30"/>
  <c r="E4" i="30"/>
  <c r="H115" i="12" l="1"/>
  <c r="I115" i="12"/>
  <c r="K115" i="12"/>
  <c r="L115" i="12"/>
  <c r="G116" i="12"/>
  <c r="H116" i="12"/>
  <c r="I116" i="12"/>
  <c r="J116" i="12"/>
  <c r="K116" i="12"/>
  <c r="L116" i="12"/>
  <c r="M116" i="12"/>
  <c r="P116" i="12"/>
  <c r="G117" i="12"/>
  <c r="H117" i="12"/>
  <c r="I117" i="12"/>
  <c r="J117" i="12"/>
  <c r="K117" i="12"/>
  <c r="L117" i="12"/>
  <c r="M117" i="12"/>
  <c r="P117" i="12"/>
  <c r="C116" i="12"/>
  <c r="D116" i="12"/>
  <c r="E116" i="12"/>
  <c r="F116" i="12"/>
  <c r="C117" i="12"/>
  <c r="D117" i="12"/>
  <c r="O117" i="12" s="1"/>
  <c r="E117" i="12"/>
  <c r="F117" i="12"/>
  <c r="O116" i="12" l="1"/>
  <c r="Q103" i="11"/>
  <c r="AQ388" i="14" l="1"/>
  <c r="AQ387" i="14"/>
  <c r="AQ386" i="14"/>
  <c r="H112" i="12" l="1"/>
  <c r="L392" i="14" s="1"/>
  <c r="I112" i="12"/>
  <c r="M392" i="14" s="1"/>
  <c r="K112" i="12"/>
  <c r="O392" i="14" s="1"/>
  <c r="L112" i="12"/>
  <c r="P392" i="14" s="1"/>
  <c r="H113" i="12"/>
  <c r="L393" i="14" s="1"/>
  <c r="I113" i="12"/>
  <c r="M393" i="14" s="1"/>
  <c r="K113" i="12"/>
  <c r="O393" i="14" s="1"/>
  <c r="L113" i="12"/>
  <c r="P393" i="14" s="1"/>
  <c r="H114" i="12"/>
  <c r="L394" i="14" s="1"/>
  <c r="I114" i="12"/>
  <c r="M394" i="14" s="1"/>
  <c r="K114" i="12"/>
  <c r="O394" i="14" s="1"/>
  <c r="L114" i="12"/>
  <c r="P394" i="14" s="1"/>
  <c r="Q102" i="11"/>
  <c r="Q101" i="11"/>
  <c r="AG388" i="14" l="1"/>
  <c r="I111" i="12" l="1"/>
  <c r="M391" i="14" s="1"/>
  <c r="K111" i="12"/>
  <c r="O391" i="14" s="1"/>
  <c r="L111" i="12"/>
  <c r="P391" i="14" s="1"/>
  <c r="M395" i="14"/>
  <c r="O395" i="14"/>
  <c r="P395" i="14"/>
  <c r="H396" i="14"/>
  <c r="I396" i="14"/>
  <c r="J396" i="14"/>
  <c r="K396" i="14"/>
  <c r="M396" i="14"/>
  <c r="N396" i="14"/>
  <c r="O396" i="14"/>
  <c r="P396" i="14"/>
  <c r="Q396" i="14"/>
  <c r="H397" i="14"/>
  <c r="I397" i="14"/>
  <c r="J397" i="14"/>
  <c r="K397" i="14"/>
  <c r="M397" i="14"/>
  <c r="N397" i="14"/>
  <c r="O397" i="14"/>
  <c r="P397" i="14"/>
  <c r="Q397" i="14"/>
  <c r="Q100" i="11"/>
  <c r="Q99" i="11"/>
  <c r="I109" i="12" l="1"/>
  <c r="M389" i="14" s="1"/>
  <c r="K109" i="12"/>
  <c r="O389" i="14" s="1"/>
  <c r="L109" i="12"/>
  <c r="P389" i="14" s="1"/>
  <c r="I110" i="12"/>
  <c r="M390" i="14" s="1"/>
  <c r="K110" i="12"/>
  <c r="O390" i="14" s="1"/>
  <c r="L110" i="12"/>
  <c r="P390" i="14" s="1"/>
  <c r="Q98" i="11" l="1"/>
  <c r="Q97" i="11"/>
  <c r="AA388" i="14" l="1"/>
  <c r="I108" i="12"/>
  <c r="M388" i="14" s="1"/>
  <c r="K108" i="12"/>
  <c r="O388" i="14" s="1"/>
  <c r="L108" i="12"/>
  <c r="P388" i="14" s="1"/>
  <c r="Q96" i="11"/>
  <c r="Q95" i="11"/>
  <c r="Q94" i="11"/>
  <c r="AA387" i="14"/>
  <c r="C75" i="11"/>
  <c r="Q75" i="11" s="1"/>
  <c r="I75" i="11"/>
  <c r="J75" i="11"/>
  <c r="I87" i="12" s="1"/>
  <c r="M367" i="14" s="1"/>
  <c r="L75" i="11"/>
  <c r="K87" i="12" s="1"/>
  <c r="M75" i="11"/>
  <c r="N75" i="11"/>
  <c r="K75" i="11"/>
  <c r="D86" i="12"/>
  <c r="E86" i="12"/>
  <c r="F86" i="12"/>
  <c r="J366" i="14" s="1"/>
  <c r="G86" i="12"/>
  <c r="K366" i="14" s="1"/>
  <c r="I86" i="12"/>
  <c r="K86" i="12"/>
  <c r="O366" i="14" s="1"/>
  <c r="AA367" i="14"/>
  <c r="C76" i="11"/>
  <c r="Q76" i="11" s="1"/>
  <c r="I76" i="11"/>
  <c r="J76" i="11"/>
  <c r="I88" i="12" s="1"/>
  <c r="M368" i="14" s="1"/>
  <c r="L76" i="11"/>
  <c r="K88" i="12" s="1"/>
  <c r="M76" i="11"/>
  <c r="N76" i="11"/>
  <c r="K76" i="11"/>
  <c r="AA368" i="14"/>
  <c r="C77" i="11"/>
  <c r="Q77" i="11" s="1"/>
  <c r="I77" i="11"/>
  <c r="J77" i="11"/>
  <c r="I89" i="12" s="1"/>
  <c r="L77" i="11"/>
  <c r="K89" i="12" s="1"/>
  <c r="M77" i="11"/>
  <c r="N77" i="11"/>
  <c r="K77" i="11"/>
  <c r="AA369" i="14"/>
  <c r="C78" i="11"/>
  <c r="Q78" i="11" s="1"/>
  <c r="I78" i="11"/>
  <c r="J78" i="11"/>
  <c r="I90" i="12" s="1"/>
  <c r="L78" i="11"/>
  <c r="K90" i="12"/>
  <c r="M78" i="11"/>
  <c r="N78" i="11"/>
  <c r="K78" i="11"/>
  <c r="AA370" i="14"/>
  <c r="C79" i="11"/>
  <c r="Q79" i="11" s="1"/>
  <c r="I79" i="11"/>
  <c r="J79" i="11"/>
  <c r="I91" i="12" s="1"/>
  <c r="L79" i="11"/>
  <c r="K91" i="12" s="1"/>
  <c r="M79" i="11"/>
  <c r="N79" i="11"/>
  <c r="K79" i="11"/>
  <c r="AA371" i="14"/>
  <c r="C80" i="11"/>
  <c r="Q80" i="11" s="1"/>
  <c r="I80" i="11"/>
  <c r="H92" i="12" s="1"/>
  <c r="J80" i="11"/>
  <c r="I92" i="12" s="1"/>
  <c r="M372" i="14" s="1"/>
  <c r="L80" i="11"/>
  <c r="K92" i="12" s="1"/>
  <c r="M80" i="11"/>
  <c r="N80" i="11"/>
  <c r="K80" i="11"/>
  <c r="AA372" i="14"/>
  <c r="C81" i="11"/>
  <c r="Q81" i="11" s="1"/>
  <c r="I81" i="11"/>
  <c r="J81" i="11"/>
  <c r="I93" i="12" s="1"/>
  <c r="L81" i="11"/>
  <c r="K93" i="12" s="1"/>
  <c r="M81" i="11"/>
  <c r="N81" i="11"/>
  <c r="K81" i="11"/>
  <c r="AA373" i="14"/>
  <c r="C82" i="11"/>
  <c r="Q82" i="11" s="1"/>
  <c r="I82" i="11"/>
  <c r="J82" i="11"/>
  <c r="I94" i="12" s="1"/>
  <c r="L82" i="11"/>
  <c r="K94" i="12" s="1"/>
  <c r="M82" i="11"/>
  <c r="N82" i="11"/>
  <c r="K82" i="11"/>
  <c r="AA374" i="14"/>
  <c r="I83" i="11"/>
  <c r="J83" i="11"/>
  <c r="I95" i="12" s="1"/>
  <c r="L83" i="11"/>
  <c r="K95" i="12" s="1"/>
  <c r="M83" i="11"/>
  <c r="N83" i="11"/>
  <c r="K83" i="11"/>
  <c r="AA375" i="14"/>
  <c r="I96" i="12"/>
  <c r="M376" i="14" s="1"/>
  <c r="K96" i="12"/>
  <c r="O376" i="14" s="1"/>
  <c r="N84" i="11"/>
  <c r="L96" i="12" s="1"/>
  <c r="P376" i="14" s="1"/>
  <c r="AA376" i="14"/>
  <c r="J85" i="11"/>
  <c r="I97" i="12" s="1"/>
  <c r="K97" i="12"/>
  <c r="N85" i="11"/>
  <c r="L97" i="12" s="1"/>
  <c r="P377" i="14" s="1"/>
  <c r="AA377" i="14"/>
  <c r="I98" i="12"/>
  <c r="M378" i="14" s="1"/>
  <c r="K98" i="12"/>
  <c r="O378" i="14" s="1"/>
  <c r="N86" i="11"/>
  <c r="L98" i="12" s="1"/>
  <c r="AA378" i="14"/>
  <c r="I99" i="12"/>
  <c r="M379" i="14" s="1"/>
  <c r="K99" i="12"/>
  <c r="O379" i="14" s="1"/>
  <c r="L99" i="12"/>
  <c r="P379" i="14" s="1"/>
  <c r="AA379" i="14"/>
  <c r="I100" i="12"/>
  <c r="M380" i="14" s="1"/>
  <c r="K100" i="12"/>
  <c r="O380" i="14" s="1"/>
  <c r="L100" i="12"/>
  <c r="P380" i="14" s="1"/>
  <c r="AA380" i="14"/>
  <c r="I101" i="12"/>
  <c r="M381" i="14" s="1"/>
  <c r="K101" i="12"/>
  <c r="O381" i="14" s="1"/>
  <c r="L101" i="12"/>
  <c r="P381" i="14" s="1"/>
  <c r="AA381" i="14"/>
  <c r="I102" i="12"/>
  <c r="M382" i="14" s="1"/>
  <c r="K102" i="12"/>
  <c r="O382" i="14" s="1"/>
  <c r="L102" i="12"/>
  <c r="P382" i="14" s="1"/>
  <c r="AA382" i="14"/>
  <c r="I103" i="12"/>
  <c r="M383" i="14" s="1"/>
  <c r="K103" i="12"/>
  <c r="O383" i="14" s="1"/>
  <c r="L103" i="12"/>
  <c r="P383" i="14" s="1"/>
  <c r="AA383" i="14"/>
  <c r="I104" i="12"/>
  <c r="M384" i="14" s="1"/>
  <c r="K104" i="12"/>
  <c r="O384" i="14" s="1"/>
  <c r="L104" i="12"/>
  <c r="P384" i="14" s="1"/>
  <c r="AA384" i="14"/>
  <c r="I105" i="12"/>
  <c r="M385" i="14" s="1"/>
  <c r="K105" i="12"/>
  <c r="O385" i="14" s="1"/>
  <c r="L105" i="12"/>
  <c r="P385" i="14" s="1"/>
  <c r="AA385" i="14"/>
  <c r="T480" i="14"/>
  <c r="AA386" i="14"/>
  <c r="T214" i="14"/>
  <c r="T218" i="14" s="1"/>
  <c r="T217" i="14"/>
  <c r="T219" i="14"/>
  <c r="T222" i="14"/>
  <c r="T223" i="14"/>
  <c r="T224" i="14"/>
  <c r="T227" i="14"/>
  <c r="T230" i="14"/>
  <c r="T232" i="14"/>
  <c r="T233" i="14"/>
  <c r="U233" i="14" s="1"/>
  <c r="T235" i="14"/>
  <c r="T237" i="14"/>
  <c r="T238" i="14"/>
  <c r="T239" i="14"/>
  <c r="T240" i="14"/>
  <c r="T241" i="14"/>
  <c r="T243" i="14"/>
  <c r="T245" i="14"/>
  <c r="T246" i="14"/>
  <c r="U246" i="14" s="1"/>
  <c r="T247" i="14"/>
  <c r="T248" i="14"/>
  <c r="T249" i="14"/>
  <c r="U249" i="14" s="1"/>
  <c r="T251" i="14"/>
  <c r="T253" i="14"/>
  <c r="T254" i="14"/>
  <c r="T255" i="14"/>
  <c r="T256" i="14"/>
  <c r="T257" i="14"/>
  <c r="T259" i="14"/>
  <c r="T261" i="14"/>
  <c r="T262" i="14"/>
  <c r="U262" i="14" s="1"/>
  <c r="T263" i="14"/>
  <c r="T264" i="14"/>
  <c r="T265" i="14"/>
  <c r="U265" i="14" s="1"/>
  <c r="T266" i="14"/>
  <c r="T267" i="14"/>
  <c r="T269" i="14"/>
  <c r="T270" i="14"/>
  <c r="U270" i="14" s="1"/>
  <c r="T271" i="14"/>
  <c r="T272" i="14"/>
  <c r="T273" i="14"/>
  <c r="U273" i="14" s="1"/>
  <c r="T274" i="14"/>
  <c r="T275" i="14"/>
  <c r="U275" i="14" s="1"/>
  <c r="T277" i="14"/>
  <c r="T278" i="14"/>
  <c r="T279" i="14"/>
  <c r="T280" i="14"/>
  <c r="T281" i="14"/>
  <c r="T282" i="14"/>
  <c r="T283" i="14"/>
  <c r="U283" i="14" s="1"/>
  <c r="T285" i="14"/>
  <c r="T286" i="14"/>
  <c r="T287" i="14"/>
  <c r="T288" i="14"/>
  <c r="T289" i="14"/>
  <c r="U289" i="14" s="1"/>
  <c r="T290" i="14"/>
  <c r="T291" i="14"/>
  <c r="U291" i="14" s="1"/>
  <c r="T293" i="14"/>
  <c r="T294" i="14"/>
  <c r="T295" i="14"/>
  <c r="T296" i="14"/>
  <c r="T216" i="14"/>
  <c r="U282" i="14"/>
  <c r="F45" i="11"/>
  <c r="F46" i="11"/>
  <c r="F47" i="11"/>
  <c r="F48" i="11"/>
  <c r="F49" i="11"/>
  <c r="F50" i="11"/>
  <c r="F51" i="11"/>
  <c r="F52" i="11"/>
  <c r="F53" i="11"/>
  <c r="F54" i="11"/>
  <c r="D45" i="11"/>
  <c r="B45" i="11" s="1"/>
  <c r="E45" i="11"/>
  <c r="M57" i="12" s="1"/>
  <c r="G45" i="11"/>
  <c r="G57" i="12" s="1"/>
  <c r="D46" i="11"/>
  <c r="B46" i="11" s="1"/>
  <c r="E46" i="11"/>
  <c r="G46" i="11"/>
  <c r="D47" i="11"/>
  <c r="E47" i="11"/>
  <c r="G47" i="11"/>
  <c r="G59" i="12" s="1"/>
  <c r="D48" i="11"/>
  <c r="E48" i="11"/>
  <c r="G48" i="11"/>
  <c r="D49" i="11"/>
  <c r="E49" i="11"/>
  <c r="G49" i="11"/>
  <c r="G61" i="12" s="1"/>
  <c r="D50" i="11"/>
  <c r="E50" i="11"/>
  <c r="G50" i="11"/>
  <c r="D51" i="11"/>
  <c r="E51" i="11"/>
  <c r="G51" i="11"/>
  <c r="G63" i="12" s="1"/>
  <c r="D52" i="11"/>
  <c r="E52" i="11"/>
  <c r="G52" i="11"/>
  <c r="D53" i="11"/>
  <c r="E53" i="11"/>
  <c r="G53" i="11"/>
  <c r="D54" i="11"/>
  <c r="E54" i="11"/>
  <c r="G54" i="11"/>
  <c r="E6" i="10"/>
  <c r="D65" i="11"/>
  <c r="E65" i="11"/>
  <c r="F65" i="11"/>
  <c r="G65" i="11"/>
  <c r="G77" i="12" s="1"/>
  <c r="D66" i="11"/>
  <c r="E66" i="11"/>
  <c r="F66" i="11"/>
  <c r="G66" i="11"/>
  <c r="G78" i="12" s="1"/>
  <c r="B67" i="11"/>
  <c r="B68" i="11"/>
  <c r="B69" i="11"/>
  <c r="B70" i="11"/>
  <c r="B71" i="11"/>
  <c r="B72" i="11"/>
  <c r="B73" i="11"/>
  <c r="B74" i="11"/>
  <c r="E7" i="10"/>
  <c r="E8" i="10"/>
  <c r="E9" i="10"/>
  <c r="E10" i="10"/>
  <c r="E11" i="10"/>
  <c r="Q11" i="10" s="1"/>
  <c r="B10" i="11" s="1"/>
  <c r="N11" i="10"/>
  <c r="U11" i="10" s="1"/>
  <c r="L10" i="11" s="1"/>
  <c r="K22" i="12" s="1"/>
  <c r="F11" i="10"/>
  <c r="R11" i="10"/>
  <c r="I10" i="11" s="1"/>
  <c r="G11" i="10"/>
  <c r="S11" i="10" s="1"/>
  <c r="J10" i="11" s="1"/>
  <c r="I22" i="12" s="1"/>
  <c r="I11" i="10"/>
  <c r="J11" i="10"/>
  <c r="V11" i="10" s="1"/>
  <c r="M10" i="11" s="1"/>
  <c r="K11" i="10"/>
  <c r="W11" i="10"/>
  <c r="N10" i="11" s="1"/>
  <c r="H11" i="10"/>
  <c r="T11" i="10" s="1"/>
  <c r="K10" i="11" s="1"/>
  <c r="E12" i="10"/>
  <c r="F12" i="10"/>
  <c r="G12" i="10"/>
  <c r="I12" i="10"/>
  <c r="J12" i="10"/>
  <c r="K12" i="10"/>
  <c r="H12" i="10"/>
  <c r="E13" i="10"/>
  <c r="F13" i="10"/>
  <c r="G13" i="10"/>
  <c r="I13" i="10"/>
  <c r="J13" i="10"/>
  <c r="K13" i="10"/>
  <c r="H13" i="10"/>
  <c r="E14" i="10"/>
  <c r="F14" i="10"/>
  <c r="G14" i="10"/>
  <c r="I14" i="10"/>
  <c r="J14" i="10"/>
  <c r="K14" i="10"/>
  <c r="H14" i="10"/>
  <c r="E15" i="10"/>
  <c r="F15" i="10"/>
  <c r="G15" i="10"/>
  <c r="I15" i="10"/>
  <c r="J15" i="10"/>
  <c r="K15" i="10"/>
  <c r="H15" i="10"/>
  <c r="E16" i="10"/>
  <c r="N16" i="10"/>
  <c r="Q16" i="10"/>
  <c r="B15" i="11"/>
  <c r="F16" i="10"/>
  <c r="R16" i="10"/>
  <c r="I15" i="11" s="1"/>
  <c r="G16" i="10"/>
  <c r="S16" i="10" s="1"/>
  <c r="J15" i="11" s="1"/>
  <c r="I27" i="12" s="1"/>
  <c r="I16" i="10"/>
  <c r="U16" i="10" s="1"/>
  <c r="L15" i="11" s="1"/>
  <c r="K27" i="12" s="1"/>
  <c r="O307" i="14" s="1"/>
  <c r="J16" i="10"/>
  <c r="V16" i="10"/>
  <c r="M15" i="11"/>
  <c r="K16" i="10"/>
  <c r="W16" i="10"/>
  <c r="N15" i="11" s="1"/>
  <c r="H16" i="10"/>
  <c r="T16" i="10" s="1"/>
  <c r="K15" i="11" s="1"/>
  <c r="E17" i="10"/>
  <c r="F17" i="10"/>
  <c r="G17" i="10"/>
  <c r="I17" i="10"/>
  <c r="J17" i="10"/>
  <c r="K17" i="10"/>
  <c r="H17" i="10"/>
  <c r="E18" i="10"/>
  <c r="F18" i="10"/>
  <c r="G18" i="10"/>
  <c r="I18" i="10"/>
  <c r="J18" i="10"/>
  <c r="K18" i="10"/>
  <c r="H18" i="10"/>
  <c r="E19" i="10"/>
  <c r="F19" i="10"/>
  <c r="G19" i="10"/>
  <c r="I19" i="10"/>
  <c r="J19" i="10"/>
  <c r="K19" i="10"/>
  <c r="H19" i="10"/>
  <c r="E20" i="10"/>
  <c r="F20" i="10"/>
  <c r="G20" i="10"/>
  <c r="I20" i="10"/>
  <c r="J20" i="10"/>
  <c r="K20" i="10"/>
  <c r="H20" i="10"/>
  <c r="E21" i="10"/>
  <c r="N21" i="10"/>
  <c r="F21" i="10"/>
  <c r="G21" i="10"/>
  <c r="I21" i="10"/>
  <c r="J21" i="10"/>
  <c r="K21" i="10"/>
  <c r="H21" i="10"/>
  <c r="T21" i="10" s="1"/>
  <c r="K20" i="11" s="1"/>
  <c r="E22" i="10"/>
  <c r="F22" i="10"/>
  <c r="G22" i="10"/>
  <c r="I22" i="10"/>
  <c r="J22" i="10"/>
  <c r="K22" i="10"/>
  <c r="H22" i="10"/>
  <c r="E23" i="10"/>
  <c r="F23" i="10"/>
  <c r="G23" i="10"/>
  <c r="I23" i="10"/>
  <c r="J23" i="10"/>
  <c r="K23" i="10"/>
  <c r="H23" i="10"/>
  <c r="E24" i="10"/>
  <c r="F24" i="10"/>
  <c r="G24" i="10"/>
  <c r="I24" i="10"/>
  <c r="J24" i="10"/>
  <c r="K24" i="10"/>
  <c r="H24" i="10"/>
  <c r="E25" i="10"/>
  <c r="F25" i="10"/>
  <c r="G25" i="10"/>
  <c r="I25" i="10"/>
  <c r="J25" i="10"/>
  <c r="K25" i="10"/>
  <c r="H25" i="10"/>
  <c r="E26" i="10"/>
  <c r="N26" i="10"/>
  <c r="Q26" i="10"/>
  <c r="B25" i="11" s="1"/>
  <c r="F26" i="10"/>
  <c r="R26" i="10"/>
  <c r="I25" i="11" s="1"/>
  <c r="G26" i="10"/>
  <c r="S26" i="10"/>
  <c r="J25" i="11"/>
  <c r="I37" i="12" s="1"/>
  <c r="I26" i="10"/>
  <c r="U26" i="10"/>
  <c r="L25" i="11" s="1"/>
  <c r="K37" i="12" s="1"/>
  <c r="J26" i="10"/>
  <c r="V26" i="10" s="1"/>
  <c r="M25" i="11" s="1"/>
  <c r="K26" i="10"/>
  <c r="W26" i="10" s="1"/>
  <c r="N25" i="11" s="1"/>
  <c r="H26" i="10"/>
  <c r="T26" i="10"/>
  <c r="K25" i="11" s="1"/>
  <c r="E27" i="10"/>
  <c r="F27" i="10"/>
  <c r="G27" i="10"/>
  <c r="I27" i="10"/>
  <c r="J27" i="10"/>
  <c r="K27" i="10"/>
  <c r="H27" i="10"/>
  <c r="E28" i="10"/>
  <c r="F28" i="10"/>
  <c r="G28" i="10"/>
  <c r="I28" i="10"/>
  <c r="J28" i="10"/>
  <c r="K28" i="10"/>
  <c r="H28" i="10"/>
  <c r="E29" i="10"/>
  <c r="F29" i="10"/>
  <c r="G29" i="10"/>
  <c r="I29" i="10"/>
  <c r="J29" i="10"/>
  <c r="K29" i="10"/>
  <c r="H29" i="10"/>
  <c r="E30" i="10"/>
  <c r="F30" i="10"/>
  <c r="G30" i="10"/>
  <c r="I30" i="10"/>
  <c r="J30" i="10"/>
  <c r="K30" i="10"/>
  <c r="H30" i="10"/>
  <c r="E31" i="10"/>
  <c r="N31" i="10"/>
  <c r="Q31" i="10"/>
  <c r="B30" i="11" s="1"/>
  <c r="F31" i="10"/>
  <c r="R31" i="10" s="1"/>
  <c r="I30" i="11" s="1"/>
  <c r="G31" i="10"/>
  <c r="S31" i="10" s="1"/>
  <c r="J30" i="11" s="1"/>
  <c r="I42" i="12" s="1"/>
  <c r="I31" i="10"/>
  <c r="U31" i="10"/>
  <c r="L30" i="11" s="1"/>
  <c r="K42" i="12" s="1"/>
  <c r="J31" i="10"/>
  <c r="V31" i="10"/>
  <c r="M30" i="11" s="1"/>
  <c r="K31" i="10"/>
  <c r="W31" i="10" s="1"/>
  <c r="N30" i="11"/>
  <c r="H31" i="10"/>
  <c r="T31" i="10" s="1"/>
  <c r="K30" i="11" s="1"/>
  <c r="E32" i="10"/>
  <c r="F32" i="10"/>
  <c r="G32" i="10"/>
  <c r="I32" i="10"/>
  <c r="J32" i="10"/>
  <c r="K32" i="10"/>
  <c r="H32" i="10"/>
  <c r="E33" i="10"/>
  <c r="F33" i="10"/>
  <c r="G33" i="10"/>
  <c r="I33" i="10"/>
  <c r="J33" i="10"/>
  <c r="K33" i="10"/>
  <c r="H33" i="10"/>
  <c r="E34" i="10"/>
  <c r="F34" i="10"/>
  <c r="G34" i="10"/>
  <c r="I34" i="10"/>
  <c r="J34" i="10"/>
  <c r="K34" i="10"/>
  <c r="H34" i="10"/>
  <c r="E35" i="10"/>
  <c r="F35" i="10"/>
  <c r="G35" i="10"/>
  <c r="I35" i="10"/>
  <c r="J35" i="10"/>
  <c r="K35" i="10"/>
  <c r="H35" i="10"/>
  <c r="E36" i="10"/>
  <c r="Q36" i="10" s="1"/>
  <c r="B35" i="11" s="1"/>
  <c r="N36" i="10"/>
  <c r="F36" i="10"/>
  <c r="R36" i="10" s="1"/>
  <c r="I35" i="11" s="1"/>
  <c r="G36" i="10"/>
  <c r="S36" i="10" s="1"/>
  <c r="J35" i="11" s="1"/>
  <c r="I47" i="12" s="1"/>
  <c r="I36" i="10"/>
  <c r="U36" i="10" s="1"/>
  <c r="L35" i="11" s="1"/>
  <c r="K47" i="12" s="1"/>
  <c r="J36" i="10"/>
  <c r="V36" i="10" s="1"/>
  <c r="M35" i="11" s="1"/>
  <c r="K36" i="10"/>
  <c r="W36" i="10" s="1"/>
  <c r="N35" i="11" s="1"/>
  <c r="H36" i="10"/>
  <c r="T36" i="10" s="1"/>
  <c r="K35" i="11" s="1"/>
  <c r="E37" i="10"/>
  <c r="N37" i="10"/>
  <c r="Q37" i="10"/>
  <c r="B36" i="11" s="1"/>
  <c r="F37" i="10"/>
  <c r="R37" i="10" s="1"/>
  <c r="I36" i="11" s="1"/>
  <c r="H48" i="12" s="1"/>
  <c r="G37" i="10"/>
  <c r="S37" i="10" s="1"/>
  <c r="J36" i="11" s="1"/>
  <c r="I48" i="12" s="1"/>
  <c r="I37" i="10"/>
  <c r="U37" i="10"/>
  <c r="L36" i="11" s="1"/>
  <c r="K48" i="12" s="1"/>
  <c r="J37" i="10"/>
  <c r="V37" i="10"/>
  <c r="M36" i="11" s="1"/>
  <c r="K37" i="10"/>
  <c r="W37" i="10" s="1"/>
  <c r="N36" i="11"/>
  <c r="H37" i="10"/>
  <c r="T37" i="10" s="1"/>
  <c r="K36" i="11" s="1"/>
  <c r="E38" i="10"/>
  <c r="N38" i="10"/>
  <c r="Q38" i="10" s="1"/>
  <c r="B37" i="11" s="1"/>
  <c r="F38" i="10"/>
  <c r="R38" i="10" s="1"/>
  <c r="I37" i="11" s="1"/>
  <c r="G38" i="10"/>
  <c r="S38" i="10"/>
  <c r="J37" i="11"/>
  <c r="I49" i="12" s="1"/>
  <c r="I38" i="10"/>
  <c r="U38" i="10" s="1"/>
  <c r="L37" i="11" s="1"/>
  <c r="K49" i="12" s="1"/>
  <c r="O329" i="14" s="1"/>
  <c r="J38" i="10"/>
  <c r="V38" i="10" s="1"/>
  <c r="M37" i="11" s="1"/>
  <c r="K38" i="10"/>
  <c r="W38" i="10" s="1"/>
  <c r="N37" i="11" s="1"/>
  <c r="H38" i="10"/>
  <c r="T38" i="10"/>
  <c r="K37" i="11"/>
  <c r="E39" i="10"/>
  <c r="Q39" i="10" s="1"/>
  <c r="B38" i="11" s="1"/>
  <c r="N39" i="10"/>
  <c r="F39" i="10"/>
  <c r="R39" i="10"/>
  <c r="I38" i="11"/>
  <c r="G39" i="10"/>
  <c r="S39" i="10"/>
  <c r="J38" i="11" s="1"/>
  <c r="I50" i="12" s="1"/>
  <c r="I39" i="10"/>
  <c r="U39" i="10" s="1"/>
  <c r="L38" i="11" s="1"/>
  <c r="K50" i="12" s="1"/>
  <c r="O330" i="14" s="1"/>
  <c r="J39" i="10"/>
  <c r="V39" i="10"/>
  <c r="M38" i="11"/>
  <c r="K39" i="10"/>
  <c r="W39" i="10"/>
  <c r="N38" i="11"/>
  <c r="H39" i="10"/>
  <c r="T39" i="10"/>
  <c r="K38" i="11" s="1"/>
  <c r="E40" i="10"/>
  <c r="N40" i="10"/>
  <c r="F40" i="10"/>
  <c r="G40" i="10"/>
  <c r="I40" i="10"/>
  <c r="J40" i="10"/>
  <c r="V40" i="10" s="1"/>
  <c r="M39" i="11" s="1"/>
  <c r="K40" i="10"/>
  <c r="H40" i="10"/>
  <c r="E41" i="10"/>
  <c r="N41" i="10"/>
  <c r="Q41" i="10"/>
  <c r="B40" i="11"/>
  <c r="F41" i="10"/>
  <c r="R41" i="10" s="1"/>
  <c r="I40" i="11" s="1"/>
  <c r="H52" i="12" s="1"/>
  <c r="G41" i="10"/>
  <c r="S41" i="10" s="1"/>
  <c r="J40" i="11" s="1"/>
  <c r="I52" i="12" s="1"/>
  <c r="I41" i="10"/>
  <c r="U41" i="10" s="1"/>
  <c r="L40" i="11" s="1"/>
  <c r="K52" i="12" s="1"/>
  <c r="J41" i="10"/>
  <c r="V41" i="10"/>
  <c r="M40" i="11"/>
  <c r="K41" i="10"/>
  <c r="W41" i="10" s="1"/>
  <c r="N40" i="11" s="1"/>
  <c r="H41" i="10"/>
  <c r="T41" i="10" s="1"/>
  <c r="K40" i="11" s="1"/>
  <c r="E42" i="10"/>
  <c r="Q42" i="10" s="1"/>
  <c r="B41" i="11" s="1"/>
  <c r="F42" i="10"/>
  <c r="R42" i="10"/>
  <c r="I41" i="11"/>
  <c r="G42" i="10"/>
  <c r="S42" i="10" s="1"/>
  <c r="J41" i="11" s="1"/>
  <c r="I53" i="12" s="1"/>
  <c r="I42" i="10"/>
  <c r="U42" i="10" s="1"/>
  <c r="L41" i="11" s="1"/>
  <c r="K53" i="12" s="1"/>
  <c r="J42" i="10"/>
  <c r="V42" i="10" s="1"/>
  <c r="M41" i="11" s="1"/>
  <c r="L53" i="12" s="1"/>
  <c r="K42" i="10"/>
  <c r="W42" i="10"/>
  <c r="N41" i="11"/>
  <c r="H42" i="10"/>
  <c r="T42" i="10" s="1"/>
  <c r="K41" i="11" s="1"/>
  <c r="E43" i="10"/>
  <c r="Q43" i="10" s="1"/>
  <c r="B42" i="11" s="1"/>
  <c r="F43" i="10"/>
  <c r="R43" i="10" s="1"/>
  <c r="I42" i="11" s="1"/>
  <c r="G43" i="10"/>
  <c r="S43" i="10"/>
  <c r="J42" i="11"/>
  <c r="I54" i="12" s="1"/>
  <c r="I43" i="10"/>
  <c r="U43" i="10"/>
  <c r="L42" i="11" s="1"/>
  <c r="K54" i="12" s="1"/>
  <c r="J43" i="10"/>
  <c r="V43" i="10" s="1"/>
  <c r="M42" i="11" s="1"/>
  <c r="K43" i="10"/>
  <c r="W43" i="10" s="1"/>
  <c r="N42" i="11" s="1"/>
  <c r="H43" i="10"/>
  <c r="T43" i="10"/>
  <c r="K42" i="11" s="1"/>
  <c r="E44" i="10"/>
  <c r="Q44" i="10"/>
  <c r="B43" i="11" s="1"/>
  <c r="F44" i="10"/>
  <c r="R44" i="10" s="1"/>
  <c r="I43" i="11" s="1"/>
  <c r="G44" i="10"/>
  <c r="S44" i="10" s="1"/>
  <c r="J43" i="11" s="1"/>
  <c r="I55" i="12" s="1"/>
  <c r="I44" i="10"/>
  <c r="U44" i="10"/>
  <c r="L43" i="11"/>
  <c r="K55" i="12" s="1"/>
  <c r="J44" i="10"/>
  <c r="V44" i="10"/>
  <c r="M43" i="11"/>
  <c r="K44" i="10"/>
  <c r="W44" i="10" s="1"/>
  <c r="N43" i="11" s="1"/>
  <c r="H44" i="10"/>
  <c r="T44" i="10" s="1"/>
  <c r="K43" i="11" s="1"/>
  <c r="E45" i="10"/>
  <c r="Q45" i="10"/>
  <c r="B44" i="11" s="1"/>
  <c r="F45" i="10"/>
  <c r="R45" i="10"/>
  <c r="I44" i="11" s="1"/>
  <c r="G45" i="10"/>
  <c r="S45" i="10" s="1"/>
  <c r="J44" i="11" s="1"/>
  <c r="I56" i="12" s="1"/>
  <c r="I45" i="10"/>
  <c r="U45" i="10" s="1"/>
  <c r="L44" i="11" s="1"/>
  <c r="K56" i="12" s="1"/>
  <c r="J45" i="10"/>
  <c r="V45" i="10"/>
  <c r="M44" i="11"/>
  <c r="K45" i="10"/>
  <c r="W45" i="10"/>
  <c r="N44" i="11" s="1"/>
  <c r="H45" i="10"/>
  <c r="T45" i="10" s="1"/>
  <c r="K44" i="11" s="1"/>
  <c r="I57" i="12"/>
  <c r="K57" i="12"/>
  <c r="L57" i="12"/>
  <c r="P337" i="14" s="1"/>
  <c r="G58" i="12"/>
  <c r="I58" i="12"/>
  <c r="K58" i="12"/>
  <c r="I59" i="12"/>
  <c r="K59" i="12"/>
  <c r="G60" i="12"/>
  <c r="I60" i="12"/>
  <c r="K60" i="12"/>
  <c r="I61" i="12"/>
  <c r="M341" i="14" s="1"/>
  <c r="K61" i="12"/>
  <c r="G62" i="12"/>
  <c r="I62" i="12"/>
  <c r="K62" i="12"/>
  <c r="I63" i="12"/>
  <c r="K63" i="12"/>
  <c r="I64" i="12"/>
  <c r="M344" i="14" s="1"/>
  <c r="K64" i="12"/>
  <c r="G65" i="12"/>
  <c r="I65" i="12"/>
  <c r="M345" i="14" s="1"/>
  <c r="K65" i="12"/>
  <c r="I66" i="12"/>
  <c r="K66" i="12"/>
  <c r="F55" i="11"/>
  <c r="D55" i="11"/>
  <c r="E55" i="11"/>
  <c r="G55" i="11"/>
  <c r="G67" i="12" s="1"/>
  <c r="I67" i="12"/>
  <c r="K67" i="12"/>
  <c r="O347" i="14" s="1"/>
  <c r="F56" i="11"/>
  <c r="D56" i="11"/>
  <c r="E56" i="11"/>
  <c r="G56" i="11"/>
  <c r="G68" i="12" s="1"/>
  <c r="I68" i="12"/>
  <c r="K68" i="12"/>
  <c r="F57" i="11"/>
  <c r="D57" i="11"/>
  <c r="E57" i="11"/>
  <c r="G57" i="11"/>
  <c r="G69" i="12" s="1"/>
  <c r="I69" i="12"/>
  <c r="K69" i="12"/>
  <c r="O349" i="14" s="1"/>
  <c r="F58" i="11"/>
  <c r="D58" i="11"/>
  <c r="E58" i="11"/>
  <c r="G58" i="11"/>
  <c r="G70" i="12" s="1"/>
  <c r="I70" i="12"/>
  <c r="M350" i="14" s="1"/>
  <c r="K70" i="12"/>
  <c r="F59" i="11"/>
  <c r="D59" i="11"/>
  <c r="E59" i="11"/>
  <c r="G59" i="11"/>
  <c r="G71" i="12" s="1"/>
  <c r="I71" i="12"/>
  <c r="K71" i="12"/>
  <c r="F60" i="11"/>
  <c r="D60" i="11"/>
  <c r="E60" i="11"/>
  <c r="G60" i="11"/>
  <c r="G72" i="12" s="1"/>
  <c r="I72" i="12"/>
  <c r="K72" i="12"/>
  <c r="O352" i="14" s="1"/>
  <c r="F61" i="11"/>
  <c r="D61" i="11"/>
  <c r="E61" i="11"/>
  <c r="G61" i="11"/>
  <c r="G73" i="12" s="1"/>
  <c r="I73" i="12"/>
  <c r="K73" i="12"/>
  <c r="F62" i="11"/>
  <c r="D62" i="11"/>
  <c r="E62" i="11"/>
  <c r="G62" i="11"/>
  <c r="G74" i="12" s="1"/>
  <c r="I74" i="12"/>
  <c r="K74" i="12"/>
  <c r="F63" i="11"/>
  <c r="D63" i="11"/>
  <c r="E63" i="11"/>
  <c r="G63" i="11"/>
  <c r="G75" i="12" s="1"/>
  <c r="K355" i="14" s="1"/>
  <c r="I75" i="12"/>
  <c r="K75" i="12"/>
  <c r="O355" i="14" s="1"/>
  <c r="F64" i="11"/>
  <c r="D64" i="11"/>
  <c r="E64" i="11"/>
  <c r="G64" i="11"/>
  <c r="G76" i="12" s="1"/>
  <c r="I76" i="12"/>
  <c r="M356" i="14" s="1"/>
  <c r="K76" i="12"/>
  <c r="I77" i="12"/>
  <c r="M357" i="14" s="1"/>
  <c r="K77" i="12"/>
  <c r="I78" i="12"/>
  <c r="K78" i="12"/>
  <c r="D79" i="12"/>
  <c r="E79" i="12"/>
  <c r="F79" i="12"/>
  <c r="G79" i="12"/>
  <c r="I79" i="12"/>
  <c r="M359" i="14" s="1"/>
  <c r="K79" i="12"/>
  <c r="D80" i="12"/>
  <c r="E80" i="12"/>
  <c r="F80" i="12"/>
  <c r="J360" i="14" s="1"/>
  <c r="G80" i="12"/>
  <c r="I80" i="12"/>
  <c r="K80" i="12"/>
  <c r="D81" i="12"/>
  <c r="E81" i="12"/>
  <c r="F81" i="12"/>
  <c r="G81" i="12"/>
  <c r="I81" i="12"/>
  <c r="M361" i="14" s="1"/>
  <c r="K81" i="12"/>
  <c r="D82" i="12"/>
  <c r="E82" i="12"/>
  <c r="F82" i="12"/>
  <c r="J362" i="14" s="1"/>
  <c r="G82" i="12"/>
  <c r="I82" i="12"/>
  <c r="K82" i="12"/>
  <c r="D83" i="12"/>
  <c r="E83" i="12"/>
  <c r="F83" i="12"/>
  <c r="G83" i="12"/>
  <c r="I83" i="12"/>
  <c r="M363" i="14" s="1"/>
  <c r="K83" i="12"/>
  <c r="D84" i="12"/>
  <c r="E84" i="12"/>
  <c r="F84" i="12"/>
  <c r="J364" i="14" s="1"/>
  <c r="G84" i="12"/>
  <c r="I84" i="12"/>
  <c r="K84" i="12"/>
  <c r="D85" i="12"/>
  <c r="H365" i="14" s="1"/>
  <c r="E85" i="12"/>
  <c r="F85" i="12"/>
  <c r="G85" i="12"/>
  <c r="I85" i="12"/>
  <c r="M365" i="14" s="1"/>
  <c r="K85" i="12"/>
  <c r="U407" i="14"/>
  <c r="U426" i="14"/>
  <c r="U480" i="14"/>
  <c r="U483" i="14"/>
  <c r="X212" i="14"/>
  <c r="U444" i="14"/>
  <c r="U410" i="14"/>
  <c r="T410" i="14"/>
  <c r="Q88" i="11"/>
  <c r="Q93" i="11"/>
  <c r="Q91" i="11"/>
  <c r="Q92" i="11"/>
  <c r="Q90" i="11"/>
  <c r="Q85" i="11"/>
  <c r="Q86" i="11"/>
  <c r="Q87" i="11"/>
  <c r="Q89" i="11"/>
  <c r="DA413" i="14"/>
  <c r="DA414" i="14" s="1"/>
  <c r="CI380" i="14" s="1"/>
  <c r="DA412" i="14"/>
  <c r="CI376" i="14" s="1"/>
  <c r="DA411" i="14"/>
  <c r="CI372" i="14" s="1"/>
  <c r="CI369" i="14"/>
  <c r="CI366" i="14"/>
  <c r="CI363" i="14"/>
  <c r="CI360" i="14"/>
  <c r="CG434" i="14" s="1"/>
  <c r="CJ423" i="14"/>
  <c r="CG438" i="14" s="1"/>
  <c r="CJ424" i="14"/>
  <c r="CG439" i="14" s="1"/>
  <c r="CJ426" i="14"/>
  <c r="CG440" i="14" s="1"/>
  <c r="CF382" i="14"/>
  <c r="CH382" i="14" s="1"/>
  <c r="CH383" i="14" s="1"/>
  <c r="DA362" i="14" s="1"/>
  <c r="CI311" i="14"/>
  <c r="CI312" i="14"/>
  <c r="CI313" i="14"/>
  <c r="CI314" i="14"/>
  <c r="CI315" i="14"/>
  <c r="CI316" i="14"/>
  <c r="F299" i="14"/>
  <c r="A299" i="14" s="1"/>
  <c r="CQ382" i="14"/>
  <c r="CQ362" i="14"/>
  <c r="CQ361" i="14"/>
  <c r="CQ363" i="14"/>
  <c r="CQ364" i="14"/>
  <c r="CQ365" i="14"/>
  <c r="CQ366" i="14"/>
  <c r="CQ367" i="14"/>
  <c r="CQ368" i="14"/>
  <c r="CQ369" i="14"/>
  <c r="CQ370" i="14"/>
  <c r="CQ371" i="14"/>
  <c r="CQ372" i="14"/>
  <c r="CQ373" i="14"/>
  <c r="CQ374" i="14"/>
  <c r="CQ375" i="14"/>
  <c r="CQ376" i="14"/>
  <c r="CQ377" i="14"/>
  <c r="CQ378" i="14"/>
  <c r="CQ379" i="14"/>
  <c r="CQ380" i="14"/>
  <c r="CQ381" i="14"/>
  <c r="CQ360" i="14"/>
  <c r="L6" i="3"/>
  <c r="M6" i="3"/>
  <c r="O6" i="3"/>
  <c r="D7" i="3"/>
  <c r="D8" i="3" s="1"/>
  <c r="D9" i="3" s="1"/>
  <c r="D10" i="3" s="1"/>
  <c r="D11" i="3" s="1"/>
  <c r="D12" i="3" s="1"/>
  <c r="D13" i="3" s="1"/>
  <c r="D14" i="3" s="1"/>
  <c r="D15" i="3" s="1"/>
  <c r="D16" i="3" s="1"/>
  <c r="L7" i="3"/>
  <c r="M7" i="3" s="1"/>
  <c r="O7" i="3"/>
  <c r="L8" i="3"/>
  <c r="O8" i="3"/>
  <c r="L9" i="3"/>
  <c r="O9" i="3"/>
  <c r="L10" i="3"/>
  <c r="O10" i="3"/>
  <c r="L11" i="3"/>
  <c r="O11" i="3"/>
  <c r="L12" i="3"/>
  <c r="O12" i="3"/>
  <c r="L13" i="3"/>
  <c r="O13" i="3"/>
  <c r="L14" i="3"/>
  <c r="O14" i="3"/>
  <c r="L15" i="3"/>
  <c r="O15" i="3"/>
  <c r="L16" i="3"/>
  <c r="O16" i="3"/>
  <c r="L17" i="3"/>
  <c r="O17" i="3"/>
  <c r="E19" i="3"/>
  <c r="F19" i="3"/>
  <c r="G19" i="3"/>
  <c r="H19" i="3"/>
  <c r="I19" i="3"/>
  <c r="J19" i="3"/>
  <c r="K19" i="3"/>
  <c r="C4" i="7"/>
  <c r="B17" i="7"/>
  <c r="B18" i="7" s="1"/>
  <c r="P17" i="7"/>
  <c r="P18" i="7"/>
  <c r="B19" i="7"/>
  <c r="B20" i="7" s="1"/>
  <c r="B21" i="7" s="1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B32" i="7" s="1"/>
  <c r="B33" i="7" s="1"/>
  <c r="B34" i="7" s="1"/>
  <c r="B35" i="7" s="1"/>
  <c r="B36" i="7" s="1"/>
  <c r="B37" i="7" s="1"/>
  <c r="B38" i="7" s="1"/>
  <c r="B39" i="7" s="1"/>
  <c r="B40" i="7" s="1"/>
  <c r="B41" i="7" s="1"/>
  <c r="B42" i="7" s="1"/>
  <c r="B43" i="7" s="1"/>
  <c r="B44" i="7" s="1"/>
  <c r="B45" i="7" s="1"/>
  <c r="B46" i="7" s="1"/>
  <c r="B47" i="7" s="1"/>
  <c r="B48" i="7" s="1"/>
  <c r="B49" i="7" s="1"/>
  <c r="B50" i="7" s="1"/>
  <c r="B51" i="7" s="1"/>
  <c r="B52" i="7" s="1"/>
  <c r="B53" i="7" s="1"/>
  <c r="B54" i="7" s="1"/>
  <c r="B55" i="7" s="1"/>
  <c r="B56" i="7" s="1"/>
  <c r="B57" i="7" s="1"/>
  <c r="B58" i="7" s="1"/>
  <c r="B59" i="7" s="1"/>
  <c r="B60" i="7" s="1"/>
  <c r="B61" i="7" s="1"/>
  <c r="B62" i="7" s="1"/>
  <c r="B63" i="7" s="1"/>
  <c r="B64" i="7" s="1"/>
  <c r="B65" i="7" s="1"/>
  <c r="B66" i="7" s="1"/>
  <c r="B67" i="7" s="1"/>
  <c r="B68" i="7" s="1"/>
  <c r="B69" i="7" s="1"/>
  <c r="B70" i="7" s="1"/>
  <c r="B71" i="7" s="1"/>
  <c r="B72" i="7" s="1"/>
  <c r="B73" i="7" s="1"/>
  <c r="B74" i="7" s="1"/>
  <c r="B75" i="7" s="1"/>
  <c r="B76" i="7" s="1"/>
  <c r="B77" i="7" s="1"/>
  <c r="B78" i="7" s="1"/>
  <c r="B79" i="7" s="1"/>
  <c r="B80" i="7" s="1"/>
  <c r="B81" i="7" s="1"/>
  <c r="B82" i="7" s="1"/>
  <c r="B83" i="7" s="1"/>
  <c r="B84" i="7" s="1"/>
  <c r="B85" i="7" s="1"/>
  <c r="B86" i="7" s="1"/>
  <c r="B87" i="7" s="1"/>
  <c r="B88" i="7" s="1"/>
  <c r="B89" i="7" s="1"/>
  <c r="B90" i="7" s="1"/>
  <c r="B91" i="7" s="1"/>
  <c r="B92" i="7" s="1"/>
  <c r="B93" i="7" s="1"/>
  <c r="B94" i="7" s="1"/>
  <c r="B95" i="7" s="1"/>
  <c r="B96" i="7" s="1"/>
  <c r="B97" i="7" s="1"/>
  <c r="B98" i="7" s="1"/>
  <c r="B99" i="7" s="1"/>
  <c r="B100" i="7" s="1"/>
  <c r="B101" i="7" s="1"/>
  <c r="B102" i="7" s="1"/>
  <c r="B103" i="7" s="1"/>
  <c r="B104" i="7" s="1"/>
  <c r="B105" i="7" s="1"/>
  <c r="B106" i="7" s="1"/>
  <c r="B107" i="7" s="1"/>
  <c r="B108" i="7" s="1"/>
  <c r="B109" i="7" s="1"/>
  <c r="B110" i="7" s="1"/>
  <c r="B111" i="7" s="1"/>
  <c r="P19" i="7"/>
  <c r="P20" i="7"/>
  <c r="P21" i="7"/>
  <c r="P22" i="7"/>
  <c r="P23" i="7"/>
  <c r="P24" i="7"/>
  <c r="P25" i="7"/>
  <c r="P26" i="7"/>
  <c r="P27" i="7"/>
  <c r="P28" i="7"/>
  <c r="P29" i="7"/>
  <c r="P30" i="7"/>
  <c r="P31" i="7"/>
  <c r="P32" i="7"/>
  <c r="P33" i="7"/>
  <c r="P34" i="7"/>
  <c r="P35" i="7"/>
  <c r="P36" i="7"/>
  <c r="P37" i="7"/>
  <c r="P38" i="7"/>
  <c r="P39" i="7"/>
  <c r="P40" i="7"/>
  <c r="P41" i="7"/>
  <c r="P42" i="7"/>
  <c r="P43" i="7"/>
  <c r="P44" i="7"/>
  <c r="P45" i="7"/>
  <c r="P46" i="7"/>
  <c r="P47" i="7"/>
  <c r="P48" i="7"/>
  <c r="P49" i="7"/>
  <c r="P50" i="7"/>
  <c r="C93" i="7"/>
  <c r="O93" i="7" s="1"/>
  <c r="D93" i="7"/>
  <c r="E93" i="7"/>
  <c r="F93" i="7"/>
  <c r="G93" i="7"/>
  <c r="H93" i="7"/>
  <c r="I93" i="7"/>
  <c r="J93" i="7"/>
  <c r="K93" i="7"/>
  <c r="L93" i="7"/>
  <c r="M93" i="7"/>
  <c r="P93" i="7"/>
  <c r="C94" i="7"/>
  <c r="D94" i="7"/>
  <c r="E94" i="7"/>
  <c r="F94" i="7"/>
  <c r="G94" i="7"/>
  <c r="H94" i="7"/>
  <c r="I94" i="7"/>
  <c r="J94" i="7"/>
  <c r="K94" i="7"/>
  <c r="L94" i="7"/>
  <c r="M94" i="7"/>
  <c r="P94" i="7"/>
  <c r="C95" i="7"/>
  <c r="D95" i="7"/>
  <c r="E95" i="7"/>
  <c r="F95" i="7"/>
  <c r="G95" i="7"/>
  <c r="H95" i="7"/>
  <c r="I95" i="7"/>
  <c r="J95" i="7"/>
  <c r="K95" i="7"/>
  <c r="L95" i="7"/>
  <c r="M95" i="7"/>
  <c r="P95" i="7"/>
  <c r="C96" i="7"/>
  <c r="D96" i="7"/>
  <c r="E96" i="7"/>
  <c r="F96" i="7"/>
  <c r="G96" i="7"/>
  <c r="H96" i="7"/>
  <c r="I96" i="7"/>
  <c r="J96" i="7"/>
  <c r="K96" i="7"/>
  <c r="L96" i="7"/>
  <c r="M96" i="7"/>
  <c r="P96" i="7"/>
  <c r="C97" i="7"/>
  <c r="D97" i="7"/>
  <c r="E97" i="7"/>
  <c r="F97" i="7"/>
  <c r="G97" i="7"/>
  <c r="H97" i="7"/>
  <c r="I97" i="7"/>
  <c r="J97" i="7"/>
  <c r="K97" i="7"/>
  <c r="L97" i="7"/>
  <c r="M97" i="7"/>
  <c r="P97" i="7"/>
  <c r="C98" i="7"/>
  <c r="O98" i="7" s="1"/>
  <c r="D98" i="7"/>
  <c r="E98" i="7"/>
  <c r="F98" i="7"/>
  <c r="G98" i="7"/>
  <c r="H98" i="7"/>
  <c r="I98" i="7"/>
  <c r="J98" i="7"/>
  <c r="K98" i="7"/>
  <c r="L98" i="7"/>
  <c r="M98" i="7"/>
  <c r="P98" i="7"/>
  <c r="C99" i="7"/>
  <c r="D99" i="7"/>
  <c r="E99" i="7"/>
  <c r="F99" i="7"/>
  <c r="G99" i="7"/>
  <c r="H99" i="7"/>
  <c r="I99" i="7"/>
  <c r="J99" i="7"/>
  <c r="K99" i="7"/>
  <c r="L99" i="7"/>
  <c r="M99" i="7"/>
  <c r="P99" i="7"/>
  <c r="C100" i="7"/>
  <c r="O100" i="7" s="1"/>
  <c r="D100" i="7"/>
  <c r="E100" i="7"/>
  <c r="F100" i="7"/>
  <c r="G100" i="7"/>
  <c r="H100" i="7"/>
  <c r="I100" i="7"/>
  <c r="J100" i="7"/>
  <c r="K100" i="7"/>
  <c r="L100" i="7"/>
  <c r="M100" i="7"/>
  <c r="P100" i="7"/>
  <c r="C101" i="7"/>
  <c r="O101" i="7" s="1"/>
  <c r="D101" i="7"/>
  <c r="E101" i="7"/>
  <c r="F101" i="7"/>
  <c r="G101" i="7"/>
  <c r="H101" i="7"/>
  <c r="I101" i="7"/>
  <c r="J101" i="7"/>
  <c r="K101" i="7"/>
  <c r="L101" i="7"/>
  <c r="M101" i="7"/>
  <c r="P101" i="7"/>
  <c r="C102" i="7"/>
  <c r="D102" i="7"/>
  <c r="E102" i="7"/>
  <c r="F102" i="7"/>
  <c r="G102" i="7"/>
  <c r="H102" i="7"/>
  <c r="I102" i="7"/>
  <c r="J102" i="7"/>
  <c r="K102" i="7"/>
  <c r="L102" i="7"/>
  <c r="M102" i="7"/>
  <c r="O102" i="7"/>
  <c r="P102" i="7"/>
  <c r="C103" i="7"/>
  <c r="D103" i="7"/>
  <c r="E103" i="7"/>
  <c r="F103" i="7"/>
  <c r="G103" i="7"/>
  <c r="H103" i="7"/>
  <c r="I103" i="7"/>
  <c r="J103" i="7"/>
  <c r="K103" i="7"/>
  <c r="L103" i="7"/>
  <c r="M103" i="7"/>
  <c r="P103" i="7"/>
  <c r="C104" i="7"/>
  <c r="D104" i="7"/>
  <c r="E104" i="7"/>
  <c r="F104" i="7"/>
  <c r="G104" i="7"/>
  <c r="H104" i="7"/>
  <c r="I104" i="7"/>
  <c r="J104" i="7"/>
  <c r="K104" i="7"/>
  <c r="L104" i="7"/>
  <c r="M104" i="7"/>
  <c r="P104" i="7"/>
  <c r="C105" i="7"/>
  <c r="D105" i="7"/>
  <c r="E105" i="7"/>
  <c r="F105" i="7"/>
  <c r="G105" i="7"/>
  <c r="H105" i="7"/>
  <c r="I105" i="7"/>
  <c r="J105" i="7"/>
  <c r="K105" i="7"/>
  <c r="L105" i="7"/>
  <c r="M105" i="7"/>
  <c r="P105" i="7"/>
  <c r="C106" i="7"/>
  <c r="D106" i="7"/>
  <c r="E106" i="7"/>
  <c r="F106" i="7"/>
  <c r="G106" i="7"/>
  <c r="H106" i="7"/>
  <c r="I106" i="7"/>
  <c r="J106" i="7"/>
  <c r="K106" i="7"/>
  <c r="L106" i="7"/>
  <c r="M106" i="7"/>
  <c r="P106" i="7"/>
  <c r="C107" i="7"/>
  <c r="D107" i="7"/>
  <c r="E107" i="7"/>
  <c r="F107" i="7"/>
  <c r="G107" i="7"/>
  <c r="H107" i="7"/>
  <c r="I107" i="7"/>
  <c r="J107" i="7"/>
  <c r="K107" i="7"/>
  <c r="L107" i="7"/>
  <c r="M107" i="7"/>
  <c r="P107" i="7"/>
  <c r="C108" i="7"/>
  <c r="D108" i="7"/>
  <c r="E108" i="7"/>
  <c r="F108" i="7"/>
  <c r="G108" i="7"/>
  <c r="H108" i="7"/>
  <c r="I108" i="7"/>
  <c r="J108" i="7"/>
  <c r="K108" i="7"/>
  <c r="L108" i="7"/>
  <c r="M108" i="7"/>
  <c r="P108" i="7"/>
  <c r="C109" i="7"/>
  <c r="D109" i="7"/>
  <c r="E109" i="7"/>
  <c r="F109" i="7"/>
  <c r="G109" i="7"/>
  <c r="H109" i="7"/>
  <c r="I109" i="7"/>
  <c r="J109" i="7"/>
  <c r="K109" i="7"/>
  <c r="L109" i="7"/>
  <c r="M109" i="7"/>
  <c r="P109" i="7"/>
  <c r="C110" i="7"/>
  <c r="D110" i="7"/>
  <c r="E110" i="7"/>
  <c r="F110" i="7"/>
  <c r="G110" i="7"/>
  <c r="H110" i="7"/>
  <c r="I110" i="7"/>
  <c r="J110" i="7"/>
  <c r="K110" i="7"/>
  <c r="L110" i="7"/>
  <c r="M110" i="7"/>
  <c r="P110" i="7"/>
  <c r="C111" i="7"/>
  <c r="D111" i="7"/>
  <c r="E111" i="7"/>
  <c r="F111" i="7"/>
  <c r="G111" i="7"/>
  <c r="H111" i="7"/>
  <c r="I111" i="7"/>
  <c r="J111" i="7"/>
  <c r="K111" i="7"/>
  <c r="L111" i="7"/>
  <c r="M111" i="7"/>
  <c r="P111" i="7"/>
  <c r="C4" i="12"/>
  <c r="E5" i="10"/>
  <c r="B23" i="12"/>
  <c r="B24" i="12"/>
  <c r="B25" i="12" s="1"/>
  <c r="B26" i="12" s="1"/>
  <c r="B27" i="12" s="1"/>
  <c r="B28" i="12" s="1"/>
  <c r="B29" i="12" s="1"/>
  <c r="B30" i="12" s="1"/>
  <c r="B31" i="12" s="1"/>
  <c r="B32" i="12" s="1"/>
  <c r="B33" i="12"/>
  <c r="B34" i="12" s="1"/>
  <c r="B35" i="12" s="1"/>
  <c r="B36" i="12" s="1"/>
  <c r="B37" i="12" s="1"/>
  <c r="B38" i="12" s="1"/>
  <c r="B39" i="12" s="1"/>
  <c r="B40" i="12" s="1"/>
  <c r="B41" i="12" s="1"/>
  <c r="B42" i="12" s="1"/>
  <c r="B43" i="12" s="1"/>
  <c r="B44" i="12" s="1"/>
  <c r="B45" i="12" s="1"/>
  <c r="B46" i="12" s="1"/>
  <c r="B47" i="12" s="1"/>
  <c r="B48" i="12" s="1"/>
  <c r="B49" i="12" s="1"/>
  <c r="B50" i="12" s="1"/>
  <c r="B51" i="12" s="1"/>
  <c r="B52" i="12" s="1"/>
  <c r="B53" i="12" s="1"/>
  <c r="B54" i="12" s="1"/>
  <c r="B55" i="12" s="1"/>
  <c r="B56" i="12" s="1"/>
  <c r="B57" i="12" s="1"/>
  <c r="B58" i="12" s="1"/>
  <c r="B59" i="12" s="1"/>
  <c r="B60" i="12" s="1"/>
  <c r="B61" i="12" s="1"/>
  <c r="B62" i="12" s="1"/>
  <c r="B63" i="12" s="1"/>
  <c r="B64" i="12" s="1"/>
  <c r="B65" i="12" s="1"/>
  <c r="B66" i="12" s="1"/>
  <c r="B67" i="12" s="1"/>
  <c r="B68" i="12" s="1"/>
  <c r="B69" i="12" s="1"/>
  <c r="B70" i="12" s="1"/>
  <c r="B71" i="12" s="1"/>
  <c r="B72" i="12" s="1"/>
  <c r="B73" i="12" s="1"/>
  <c r="B74" i="12" s="1"/>
  <c r="B75" i="12" s="1"/>
  <c r="B76" i="12" s="1"/>
  <c r="B77" i="12" s="1"/>
  <c r="B78" i="12" s="1"/>
  <c r="B79" i="12" s="1"/>
  <c r="B80" i="12" s="1"/>
  <c r="B81" i="12" s="1"/>
  <c r="B82" i="12" s="1"/>
  <c r="B83" i="12" s="1"/>
  <c r="B84" i="12" s="1"/>
  <c r="B85" i="12" s="1"/>
  <c r="B86" i="12" s="1"/>
  <c r="B87" i="12" s="1"/>
  <c r="B88" i="12" s="1"/>
  <c r="B89" i="12" s="1"/>
  <c r="B90" i="12" s="1"/>
  <c r="B91" i="12" s="1"/>
  <c r="B92" i="12" s="1"/>
  <c r="B93" i="12" s="1"/>
  <c r="B94" i="12" s="1"/>
  <c r="B95" i="12" s="1"/>
  <c r="B96" i="12" s="1"/>
  <c r="B97" i="12" s="1"/>
  <c r="B98" i="12" s="1"/>
  <c r="B99" i="12" s="1"/>
  <c r="B100" i="12" s="1"/>
  <c r="B101" i="12" s="1"/>
  <c r="B102" i="12" s="1"/>
  <c r="B103" i="12" s="1"/>
  <c r="B104" i="12" s="1"/>
  <c r="B105" i="12" s="1"/>
  <c r="B106" i="12" s="1"/>
  <c r="B107" i="12" s="1"/>
  <c r="B108" i="12" s="1"/>
  <c r="B109" i="12" s="1"/>
  <c r="B110" i="12" s="1"/>
  <c r="B111" i="12" s="1"/>
  <c r="B112" i="12" s="1"/>
  <c r="B113" i="12" s="1"/>
  <c r="B114" i="12" s="1"/>
  <c r="B115" i="12" s="1"/>
  <c r="B116" i="12" s="1"/>
  <c r="B117" i="12" s="1"/>
  <c r="Q83" i="11"/>
  <c r="Q84" i="11"/>
  <c r="I106" i="12"/>
  <c r="M386" i="14" s="1"/>
  <c r="K106" i="12"/>
  <c r="O386" i="14" s="1"/>
  <c r="L106" i="12"/>
  <c r="P386" i="14" s="1"/>
  <c r="I107" i="12"/>
  <c r="M387" i="14" s="1"/>
  <c r="K107" i="12"/>
  <c r="O387" i="14" s="1"/>
  <c r="L107" i="12"/>
  <c r="P387" i="14" s="1"/>
  <c r="M9" i="5"/>
  <c r="P9" i="5"/>
  <c r="Q9" i="5"/>
  <c r="R9" i="5"/>
  <c r="S9" i="5"/>
  <c r="T9" i="5"/>
  <c r="U9" i="5"/>
  <c r="G16" i="7" s="1"/>
  <c r="V9" i="5"/>
  <c r="H16" i="7"/>
  <c r="W9" i="5"/>
  <c r="I16" i="7"/>
  <c r="X9" i="5"/>
  <c r="Y9" i="5"/>
  <c r="K16" i="7" s="1"/>
  <c r="Z9" i="5"/>
  <c r="J16" i="7" s="1"/>
  <c r="AA9" i="5"/>
  <c r="AB9" i="5"/>
  <c r="A10" i="5"/>
  <c r="Q10" i="5" s="1"/>
  <c r="M10" i="5"/>
  <c r="P10" i="5" s="1"/>
  <c r="R10" i="5"/>
  <c r="S10" i="5"/>
  <c r="T10" i="5"/>
  <c r="U10" i="5"/>
  <c r="G17" i="7" s="1"/>
  <c r="V10" i="5"/>
  <c r="H17" i="7"/>
  <c r="W10" i="5"/>
  <c r="I17" i="7" s="1"/>
  <c r="X10" i="5"/>
  <c r="Y10" i="5"/>
  <c r="K17" i="7" s="1"/>
  <c r="Z10" i="5"/>
  <c r="J17" i="7" s="1"/>
  <c r="AA10" i="5"/>
  <c r="AB10" i="5"/>
  <c r="A11" i="5"/>
  <c r="M11" i="5"/>
  <c r="P11" i="5"/>
  <c r="Q11" i="5"/>
  <c r="R11" i="5"/>
  <c r="S11" i="5"/>
  <c r="T11" i="5"/>
  <c r="U11" i="5"/>
  <c r="G18" i="7" s="1"/>
  <c r="V11" i="5"/>
  <c r="C18" i="7" s="1"/>
  <c r="H18" i="7"/>
  <c r="W11" i="5"/>
  <c r="I18" i="7" s="1"/>
  <c r="X11" i="5"/>
  <c r="Y11" i="5"/>
  <c r="K18" i="7" s="1"/>
  <c r="Z11" i="5"/>
  <c r="AA11" i="5"/>
  <c r="AB11" i="5"/>
  <c r="A12" i="5"/>
  <c r="A13" i="5" s="1"/>
  <c r="Q12" i="5"/>
  <c r="M12" i="5"/>
  <c r="P12" i="5" s="1"/>
  <c r="R12" i="5"/>
  <c r="S12" i="5"/>
  <c r="T12" i="5"/>
  <c r="U12" i="5"/>
  <c r="G19" i="7" s="1"/>
  <c r="V12" i="5"/>
  <c r="H19" i="7" s="1"/>
  <c r="W12" i="5"/>
  <c r="J19" i="7" s="1"/>
  <c r="X12" i="5"/>
  <c r="Y12" i="5"/>
  <c r="K19" i="7" s="1"/>
  <c r="Z12" i="5"/>
  <c r="AA12" i="5"/>
  <c r="AB12" i="5"/>
  <c r="M13" i="5"/>
  <c r="P13" i="5" s="1"/>
  <c r="R13" i="5"/>
  <c r="S13" i="5"/>
  <c r="C20" i="7"/>
  <c r="T13" i="5"/>
  <c r="U13" i="5"/>
  <c r="G20" i="7"/>
  <c r="V13" i="5"/>
  <c r="H20" i="7"/>
  <c r="W13" i="5"/>
  <c r="I20" i="7" s="1"/>
  <c r="X13" i="5"/>
  <c r="Y13" i="5"/>
  <c r="K20" i="7"/>
  <c r="Z13" i="5"/>
  <c r="AA13" i="5"/>
  <c r="AB13" i="5"/>
  <c r="M14" i="5"/>
  <c r="P14" i="5" s="1"/>
  <c r="R14" i="5"/>
  <c r="S14" i="5"/>
  <c r="T14" i="5"/>
  <c r="U14" i="5"/>
  <c r="G21" i="7"/>
  <c r="V14" i="5"/>
  <c r="H21" i="7"/>
  <c r="W14" i="5"/>
  <c r="I21" i="7"/>
  <c r="X14" i="5"/>
  <c r="Y14" i="5"/>
  <c r="K21" i="7" s="1"/>
  <c r="Z14" i="5"/>
  <c r="J21" i="7"/>
  <c r="AA14" i="5"/>
  <c r="AB14" i="5"/>
  <c r="M15" i="5"/>
  <c r="P15" i="5" s="1"/>
  <c r="R15" i="5"/>
  <c r="S15" i="5"/>
  <c r="C22" i="7"/>
  <c r="T15" i="5"/>
  <c r="U15" i="5"/>
  <c r="G22" i="7" s="1"/>
  <c r="V15" i="5"/>
  <c r="H22" i="7"/>
  <c r="W15" i="5"/>
  <c r="I22" i="7" s="1"/>
  <c r="X15" i="5"/>
  <c r="Y15" i="5"/>
  <c r="K22" i="7"/>
  <c r="Z15" i="5"/>
  <c r="AA15" i="5"/>
  <c r="L22" i="7"/>
  <c r="AB15" i="5"/>
  <c r="M16" i="5"/>
  <c r="P16" i="5" s="1"/>
  <c r="R16" i="5"/>
  <c r="S16" i="5"/>
  <c r="T16" i="5"/>
  <c r="U16" i="5"/>
  <c r="G23" i="7" s="1"/>
  <c r="V16" i="5"/>
  <c r="H23" i="7" s="1"/>
  <c r="W16" i="5"/>
  <c r="I23" i="7" s="1"/>
  <c r="X16" i="5"/>
  <c r="Y16" i="5"/>
  <c r="K23" i="7"/>
  <c r="Z16" i="5"/>
  <c r="J23" i="7" s="1"/>
  <c r="AA16" i="5"/>
  <c r="AB16" i="5"/>
  <c r="M17" i="5"/>
  <c r="P17" i="5"/>
  <c r="R17" i="5"/>
  <c r="S17" i="5"/>
  <c r="T17" i="5"/>
  <c r="U17" i="5"/>
  <c r="G24" i="7"/>
  <c r="V17" i="5"/>
  <c r="W17" i="5"/>
  <c r="I24" i="7" s="1"/>
  <c r="X17" i="5"/>
  <c r="Y17" i="5"/>
  <c r="K24" i="7" s="1"/>
  <c r="Z17" i="5"/>
  <c r="AA17" i="5"/>
  <c r="L24" i="7"/>
  <c r="AB17" i="5"/>
  <c r="M18" i="5"/>
  <c r="P18" i="5" s="1"/>
  <c r="R18" i="5"/>
  <c r="S18" i="5"/>
  <c r="T18" i="5"/>
  <c r="U18" i="5"/>
  <c r="G25" i="7"/>
  <c r="V18" i="5"/>
  <c r="H25" i="7"/>
  <c r="W18" i="5"/>
  <c r="X18" i="5"/>
  <c r="Y18" i="5"/>
  <c r="K25" i="7" s="1"/>
  <c r="Z18" i="5"/>
  <c r="AA18" i="5"/>
  <c r="AB18" i="5"/>
  <c r="M19" i="5"/>
  <c r="P19" i="5" s="1"/>
  <c r="R19" i="5"/>
  <c r="S19" i="5"/>
  <c r="C26" i="7"/>
  <c r="T19" i="5"/>
  <c r="U19" i="5"/>
  <c r="G26" i="7" s="1"/>
  <c r="V19" i="5"/>
  <c r="H26" i="7" s="1"/>
  <c r="W19" i="5"/>
  <c r="I26" i="7"/>
  <c r="X19" i="5"/>
  <c r="Y19" i="5"/>
  <c r="K26" i="7"/>
  <c r="Z19" i="5"/>
  <c r="AA19" i="5"/>
  <c r="AB19" i="5"/>
  <c r="M20" i="5"/>
  <c r="P20" i="5" s="1"/>
  <c r="R20" i="5"/>
  <c r="S20" i="5"/>
  <c r="T20" i="5"/>
  <c r="U20" i="5"/>
  <c r="G27" i="7" s="1"/>
  <c r="V20" i="5"/>
  <c r="H27" i="7" s="1"/>
  <c r="W20" i="5"/>
  <c r="I27" i="7" s="1"/>
  <c r="X20" i="5"/>
  <c r="Y20" i="5"/>
  <c r="K27" i="7" s="1"/>
  <c r="Z20" i="5"/>
  <c r="J27" i="7" s="1"/>
  <c r="AA20" i="5"/>
  <c r="AB20" i="5"/>
  <c r="M21" i="5"/>
  <c r="P21" i="5"/>
  <c r="R21" i="5"/>
  <c r="S21" i="5"/>
  <c r="T21" i="5"/>
  <c r="U21" i="5"/>
  <c r="G28" i="7"/>
  <c r="V21" i="5"/>
  <c r="W21" i="5"/>
  <c r="I28" i="7" s="1"/>
  <c r="X21" i="5"/>
  <c r="Y21" i="5"/>
  <c r="K28" i="7" s="1"/>
  <c r="Z21" i="5"/>
  <c r="AA21" i="5"/>
  <c r="L28" i="7"/>
  <c r="AB21" i="5"/>
  <c r="M22" i="5"/>
  <c r="P22" i="5"/>
  <c r="R22" i="5"/>
  <c r="S22" i="5"/>
  <c r="T22" i="5"/>
  <c r="U22" i="5"/>
  <c r="G29" i="7" s="1"/>
  <c r="V22" i="5"/>
  <c r="H29" i="7"/>
  <c r="W22" i="5"/>
  <c r="I29" i="7"/>
  <c r="X22" i="5"/>
  <c r="Y22" i="5"/>
  <c r="K29" i="7"/>
  <c r="Z22" i="5"/>
  <c r="J29" i="7" s="1"/>
  <c r="AA22" i="5"/>
  <c r="AB22" i="5"/>
  <c r="M23" i="5"/>
  <c r="P23" i="5" s="1"/>
  <c r="R23" i="5"/>
  <c r="S23" i="5"/>
  <c r="C30" i="7"/>
  <c r="T23" i="5"/>
  <c r="U23" i="5"/>
  <c r="G30" i="7"/>
  <c r="V23" i="5"/>
  <c r="H30" i="7"/>
  <c r="W23" i="5"/>
  <c r="I30" i="7"/>
  <c r="X23" i="5"/>
  <c r="Y23" i="5"/>
  <c r="K30" i="7"/>
  <c r="Z23" i="5"/>
  <c r="AA23" i="5"/>
  <c r="AB23" i="5"/>
  <c r="M24" i="5"/>
  <c r="P24" i="5" s="1"/>
  <c r="R24" i="5"/>
  <c r="S24" i="5"/>
  <c r="T24" i="5"/>
  <c r="U24" i="5"/>
  <c r="G31" i="7" s="1"/>
  <c r="V24" i="5"/>
  <c r="H31" i="7" s="1"/>
  <c r="W24" i="5"/>
  <c r="I31" i="7" s="1"/>
  <c r="X24" i="5"/>
  <c r="Y24" i="5"/>
  <c r="K31" i="7" s="1"/>
  <c r="Z24" i="5"/>
  <c r="J31" i="7" s="1"/>
  <c r="AA24" i="5"/>
  <c r="AB24" i="5"/>
  <c r="M25" i="5"/>
  <c r="P25" i="5"/>
  <c r="R25" i="5"/>
  <c r="S25" i="5"/>
  <c r="C32" i="7" s="1"/>
  <c r="T25" i="5"/>
  <c r="U25" i="5"/>
  <c r="G32" i="7" s="1"/>
  <c r="V25" i="5"/>
  <c r="H32" i="7" s="1"/>
  <c r="W25" i="5"/>
  <c r="I32" i="7" s="1"/>
  <c r="X25" i="5"/>
  <c r="Y25" i="5"/>
  <c r="K32" i="7" s="1"/>
  <c r="Z25" i="5"/>
  <c r="AA25" i="5"/>
  <c r="AB25" i="5"/>
  <c r="M26" i="5"/>
  <c r="P26" i="5" s="1"/>
  <c r="R26" i="5"/>
  <c r="S26" i="5"/>
  <c r="T26" i="5"/>
  <c r="U26" i="5"/>
  <c r="G33" i="7" s="1"/>
  <c r="V26" i="5"/>
  <c r="H33" i="7" s="1"/>
  <c r="W26" i="5"/>
  <c r="X26" i="5"/>
  <c r="Y26" i="5"/>
  <c r="K33" i="7"/>
  <c r="Z26" i="5"/>
  <c r="AA26" i="5"/>
  <c r="AB26" i="5"/>
  <c r="M27" i="5"/>
  <c r="P27" i="5" s="1"/>
  <c r="R27" i="5"/>
  <c r="S27" i="5"/>
  <c r="C34" i="7" s="1"/>
  <c r="T27" i="5"/>
  <c r="U27" i="5"/>
  <c r="G34" i="7"/>
  <c r="V27" i="5"/>
  <c r="W27" i="5"/>
  <c r="I34" i="7" s="1"/>
  <c r="X27" i="5"/>
  <c r="Y27" i="5"/>
  <c r="K34" i="7" s="1"/>
  <c r="Z27" i="5"/>
  <c r="AA27" i="5"/>
  <c r="AB27" i="5"/>
  <c r="M28" i="5"/>
  <c r="P28" i="5"/>
  <c r="R28" i="5"/>
  <c r="S28" i="5"/>
  <c r="T28" i="5"/>
  <c r="U28" i="5"/>
  <c r="G35" i="7" s="1"/>
  <c r="V28" i="5"/>
  <c r="H35" i="7"/>
  <c r="W28" i="5"/>
  <c r="I35" i="7"/>
  <c r="X28" i="5"/>
  <c r="Y28" i="5"/>
  <c r="K35" i="7"/>
  <c r="Z28" i="5"/>
  <c r="J35" i="7"/>
  <c r="AA28" i="5"/>
  <c r="AB28" i="5"/>
  <c r="M29" i="5"/>
  <c r="P29" i="5" s="1"/>
  <c r="R29" i="5"/>
  <c r="S29" i="5"/>
  <c r="T29" i="5"/>
  <c r="U29" i="5"/>
  <c r="G36" i="7"/>
  <c r="V29" i="5"/>
  <c r="W29" i="5"/>
  <c r="I36" i="7"/>
  <c r="X29" i="5"/>
  <c r="Y29" i="5"/>
  <c r="K36" i="7" s="1"/>
  <c r="Z29" i="5"/>
  <c r="AA29" i="5"/>
  <c r="L36" i="7" s="1"/>
  <c r="AB29" i="5"/>
  <c r="M30" i="5"/>
  <c r="P30" i="5"/>
  <c r="R30" i="5"/>
  <c r="S30" i="5"/>
  <c r="T30" i="5"/>
  <c r="U30" i="5"/>
  <c r="G37" i="7"/>
  <c r="V30" i="5"/>
  <c r="H37" i="7" s="1"/>
  <c r="W30" i="5"/>
  <c r="I37" i="7" s="1"/>
  <c r="X30" i="5"/>
  <c r="Y30" i="5"/>
  <c r="K37" i="7"/>
  <c r="Z30" i="5"/>
  <c r="J37" i="7" s="1"/>
  <c r="AA30" i="5"/>
  <c r="AB30" i="5"/>
  <c r="M31" i="5"/>
  <c r="P31" i="5" s="1"/>
  <c r="R31" i="5"/>
  <c r="S31" i="5"/>
  <c r="T31" i="5"/>
  <c r="U31" i="5"/>
  <c r="G38" i="7"/>
  <c r="V31" i="5"/>
  <c r="W31" i="5"/>
  <c r="I38" i="7" s="1"/>
  <c r="X31" i="5"/>
  <c r="Y31" i="5"/>
  <c r="K38" i="7"/>
  <c r="Z31" i="5"/>
  <c r="AA31" i="5"/>
  <c r="AB31" i="5"/>
  <c r="M32" i="5"/>
  <c r="P32" i="5"/>
  <c r="R32" i="5"/>
  <c r="S32" i="5"/>
  <c r="T32" i="5"/>
  <c r="U32" i="5"/>
  <c r="G39" i="7" s="1"/>
  <c r="V32" i="5"/>
  <c r="H39" i="7"/>
  <c r="W32" i="5"/>
  <c r="I39" i="7"/>
  <c r="X32" i="5"/>
  <c r="Y32" i="5"/>
  <c r="K39" i="7"/>
  <c r="Z32" i="5"/>
  <c r="J39" i="7"/>
  <c r="AA32" i="5"/>
  <c r="AB32" i="5"/>
  <c r="M33" i="5"/>
  <c r="P33" i="5" s="1"/>
  <c r="R33" i="5"/>
  <c r="S33" i="5"/>
  <c r="C40" i="7"/>
  <c r="T33" i="5"/>
  <c r="U33" i="5"/>
  <c r="G40" i="7" s="1"/>
  <c r="V33" i="5"/>
  <c r="H40" i="7"/>
  <c r="W33" i="5"/>
  <c r="I40" i="7"/>
  <c r="X33" i="5"/>
  <c r="Y33" i="5"/>
  <c r="K40" i="7"/>
  <c r="Z33" i="5"/>
  <c r="AA33" i="5"/>
  <c r="AB33" i="5"/>
  <c r="M34" i="5"/>
  <c r="P34" i="5" s="1"/>
  <c r="R34" i="5"/>
  <c r="S34" i="5"/>
  <c r="T34" i="5"/>
  <c r="U34" i="5"/>
  <c r="G41" i="7" s="1"/>
  <c r="V34" i="5"/>
  <c r="H41" i="7"/>
  <c r="W34" i="5"/>
  <c r="X34" i="5"/>
  <c r="Y34" i="5"/>
  <c r="K41" i="7"/>
  <c r="Z34" i="5"/>
  <c r="AA34" i="5"/>
  <c r="AB34" i="5"/>
  <c r="M35" i="5"/>
  <c r="P35" i="5"/>
  <c r="R35" i="5"/>
  <c r="S35" i="5"/>
  <c r="T35" i="5"/>
  <c r="U35" i="5"/>
  <c r="G42" i="7" s="1"/>
  <c r="V35" i="5"/>
  <c r="C42" i="7" s="1"/>
  <c r="H42" i="7"/>
  <c r="W35" i="5"/>
  <c r="I42" i="7"/>
  <c r="X35" i="5"/>
  <c r="Y35" i="5"/>
  <c r="K42" i="7" s="1"/>
  <c r="Z35" i="5"/>
  <c r="AA35" i="5"/>
  <c r="AB35" i="5"/>
  <c r="M36" i="5"/>
  <c r="P36" i="5"/>
  <c r="R36" i="5"/>
  <c r="S36" i="5"/>
  <c r="T36" i="5"/>
  <c r="U36" i="5"/>
  <c r="G43" i="7"/>
  <c r="V36" i="5"/>
  <c r="H43" i="7" s="1"/>
  <c r="W36" i="5"/>
  <c r="I43" i="7" s="1"/>
  <c r="X36" i="5"/>
  <c r="Y36" i="5"/>
  <c r="K43" i="7"/>
  <c r="Z36" i="5"/>
  <c r="J43" i="7" s="1"/>
  <c r="AA36" i="5"/>
  <c r="AB36" i="5"/>
  <c r="M37" i="5"/>
  <c r="P37" i="5" s="1"/>
  <c r="R37" i="5"/>
  <c r="S37" i="5"/>
  <c r="T37" i="5"/>
  <c r="U37" i="5"/>
  <c r="G44" i="7" s="1"/>
  <c r="V37" i="5"/>
  <c r="L44" i="7" s="1"/>
  <c r="W37" i="5"/>
  <c r="I44" i="7" s="1"/>
  <c r="X37" i="5"/>
  <c r="Y37" i="5"/>
  <c r="K44" i="7"/>
  <c r="Z37" i="5"/>
  <c r="AA37" i="5"/>
  <c r="AB37" i="5"/>
  <c r="M38" i="5"/>
  <c r="P38" i="5" s="1"/>
  <c r="R38" i="5"/>
  <c r="S38" i="5"/>
  <c r="T38" i="5"/>
  <c r="U38" i="5"/>
  <c r="G45" i="7" s="1"/>
  <c r="V38" i="5"/>
  <c r="H45" i="7" s="1"/>
  <c r="W38" i="5"/>
  <c r="I45" i="7"/>
  <c r="X38" i="5"/>
  <c r="Y38" i="5"/>
  <c r="K45" i="7" s="1"/>
  <c r="Z38" i="5"/>
  <c r="J45" i="7"/>
  <c r="AA38" i="5"/>
  <c r="AB38" i="5"/>
  <c r="M39" i="5"/>
  <c r="P39" i="5"/>
  <c r="R39" i="5"/>
  <c r="S39" i="5"/>
  <c r="T39" i="5"/>
  <c r="U39" i="5"/>
  <c r="G46" i="7" s="1"/>
  <c r="V39" i="5"/>
  <c r="W39" i="5"/>
  <c r="I46" i="7"/>
  <c r="X39" i="5"/>
  <c r="Y39" i="5"/>
  <c r="K46" i="7" s="1"/>
  <c r="Z39" i="5"/>
  <c r="AA39" i="5"/>
  <c r="AB39" i="5"/>
  <c r="M40" i="5"/>
  <c r="P40" i="5"/>
  <c r="R40" i="5"/>
  <c r="S40" i="5"/>
  <c r="T40" i="5"/>
  <c r="U40" i="5"/>
  <c r="G47" i="7"/>
  <c r="V40" i="5"/>
  <c r="H47" i="7" s="1"/>
  <c r="W40" i="5"/>
  <c r="I47" i="7" s="1"/>
  <c r="X40" i="5"/>
  <c r="Y40" i="5"/>
  <c r="K47" i="7"/>
  <c r="Z40" i="5"/>
  <c r="J47" i="7" s="1"/>
  <c r="AA40" i="5"/>
  <c r="AB40" i="5"/>
  <c r="M41" i="5"/>
  <c r="P41" i="5" s="1"/>
  <c r="R41" i="5"/>
  <c r="S41" i="5"/>
  <c r="T41" i="5"/>
  <c r="U41" i="5"/>
  <c r="G48" i="7"/>
  <c r="V41" i="5"/>
  <c r="W41" i="5"/>
  <c r="I48" i="7" s="1"/>
  <c r="X41" i="5"/>
  <c r="Y41" i="5"/>
  <c r="K48" i="7" s="1"/>
  <c r="Z41" i="5"/>
  <c r="AA41" i="5"/>
  <c r="AB41" i="5"/>
  <c r="M42" i="5"/>
  <c r="P42" i="5"/>
  <c r="R42" i="5"/>
  <c r="S42" i="5"/>
  <c r="T42" i="5"/>
  <c r="U42" i="5"/>
  <c r="G49" i="7" s="1"/>
  <c r="V42" i="5"/>
  <c r="H49" i="7"/>
  <c r="W42" i="5"/>
  <c r="I49" i="7"/>
  <c r="X42" i="5"/>
  <c r="Y42" i="5"/>
  <c r="K49" i="7" s="1"/>
  <c r="Z42" i="5"/>
  <c r="J49" i="7"/>
  <c r="AA42" i="5"/>
  <c r="AB42" i="5"/>
  <c r="L43" i="5"/>
  <c r="M43" i="5" s="1"/>
  <c r="P43" i="5" s="1"/>
  <c r="R43" i="5"/>
  <c r="S43" i="5"/>
  <c r="T43" i="5"/>
  <c r="U43" i="5"/>
  <c r="G50" i="7"/>
  <c r="V43" i="5"/>
  <c r="H50" i="7"/>
  <c r="W43" i="5"/>
  <c r="I50" i="7"/>
  <c r="X43" i="5"/>
  <c r="Y43" i="5"/>
  <c r="K50" i="7"/>
  <c r="Z43" i="5"/>
  <c r="J50" i="7"/>
  <c r="AA43" i="5"/>
  <c r="M44" i="5"/>
  <c r="P44" i="5"/>
  <c r="R44" i="5"/>
  <c r="S44" i="5"/>
  <c r="C51" i="7" s="1"/>
  <c r="T44" i="5"/>
  <c r="U44" i="5"/>
  <c r="G51" i="7" s="1"/>
  <c r="V44" i="5"/>
  <c r="L51" i="7" s="1"/>
  <c r="W44" i="5"/>
  <c r="I51" i="7" s="1"/>
  <c r="X44" i="5"/>
  <c r="Y44" i="5"/>
  <c r="K51" i="7" s="1"/>
  <c r="Z44" i="5"/>
  <c r="AA44" i="5"/>
  <c r="AB44" i="5"/>
  <c r="L45" i="5"/>
  <c r="M45" i="5"/>
  <c r="P45" i="5" s="1"/>
  <c r="R45" i="5"/>
  <c r="S45" i="5"/>
  <c r="T45" i="5"/>
  <c r="U45" i="5"/>
  <c r="G52" i="7" s="1"/>
  <c r="V45" i="5"/>
  <c r="H52" i="7" s="1"/>
  <c r="W45" i="5"/>
  <c r="X45" i="5"/>
  <c r="Y45" i="5"/>
  <c r="K52" i="7"/>
  <c r="Z45" i="5"/>
  <c r="AA45" i="5"/>
  <c r="AB45" i="5"/>
  <c r="L46" i="5"/>
  <c r="M46" i="5"/>
  <c r="P46" i="5" s="1"/>
  <c r="R46" i="5"/>
  <c r="S46" i="5"/>
  <c r="T46" i="5"/>
  <c r="U46" i="5"/>
  <c r="G53" i="7"/>
  <c r="V46" i="5"/>
  <c r="C53" i="7" s="1"/>
  <c r="H53" i="7"/>
  <c r="W46" i="5"/>
  <c r="I53" i="7" s="1"/>
  <c r="X46" i="5"/>
  <c r="Y46" i="5"/>
  <c r="K53" i="7"/>
  <c r="Z46" i="5"/>
  <c r="AA46" i="5"/>
  <c r="AB46" i="5"/>
  <c r="L47" i="5"/>
  <c r="M47" i="5"/>
  <c r="P47" i="5" s="1"/>
  <c r="R47" i="5"/>
  <c r="S47" i="5"/>
  <c r="T47" i="5"/>
  <c r="U47" i="5"/>
  <c r="G54" i="7" s="1"/>
  <c r="V47" i="5"/>
  <c r="H54" i="7" s="1"/>
  <c r="W47" i="5"/>
  <c r="I54" i="7"/>
  <c r="X47" i="5"/>
  <c r="Y47" i="5"/>
  <c r="K54" i="7" s="1"/>
  <c r="Z47" i="5"/>
  <c r="J54" i="7"/>
  <c r="AA47" i="5"/>
  <c r="AB47" i="5"/>
  <c r="L48" i="5"/>
  <c r="R48" i="5"/>
  <c r="S48" i="5"/>
  <c r="T48" i="5"/>
  <c r="U48" i="5"/>
  <c r="G55" i="7"/>
  <c r="V48" i="5"/>
  <c r="C55" i="7" s="1"/>
  <c r="H55" i="7"/>
  <c r="W48" i="5"/>
  <c r="I55" i="7" s="1"/>
  <c r="X48" i="5"/>
  <c r="Y48" i="5"/>
  <c r="K55" i="7"/>
  <c r="Z48" i="5"/>
  <c r="AA48" i="5"/>
  <c r="L49" i="5"/>
  <c r="M49" i="5" s="1"/>
  <c r="P49" i="5" s="1"/>
  <c r="R49" i="5"/>
  <c r="S49" i="5"/>
  <c r="T49" i="5"/>
  <c r="U49" i="5"/>
  <c r="G56" i="7"/>
  <c r="V49" i="5"/>
  <c r="H56" i="7"/>
  <c r="W49" i="5"/>
  <c r="X49" i="5"/>
  <c r="Y49" i="5"/>
  <c r="K56" i="7" s="1"/>
  <c r="Z49" i="5"/>
  <c r="AA49" i="5"/>
  <c r="AB49" i="5"/>
  <c r="L50" i="5"/>
  <c r="R50" i="5"/>
  <c r="S50" i="5"/>
  <c r="C57" i="7" s="1"/>
  <c r="T50" i="5"/>
  <c r="U50" i="5"/>
  <c r="G57" i="7" s="1"/>
  <c r="V50" i="5"/>
  <c r="H57" i="7" s="1"/>
  <c r="W50" i="5"/>
  <c r="I57" i="7" s="1"/>
  <c r="X50" i="5"/>
  <c r="Y50" i="5"/>
  <c r="K57" i="7" s="1"/>
  <c r="Z50" i="5"/>
  <c r="AA50" i="5"/>
  <c r="L51" i="5"/>
  <c r="M51" i="5" s="1"/>
  <c r="P51" i="5" s="1"/>
  <c r="R51" i="5"/>
  <c r="S51" i="5"/>
  <c r="C58" i="7"/>
  <c r="T51" i="5"/>
  <c r="U51" i="5"/>
  <c r="G58" i="7" s="1"/>
  <c r="V51" i="5"/>
  <c r="H58" i="7" s="1"/>
  <c r="W51" i="5"/>
  <c r="I58" i="7"/>
  <c r="X51" i="5"/>
  <c r="Y51" i="5"/>
  <c r="K58" i="7" s="1"/>
  <c r="Z51" i="5"/>
  <c r="AA51" i="5"/>
  <c r="L52" i="5"/>
  <c r="M52" i="5"/>
  <c r="P52" i="5" s="1"/>
  <c r="R52" i="5"/>
  <c r="S52" i="5"/>
  <c r="T52" i="5"/>
  <c r="U52" i="5"/>
  <c r="G59" i="7"/>
  <c r="V52" i="5"/>
  <c r="C59" i="7" s="1"/>
  <c r="H59" i="7"/>
  <c r="W52" i="5"/>
  <c r="I59" i="7" s="1"/>
  <c r="X52" i="5"/>
  <c r="Y52" i="5"/>
  <c r="K59" i="7"/>
  <c r="Z52" i="5"/>
  <c r="AA52" i="5"/>
  <c r="L53" i="5"/>
  <c r="M53" i="5" s="1"/>
  <c r="P53" i="5"/>
  <c r="R53" i="5"/>
  <c r="S53" i="5"/>
  <c r="C60" i="7"/>
  <c r="T53" i="5"/>
  <c r="U53" i="5"/>
  <c r="G60" i="7" s="1"/>
  <c r="V53" i="5"/>
  <c r="H60" i="7" s="1"/>
  <c r="W53" i="5"/>
  <c r="I60" i="7"/>
  <c r="X53" i="5"/>
  <c r="Y53" i="5"/>
  <c r="K60" i="7" s="1"/>
  <c r="Z53" i="5"/>
  <c r="AA53" i="5"/>
  <c r="L54" i="5"/>
  <c r="M54" i="5"/>
  <c r="P54" i="5" s="1"/>
  <c r="R54" i="5"/>
  <c r="S54" i="5"/>
  <c r="T54" i="5"/>
  <c r="U54" i="5"/>
  <c r="G61" i="7"/>
  <c r="V54" i="5"/>
  <c r="C61" i="7" s="1"/>
  <c r="H61" i="7"/>
  <c r="W54" i="5"/>
  <c r="I61" i="7" s="1"/>
  <c r="X54" i="5"/>
  <c r="Y54" i="5"/>
  <c r="K61" i="7"/>
  <c r="Z54" i="5"/>
  <c r="AA54" i="5"/>
  <c r="L55" i="5"/>
  <c r="M55" i="5" s="1"/>
  <c r="P55" i="5" s="1"/>
  <c r="Q55" i="5"/>
  <c r="Q56" i="5" s="1"/>
  <c r="Q57" i="5" s="1"/>
  <c r="Q58" i="5" s="1"/>
  <c r="Q59" i="5" s="1"/>
  <c r="Q60" i="5" s="1"/>
  <c r="Q61" i="5" s="1"/>
  <c r="Q62" i="5" s="1"/>
  <c r="Q63" i="5" s="1"/>
  <c r="Q64" i="5" s="1"/>
  <c r="Q65" i="5" s="1"/>
  <c r="Q66" i="5" s="1"/>
  <c r="Q67" i="5" s="1"/>
  <c r="Q68" i="5" s="1"/>
  <c r="Q69" i="5" s="1"/>
  <c r="Q70" i="5" s="1"/>
  <c r="Q71" i="5" s="1"/>
  <c r="Q72" i="5" s="1"/>
  <c r="Q73" i="5" s="1"/>
  <c r="Q74" i="5" s="1"/>
  <c r="R55" i="5"/>
  <c r="S55" i="5"/>
  <c r="T55" i="5"/>
  <c r="U55" i="5"/>
  <c r="G62" i="7" s="1"/>
  <c r="V55" i="5"/>
  <c r="H62" i="7" s="1"/>
  <c r="W55" i="5"/>
  <c r="X55" i="5"/>
  <c r="Y55" i="5"/>
  <c r="K62" i="7"/>
  <c r="Z55" i="5"/>
  <c r="AA55" i="5"/>
  <c r="AB55" i="5"/>
  <c r="L56" i="5"/>
  <c r="M56" i="5" s="1"/>
  <c r="P56" i="5" s="1"/>
  <c r="Q75" i="5"/>
  <c r="Q76" i="5" s="1"/>
  <c r="Q77" i="5" s="1"/>
  <c r="Q78" i="5" s="1"/>
  <c r="Q79" i="5" s="1"/>
  <c r="Q80" i="5" s="1"/>
  <c r="Q81" i="5" s="1"/>
  <c r="Q82" i="5" s="1"/>
  <c r="Q83" i="5" s="1"/>
  <c r="Q84" i="5" s="1"/>
  <c r="Q85" i="5" s="1"/>
  <c r="R56" i="5"/>
  <c r="S56" i="5"/>
  <c r="T56" i="5"/>
  <c r="U56" i="5"/>
  <c r="G63" i="7" s="1"/>
  <c r="V56" i="5"/>
  <c r="W56" i="5"/>
  <c r="I63" i="7" s="1"/>
  <c r="X56" i="5"/>
  <c r="Y56" i="5"/>
  <c r="K63" i="7" s="1"/>
  <c r="Z56" i="5"/>
  <c r="AA56" i="5"/>
  <c r="L63" i="7"/>
  <c r="AB56" i="5"/>
  <c r="L57" i="5"/>
  <c r="M57" i="5" s="1"/>
  <c r="P57" i="5" s="1"/>
  <c r="R57" i="5"/>
  <c r="S57" i="5"/>
  <c r="T57" i="5"/>
  <c r="U57" i="5"/>
  <c r="G64" i="7" s="1"/>
  <c r="V57" i="5"/>
  <c r="H64" i="7" s="1"/>
  <c r="W57" i="5"/>
  <c r="I64" i="7"/>
  <c r="X57" i="5"/>
  <c r="Y57" i="5"/>
  <c r="K64" i="7" s="1"/>
  <c r="Z57" i="5"/>
  <c r="J64" i="7" s="1"/>
  <c r="AA57" i="5"/>
  <c r="AB57" i="5"/>
  <c r="L58" i="5"/>
  <c r="R58" i="5"/>
  <c r="S58" i="5"/>
  <c r="T58" i="5"/>
  <c r="U58" i="5"/>
  <c r="G65" i="7" s="1"/>
  <c r="V58" i="5"/>
  <c r="H65" i="7"/>
  <c r="W58" i="5"/>
  <c r="I65" i="7" s="1"/>
  <c r="X58" i="5"/>
  <c r="Y58" i="5"/>
  <c r="K65" i="7" s="1"/>
  <c r="Z58" i="5"/>
  <c r="AA58" i="5"/>
  <c r="L59" i="5"/>
  <c r="R59" i="5"/>
  <c r="S59" i="5"/>
  <c r="T59" i="5"/>
  <c r="U59" i="5"/>
  <c r="G66" i="7"/>
  <c r="V59" i="5"/>
  <c r="H66" i="7" s="1"/>
  <c r="W59" i="5"/>
  <c r="J66" i="7" s="1"/>
  <c r="I66" i="7"/>
  <c r="X59" i="5"/>
  <c r="Y59" i="5"/>
  <c r="K66" i="7" s="1"/>
  <c r="Z59" i="5"/>
  <c r="AA59" i="5"/>
  <c r="L60" i="5"/>
  <c r="M60" i="5"/>
  <c r="P60" i="5" s="1"/>
  <c r="R60" i="5"/>
  <c r="S60" i="5"/>
  <c r="T60" i="5"/>
  <c r="U60" i="5"/>
  <c r="G67" i="7" s="1"/>
  <c r="V60" i="5"/>
  <c r="W60" i="5"/>
  <c r="I67" i="7"/>
  <c r="X60" i="5"/>
  <c r="Y60" i="5"/>
  <c r="K67" i="7"/>
  <c r="Z60" i="5"/>
  <c r="AA60" i="5"/>
  <c r="L67" i="7" s="1"/>
  <c r="AB60" i="5"/>
  <c r="L61" i="5"/>
  <c r="R61" i="5"/>
  <c r="S61" i="5"/>
  <c r="T61" i="5"/>
  <c r="U61" i="5"/>
  <c r="G68" i="7"/>
  <c r="V61" i="5"/>
  <c r="H68" i="7"/>
  <c r="W61" i="5"/>
  <c r="J68" i="7" s="1"/>
  <c r="I68" i="7"/>
  <c r="X61" i="5"/>
  <c r="Y61" i="5"/>
  <c r="K68" i="7" s="1"/>
  <c r="Z61" i="5"/>
  <c r="AA61" i="5"/>
  <c r="L62" i="5"/>
  <c r="R62" i="5"/>
  <c r="S62" i="5"/>
  <c r="T62" i="5"/>
  <c r="U62" i="5"/>
  <c r="G69" i="7" s="1"/>
  <c r="V62" i="5"/>
  <c r="H69" i="7" s="1"/>
  <c r="W62" i="5"/>
  <c r="I69" i="7"/>
  <c r="X62" i="5"/>
  <c r="Y62" i="5"/>
  <c r="K69" i="7"/>
  <c r="Z62" i="5"/>
  <c r="AA62" i="5"/>
  <c r="L63" i="5"/>
  <c r="M63" i="5"/>
  <c r="P63" i="5"/>
  <c r="R63" i="5"/>
  <c r="S63" i="5"/>
  <c r="T63" i="5"/>
  <c r="U63" i="5"/>
  <c r="G70" i="7" s="1"/>
  <c r="V63" i="5"/>
  <c r="H70" i="7"/>
  <c r="W63" i="5"/>
  <c r="I70" i="7"/>
  <c r="X63" i="5"/>
  <c r="Y63" i="5"/>
  <c r="K70" i="7"/>
  <c r="Z63" i="5"/>
  <c r="J70" i="7" s="1"/>
  <c r="AA63" i="5"/>
  <c r="L64" i="5"/>
  <c r="R64" i="5"/>
  <c r="S64" i="5"/>
  <c r="T64" i="5"/>
  <c r="U64" i="5"/>
  <c r="G71" i="7"/>
  <c r="V64" i="5"/>
  <c r="W64" i="5"/>
  <c r="I71" i="7" s="1"/>
  <c r="X64" i="5"/>
  <c r="Y64" i="5"/>
  <c r="K71" i="7" s="1"/>
  <c r="Z64" i="5"/>
  <c r="AA64" i="5"/>
  <c r="L65" i="5"/>
  <c r="M65" i="5"/>
  <c r="P65" i="5"/>
  <c r="R65" i="5"/>
  <c r="S65" i="5"/>
  <c r="T65" i="5"/>
  <c r="U65" i="5"/>
  <c r="G72" i="7" s="1"/>
  <c r="V65" i="5"/>
  <c r="H72" i="7"/>
  <c r="W65" i="5"/>
  <c r="I72" i="7"/>
  <c r="X65" i="5"/>
  <c r="Y65" i="5"/>
  <c r="K72" i="7"/>
  <c r="Z65" i="5"/>
  <c r="J72" i="7" s="1"/>
  <c r="AA65" i="5"/>
  <c r="AB65" i="5"/>
  <c r="L66" i="5"/>
  <c r="AB66" i="5" s="1"/>
  <c r="R66" i="5"/>
  <c r="S66" i="5"/>
  <c r="T66" i="5"/>
  <c r="U66" i="5"/>
  <c r="G73" i="7"/>
  <c r="V66" i="5"/>
  <c r="H73" i="7" s="1"/>
  <c r="W66" i="5"/>
  <c r="I73" i="7"/>
  <c r="X66" i="5"/>
  <c r="Y66" i="5"/>
  <c r="K73" i="7"/>
  <c r="AA66" i="5"/>
  <c r="L67" i="5"/>
  <c r="AB67" i="5"/>
  <c r="R67" i="5"/>
  <c r="S67" i="5"/>
  <c r="T67" i="5"/>
  <c r="U67" i="5"/>
  <c r="G74" i="7" s="1"/>
  <c r="V67" i="5"/>
  <c r="H74" i="7" s="1"/>
  <c r="W67" i="5"/>
  <c r="I74" i="7"/>
  <c r="X67" i="5"/>
  <c r="Y67" i="5"/>
  <c r="K74" i="7"/>
  <c r="AA67" i="5"/>
  <c r="L68" i="5"/>
  <c r="AB68" i="5" s="1"/>
  <c r="R68" i="5"/>
  <c r="S68" i="5"/>
  <c r="C75" i="7" s="1"/>
  <c r="T68" i="5"/>
  <c r="U68" i="5"/>
  <c r="G75" i="7" s="1"/>
  <c r="V68" i="5"/>
  <c r="H75" i="7"/>
  <c r="W68" i="5"/>
  <c r="I75" i="7"/>
  <c r="X68" i="5"/>
  <c r="Y68" i="5"/>
  <c r="K75" i="7"/>
  <c r="AA68" i="5"/>
  <c r="L69" i="5"/>
  <c r="AB69" i="5" s="1"/>
  <c r="R69" i="5"/>
  <c r="S69" i="5"/>
  <c r="T69" i="5"/>
  <c r="U69" i="5"/>
  <c r="G76" i="7"/>
  <c r="V69" i="5"/>
  <c r="H76" i="7"/>
  <c r="W69" i="5"/>
  <c r="I76" i="7" s="1"/>
  <c r="X69" i="5"/>
  <c r="Y69" i="5"/>
  <c r="AA69" i="5"/>
  <c r="L70" i="5"/>
  <c r="AB70" i="5" s="1"/>
  <c r="R70" i="5"/>
  <c r="S70" i="5"/>
  <c r="C77" i="7"/>
  <c r="T70" i="5"/>
  <c r="U70" i="5"/>
  <c r="G77" i="7" s="1"/>
  <c r="V70" i="5"/>
  <c r="H77" i="7"/>
  <c r="W70" i="5"/>
  <c r="I77" i="7" s="1"/>
  <c r="X70" i="5"/>
  <c r="Y70" i="5"/>
  <c r="K77" i="7" s="1"/>
  <c r="AA70" i="5"/>
  <c r="L71" i="5"/>
  <c r="AB71" i="5"/>
  <c r="R71" i="5"/>
  <c r="S71" i="5"/>
  <c r="T71" i="5"/>
  <c r="U71" i="5"/>
  <c r="G78" i="7" s="1"/>
  <c r="V71" i="5"/>
  <c r="H78" i="7"/>
  <c r="W71" i="5"/>
  <c r="I78" i="7" s="1"/>
  <c r="X71" i="5"/>
  <c r="Y71" i="5"/>
  <c r="K78" i="7"/>
  <c r="AA71" i="5"/>
  <c r="L72" i="5"/>
  <c r="AB72" i="5" s="1"/>
  <c r="R72" i="5"/>
  <c r="S72" i="5"/>
  <c r="T72" i="5"/>
  <c r="U72" i="5"/>
  <c r="G79" i="7"/>
  <c r="V72" i="5"/>
  <c r="W72" i="5"/>
  <c r="I79" i="7"/>
  <c r="X72" i="5"/>
  <c r="Y72" i="5"/>
  <c r="K79" i="7"/>
  <c r="AA72" i="5"/>
  <c r="O73" i="5"/>
  <c r="L73" i="5"/>
  <c r="AB73" i="5" s="1"/>
  <c r="R73" i="5"/>
  <c r="S73" i="5"/>
  <c r="T73" i="5"/>
  <c r="U73" i="5"/>
  <c r="G80" i="7"/>
  <c r="V73" i="5"/>
  <c r="W73" i="5"/>
  <c r="I80" i="7"/>
  <c r="X73" i="5"/>
  <c r="Y73" i="5"/>
  <c r="K80" i="7"/>
  <c r="AA73" i="5"/>
  <c r="O74" i="5"/>
  <c r="V74" i="5"/>
  <c r="H81" i="7" s="1"/>
  <c r="W74" i="5"/>
  <c r="I81" i="7"/>
  <c r="X74" i="5"/>
  <c r="Y74" i="5"/>
  <c r="K81" i="7" s="1"/>
  <c r="AA74" i="5"/>
  <c r="AB74" i="5"/>
  <c r="O75" i="5"/>
  <c r="V75" i="5"/>
  <c r="H82" i="7"/>
  <c r="W75" i="5"/>
  <c r="I82" i="7" s="1"/>
  <c r="X75" i="5"/>
  <c r="Y75" i="5"/>
  <c r="K82" i="7"/>
  <c r="AA75" i="5"/>
  <c r="L82" i="7"/>
  <c r="AB75" i="5"/>
  <c r="O76" i="5"/>
  <c r="V76" i="5"/>
  <c r="H83" i="7" s="1"/>
  <c r="W76" i="5"/>
  <c r="I83" i="7"/>
  <c r="X76" i="5"/>
  <c r="Y76" i="5"/>
  <c r="K83" i="7"/>
  <c r="AA76" i="5"/>
  <c r="AB76" i="5"/>
  <c r="O77" i="5"/>
  <c r="V77" i="5"/>
  <c r="H84" i="7"/>
  <c r="W77" i="5"/>
  <c r="I84" i="7" s="1"/>
  <c r="X77" i="5"/>
  <c r="Y77" i="5"/>
  <c r="K84" i="7" s="1"/>
  <c r="AA77" i="5"/>
  <c r="AB77" i="5"/>
  <c r="L84" i="7" s="1"/>
  <c r="O78" i="5"/>
  <c r="V78" i="5"/>
  <c r="H85" i="7" s="1"/>
  <c r="W78" i="5"/>
  <c r="I85" i="7"/>
  <c r="X78" i="5"/>
  <c r="Y78" i="5"/>
  <c r="K85" i="7" s="1"/>
  <c r="AA78" i="5"/>
  <c r="AB78" i="5"/>
  <c r="O79" i="5"/>
  <c r="V79" i="5"/>
  <c r="H86" i="7"/>
  <c r="W79" i="5"/>
  <c r="I86" i="7" s="1"/>
  <c r="X79" i="5"/>
  <c r="Y79" i="5"/>
  <c r="K86" i="7" s="1"/>
  <c r="AA79" i="5"/>
  <c r="AB79" i="5"/>
  <c r="O80" i="5"/>
  <c r="V80" i="5"/>
  <c r="H87" i="7"/>
  <c r="W80" i="5"/>
  <c r="I87" i="7"/>
  <c r="X80" i="5"/>
  <c r="Y80" i="5"/>
  <c r="K87" i="7"/>
  <c r="AA80" i="5"/>
  <c r="AB80" i="5"/>
  <c r="O81" i="5"/>
  <c r="V81" i="5"/>
  <c r="H88" i="7" s="1"/>
  <c r="W81" i="5"/>
  <c r="I88" i="7"/>
  <c r="X81" i="5"/>
  <c r="Y81" i="5"/>
  <c r="K88" i="7" s="1"/>
  <c r="AA81" i="5"/>
  <c r="L88" i="7"/>
  <c r="AB81" i="5"/>
  <c r="O82" i="5"/>
  <c r="V82" i="5"/>
  <c r="H89" i="7" s="1"/>
  <c r="W82" i="5"/>
  <c r="I89" i="7"/>
  <c r="X82" i="5"/>
  <c r="Y82" i="5"/>
  <c r="K89" i="7"/>
  <c r="AA82" i="5"/>
  <c r="AB82" i="5"/>
  <c r="O83" i="5"/>
  <c r="V83" i="5"/>
  <c r="H90" i="7" s="1"/>
  <c r="W83" i="5"/>
  <c r="I90" i="7"/>
  <c r="X83" i="5"/>
  <c r="Y83" i="5"/>
  <c r="K90" i="7"/>
  <c r="AA83" i="5"/>
  <c r="AB83" i="5"/>
  <c r="L90" i="7" s="1"/>
  <c r="O84" i="5"/>
  <c r="V84" i="5"/>
  <c r="H91" i="7"/>
  <c r="W84" i="5"/>
  <c r="I91" i="7"/>
  <c r="X84" i="5"/>
  <c r="Y84" i="5"/>
  <c r="K91" i="7"/>
  <c r="AA84" i="5"/>
  <c r="AB84" i="5"/>
  <c r="F85" i="5"/>
  <c r="V85" i="5"/>
  <c r="H92" i="7" s="1"/>
  <c r="G85" i="5"/>
  <c r="H85" i="5"/>
  <c r="X85" i="5" s="1"/>
  <c r="O85" i="5"/>
  <c r="W85" i="5"/>
  <c r="I92" i="7" s="1"/>
  <c r="Y85" i="5"/>
  <c r="K92" i="7"/>
  <c r="AA85" i="5"/>
  <c r="AB85" i="5"/>
  <c r="E86" i="5"/>
  <c r="E87" i="5"/>
  <c r="E88" i="5"/>
  <c r="E89" i="5"/>
  <c r="E90" i="5"/>
  <c r="B102" i="5"/>
  <c r="C102" i="5"/>
  <c r="D102" i="5"/>
  <c r="E102" i="5"/>
  <c r="L2" i="2"/>
  <c r="M2" i="2"/>
  <c r="Q2" i="2"/>
  <c r="R2" i="2"/>
  <c r="S2" i="2"/>
  <c r="U2" i="2"/>
  <c r="A3" i="2"/>
  <c r="Q3" i="2"/>
  <c r="L3" i="2"/>
  <c r="M3" i="2" s="1"/>
  <c r="R3" i="2"/>
  <c r="U3" i="2" s="1"/>
  <c r="S3" i="2"/>
  <c r="V3" i="2"/>
  <c r="A4" i="2"/>
  <c r="Q4" i="2" s="1"/>
  <c r="L4" i="2"/>
  <c r="M4" i="2" s="1"/>
  <c r="R4" i="2"/>
  <c r="S4" i="2"/>
  <c r="U4" i="2"/>
  <c r="L5" i="2"/>
  <c r="M5" i="2"/>
  <c r="R5" i="2"/>
  <c r="S5" i="2"/>
  <c r="U5" i="2"/>
  <c r="V5" i="2"/>
  <c r="L6" i="2"/>
  <c r="R6" i="2"/>
  <c r="U6" i="2" s="1"/>
  <c r="S6" i="2"/>
  <c r="V6" i="2"/>
  <c r="L7" i="2"/>
  <c r="M7" i="2"/>
  <c r="R7" i="2"/>
  <c r="S7" i="2"/>
  <c r="V7" i="2" s="1"/>
  <c r="U7" i="2"/>
  <c r="L8" i="2"/>
  <c r="M8" i="2"/>
  <c r="R8" i="2"/>
  <c r="U8" i="2" s="1"/>
  <c r="S8" i="2"/>
  <c r="V8" i="2"/>
  <c r="L9" i="2"/>
  <c r="M9" i="2" s="1"/>
  <c r="R9" i="2"/>
  <c r="U9" i="2" s="1"/>
  <c r="S9" i="2"/>
  <c r="C108" i="2" s="1"/>
  <c r="L10" i="2"/>
  <c r="BF19" i="10" s="1"/>
  <c r="R10" i="2"/>
  <c r="S10" i="2"/>
  <c r="V10" i="2" s="1"/>
  <c r="U10" i="2"/>
  <c r="L11" i="2"/>
  <c r="M11" i="2"/>
  <c r="R11" i="2"/>
  <c r="U11" i="2" s="1"/>
  <c r="S11" i="2"/>
  <c r="V11" i="2"/>
  <c r="L12" i="2"/>
  <c r="M12" i="2" s="1"/>
  <c r="R12" i="2"/>
  <c r="U12" i="2" s="1"/>
  <c r="S12" i="2"/>
  <c r="V12" i="2"/>
  <c r="L13" i="2"/>
  <c r="M13" i="2"/>
  <c r="R13" i="2"/>
  <c r="S13" i="2"/>
  <c r="V13" i="2" s="1"/>
  <c r="U13" i="2"/>
  <c r="L14" i="2"/>
  <c r="M14" i="2" s="1"/>
  <c r="R14" i="2"/>
  <c r="S14" i="2"/>
  <c r="U14" i="2"/>
  <c r="V14" i="2"/>
  <c r="L15" i="2"/>
  <c r="M15" i="2" s="1"/>
  <c r="R15" i="2"/>
  <c r="S15" i="2"/>
  <c r="U15" i="2"/>
  <c r="L16" i="2"/>
  <c r="M16" i="2"/>
  <c r="R16" i="2"/>
  <c r="S16" i="2"/>
  <c r="V16" i="2" s="1"/>
  <c r="U16" i="2"/>
  <c r="L17" i="2"/>
  <c r="M17" i="2"/>
  <c r="R17" i="2"/>
  <c r="U17" i="2" s="1"/>
  <c r="S17" i="2"/>
  <c r="V17" i="2"/>
  <c r="L18" i="2"/>
  <c r="M18" i="2" s="1"/>
  <c r="R18" i="2"/>
  <c r="S18" i="2"/>
  <c r="U18" i="2"/>
  <c r="V18" i="2"/>
  <c r="L19" i="2"/>
  <c r="R19" i="2"/>
  <c r="S19" i="2"/>
  <c r="V19" i="2" s="1"/>
  <c r="U19" i="2"/>
  <c r="L20" i="2"/>
  <c r="M20" i="2"/>
  <c r="R20" i="2"/>
  <c r="U20" i="2" s="1"/>
  <c r="S20" i="2"/>
  <c r="V20" i="2"/>
  <c r="L21" i="2"/>
  <c r="M21" i="2" s="1"/>
  <c r="R21" i="2"/>
  <c r="U21" i="2" s="1"/>
  <c r="S21" i="2"/>
  <c r="V21" i="2"/>
  <c r="L22" i="2"/>
  <c r="M22" i="2"/>
  <c r="R22" i="2"/>
  <c r="S22" i="2"/>
  <c r="V22" i="2" s="1"/>
  <c r="U22" i="2"/>
  <c r="L23" i="2"/>
  <c r="M23" i="2" s="1"/>
  <c r="R23" i="2"/>
  <c r="S23" i="2"/>
  <c r="U23" i="2"/>
  <c r="V23" i="2"/>
  <c r="L24" i="2"/>
  <c r="M24" i="2" s="1"/>
  <c r="R24" i="2"/>
  <c r="S24" i="2"/>
  <c r="U24" i="2"/>
  <c r="L25" i="2"/>
  <c r="M25" i="2"/>
  <c r="R25" i="2"/>
  <c r="S25" i="2"/>
  <c r="V25" i="2" s="1"/>
  <c r="U25" i="2"/>
  <c r="L26" i="2"/>
  <c r="M26" i="2"/>
  <c r="R26" i="2"/>
  <c r="U26" i="2" s="1"/>
  <c r="S26" i="2"/>
  <c r="V26" i="2"/>
  <c r="L27" i="2"/>
  <c r="M27" i="2" s="1"/>
  <c r="R27" i="2"/>
  <c r="S27" i="2"/>
  <c r="E126" i="2" s="1"/>
  <c r="U27" i="2"/>
  <c r="V27" i="2"/>
  <c r="L28" i="2"/>
  <c r="BF37" i="10" s="1"/>
  <c r="R28" i="2"/>
  <c r="S28" i="2"/>
  <c r="V28" i="2" s="1"/>
  <c r="U28" i="2"/>
  <c r="L29" i="2"/>
  <c r="M29" i="2" s="1"/>
  <c r="R29" i="2"/>
  <c r="U29" i="2" s="1"/>
  <c r="S29" i="2"/>
  <c r="V29" i="2"/>
  <c r="L30" i="2"/>
  <c r="M30" i="2" s="1"/>
  <c r="R30" i="2"/>
  <c r="U30" i="2" s="1"/>
  <c r="S30" i="2"/>
  <c r="V30" i="2"/>
  <c r="L31" i="2"/>
  <c r="M31" i="2"/>
  <c r="R31" i="2"/>
  <c r="S31" i="2"/>
  <c r="V31" i="2" s="1"/>
  <c r="U31" i="2"/>
  <c r="L32" i="2"/>
  <c r="M32" i="2" s="1"/>
  <c r="R32" i="2"/>
  <c r="S32" i="2"/>
  <c r="U32" i="2"/>
  <c r="V32" i="2"/>
  <c r="L33" i="2"/>
  <c r="M33" i="2" s="1"/>
  <c r="R33" i="2"/>
  <c r="S33" i="2"/>
  <c r="U33" i="2"/>
  <c r="L34" i="2"/>
  <c r="M34" i="2"/>
  <c r="R34" i="2"/>
  <c r="S34" i="2"/>
  <c r="L35" i="2"/>
  <c r="M35" i="2" s="1"/>
  <c r="R35" i="2"/>
  <c r="S35" i="2"/>
  <c r="L36" i="2"/>
  <c r="M36" i="2"/>
  <c r="R36" i="2"/>
  <c r="S36" i="2"/>
  <c r="L37" i="2"/>
  <c r="M37" i="2" s="1"/>
  <c r="R37" i="2"/>
  <c r="L38" i="2"/>
  <c r="M38" i="2" s="1"/>
  <c r="R38" i="2"/>
  <c r="L39" i="2"/>
  <c r="M39" i="2" s="1"/>
  <c r="R39" i="2"/>
  <c r="L40" i="2"/>
  <c r="M40" i="2"/>
  <c r="R40" i="2"/>
  <c r="L41" i="2"/>
  <c r="M41" i="2" s="1"/>
  <c r="R41" i="2"/>
  <c r="L42" i="2"/>
  <c r="M42" i="2" s="1"/>
  <c r="R42" i="2"/>
  <c r="L43" i="2"/>
  <c r="M43" i="2" s="1"/>
  <c r="R43" i="2"/>
  <c r="L44" i="2"/>
  <c r="M44" i="2"/>
  <c r="R44" i="2"/>
  <c r="L45" i="2"/>
  <c r="M45" i="2" s="1"/>
  <c r="R45" i="2"/>
  <c r="L46" i="2"/>
  <c r="M46" i="2" s="1"/>
  <c r="R46" i="2"/>
  <c r="L47" i="2"/>
  <c r="R47" i="2"/>
  <c r="L48" i="2"/>
  <c r="M48" i="2"/>
  <c r="Q48" i="2"/>
  <c r="Q49" i="2"/>
  <c r="Q50" i="2" s="1"/>
  <c r="Q51" i="2" s="1"/>
  <c r="Q52" i="2" s="1"/>
  <c r="Q53" i="2" s="1"/>
  <c r="Q54" i="2" s="1"/>
  <c r="Q55" i="2"/>
  <c r="Q56" i="2" s="1"/>
  <c r="Q57" i="2" s="1"/>
  <c r="Q58" i="2" s="1"/>
  <c r="Q59" i="2" s="1"/>
  <c r="Q60" i="2" s="1"/>
  <c r="Q61" i="2" s="1"/>
  <c r="Q62" i="2" s="1"/>
  <c r="Q63" i="2" s="1"/>
  <c r="Q64" i="2" s="1"/>
  <c r="Q65" i="2" s="1"/>
  <c r="Q66" i="2" s="1"/>
  <c r="Q67" i="2" s="1"/>
  <c r="Q68" i="2" s="1"/>
  <c r="Q69" i="2" s="1"/>
  <c r="Q70" i="2" s="1"/>
  <c r="Q71" i="2" s="1"/>
  <c r="Q72" i="2" s="1"/>
  <c r="Q73" i="2" s="1"/>
  <c r="Q74" i="2" s="1"/>
  <c r="Q75" i="2" s="1"/>
  <c r="Q76" i="2" s="1"/>
  <c r="Q77" i="2" s="1"/>
  <c r="Q78" i="2" s="1"/>
  <c r="Q79" i="2" s="1"/>
  <c r="Q80" i="2" s="1"/>
  <c r="Q81" i="2" s="1"/>
  <c r="Q82" i="2" s="1"/>
  <c r="Q83" i="2" s="1"/>
  <c r="Q84" i="2" s="1"/>
  <c r="Q85" i="2" s="1"/>
  <c r="Q86" i="2" s="1"/>
  <c r="Q87" i="2" s="1"/>
  <c r="R48" i="2"/>
  <c r="L49" i="2"/>
  <c r="M49" i="2" s="1"/>
  <c r="R49" i="2"/>
  <c r="L50" i="2"/>
  <c r="M50" i="2" s="1"/>
  <c r="R50" i="2"/>
  <c r="L51" i="2"/>
  <c r="M51" i="2" s="1"/>
  <c r="R51" i="2"/>
  <c r="L52" i="2"/>
  <c r="M52" i="2"/>
  <c r="R52" i="2"/>
  <c r="L53" i="2"/>
  <c r="M53" i="2" s="1"/>
  <c r="R53" i="2"/>
  <c r="L54" i="2"/>
  <c r="M54" i="2" s="1"/>
  <c r="R54" i="2"/>
  <c r="L55" i="2"/>
  <c r="M55" i="2" s="1"/>
  <c r="R55" i="2"/>
  <c r="L56" i="2"/>
  <c r="M56" i="2"/>
  <c r="R56" i="2"/>
  <c r="L57" i="2"/>
  <c r="M57" i="2" s="1"/>
  <c r="R57" i="2"/>
  <c r="Z57" i="2"/>
  <c r="AA57" i="2" s="1"/>
  <c r="AB57" i="2" s="1"/>
  <c r="AC57" i="2"/>
  <c r="L58" i="2"/>
  <c r="M58" i="2"/>
  <c r="R58" i="2"/>
  <c r="AB58" i="2" s="1"/>
  <c r="H66" i="11" s="1"/>
  <c r="AA58" i="2"/>
  <c r="AC58" i="2"/>
  <c r="L59" i="2"/>
  <c r="M59" i="2"/>
  <c r="R59" i="2"/>
  <c r="AA59" i="2"/>
  <c r="AB59" i="2"/>
  <c r="AF59" i="2"/>
  <c r="AI59" i="2"/>
  <c r="AG59" i="2"/>
  <c r="AH59" i="2" s="1"/>
  <c r="L60" i="2"/>
  <c r="M60" i="2"/>
  <c r="R60" i="2"/>
  <c r="AA60" i="2"/>
  <c r="AB60" i="2"/>
  <c r="AF60" i="2"/>
  <c r="AG60" i="2"/>
  <c r="AJ60" i="2"/>
  <c r="L61" i="2"/>
  <c r="M61" i="2"/>
  <c r="R61" i="2"/>
  <c r="AB61" i="2" s="1"/>
  <c r="AA61" i="2"/>
  <c r="AF61" i="2"/>
  <c r="AH61" i="2" s="1"/>
  <c r="AG61" i="2"/>
  <c r="L62" i="2"/>
  <c r="M62" i="2" s="1"/>
  <c r="R62" i="2"/>
  <c r="AA62" i="2"/>
  <c r="AB62" i="2" s="1"/>
  <c r="AF62" i="2"/>
  <c r="AJ62" i="2" s="1"/>
  <c r="AG62" i="2"/>
  <c r="L63" i="2"/>
  <c r="M63" i="2"/>
  <c r="R63" i="2"/>
  <c r="AA63" i="2"/>
  <c r="AF63" i="2"/>
  <c r="AH63" i="2" s="1"/>
  <c r="AG63" i="2"/>
  <c r="AJ63" i="2"/>
  <c r="L64" i="2"/>
  <c r="M64" i="2" s="1"/>
  <c r="R64" i="2"/>
  <c r="AB64" i="2" s="1"/>
  <c r="AA64" i="2"/>
  <c r="AF64" i="2"/>
  <c r="AH64" i="2" s="1"/>
  <c r="AG64" i="2"/>
  <c r="L65" i="2"/>
  <c r="M65" i="2" s="1"/>
  <c r="R65" i="2"/>
  <c r="AA65" i="2"/>
  <c r="AF65" i="2"/>
  <c r="AG65" i="2"/>
  <c r="O66" i="2"/>
  <c r="L66" i="2"/>
  <c r="M66" i="2"/>
  <c r="R66" i="2"/>
  <c r="AA66" i="2"/>
  <c r="AB66" i="2"/>
  <c r="AF66" i="2"/>
  <c r="AI66" i="2" s="1"/>
  <c r="AG66" i="2"/>
  <c r="AJ66" i="2"/>
  <c r="B67" i="2"/>
  <c r="O67" i="2"/>
  <c r="L67" i="2" s="1"/>
  <c r="AA67" i="2"/>
  <c r="N74" i="5"/>
  <c r="AG67" i="2"/>
  <c r="B68" i="2"/>
  <c r="M68" i="2"/>
  <c r="O68" i="2"/>
  <c r="L68" i="2" s="1"/>
  <c r="AA68" i="2"/>
  <c r="N75" i="5"/>
  <c r="AG68" i="2"/>
  <c r="B69" i="2"/>
  <c r="M69" i="2"/>
  <c r="O69" i="2"/>
  <c r="L69" i="2"/>
  <c r="AA69" i="2"/>
  <c r="N76" i="5" s="1"/>
  <c r="AG69" i="2"/>
  <c r="B70" i="2"/>
  <c r="O70" i="2"/>
  <c r="L70" i="2" s="1"/>
  <c r="AA70" i="2"/>
  <c r="N77" i="5"/>
  <c r="AG70" i="2"/>
  <c r="B71" i="2"/>
  <c r="O71" i="2"/>
  <c r="L71" i="2"/>
  <c r="M71" i="2" s="1"/>
  <c r="AA71" i="2"/>
  <c r="N78" i="5" s="1"/>
  <c r="AG71" i="2"/>
  <c r="B72" i="2"/>
  <c r="M72" i="2" s="1"/>
  <c r="O72" i="2"/>
  <c r="L72" i="2"/>
  <c r="AA72" i="2"/>
  <c r="N79" i="5" s="1"/>
  <c r="B73" i="2"/>
  <c r="O73" i="2"/>
  <c r="L73" i="2"/>
  <c r="R73" i="2"/>
  <c r="AB73" i="2" s="1"/>
  <c r="AA73" i="2"/>
  <c r="N80" i="5"/>
  <c r="B74" i="2"/>
  <c r="O74" i="2"/>
  <c r="L74" i="2"/>
  <c r="AA74" i="2"/>
  <c r="N81" i="5" s="1"/>
  <c r="B75" i="2"/>
  <c r="R75" i="2"/>
  <c r="AB75" i="2" s="1"/>
  <c r="O75" i="2"/>
  <c r="L75" i="2"/>
  <c r="AA75" i="2"/>
  <c r="N82" i="5"/>
  <c r="B76" i="2"/>
  <c r="R76" i="2" s="1"/>
  <c r="O76" i="2"/>
  <c r="L76" i="2"/>
  <c r="AB76" i="2"/>
  <c r="AA76" i="2"/>
  <c r="N83" i="5"/>
  <c r="B77" i="2"/>
  <c r="O77" i="2"/>
  <c r="L77" i="2" s="1"/>
  <c r="R77" i="2"/>
  <c r="AB77" i="2" s="1"/>
  <c r="AA77" i="2"/>
  <c r="AA78" i="2" s="1"/>
  <c r="N84" i="5"/>
  <c r="R78" i="2"/>
  <c r="N85" i="5"/>
  <c r="R79" i="2"/>
  <c r="R80" i="2"/>
  <c r="R81" i="2"/>
  <c r="R82" i="2"/>
  <c r="R83" i="2"/>
  <c r="R84" i="2"/>
  <c r="R85" i="2"/>
  <c r="R86" i="2"/>
  <c r="R87" i="2"/>
  <c r="B95" i="2"/>
  <c r="C95" i="2"/>
  <c r="D95" i="2"/>
  <c r="E95" i="2"/>
  <c r="B98" i="2"/>
  <c r="F98" i="2" s="1"/>
  <c r="C98" i="2"/>
  <c r="D98" i="2"/>
  <c r="D99" i="2" s="1"/>
  <c r="E98" i="2"/>
  <c r="F101" i="2"/>
  <c r="A102" i="2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B102" i="2"/>
  <c r="C102" i="2"/>
  <c r="D102" i="2"/>
  <c r="E102" i="2"/>
  <c r="F102" i="2"/>
  <c r="F103" i="2"/>
  <c r="B104" i="2"/>
  <c r="C104" i="2"/>
  <c r="D104" i="2"/>
  <c r="E104" i="2"/>
  <c r="F104" i="2"/>
  <c r="B105" i="2"/>
  <c r="C105" i="2"/>
  <c r="D105" i="2"/>
  <c r="E105" i="2"/>
  <c r="F105" i="2"/>
  <c r="B106" i="2"/>
  <c r="C106" i="2"/>
  <c r="D106" i="2"/>
  <c r="E106" i="2"/>
  <c r="F106" i="2"/>
  <c r="B107" i="2"/>
  <c r="C107" i="2"/>
  <c r="D107" i="2"/>
  <c r="E107" i="2"/>
  <c r="F107" i="2"/>
  <c r="B108" i="2"/>
  <c r="D108" i="2"/>
  <c r="F108" i="2"/>
  <c r="B109" i="2"/>
  <c r="D109" i="2"/>
  <c r="E109" i="2"/>
  <c r="F109" i="2"/>
  <c r="B110" i="2"/>
  <c r="C110" i="2"/>
  <c r="D110" i="2"/>
  <c r="E110" i="2"/>
  <c r="F110" i="2"/>
  <c r="B111" i="2"/>
  <c r="C111" i="2"/>
  <c r="D111" i="2"/>
  <c r="E111" i="2"/>
  <c r="F111" i="2"/>
  <c r="B112" i="2"/>
  <c r="C112" i="2"/>
  <c r="D112" i="2"/>
  <c r="E112" i="2"/>
  <c r="F112" i="2"/>
  <c r="B113" i="2"/>
  <c r="C113" i="2"/>
  <c r="D113" i="2"/>
  <c r="E113" i="2"/>
  <c r="F113" i="2"/>
  <c r="B114" i="2"/>
  <c r="F114" i="2"/>
  <c r="B115" i="2"/>
  <c r="C115" i="2"/>
  <c r="D115" i="2"/>
  <c r="E115" i="2"/>
  <c r="F115" i="2"/>
  <c r="B116" i="2"/>
  <c r="C116" i="2"/>
  <c r="D116" i="2"/>
  <c r="E116" i="2"/>
  <c r="F116" i="2"/>
  <c r="B117" i="2"/>
  <c r="C117" i="2"/>
  <c r="D117" i="2"/>
  <c r="E117" i="2"/>
  <c r="F117" i="2"/>
  <c r="B118" i="2"/>
  <c r="D118" i="2"/>
  <c r="F118" i="2"/>
  <c r="B119" i="2"/>
  <c r="C119" i="2"/>
  <c r="D119" i="2"/>
  <c r="E119" i="2"/>
  <c r="F119" i="2"/>
  <c r="B120" i="2"/>
  <c r="C120" i="2"/>
  <c r="D120" i="2"/>
  <c r="E120" i="2"/>
  <c r="F120" i="2"/>
  <c r="B121" i="2"/>
  <c r="C121" i="2"/>
  <c r="D121" i="2"/>
  <c r="E121" i="2"/>
  <c r="F121" i="2"/>
  <c r="B122" i="2"/>
  <c r="C122" i="2"/>
  <c r="D122" i="2"/>
  <c r="E122" i="2"/>
  <c r="F122" i="2"/>
  <c r="F123" i="2"/>
  <c r="B124" i="2"/>
  <c r="C124" i="2"/>
  <c r="D124" i="2"/>
  <c r="E124" i="2"/>
  <c r="F124" i="2"/>
  <c r="B125" i="2"/>
  <c r="C125" i="2"/>
  <c r="D125" i="2"/>
  <c r="E125" i="2"/>
  <c r="F125" i="2"/>
  <c r="B126" i="2"/>
  <c r="C126" i="2"/>
  <c r="D126" i="2"/>
  <c r="F126" i="2"/>
  <c r="B127" i="2"/>
  <c r="D127" i="2"/>
  <c r="E127" i="2"/>
  <c r="F127" i="2"/>
  <c r="B128" i="2"/>
  <c r="C128" i="2"/>
  <c r="D128" i="2"/>
  <c r="E128" i="2"/>
  <c r="F128" i="2"/>
  <c r="B129" i="2"/>
  <c r="C129" i="2"/>
  <c r="D129" i="2"/>
  <c r="E129" i="2"/>
  <c r="F129" i="2"/>
  <c r="B130" i="2"/>
  <c r="C130" i="2"/>
  <c r="D130" i="2"/>
  <c r="F130" i="2"/>
  <c r="B131" i="2"/>
  <c r="C131" i="2"/>
  <c r="D131" i="2"/>
  <c r="E131" i="2"/>
  <c r="F131" i="2"/>
  <c r="F132" i="2"/>
  <c r="B133" i="2"/>
  <c r="C133" i="2"/>
  <c r="D133" i="2"/>
  <c r="E133" i="2"/>
  <c r="F133" i="2"/>
  <c r="F134" i="2"/>
  <c r="B135" i="2"/>
  <c r="C135" i="2"/>
  <c r="D135" i="2"/>
  <c r="E135" i="2"/>
  <c r="F135" i="2"/>
  <c r="A11" i="1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50" i="11" s="1"/>
  <c r="A51" i="11" s="1"/>
  <c r="A52" i="11" s="1"/>
  <c r="A53" i="11" s="1"/>
  <c r="A54" i="11" s="1"/>
  <c r="A55" i="11" s="1"/>
  <c r="A56" i="11" s="1"/>
  <c r="A57" i="11" s="1"/>
  <c r="A58" i="11" s="1"/>
  <c r="A59" i="11" s="1"/>
  <c r="A60" i="11" s="1"/>
  <c r="A61" i="11" s="1"/>
  <c r="A62" i="11" s="1"/>
  <c r="A63" i="11" s="1"/>
  <c r="A64" i="11" s="1"/>
  <c r="A65" i="11" s="1"/>
  <c r="A66" i="11" s="1"/>
  <c r="A67" i="11" s="1"/>
  <c r="A68" i="11" s="1"/>
  <c r="A69" i="11" s="1"/>
  <c r="A70" i="11" s="1"/>
  <c r="A71" i="11" s="1"/>
  <c r="A72" i="11" s="1"/>
  <c r="A73" i="11" s="1"/>
  <c r="A74" i="11" s="1"/>
  <c r="A75" i="11" s="1"/>
  <c r="A76" i="11" s="1"/>
  <c r="A77" i="11" s="1"/>
  <c r="A78" i="11" s="1"/>
  <c r="A79" i="11" s="1"/>
  <c r="A80" i="11" s="1"/>
  <c r="A81" i="11" s="1"/>
  <c r="A82" i="11" s="1"/>
  <c r="A83" i="11" s="1"/>
  <c r="A84" i="11" s="1"/>
  <c r="A85" i="11" s="1"/>
  <c r="A86" i="11" s="1"/>
  <c r="A87" i="11" s="1"/>
  <c r="A88" i="11" s="1"/>
  <c r="A89" i="11" s="1"/>
  <c r="A90" i="11" s="1"/>
  <c r="A91" i="11" s="1"/>
  <c r="A92" i="11" s="1"/>
  <c r="A93" i="11" s="1"/>
  <c r="A94" i="11" s="1"/>
  <c r="A95" i="11" s="1"/>
  <c r="A96" i="11" s="1"/>
  <c r="N46" i="11"/>
  <c r="N47" i="11"/>
  <c r="L59" i="12" s="1"/>
  <c r="N48" i="11"/>
  <c r="N49" i="11"/>
  <c r="L61" i="12" s="1"/>
  <c r="N50" i="11"/>
  <c r="L62" i="12" s="1"/>
  <c r="N51" i="11"/>
  <c r="N52" i="11"/>
  <c r="L64" i="12" s="1"/>
  <c r="P344" i="14" s="1"/>
  <c r="N53" i="11"/>
  <c r="N54" i="11"/>
  <c r="N55" i="11"/>
  <c r="L67" i="12" s="1"/>
  <c r="N56" i="11"/>
  <c r="L68" i="12" s="1"/>
  <c r="N57" i="11"/>
  <c r="N58" i="11"/>
  <c r="N59" i="11"/>
  <c r="N60" i="11"/>
  <c r="N61" i="11"/>
  <c r="L73" i="12" s="1"/>
  <c r="N62" i="11"/>
  <c r="M74" i="12" s="1"/>
  <c r="N63" i="11"/>
  <c r="L75" i="12" s="1"/>
  <c r="N64" i="11"/>
  <c r="L76" i="12" s="1"/>
  <c r="N65" i="11"/>
  <c r="N66" i="11"/>
  <c r="N67" i="11"/>
  <c r="N68" i="11"/>
  <c r="N69" i="11"/>
  <c r="N70" i="11"/>
  <c r="M82" i="12" s="1"/>
  <c r="N71" i="11"/>
  <c r="L83" i="12" s="1"/>
  <c r="N72" i="11"/>
  <c r="N73" i="11"/>
  <c r="L85" i="12" s="1"/>
  <c r="P365" i="14" s="1"/>
  <c r="R74" i="11"/>
  <c r="N74" i="11" s="1"/>
  <c r="R75" i="11"/>
  <c r="R76" i="11"/>
  <c r="R77" i="11"/>
  <c r="R78" i="11"/>
  <c r="R79" i="11"/>
  <c r="R80" i="11"/>
  <c r="R81" i="11"/>
  <c r="R82" i="11"/>
  <c r="R83" i="11"/>
  <c r="R84" i="11"/>
  <c r="R85" i="11"/>
  <c r="R86" i="11"/>
  <c r="R87" i="11"/>
  <c r="R88" i="11"/>
  <c r="D114" i="11"/>
  <c r="E114" i="11"/>
  <c r="F114" i="11"/>
  <c r="G114" i="11"/>
  <c r="N5" i="10"/>
  <c r="Q5" i="10"/>
  <c r="B4" i="11" s="1"/>
  <c r="P5" i="10"/>
  <c r="N6" i="10"/>
  <c r="Q6" i="10" s="1"/>
  <c r="B5" i="11" s="1"/>
  <c r="P6" i="10"/>
  <c r="N7" i="10"/>
  <c r="P7" i="10"/>
  <c r="N8" i="10"/>
  <c r="P8" i="10"/>
  <c r="N9" i="10"/>
  <c r="P9" i="10"/>
  <c r="N10" i="10"/>
  <c r="P10" i="10"/>
  <c r="P11" i="10"/>
  <c r="X11" i="10"/>
  <c r="AA11" i="10" s="1"/>
  <c r="AH11" i="10"/>
  <c r="AL11" i="10"/>
  <c r="AP11" i="10"/>
  <c r="AT11" i="10"/>
  <c r="AX11" i="10"/>
  <c r="BB11" i="10"/>
  <c r="BF11" i="10"/>
  <c r="AF11" i="10"/>
  <c r="AG11" i="10"/>
  <c r="AK11" i="10"/>
  <c r="AO11" i="10"/>
  <c r="AS11" i="10"/>
  <c r="AW11" i="10"/>
  <c r="BA11" i="10"/>
  <c r="BE11" i="10"/>
  <c r="D12" i="10"/>
  <c r="P12" i="10"/>
  <c r="AH12" i="10"/>
  <c r="AB12" i="10" s="1"/>
  <c r="AL12" i="10"/>
  <c r="AP12" i="10"/>
  <c r="AT12" i="10"/>
  <c r="AX12" i="10"/>
  <c r="BB12" i="10"/>
  <c r="BF12" i="10"/>
  <c r="AG12" i="10"/>
  <c r="D13" i="10"/>
  <c r="P13" i="10" s="1"/>
  <c r="AH13" i="10"/>
  <c r="AB13" i="10"/>
  <c r="AL13" i="10"/>
  <c r="AP13" i="10"/>
  <c r="AT13" i="10"/>
  <c r="AX13" i="10"/>
  <c r="BB13" i="10"/>
  <c r="BF13" i="10"/>
  <c r="AG13" i="10"/>
  <c r="AH14" i="10"/>
  <c r="AL14" i="10"/>
  <c r="AP14" i="10"/>
  <c r="AT14" i="10"/>
  <c r="AX14" i="10"/>
  <c r="BB14" i="10"/>
  <c r="BF14" i="10"/>
  <c r="AG14" i="10"/>
  <c r="AH15" i="10"/>
  <c r="AL15" i="10"/>
  <c r="AP15" i="10"/>
  <c r="AT15" i="10"/>
  <c r="AX15" i="10"/>
  <c r="BB15" i="10"/>
  <c r="AG15" i="10"/>
  <c r="X16" i="10"/>
  <c r="AH16" i="10"/>
  <c r="AL16" i="10"/>
  <c r="AP16" i="10"/>
  <c r="AT16" i="10"/>
  <c r="AX16" i="10"/>
  <c r="BB16" i="10"/>
  <c r="BF16" i="10"/>
  <c r="AB16" i="10" s="1"/>
  <c r="AF16" i="10"/>
  <c r="AG16" i="10"/>
  <c r="AK16" i="10"/>
  <c r="AO16" i="10"/>
  <c r="AS16" i="10"/>
  <c r="AW16" i="10"/>
  <c r="BA16" i="10"/>
  <c r="BE16" i="10"/>
  <c r="AH17" i="10"/>
  <c r="AL17" i="10"/>
  <c r="AM41" i="10" s="1"/>
  <c r="AP17" i="10"/>
  <c r="AT17" i="10"/>
  <c r="AX17" i="10"/>
  <c r="BB17" i="10"/>
  <c r="BF17" i="10"/>
  <c r="AG17" i="10"/>
  <c r="AH18" i="10"/>
  <c r="AL18" i="10"/>
  <c r="AP18" i="10"/>
  <c r="AT18" i="10"/>
  <c r="AX18" i="10"/>
  <c r="BB18" i="10"/>
  <c r="BF18" i="10"/>
  <c r="AG18" i="10"/>
  <c r="AH19" i="10"/>
  <c r="AB19" i="10" s="1"/>
  <c r="AL19" i="10"/>
  <c r="AP19" i="10"/>
  <c r="AT19" i="10"/>
  <c r="AX19" i="10"/>
  <c r="BB19" i="10"/>
  <c r="AG19" i="10"/>
  <c r="AH20" i="10"/>
  <c r="AB20" i="10" s="1"/>
  <c r="AL20" i="10"/>
  <c r="AP20" i="10"/>
  <c r="AT20" i="10"/>
  <c r="AX20" i="10"/>
  <c r="BB20" i="10"/>
  <c r="BF20" i="10"/>
  <c r="AG20" i="10"/>
  <c r="AH21" i="10"/>
  <c r="AB21" i="10"/>
  <c r="AL21" i="10"/>
  <c r="AP21" i="10"/>
  <c r="AT21" i="10"/>
  <c r="AX21" i="10"/>
  <c r="BB21" i="10"/>
  <c r="BF21" i="10"/>
  <c r="AG21" i="10"/>
  <c r="AS21" i="10"/>
  <c r="AH22" i="10"/>
  <c r="AL22" i="10"/>
  <c r="AP22" i="10"/>
  <c r="AT22" i="10"/>
  <c r="AX22" i="10"/>
  <c r="BB22" i="10"/>
  <c r="BF22" i="10"/>
  <c r="AB22" i="10"/>
  <c r="AG22" i="10"/>
  <c r="AH23" i="10"/>
  <c r="AL23" i="10"/>
  <c r="AP23" i="10"/>
  <c r="AT23" i="10"/>
  <c r="AX23" i="10"/>
  <c r="BB23" i="10"/>
  <c r="BF23" i="10"/>
  <c r="AG23" i="10"/>
  <c r="AH24" i="10"/>
  <c r="AL24" i="10"/>
  <c r="AP24" i="10"/>
  <c r="AT24" i="10"/>
  <c r="AX24" i="10"/>
  <c r="BB24" i="10"/>
  <c r="BF24" i="10"/>
  <c r="AG24" i="10"/>
  <c r="AH25" i="10"/>
  <c r="AL25" i="10"/>
  <c r="AP25" i="10"/>
  <c r="AT25" i="10"/>
  <c r="AX25" i="10"/>
  <c r="BB25" i="10"/>
  <c r="BF25" i="10"/>
  <c r="AG25" i="10"/>
  <c r="X26" i="10"/>
  <c r="AH26" i="10"/>
  <c r="AL26" i="10"/>
  <c r="AP26" i="10"/>
  <c r="AT26" i="10"/>
  <c r="AB26" i="10" s="1"/>
  <c r="AX26" i="10"/>
  <c r="BB26" i="10"/>
  <c r="BF26" i="10"/>
  <c r="AF26" i="10"/>
  <c r="AG26" i="10"/>
  <c r="AK26" i="10"/>
  <c r="AO26" i="10"/>
  <c r="AS26" i="10"/>
  <c r="AW26" i="10"/>
  <c r="BA26" i="10"/>
  <c r="BE26" i="10"/>
  <c r="AH27" i="10"/>
  <c r="AB27" i="10"/>
  <c r="AL27" i="10"/>
  <c r="AP27" i="10"/>
  <c r="AT27" i="10"/>
  <c r="AX27" i="10"/>
  <c r="BB27" i="10"/>
  <c r="BF27" i="10"/>
  <c r="AG27" i="10"/>
  <c r="AH28" i="10"/>
  <c r="AL28" i="10"/>
  <c r="AP28" i="10"/>
  <c r="AT28" i="10"/>
  <c r="AX28" i="10"/>
  <c r="BB28" i="10"/>
  <c r="AG28" i="10"/>
  <c r="AH29" i="10"/>
  <c r="AL29" i="10"/>
  <c r="AP29" i="10"/>
  <c r="AT29" i="10"/>
  <c r="AX29" i="10"/>
  <c r="BB29" i="10"/>
  <c r="BF29" i="10"/>
  <c r="AG29" i="10"/>
  <c r="AH30" i="10"/>
  <c r="AB30" i="10" s="1"/>
  <c r="AL30" i="10"/>
  <c r="AP30" i="10"/>
  <c r="AT30" i="10"/>
  <c r="AX30" i="10"/>
  <c r="BB30" i="10"/>
  <c r="BF30" i="10"/>
  <c r="AG30" i="10"/>
  <c r="X31" i="10"/>
  <c r="AA31" i="10" s="1"/>
  <c r="AH31" i="10"/>
  <c r="AL31" i="10"/>
  <c r="AP31" i="10"/>
  <c r="AT31" i="10"/>
  <c r="AX31" i="10"/>
  <c r="BB31" i="10"/>
  <c r="BF31" i="10"/>
  <c r="AF31" i="10"/>
  <c r="AG31" i="10"/>
  <c r="AK31" i="10"/>
  <c r="AO31" i="10"/>
  <c r="AS31" i="10"/>
  <c r="AW31" i="10"/>
  <c r="BA31" i="10"/>
  <c r="BE31" i="10"/>
  <c r="AH32" i="10"/>
  <c r="AL32" i="10"/>
  <c r="AP32" i="10"/>
  <c r="AT32" i="10"/>
  <c r="AX32" i="10"/>
  <c r="BB32" i="10"/>
  <c r="BF32" i="10"/>
  <c r="AG32" i="10"/>
  <c r="AH33" i="10"/>
  <c r="AB33" i="10" s="1"/>
  <c r="AL33" i="10"/>
  <c r="AP33" i="10"/>
  <c r="AT33" i="10"/>
  <c r="AX33" i="10"/>
  <c r="BB33" i="10"/>
  <c r="BF33" i="10"/>
  <c r="AG33" i="10"/>
  <c r="AH34" i="10"/>
  <c r="AL34" i="10"/>
  <c r="AP34" i="10"/>
  <c r="AT34" i="10"/>
  <c r="AX34" i="10"/>
  <c r="BB34" i="10"/>
  <c r="BF34" i="10"/>
  <c r="AG34" i="10"/>
  <c r="AH35" i="10"/>
  <c r="AL35" i="10"/>
  <c r="AP35" i="10"/>
  <c r="AT35" i="10"/>
  <c r="AX35" i="10"/>
  <c r="BB35" i="10"/>
  <c r="BF35" i="10"/>
  <c r="AG35" i="10"/>
  <c r="X36" i="10"/>
  <c r="AA36" i="10" s="1"/>
  <c r="AH36" i="10"/>
  <c r="AL36" i="10"/>
  <c r="AP36" i="10"/>
  <c r="AT36" i="10"/>
  <c r="AX36" i="10"/>
  <c r="AB36" i="10" s="1"/>
  <c r="AC36" i="10" s="1"/>
  <c r="BB36" i="10"/>
  <c r="BF36" i="10"/>
  <c r="AF36" i="10"/>
  <c r="AG36" i="10"/>
  <c r="AK36" i="10"/>
  <c r="AO36" i="10"/>
  <c r="AS36" i="10"/>
  <c r="AW36" i="10"/>
  <c r="BA36" i="10"/>
  <c r="BE36" i="10"/>
  <c r="X37" i="10"/>
  <c r="AH37" i="10"/>
  <c r="AB37" i="10"/>
  <c r="AL37" i="10"/>
  <c r="AP37" i="10"/>
  <c r="AT37" i="10"/>
  <c r="AX37" i="10"/>
  <c r="BB37" i="10"/>
  <c r="AF37" i="10"/>
  <c r="AG37" i="10"/>
  <c r="AK37" i="10"/>
  <c r="AO37" i="10"/>
  <c r="AS37" i="10"/>
  <c r="AW37" i="10"/>
  <c r="BA37" i="10"/>
  <c r="BE37" i="10"/>
  <c r="X38" i="10"/>
  <c r="AA38" i="10"/>
  <c r="AH38" i="10"/>
  <c r="AL38" i="10"/>
  <c r="AP38" i="10"/>
  <c r="AT38" i="10"/>
  <c r="AX38" i="10"/>
  <c r="BB38" i="10"/>
  <c r="BF38" i="10"/>
  <c r="AF38" i="10"/>
  <c r="AG38" i="10"/>
  <c r="AK38" i="10"/>
  <c r="AO38" i="10"/>
  <c r="AS38" i="10"/>
  <c r="AW38" i="10"/>
  <c r="BA38" i="10"/>
  <c r="BE38" i="10"/>
  <c r="X39" i="10"/>
  <c r="AA39" i="10"/>
  <c r="AH39" i="10"/>
  <c r="AL39" i="10"/>
  <c r="AP39" i="10"/>
  <c r="AT39" i="10"/>
  <c r="AX39" i="10"/>
  <c r="BB39" i="10"/>
  <c r="BF39" i="10"/>
  <c r="AF39" i="10"/>
  <c r="AG39" i="10"/>
  <c r="AF41" i="10"/>
  <c r="AK39" i="10"/>
  <c r="AK41" i="10"/>
  <c r="AO39" i="10"/>
  <c r="AO41" i="10"/>
  <c r="AS39" i="10"/>
  <c r="AS41" i="10"/>
  <c r="AW39" i="10"/>
  <c r="AW41" i="10"/>
  <c r="BA39" i="10"/>
  <c r="BA40" i="10"/>
  <c r="BA41" i="10"/>
  <c r="BE39" i="10"/>
  <c r="BE41" i="10"/>
  <c r="AH40" i="10"/>
  <c r="AB40" i="10"/>
  <c r="AL40" i="10"/>
  <c r="AP40" i="10"/>
  <c r="AT40" i="10"/>
  <c r="AX40" i="10"/>
  <c r="BB40" i="10"/>
  <c r="BF40" i="10"/>
  <c r="AG40" i="10"/>
  <c r="X41" i="10"/>
  <c r="AA41" i="10" s="1"/>
  <c r="AH41" i="10"/>
  <c r="AL41" i="10"/>
  <c r="AP41" i="10"/>
  <c r="AT41" i="10"/>
  <c r="AX41" i="10"/>
  <c r="BB41" i="10"/>
  <c r="BF41" i="10"/>
  <c r="AG41" i="10"/>
  <c r="AH42" i="10"/>
  <c r="AL42" i="10"/>
  <c r="AP42" i="10"/>
  <c r="AB42" i="10" s="1"/>
  <c r="AT42" i="10"/>
  <c r="AX42" i="10"/>
  <c r="BB42" i="10"/>
  <c r="BF42" i="10"/>
  <c r="AG42" i="10"/>
  <c r="AH43" i="10"/>
  <c r="AL43" i="10"/>
  <c r="AP43" i="10"/>
  <c r="AT43" i="10"/>
  <c r="AX43" i="10"/>
  <c r="BB43" i="10"/>
  <c r="AB43" i="10" s="1"/>
  <c r="BF43" i="10"/>
  <c r="AG43" i="10"/>
  <c r="AH44" i="10"/>
  <c r="AL44" i="10"/>
  <c r="AP44" i="10"/>
  <c r="AT44" i="10"/>
  <c r="AX44" i="10"/>
  <c r="BB44" i="10"/>
  <c r="BF44" i="10"/>
  <c r="AG44" i="10"/>
  <c r="AH45" i="10"/>
  <c r="AL45" i="10"/>
  <c r="AP45" i="10"/>
  <c r="AT45" i="10"/>
  <c r="AX45" i="10"/>
  <c r="BB45" i="10"/>
  <c r="BF45" i="10"/>
  <c r="AG45" i="10"/>
  <c r="E46" i="10"/>
  <c r="Q46" i="10" s="1"/>
  <c r="F46" i="10"/>
  <c r="R46" i="10"/>
  <c r="G46" i="10"/>
  <c r="S46" i="10" s="1"/>
  <c r="H46" i="10"/>
  <c r="T46" i="10"/>
  <c r="I46" i="10"/>
  <c r="U46" i="10" s="1"/>
  <c r="J46" i="10"/>
  <c r="V46" i="10"/>
  <c r="K46" i="10"/>
  <c r="W46" i="10" s="1"/>
  <c r="AH46" i="10"/>
  <c r="AL46" i="10"/>
  <c r="AP46" i="10"/>
  <c r="AB46" i="10"/>
  <c r="AT46" i="10"/>
  <c r="AX46" i="10"/>
  <c r="BB46" i="10"/>
  <c r="BF46" i="10"/>
  <c r="AG46" i="10"/>
  <c r="E47" i="10"/>
  <c r="Q47" i="10" s="1"/>
  <c r="F47" i="10"/>
  <c r="G47" i="10"/>
  <c r="S47" i="10"/>
  <c r="H47" i="10"/>
  <c r="I47" i="10"/>
  <c r="U47" i="10"/>
  <c r="J47" i="10"/>
  <c r="K47" i="10"/>
  <c r="W47" i="10" s="1"/>
  <c r="R47" i="10"/>
  <c r="T47" i="10"/>
  <c r="V47" i="10"/>
  <c r="AH47" i="10"/>
  <c r="AL47" i="10"/>
  <c r="AP47" i="10"/>
  <c r="AT47" i="10"/>
  <c r="AX47" i="10"/>
  <c r="BB47" i="10"/>
  <c r="BF47" i="10"/>
  <c r="AG47" i="10"/>
  <c r="E48" i="10"/>
  <c r="Q48" i="10" s="1"/>
  <c r="F48" i="10"/>
  <c r="R48" i="10"/>
  <c r="G48" i="10"/>
  <c r="H48" i="10"/>
  <c r="T48" i="10"/>
  <c r="I48" i="10"/>
  <c r="U48" i="10" s="1"/>
  <c r="J48" i="10"/>
  <c r="V48" i="10" s="1"/>
  <c r="K48" i="10"/>
  <c r="W48" i="10" s="1"/>
  <c r="S48" i="10"/>
  <c r="AH48" i="10"/>
  <c r="AL48" i="10"/>
  <c r="AP48" i="10"/>
  <c r="AT48" i="10"/>
  <c r="AX48" i="10"/>
  <c r="BB48" i="10"/>
  <c r="AG48" i="10"/>
  <c r="E49" i="10"/>
  <c r="Q49" i="10" s="1"/>
  <c r="F49" i="10"/>
  <c r="R49" i="10" s="1"/>
  <c r="G49" i="10"/>
  <c r="S49" i="10" s="1"/>
  <c r="H49" i="10"/>
  <c r="I49" i="10"/>
  <c r="U49" i="10"/>
  <c r="J49" i="10"/>
  <c r="V49" i="10" s="1"/>
  <c r="K49" i="10"/>
  <c r="W49" i="10"/>
  <c r="T49" i="10"/>
  <c r="AH49" i="10"/>
  <c r="AL49" i="10"/>
  <c r="AP49" i="10"/>
  <c r="AT49" i="10"/>
  <c r="AX49" i="10"/>
  <c r="BB49" i="10"/>
  <c r="AG49" i="10"/>
  <c r="E50" i="10"/>
  <c r="Q50" i="10" s="1"/>
  <c r="F50" i="10"/>
  <c r="R50" i="10" s="1"/>
  <c r="G50" i="10"/>
  <c r="S50" i="10" s="1"/>
  <c r="H50" i="10"/>
  <c r="T50" i="10" s="1"/>
  <c r="I50" i="10"/>
  <c r="J50" i="10"/>
  <c r="V50" i="10" s="1"/>
  <c r="K50" i="10"/>
  <c r="W50" i="10" s="1"/>
  <c r="U50" i="10"/>
  <c r="AH50" i="10"/>
  <c r="AL50" i="10"/>
  <c r="AP50" i="10"/>
  <c r="AT50" i="10"/>
  <c r="AX50" i="10"/>
  <c r="BB50" i="10"/>
  <c r="BF50" i="10"/>
  <c r="AG50" i="10"/>
  <c r="E51" i="10"/>
  <c r="Q51" i="10" s="1"/>
  <c r="F51" i="10"/>
  <c r="R51" i="10" s="1"/>
  <c r="G51" i="10"/>
  <c r="S51" i="10"/>
  <c r="H51" i="10"/>
  <c r="I51" i="10"/>
  <c r="U51" i="10"/>
  <c r="J51" i="10"/>
  <c r="K51" i="10"/>
  <c r="W51" i="10"/>
  <c r="T51" i="10"/>
  <c r="V51" i="10"/>
  <c r="AH51" i="10"/>
  <c r="AL51" i="10"/>
  <c r="AP51" i="10"/>
  <c r="AT51" i="10"/>
  <c r="AX51" i="10"/>
  <c r="BB51" i="10"/>
  <c r="BF51" i="10"/>
  <c r="AG51" i="10"/>
  <c r="E52" i="10"/>
  <c r="Q52" i="10" s="1"/>
  <c r="F52" i="10"/>
  <c r="R52" i="10" s="1"/>
  <c r="G52" i="10"/>
  <c r="S52" i="10" s="1"/>
  <c r="H52" i="10"/>
  <c r="T52" i="10" s="1"/>
  <c r="I52" i="10"/>
  <c r="J52" i="10"/>
  <c r="V52" i="10" s="1"/>
  <c r="K52" i="10"/>
  <c r="U52" i="10"/>
  <c r="W52" i="10"/>
  <c r="AH52" i="10"/>
  <c r="AB52" i="10" s="1"/>
  <c r="AL52" i="10"/>
  <c r="AP52" i="10"/>
  <c r="AT52" i="10"/>
  <c r="AX52" i="10"/>
  <c r="BB52" i="10"/>
  <c r="BF52" i="10"/>
  <c r="AG52" i="10"/>
  <c r="E53" i="10"/>
  <c r="Q53" i="10"/>
  <c r="F53" i="10"/>
  <c r="R53" i="10" s="1"/>
  <c r="G53" i="10"/>
  <c r="S53" i="10"/>
  <c r="H53" i="10"/>
  <c r="T53" i="10" s="1"/>
  <c r="I53" i="10"/>
  <c r="U53" i="10"/>
  <c r="J53" i="10"/>
  <c r="K53" i="10"/>
  <c r="W53" i="10"/>
  <c r="V53" i="10"/>
  <c r="AH53" i="10"/>
  <c r="AL53" i="10"/>
  <c r="AP53" i="10"/>
  <c r="AT53" i="10"/>
  <c r="AX53" i="10"/>
  <c r="BB53" i="10"/>
  <c r="AG53" i="10"/>
  <c r="E54" i="10"/>
  <c r="F54" i="10"/>
  <c r="R54" i="10" s="1"/>
  <c r="G54" i="10"/>
  <c r="H54" i="10"/>
  <c r="T54" i="10"/>
  <c r="I54" i="10"/>
  <c r="U54" i="10" s="1"/>
  <c r="J54" i="10"/>
  <c r="V54" i="10"/>
  <c r="K54" i="10"/>
  <c r="Q54" i="10"/>
  <c r="S54" i="10"/>
  <c r="W54" i="10"/>
  <c r="AH54" i="10"/>
  <c r="AB54" i="10" s="1"/>
  <c r="AL54" i="10"/>
  <c r="AP54" i="10"/>
  <c r="AT54" i="10"/>
  <c r="AX54" i="10"/>
  <c r="BB54" i="10"/>
  <c r="BF54" i="10"/>
  <c r="AG54" i="10"/>
  <c r="E55" i="10"/>
  <c r="Q55" i="10" s="1"/>
  <c r="F55" i="10"/>
  <c r="G55" i="10"/>
  <c r="S55" i="10" s="1"/>
  <c r="H55" i="10"/>
  <c r="T55" i="10" s="1"/>
  <c r="I55" i="10"/>
  <c r="U55" i="10"/>
  <c r="J55" i="10"/>
  <c r="V55" i="10" s="1"/>
  <c r="K55" i="10"/>
  <c r="W55" i="10" s="1"/>
  <c r="R55" i="10"/>
  <c r="AH55" i="10"/>
  <c r="AL55" i="10"/>
  <c r="AP55" i="10"/>
  <c r="AT55" i="10"/>
  <c r="AX55" i="10"/>
  <c r="BB55" i="10"/>
  <c r="BF55" i="10"/>
  <c r="AG55" i="10"/>
  <c r="E56" i="10"/>
  <c r="F56" i="10"/>
  <c r="R56" i="10" s="1"/>
  <c r="G56" i="10"/>
  <c r="H56" i="10"/>
  <c r="T56" i="10"/>
  <c r="I56" i="10"/>
  <c r="J56" i="10"/>
  <c r="V56" i="10" s="1"/>
  <c r="K56" i="10"/>
  <c r="Q56" i="10"/>
  <c r="S56" i="10"/>
  <c r="U56" i="10"/>
  <c r="W56" i="10"/>
  <c r="AH56" i="10"/>
  <c r="AL56" i="10"/>
  <c r="AP56" i="10"/>
  <c r="AT56" i="10"/>
  <c r="AX56" i="10"/>
  <c r="BB56" i="10"/>
  <c r="AG56" i="10"/>
  <c r="AH57" i="10"/>
  <c r="AL57" i="10"/>
  <c r="AP57" i="10"/>
  <c r="AT57" i="10"/>
  <c r="AX57" i="10"/>
  <c r="BB57" i="10"/>
  <c r="AG57" i="10"/>
  <c r="AH58" i="10"/>
  <c r="AL58" i="10"/>
  <c r="AB58" i="10" s="1"/>
  <c r="AP58" i="10"/>
  <c r="AT58" i="10"/>
  <c r="AX58" i="10"/>
  <c r="BB58" i="10"/>
  <c r="BF58" i="10"/>
  <c r="AG58" i="10"/>
  <c r="AH59" i="10"/>
  <c r="AL59" i="10"/>
  <c r="AP59" i="10"/>
  <c r="AT59" i="10"/>
  <c r="AX59" i="10"/>
  <c r="BB59" i="10"/>
  <c r="BF59" i="10"/>
  <c r="AG59" i="10"/>
  <c r="AH60" i="10"/>
  <c r="AL60" i="10"/>
  <c r="AP60" i="10"/>
  <c r="AT60" i="10"/>
  <c r="AX60" i="10"/>
  <c r="BB60" i="10"/>
  <c r="BF60" i="10"/>
  <c r="AG60" i="10"/>
  <c r="AH61" i="10"/>
  <c r="AL61" i="10"/>
  <c r="AP61" i="10"/>
  <c r="AT61" i="10"/>
  <c r="AX61" i="10"/>
  <c r="BB61" i="10"/>
  <c r="BF61" i="10"/>
  <c r="AG61" i="10"/>
  <c r="AH62" i="10"/>
  <c r="AL62" i="10"/>
  <c r="AP62" i="10"/>
  <c r="AT62" i="10"/>
  <c r="AB62" i="10" s="1"/>
  <c r="AX62" i="10"/>
  <c r="BB62" i="10"/>
  <c r="BF62" i="10"/>
  <c r="AG62" i="10"/>
  <c r="AH63" i="10"/>
  <c r="AL63" i="10"/>
  <c r="AP63" i="10"/>
  <c r="AT63" i="10"/>
  <c r="AX63" i="10"/>
  <c r="BB63" i="10"/>
  <c r="BF63" i="10"/>
  <c r="AG63" i="10"/>
  <c r="AH64" i="10"/>
  <c r="AL64" i="10"/>
  <c r="AP64" i="10"/>
  <c r="AT64" i="10"/>
  <c r="AX64" i="10"/>
  <c r="BB64" i="10"/>
  <c r="BF64" i="10"/>
  <c r="AG64" i="10"/>
  <c r="AH65" i="10"/>
  <c r="AL65" i="10"/>
  <c r="AP65" i="10"/>
  <c r="AT65" i="10"/>
  <c r="AX65" i="10"/>
  <c r="BB65" i="10"/>
  <c r="BF65" i="10"/>
  <c r="AG65" i="10"/>
  <c r="AB66" i="10"/>
  <c r="AB67" i="10"/>
  <c r="AB68" i="10"/>
  <c r="AB69" i="10"/>
  <c r="AB70" i="10"/>
  <c r="AB71" i="10"/>
  <c r="AB72" i="10"/>
  <c r="AB73" i="10"/>
  <c r="AB74" i="10"/>
  <c r="AB75" i="10"/>
  <c r="AB76" i="10"/>
  <c r="AB77" i="10"/>
  <c r="AB78" i="10"/>
  <c r="AB79" i="10"/>
  <c r="AB80" i="10"/>
  <c r="AB81" i="10"/>
  <c r="AB82" i="10"/>
  <c r="AB83" i="10"/>
  <c r="AB84" i="10"/>
  <c r="AB85" i="10"/>
  <c r="AB86" i="10"/>
  <c r="AB87" i="10"/>
  <c r="G8" i="9"/>
  <c r="H8" i="9"/>
  <c r="G9" i="9"/>
  <c r="H9" i="9"/>
  <c r="J9" i="9"/>
  <c r="Q9" i="9"/>
  <c r="N12" i="10" s="1"/>
  <c r="G10" i="9"/>
  <c r="H10" i="9"/>
  <c r="L20" i="9" s="1"/>
  <c r="J10" i="9"/>
  <c r="J11" i="9"/>
  <c r="J12" i="9" s="1"/>
  <c r="J13" i="9" s="1"/>
  <c r="J14" i="9" s="1"/>
  <c r="J15" i="9" s="1"/>
  <c r="J16" i="9" s="1"/>
  <c r="J17" i="9" s="1"/>
  <c r="J18" i="9" s="1"/>
  <c r="J19" i="9" s="1"/>
  <c r="J20" i="9" s="1"/>
  <c r="J21" i="9" s="1"/>
  <c r="J22" i="9" s="1"/>
  <c r="J23" i="9" s="1"/>
  <c r="J24" i="9" s="1"/>
  <c r="J25" i="9" s="1"/>
  <c r="J26" i="9" s="1"/>
  <c r="J27" i="9" s="1"/>
  <c r="J28" i="9" s="1"/>
  <c r="J29" i="9" s="1"/>
  <c r="J30" i="9" s="1"/>
  <c r="J31" i="9" s="1"/>
  <c r="J32" i="9" s="1"/>
  <c r="J33" i="9" s="1"/>
  <c r="J34" i="9" s="1"/>
  <c r="J35" i="9" s="1"/>
  <c r="J36" i="9" s="1"/>
  <c r="J37" i="9" s="1"/>
  <c r="J38" i="9" s="1"/>
  <c r="Q10" i="9"/>
  <c r="N13" i="10"/>
  <c r="G11" i="9"/>
  <c r="H11" i="9"/>
  <c r="L38" i="9" s="1"/>
  <c r="Q11" i="9"/>
  <c r="N14" i="10"/>
  <c r="Q12" i="9"/>
  <c r="N15" i="10" s="1"/>
  <c r="L14" i="9"/>
  <c r="Q14" i="9"/>
  <c r="N17" i="10"/>
  <c r="Q15" i="9"/>
  <c r="N18" i="10"/>
  <c r="F16" i="9"/>
  <c r="G16" i="9"/>
  <c r="H16" i="9" s="1"/>
  <c r="Q16" i="9"/>
  <c r="N19" i="10"/>
  <c r="Q19" i="10" s="1"/>
  <c r="G17" i="9"/>
  <c r="H17" i="9" s="1"/>
  <c r="Q17" i="9"/>
  <c r="N20" i="10" s="1"/>
  <c r="G18" i="9"/>
  <c r="H18" i="9" s="1"/>
  <c r="M18" i="9" s="1"/>
  <c r="G19" i="9"/>
  <c r="H19" i="9" s="1"/>
  <c r="Q19" i="9"/>
  <c r="N22" i="10"/>
  <c r="Q20" i="9"/>
  <c r="N23" i="10"/>
  <c r="Q21" i="9"/>
  <c r="N24" i="10" s="1"/>
  <c r="Q24" i="10" s="1"/>
  <c r="B23" i="11" s="1"/>
  <c r="L22" i="9"/>
  <c r="Q22" i="9"/>
  <c r="N25" i="10"/>
  <c r="F24" i="9"/>
  <c r="G24" i="9" s="1"/>
  <c r="H24" i="9" s="1"/>
  <c r="Q24" i="9"/>
  <c r="N27" i="10"/>
  <c r="G25" i="9"/>
  <c r="H25" i="9"/>
  <c r="Q25" i="9"/>
  <c r="N28" i="10"/>
  <c r="T28" i="10" s="1"/>
  <c r="K27" i="11" s="1"/>
  <c r="G26" i="9"/>
  <c r="H26" i="9"/>
  <c r="N28" i="9"/>
  <c r="Q26" i="9"/>
  <c r="N29" i="10" s="1"/>
  <c r="G27" i="9"/>
  <c r="H27" i="9" s="1"/>
  <c r="Q27" i="9"/>
  <c r="N30" i="10" s="1"/>
  <c r="Q29" i="9"/>
  <c r="Q32" i="9" s="1"/>
  <c r="N35" i="10" s="1"/>
  <c r="G33" i="9"/>
  <c r="H33" i="9" s="1"/>
  <c r="G34" i="9"/>
  <c r="H34" i="9"/>
  <c r="G35" i="9"/>
  <c r="H35" i="9"/>
  <c r="O37" i="9"/>
  <c r="K46" i="9"/>
  <c r="P13" i="8"/>
  <c r="Q13" i="8"/>
  <c r="Q15" i="8" s="1"/>
  <c r="R13" i="8"/>
  <c r="S13" i="8"/>
  <c r="T13" i="8"/>
  <c r="T15" i="8" s="1"/>
  <c r="U13" i="8"/>
  <c r="D14" i="8"/>
  <c r="D15" i="8" s="1"/>
  <c r="P14" i="8"/>
  <c r="Q14" i="8"/>
  <c r="R14" i="8"/>
  <c r="R15" i="8"/>
  <c r="S14" i="8"/>
  <c r="O14" i="8" s="1"/>
  <c r="T14" i="8"/>
  <c r="U14" i="8"/>
  <c r="D16" i="8"/>
  <c r="D17" i="8" s="1"/>
  <c r="D18" i="8" s="1"/>
  <c r="D19" i="8" s="1"/>
  <c r="D20" i="8" s="1"/>
  <c r="D21" i="8" s="1"/>
  <c r="D22" i="8" s="1"/>
  <c r="D23" i="8" s="1"/>
  <c r="D24" i="8" s="1"/>
  <c r="D25" i="8" s="1"/>
  <c r="D26" i="8" s="1"/>
  <c r="D27" i="8" s="1"/>
  <c r="D28" i="8" s="1"/>
  <c r="D29" i="8" s="1"/>
  <c r="D30" i="8" s="1"/>
  <c r="D31" i="8" s="1"/>
  <c r="D32" i="8" s="1"/>
  <c r="D33" i="8" s="1"/>
  <c r="D34" i="8" s="1"/>
  <c r="D35" i="8" s="1"/>
  <c r="D36" i="8" s="1"/>
  <c r="D37" i="8" s="1"/>
  <c r="D38" i="8" s="1"/>
  <c r="D39" i="8" s="1"/>
  <c r="D40" i="8" s="1"/>
  <c r="D41" i="8" s="1"/>
  <c r="D42" i="8" s="1"/>
  <c r="D43" i="8"/>
  <c r="D44" i="8" s="1"/>
  <c r="D45" i="8" s="1"/>
  <c r="D46" i="8" s="1"/>
  <c r="D47" i="8" s="1"/>
  <c r="D48" i="8" s="1"/>
  <c r="D49" i="8" s="1"/>
  <c r="D50" i="8" s="1"/>
  <c r="D51" i="8" s="1"/>
  <c r="D52" i="8" s="1"/>
  <c r="D53" i="8" s="1"/>
  <c r="D54" i="8" s="1"/>
  <c r="D55" i="8" s="1"/>
  <c r="D56" i="8" s="1"/>
  <c r="D57" i="8" s="1"/>
  <c r="D58" i="8" s="1"/>
  <c r="U15" i="8"/>
  <c r="D12" i="16"/>
  <c r="F12" i="16"/>
  <c r="G12" i="16"/>
  <c r="D17" i="16"/>
  <c r="E17" i="16"/>
  <c r="F17" i="16"/>
  <c r="H17" i="16" s="1"/>
  <c r="E18" i="16"/>
  <c r="X18" i="16"/>
  <c r="E19" i="16"/>
  <c r="D20" i="16"/>
  <c r="E20" i="16"/>
  <c r="J20" i="16"/>
  <c r="J23" i="16"/>
  <c r="R25" i="16"/>
  <c r="S25" i="16"/>
  <c r="T19" i="16"/>
  <c r="T27" i="16" s="1"/>
  <c r="J26" i="16"/>
  <c r="K26" i="16"/>
  <c r="T26" i="16"/>
  <c r="E3" i="14"/>
  <c r="F3" i="14"/>
  <c r="G3" i="14"/>
  <c r="E4" i="14"/>
  <c r="F4" i="14"/>
  <c r="G4" i="14"/>
  <c r="G8" i="14"/>
  <c r="G472" i="14" s="1"/>
  <c r="H8" i="14"/>
  <c r="H472" i="14" s="1"/>
  <c r="I8" i="14"/>
  <c r="I472" i="14" s="1"/>
  <c r="J8" i="14"/>
  <c r="K8" i="14"/>
  <c r="K472" i="14" s="1"/>
  <c r="L8" i="14"/>
  <c r="L472" i="14" s="1"/>
  <c r="M8" i="14"/>
  <c r="M472" i="14" s="1"/>
  <c r="N8" i="14"/>
  <c r="N472" i="14" s="1"/>
  <c r="O8" i="14"/>
  <c r="O472" i="14" s="1"/>
  <c r="P8" i="14"/>
  <c r="P472" i="14" s="1"/>
  <c r="Q8" i="14"/>
  <c r="Q472" i="14" s="1"/>
  <c r="H426" i="14"/>
  <c r="L426" i="14"/>
  <c r="A17" i="14"/>
  <c r="F18" i="14"/>
  <c r="A67" i="14"/>
  <c r="F68" i="14"/>
  <c r="A68" i="14"/>
  <c r="A167" i="14"/>
  <c r="AB167" i="14"/>
  <c r="A168" i="14"/>
  <c r="AB168" i="14"/>
  <c r="A169" i="14"/>
  <c r="AB169" i="14"/>
  <c r="A170" i="14"/>
  <c r="AB170" i="14"/>
  <c r="A171" i="14"/>
  <c r="AB171" i="14"/>
  <c r="A172" i="14"/>
  <c r="AB172" i="14"/>
  <c r="A173" i="14"/>
  <c r="AB173" i="14"/>
  <c r="A174" i="14"/>
  <c r="AB174" i="14"/>
  <c r="A175" i="14"/>
  <c r="AB175" i="14"/>
  <c r="A176" i="14"/>
  <c r="AB176" i="14"/>
  <c r="F177" i="14"/>
  <c r="AB177" i="14" s="1"/>
  <c r="A247" i="14"/>
  <c r="D247" i="14"/>
  <c r="E247" i="14" s="1"/>
  <c r="AB247" i="14"/>
  <c r="C298" i="14"/>
  <c r="F248" i="14"/>
  <c r="C248" i="14"/>
  <c r="C249" i="14" s="1"/>
  <c r="D248" i="14"/>
  <c r="E248" i="14" s="1"/>
  <c r="BT248" i="14"/>
  <c r="BT249" i="14" s="1"/>
  <c r="BT250" i="14" s="1"/>
  <c r="BT251" i="14" s="1"/>
  <c r="BT252" i="14" s="1"/>
  <c r="BT253" i="14" s="1"/>
  <c r="BT254" i="14" s="1"/>
  <c r="BT255" i="14" s="1"/>
  <c r="BT256" i="14" s="1"/>
  <c r="BT257" i="14" s="1"/>
  <c r="BT258" i="14" s="1"/>
  <c r="BT259" i="14" s="1"/>
  <c r="BT260" i="14" s="1"/>
  <c r="BT261" i="14" s="1"/>
  <c r="BT262" i="14" s="1"/>
  <c r="BT263" i="14" s="1"/>
  <c r="BT264" i="14" s="1"/>
  <c r="BT265" i="14" s="1"/>
  <c r="BT266" i="14" s="1"/>
  <c r="BT267" i="14" s="1"/>
  <c r="BT268" i="14" s="1"/>
  <c r="BT269" i="14" s="1"/>
  <c r="BT270" i="14" s="1"/>
  <c r="BT271" i="14" s="1"/>
  <c r="BT272" i="14" s="1"/>
  <c r="BT273" i="14" s="1"/>
  <c r="BT274" i="14" s="1"/>
  <c r="BT275" i="14" s="1"/>
  <c r="BT276" i="14" s="1"/>
  <c r="BT277" i="14" s="1"/>
  <c r="BT278" i="14" s="1"/>
  <c r="BT279" i="14" s="1"/>
  <c r="BT280" i="14" s="1"/>
  <c r="BT281" i="14" s="1"/>
  <c r="BT282" i="14" s="1"/>
  <c r="BT283" i="14" s="1"/>
  <c r="BT284" i="14" s="1"/>
  <c r="BT285" i="14" s="1"/>
  <c r="BT286" i="14" s="1"/>
  <c r="BT287" i="14" s="1"/>
  <c r="BT288" i="14" s="1"/>
  <c r="BT289" i="14" s="1"/>
  <c r="BT290" i="14" s="1"/>
  <c r="BT291" i="14" s="1"/>
  <c r="BT292" i="14" s="1"/>
  <c r="BT293" i="14" s="1"/>
  <c r="BT294" i="14" s="1"/>
  <c r="BT295" i="14" s="1"/>
  <c r="BT296" i="14" s="1"/>
  <c r="BT297" i="14" s="1"/>
  <c r="BT298" i="14" s="1"/>
  <c r="BT299" i="14" s="1"/>
  <c r="BT300" i="14" s="1"/>
  <c r="BT301" i="14" s="1"/>
  <c r="BT302" i="14" s="1"/>
  <c r="BT303" i="14" s="1"/>
  <c r="BT304" i="14" s="1"/>
  <c r="BT305" i="14" s="1"/>
  <c r="BT306" i="14" s="1"/>
  <c r="BT307" i="14" s="1"/>
  <c r="BT308" i="14" s="1"/>
  <c r="BT309" i="14" s="1"/>
  <c r="BT310" i="14" s="1"/>
  <c r="BT311" i="14" s="1"/>
  <c r="BT312" i="14" s="1"/>
  <c r="BT313" i="14" s="1"/>
  <c r="BT314" i="14" s="1"/>
  <c r="BT315" i="14" s="1"/>
  <c r="BT316" i="14" s="1"/>
  <c r="BT317" i="14" s="1"/>
  <c r="BT318" i="14" s="1"/>
  <c r="BT319" i="14" s="1"/>
  <c r="BT320" i="14" s="1"/>
  <c r="BT321" i="14" s="1"/>
  <c r="BT322" i="14" s="1"/>
  <c r="BT323" i="14" s="1"/>
  <c r="BT324" i="14" s="1"/>
  <c r="BT325" i="14" s="1"/>
  <c r="BT326" i="14" s="1"/>
  <c r="BT327" i="14" s="1"/>
  <c r="BT328" i="14" s="1"/>
  <c r="BT329" i="14" s="1"/>
  <c r="BT330" i="14" s="1"/>
  <c r="BT331" i="14" s="1"/>
  <c r="BT332" i="14" s="1"/>
  <c r="BT333" i="14" s="1"/>
  <c r="BT334" i="14" s="1"/>
  <c r="BT335" i="14" s="1"/>
  <c r="BT336" i="14" s="1"/>
  <c r="BT337" i="14" s="1"/>
  <c r="BT338" i="14" s="1"/>
  <c r="BT339" i="14" s="1"/>
  <c r="BT340" i="14" s="1"/>
  <c r="BT341" i="14" s="1"/>
  <c r="BT342" i="14" s="1"/>
  <c r="BT343" i="14" s="1"/>
  <c r="BT344" i="14" s="1"/>
  <c r="BT345" i="14" s="1"/>
  <c r="BT346" i="14" s="1"/>
  <c r="BT347" i="14" s="1"/>
  <c r="T426" i="14"/>
  <c r="B278" i="14"/>
  <c r="A297" i="14"/>
  <c r="D297" i="14"/>
  <c r="AB297" i="14"/>
  <c r="A298" i="14"/>
  <c r="AB298" i="14"/>
  <c r="AB299" i="14"/>
  <c r="L462" i="14"/>
  <c r="H480" i="14"/>
  <c r="L480" i="14"/>
  <c r="CF350" i="14"/>
  <c r="DF350" i="14"/>
  <c r="DR350" i="14"/>
  <c r="CF351" i="14"/>
  <c r="DF351" i="14"/>
  <c r="DR351" i="14"/>
  <c r="CF352" i="14"/>
  <c r="DC352" i="14" s="1"/>
  <c r="DF352" i="14"/>
  <c r="DR352" i="14"/>
  <c r="CF353" i="14"/>
  <c r="DC353" i="14" s="1"/>
  <c r="DF353" i="14"/>
  <c r="DR353" i="14"/>
  <c r="CF354" i="14"/>
  <c r="DC354" i="14" s="1"/>
  <c r="DF354" i="14"/>
  <c r="DR354" i="14"/>
  <c r="CF355" i="14"/>
  <c r="DF355" i="14"/>
  <c r="DR355" i="14"/>
  <c r="CF356" i="14"/>
  <c r="DF356" i="14"/>
  <c r="DR356" i="14"/>
  <c r="CF357" i="14"/>
  <c r="DF357" i="14"/>
  <c r="DR357" i="14"/>
  <c r="CF358" i="14"/>
  <c r="DQ358" i="14" s="1"/>
  <c r="DF358" i="14"/>
  <c r="DR358" i="14"/>
  <c r="CF359" i="14"/>
  <c r="DF359" i="14"/>
  <c r="DR359" i="14"/>
  <c r="CF360" i="14"/>
  <c r="DC360" i="14" s="1"/>
  <c r="CJ360" i="14"/>
  <c r="DL360" i="14" s="1"/>
  <c r="CT360" i="14"/>
  <c r="DF360" i="14"/>
  <c r="DR360" i="14"/>
  <c r="EG360" i="14"/>
  <c r="EY360" i="14"/>
  <c r="CF361" i="14"/>
  <c r="DQ361" i="14" s="1"/>
  <c r="DF361" i="14"/>
  <c r="CF381" i="14"/>
  <c r="DE381" i="14"/>
  <c r="DR361" i="14"/>
  <c r="CF362" i="14"/>
  <c r="DQ362" i="14" s="1"/>
  <c r="DC362" i="14"/>
  <c r="DF362" i="14"/>
  <c r="DR362" i="14"/>
  <c r="CF363" i="14"/>
  <c r="CF368" i="14"/>
  <c r="DF363" i="14"/>
  <c r="DR363" i="14"/>
  <c r="CF364" i="14"/>
  <c r="CF380" i="14"/>
  <c r="CF370" i="14"/>
  <c r="DC370" i="14" s="1"/>
  <c r="DF364" i="14"/>
  <c r="DR364" i="14"/>
  <c r="CF365" i="14"/>
  <c r="DC365" i="14" s="1"/>
  <c r="DF365" i="14"/>
  <c r="DR365" i="14"/>
  <c r="CF366" i="14"/>
  <c r="DQ366" i="14" s="1"/>
  <c r="DC366" i="14"/>
  <c r="DF366" i="14"/>
  <c r="DR366" i="14"/>
  <c r="Z367" i="14"/>
  <c r="CF367" i="14"/>
  <c r="DQ367" i="14" s="1"/>
  <c r="DF367" i="14"/>
  <c r="DR367" i="14"/>
  <c r="DF368" i="14"/>
  <c r="DR368" i="14"/>
  <c r="CF369" i="14"/>
  <c r="CH369" i="14" s="1"/>
  <c r="DC369" i="14"/>
  <c r="DF369" i="14"/>
  <c r="DR369" i="14"/>
  <c r="DE370" i="14"/>
  <c r="DF370" i="14" s="1"/>
  <c r="DQ370" i="14"/>
  <c r="DR370" i="14"/>
  <c r="CF371" i="14"/>
  <c r="CF378" i="14"/>
  <c r="DC378" i="14" s="1"/>
  <c r="DE371" i="14"/>
  <c r="DF371" i="14" s="1"/>
  <c r="DR371" i="14"/>
  <c r="CJ413" i="14"/>
  <c r="CC372" i="14" s="1"/>
  <c r="CF372" i="14"/>
  <c r="DE372" i="14"/>
  <c r="DF372" i="14" s="1"/>
  <c r="DR372" i="14"/>
  <c r="DJ411" i="14"/>
  <c r="DT372" i="14" s="1"/>
  <c r="CF373" i="14"/>
  <c r="CH373" i="14" s="1"/>
  <c r="DE373" i="14"/>
  <c r="DF373" i="14"/>
  <c r="DR373" i="14"/>
  <c r="CF374" i="14"/>
  <c r="DE374" i="14"/>
  <c r="DF374" i="14"/>
  <c r="DR374" i="14"/>
  <c r="CF375" i="14"/>
  <c r="CH375" i="14" s="1"/>
  <c r="DE375" i="14"/>
  <c r="DF375" i="14"/>
  <c r="DR375" i="14"/>
  <c r="CJ414" i="14"/>
  <c r="CC376" i="14" s="1"/>
  <c r="CF376" i="14"/>
  <c r="DE376" i="14"/>
  <c r="DF376" i="14" s="1"/>
  <c r="DR376" i="14"/>
  <c r="DJ412" i="14"/>
  <c r="DT376" i="14" s="1"/>
  <c r="EG376" i="14"/>
  <c r="CF377" i="14"/>
  <c r="DE377" i="14"/>
  <c r="DF377" i="14" s="1"/>
  <c r="DR377" i="14"/>
  <c r="DE378" i="14"/>
  <c r="DF378" i="14" s="1"/>
  <c r="DQ378" i="14"/>
  <c r="DR378" i="14"/>
  <c r="CF379" i="14"/>
  <c r="DE379" i="14"/>
  <c r="DF379" i="14" s="1"/>
  <c r="DR379" i="14"/>
  <c r="CJ415" i="14"/>
  <c r="CC380" i="14" s="1"/>
  <c r="DD380" i="14"/>
  <c r="DE380" i="14"/>
  <c r="DB413" i="14"/>
  <c r="DL380" i="14" s="1"/>
  <c r="DS380" i="14"/>
  <c r="DH413" i="14"/>
  <c r="DJ413" i="14" s="1"/>
  <c r="DK413" i="14" s="1"/>
  <c r="DH381" i="14"/>
  <c r="DP381" i="14"/>
  <c r="DC382" i="14"/>
  <c r="DD382" i="14" s="1"/>
  <c r="DE382" i="14"/>
  <c r="DH382" i="14"/>
  <c r="DP382" i="14"/>
  <c r="DQ382" i="14"/>
  <c r="ED386" i="14"/>
  <c r="EV386" i="14"/>
  <c r="ED387" i="14"/>
  <c r="EV387" i="14"/>
  <c r="ED388" i="14"/>
  <c r="L465" i="14"/>
  <c r="EV388" i="14"/>
  <c r="ED389" i="14"/>
  <c r="L483" i="14"/>
  <c r="EV389" i="14"/>
  <c r="AO414" i="14"/>
  <c r="AO416" i="14" s="1"/>
  <c r="AN408" i="14"/>
  <c r="EA397" i="14"/>
  <c r="AN409" i="14"/>
  <c r="Q398" i="14"/>
  <c r="CK412" i="14"/>
  <c r="CM412" i="14"/>
  <c r="DB403" i="14" s="1"/>
  <c r="CP412" i="14"/>
  <c r="CX403" i="14"/>
  <c r="CZ403" i="14"/>
  <c r="CC413" i="14"/>
  <c r="CP413" i="14"/>
  <c r="CX404" i="14"/>
  <c r="CX411" i="14" s="1"/>
  <c r="CY411" i="14" s="1"/>
  <c r="G401" i="14"/>
  <c r="H401" i="14"/>
  <c r="I401" i="14"/>
  <c r="J401" i="14"/>
  <c r="K401" i="14"/>
  <c r="L401" i="14"/>
  <c r="M401" i="14"/>
  <c r="N401" i="14"/>
  <c r="O401" i="14"/>
  <c r="P401" i="14"/>
  <c r="Q401" i="14"/>
  <c r="T401" i="14"/>
  <c r="CC414" i="14"/>
  <c r="CI414" i="14" s="1"/>
  <c r="CM414" i="14" s="1"/>
  <c r="DI405" i="14"/>
  <c r="DI412" i="14" s="1"/>
  <c r="CC415" i="14"/>
  <c r="CI415" i="14" s="1"/>
  <c r="CM415" i="14" s="1"/>
  <c r="DN410" i="14"/>
  <c r="G407" i="14"/>
  <c r="H407" i="14"/>
  <c r="K407" i="14"/>
  <c r="L407" i="14"/>
  <c r="O407" i="14"/>
  <c r="P407" i="14"/>
  <c r="T407" i="14"/>
  <c r="CD423" i="14"/>
  <c r="CF423" i="14" s="1"/>
  <c r="CN423" i="14"/>
  <c r="DN411" i="14"/>
  <c r="CD424" i="14"/>
  <c r="CF424" i="14" s="1"/>
  <c r="DN412" i="14"/>
  <c r="CD425" i="14"/>
  <c r="CJ425" i="14"/>
  <c r="DN413" i="14"/>
  <c r="H410" i="14"/>
  <c r="R410" i="14" s="1"/>
  <c r="O410" i="14"/>
  <c r="P410" i="14"/>
  <c r="DJ414" i="14"/>
  <c r="DK414" i="14" s="1"/>
  <c r="EA419" i="14"/>
  <c r="EC419" i="14"/>
  <c r="ED419" i="14"/>
  <c r="EB431" i="14" s="1"/>
  <c r="ES419" i="14"/>
  <c r="EU419" i="14"/>
  <c r="EV419" i="14"/>
  <c r="ET431" i="14" s="1"/>
  <c r="EA420" i="14"/>
  <c r="EC420" i="14"/>
  <c r="ED420" i="14"/>
  <c r="ES420" i="14"/>
  <c r="ET430" i="14" s="1"/>
  <c r="EU420" i="14"/>
  <c r="EV420" i="14"/>
  <c r="AL447" i="14"/>
  <c r="AN447" i="14"/>
  <c r="AN451" i="14" s="1"/>
  <c r="AO447" i="14"/>
  <c r="EA421" i="14"/>
  <c r="EC421" i="14"/>
  <c r="ED421" i="14" s="1"/>
  <c r="ES421" i="14"/>
  <c r="EU421" i="14"/>
  <c r="EV421" i="14" s="1"/>
  <c r="ET429" i="14" s="1"/>
  <c r="AL448" i="14"/>
  <c r="AN448" i="14"/>
  <c r="AO448" i="14"/>
  <c r="EA422" i="14"/>
  <c r="EC422" i="14"/>
  <c r="ED422" i="14"/>
  <c r="EB428" i="14" s="1"/>
  <c r="ES422" i="14"/>
  <c r="EU422" i="14"/>
  <c r="EV422" i="14"/>
  <c r="AL449" i="14"/>
  <c r="AN449" i="14"/>
  <c r="AO449" i="14"/>
  <c r="AM457" i="14" s="1"/>
  <c r="G420" i="14"/>
  <c r="H420" i="14"/>
  <c r="I420" i="14"/>
  <c r="J420" i="14"/>
  <c r="K420" i="14"/>
  <c r="L420" i="14"/>
  <c r="M420" i="14"/>
  <c r="N420" i="14"/>
  <c r="O420" i="14"/>
  <c r="P420" i="14"/>
  <c r="Q420" i="14"/>
  <c r="AL450" i="14"/>
  <c r="AN450" i="14"/>
  <c r="AO450" i="14" s="1"/>
  <c r="G426" i="14"/>
  <c r="K426" i="14"/>
  <c r="O426" i="14"/>
  <c r="P426" i="14"/>
  <c r="H429" i="14"/>
  <c r="O429" i="14"/>
  <c r="P429" i="14"/>
  <c r="R429" i="14" s="1"/>
  <c r="AM459" i="14"/>
  <c r="EC438" i="14"/>
  <c r="EC442" i="14" s="1"/>
  <c r="AO470" i="14"/>
  <c r="EV440" i="14" s="1"/>
  <c r="ET449" i="14" s="1"/>
  <c r="EU438" i="14"/>
  <c r="EC439" i="14"/>
  <c r="ED439" i="14"/>
  <c r="EB450" i="14" s="1"/>
  <c r="EU439" i="14"/>
  <c r="AN464" i="14"/>
  <c r="AN465" i="14"/>
  <c r="AO465" i="14"/>
  <c r="AM476" i="14" s="1"/>
  <c r="ED444" i="14"/>
  <c r="EV444" i="14"/>
  <c r="T444" i="14"/>
  <c r="P447" i="14"/>
  <c r="Q447" i="14"/>
  <c r="J472" i="14"/>
  <c r="G480" i="14"/>
  <c r="K480" i="14"/>
  <c r="N480" i="14"/>
  <c r="O480" i="14"/>
  <c r="P480" i="14"/>
  <c r="G481" i="14"/>
  <c r="H481" i="14"/>
  <c r="K481" i="14"/>
  <c r="G482" i="14"/>
  <c r="H482" i="14"/>
  <c r="K482" i="14"/>
  <c r="G483" i="14"/>
  <c r="H483" i="14"/>
  <c r="J483" i="14"/>
  <c r="K483" i="14"/>
  <c r="N483" i="14"/>
  <c r="O483" i="14"/>
  <c r="P483" i="14"/>
  <c r="Q483" i="14"/>
  <c r="T483" i="14"/>
  <c r="G499" i="14"/>
  <c r="H499" i="14"/>
  <c r="I499" i="14"/>
  <c r="J499" i="14"/>
  <c r="K499" i="14"/>
  <c r="L499" i="14"/>
  <c r="T499" i="14"/>
  <c r="G500" i="14"/>
  <c r="H500" i="14"/>
  <c r="I500" i="14"/>
  <c r="J500" i="14"/>
  <c r="K500" i="14"/>
  <c r="T500" i="14"/>
  <c r="G501" i="14"/>
  <c r="H501" i="14"/>
  <c r="I501" i="14"/>
  <c r="J501" i="14"/>
  <c r="K501" i="14"/>
  <c r="T501" i="14"/>
  <c r="G502" i="14"/>
  <c r="H502" i="14"/>
  <c r="K502" i="14"/>
  <c r="L502" i="14"/>
  <c r="N502" i="14"/>
  <c r="O502" i="14"/>
  <c r="P502" i="14"/>
  <c r="Q502" i="14"/>
  <c r="T502" i="14"/>
  <c r="G524" i="14"/>
  <c r="H524" i="14"/>
  <c r="I524" i="14"/>
  <c r="J524" i="14"/>
  <c r="K524" i="14"/>
  <c r="L524" i="14"/>
  <c r="T524" i="14"/>
  <c r="G525" i="14"/>
  <c r="H525" i="14"/>
  <c r="I525" i="14"/>
  <c r="J525" i="14"/>
  <c r="K525" i="14"/>
  <c r="T525" i="14"/>
  <c r="G526" i="14"/>
  <c r="H526" i="14"/>
  <c r="I526" i="14"/>
  <c r="J526" i="14"/>
  <c r="K526" i="14"/>
  <c r="T526" i="14"/>
  <c r="G527" i="14"/>
  <c r="H527" i="14"/>
  <c r="K527" i="14"/>
  <c r="L527" i="14"/>
  <c r="N527" i="14"/>
  <c r="O527" i="14"/>
  <c r="P527" i="14"/>
  <c r="Q527" i="14"/>
  <c r="T527" i="14"/>
  <c r="DC379" i="14"/>
  <c r="DC351" i="14"/>
  <c r="DQ351" i="14"/>
  <c r="O8" i="9"/>
  <c r="O14" i="9"/>
  <c r="O15" i="9"/>
  <c r="O19" i="9"/>
  <c r="O20" i="9"/>
  <c r="O21" i="9"/>
  <c r="O22" i="9"/>
  <c r="O23" i="9"/>
  <c r="O24" i="9"/>
  <c r="O25" i="9"/>
  <c r="O26" i="9"/>
  <c r="O27" i="9"/>
  <c r="O28" i="9"/>
  <c r="O9" i="9"/>
  <c r="N9" i="9"/>
  <c r="N10" i="9"/>
  <c r="N11" i="9"/>
  <c r="N12" i="9"/>
  <c r="N13" i="9"/>
  <c r="N16" i="9"/>
  <c r="N17" i="9"/>
  <c r="N18" i="9"/>
  <c r="N8" i="9"/>
  <c r="W28" i="10"/>
  <c r="BE28" i="10" s="1"/>
  <c r="N24" i="9"/>
  <c r="N23" i="9"/>
  <c r="Q25" i="10"/>
  <c r="R25" i="10"/>
  <c r="S25" i="10"/>
  <c r="U25" i="10"/>
  <c r="W25" i="10"/>
  <c r="BE25" i="10" s="1"/>
  <c r="N21" i="9"/>
  <c r="Q23" i="10"/>
  <c r="R23" i="10"/>
  <c r="S23" i="10"/>
  <c r="J22" i="11" s="1"/>
  <c r="I34" i="12" s="1"/>
  <c r="U23" i="10"/>
  <c r="L22" i="11" s="1"/>
  <c r="K34" i="12" s="1"/>
  <c r="W23" i="10"/>
  <c r="BE23" i="10"/>
  <c r="N19" i="9"/>
  <c r="O18" i="9"/>
  <c r="O16" i="9"/>
  <c r="N15" i="9"/>
  <c r="Q17" i="10"/>
  <c r="R17" i="10"/>
  <c r="S17" i="10"/>
  <c r="U17" i="10"/>
  <c r="W17" i="10"/>
  <c r="N16" i="11"/>
  <c r="L29" i="9"/>
  <c r="L30" i="9"/>
  <c r="L31" i="9"/>
  <c r="L32" i="9"/>
  <c r="L33" i="9"/>
  <c r="L35" i="9"/>
  <c r="L37" i="9"/>
  <c r="O10" i="9"/>
  <c r="L36" i="9"/>
  <c r="O34" i="9"/>
  <c r="O36" i="9"/>
  <c r="O38" i="9"/>
  <c r="L34" i="9"/>
  <c r="O32" i="9"/>
  <c r="O31" i="9"/>
  <c r="O30" i="9"/>
  <c r="O29" i="9"/>
  <c r="N27" i="9"/>
  <c r="N30" i="9"/>
  <c r="N31" i="9"/>
  <c r="Q29" i="10"/>
  <c r="V29" i="10"/>
  <c r="T29" i="10"/>
  <c r="N25" i="9"/>
  <c r="Q27" i="10"/>
  <c r="R27" i="10"/>
  <c r="S27" i="10"/>
  <c r="U27" i="10"/>
  <c r="AW27" i="10" s="1"/>
  <c r="W27" i="10"/>
  <c r="N22" i="9"/>
  <c r="N20" i="9"/>
  <c r="Q22" i="10"/>
  <c r="V22" i="10"/>
  <c r="T22" i="10"/>
  <c r="M8" i="9"/>
  <c r="M14" i="9"/>
  <c r="M15" i="9"/>
  <c r="M19" i="9"/>
  <c r="M20" i="9"/>
  <c r="M21" i="9"/>
  <c r="M22" i="9"/>
  <c r="M23" i="9"/>
  <c r="M24" i="9"/>
  <c r="M25" i="9"/>
  <c r="M26" i="9"/>
  <c r="M27" i="9"/>
  <c r="M28" i="9"/>
  <c r="M9" i="9"/>
  <c r="O17" i="9"/>
  <c r="M16" i="9"/>
  <c r="Q18" i="10"/>
  <c r="V18" i="10"/>
  <c r="T18" i="10"/>
  <c r="K17" i="11"/>
  <c r="N14" i="9"/>
  <c r="O13" i="9"/>
  <c r="O12" i="9"/>
  <c r="O11" i="9"/>
  <c r="M10" i="9"/>
  <c r="L9" i="9"/>
  <c r="L10" i="9"/>
  <c r="L11" i="9"/>
  <c r="L12" i="9"/>
  <c r="L13" i="9"/>
  <c r="L16" i="9"/>
  <c r="L17" i="9"/>
  <c r="L18" i="9"/>
  <c r="L8" i="9"/>
  <c r="M84" i="12"/>
  <c r="L82" i="12"/>
  <c r="L80" i="12"/>
  <c r="M80" i="12"/>
  <c r="L78" i="12"/>
  <c r="M78" i="12"/>
  <c r="L74" i="12"/>
  <c r="L72" i="12"/>
  <c r="M72" i="12"/>
  <c r="L70" i="12"/>
  <c r="M70" i="12"/>
  <c r="L66" i="12"/>
  <c r="M66" i="12"/>
  <c r="L60" i="12"/>
  <c r="L58" i="12"/>
  <c r="P338" i="14" s="1"/>
  <c r="M58" i="12"/>
  <c r="H69" i="11"/>
  <c r="C69" i="11" s="1"/>
  <c r="J68" i="5"/>
  <c r="AC61" i="2"/>
  <c r="H67" i="11"/>
  <c r="C67" i="11" s="1"/>
  <c r="J66" i="5"/>
  <c r="AC59" i="2"/>
  <c r="N66" i="2"/>
  <c r="T35" i="10"/>
  <c r="AS35" i="10" s="1"/>
  <c r="Q20" i="10"/>
  <c r="V20" i="10"/>
  <c r="T20" i="10"/>
  <c r="K19" i="11"/>
  <c r="W19" i="10"/>
  <c r="BE19" i="10" s="1"/>
  <c r="T14" i="10"/>
  <c r="AS14" i="10" s="1"/>
  <c r="Q13" i="10"/>
  <c r="U13" i="10"/>
  <c r="W13" i="10"/>
  <c r="Q12" i="10"/>
  <c r="AF12" i="10"/>
  <c r="R12" i="10"/>
  <c r="S12" i="10"/>
  <c r="U12" i="10"/>
  <c r="W12" i="10"/>
  <c r="N11" i="11"/>
  <c r="AI43" i="10"/>
  <c r="D14" i="10"/>
  <c r="P14" i="10" s="1"/>
  <c r="M85" i="12"/>
  <c r="Q365" i="14" s="1"/>
  <c r="L81" i="12"/>
  <c r="M81" i="12"/>
  <c r="L77" i="12"/>
  <c r="P357" i="14" s="1"/>
  <c r="M77" i="12"/>
  <c r="L69" i="12"/>
  <c r="P349" i="14" s="1"/>
  <c r="L65" i="12"/>
  <c r="M65" i="12"/>
  <c r="L63" i="12"/>
  <c r="M59" i="12"/>
  <c r="H74" i="11"/>
  <c r="J73" i="5"/>
  <c r="Z73" i="5"/>
  <c r="AC73" i="5" s="1"/>
  <c r="Q73" i="11"/>
  <c r="N72" i="5"/>
  <c r="H72" i="11"/>
  <c r="J71" i="5"/>
  <c r="Q71" i="11"/>
  <c r="N70" i="5"/>
  <c r="H68" i="11"/>
  <c r="O68" i="11" s="1"/>
  <c r="P80" i="12" s="1"/>
  <c r="J67" i="5"/>
  <c r="Z67" i="5" s="1"/>
  <c r="L78" i="7"/>
  <c r="M78" i="7"/>
  <c r="D78" i="7"/>
  <c r="F78" i="7"/>
  <c r="E78" i="7"/>
  <c r="D76" i="7"/>
  <c r="F76" i="7"/>
  <c r="E76" i="7"/>
  <c r="L74" i="7"/>
  <c r="M74" i="7"/>
  <c r="D74" i="7"/>
  <c r="F74" i="7"/>
  <c r="E74" i="7"/>
  <c r="M72" i="7"/>
  <c r="E72" i="7"/>
  <c r="D72" i="7"/>
  <c r="F72" i="7"/>
  <c r="E70" i="7"/>
  <c r="D70" i="7"/>
  <c r="F70" i="7"/>
  <c r="E68" i="7"/>
  <c r="D68" i="7"/>
  <c r="F68" i="7"/>
  <c r="E66" i="7"/>
  <c r="D66" i="7"/>
  <c r="F66" i="7"/>
  <c r="M64" i="7"/>
  <c r="E64" i="7"/>
  <c r="D64" i="7"/>
  <c r="F64" i="7"/>
  <c r="M62" i="7"/>
  <c r="E62" i="7"/>
  <c r="D62" i="7"/>
  <c r="F62" i="7"/>
  <c r="M56" i="7"/>
  <c r="E56" i="7"/>
  <c r="D56" i="7"/>
  <c r="F56" i="7"/>
  <c r="M54" i="7"/>
  <c r="E54" i="7"/>
  <c r="D54" i="7"/>
  <c r="F54" i="7"/>
  <c r="M52" i="7"/>
  <c r="E52" i="7"/>
  <c r="D52" i="7"/>
  <c r="F52" i="7"/>
  <c r="E50" i="7"/>
  <c r="F50" i="7"/>
  <c r="D50" i="7"/>
  <c r="M49" i="7"/>
  <c r="E49" i="7"/>
  <c r="F49" i="7"/>
  <c r="D49" i="7"/>
  <c r="M47" i="7"/>
  <c r="E47" i="7"/>
  <c r="F47" i="7"/>
  <c r="O47" i="7" s="1"/>
  <c r="D47" i="7"/>
  <c r="M45" i="7"/>
  <c r="E45" i="7"/>
  <c r="F45" i="7"/>
  <c r="D45" i="7"/>
  <c r="M43" i="7"/>
  <c r="E43" i="7"/>
  <c r="F43" i="7"/>
  <c r="D43" i="7"/>
  <c r="M41" i="7"/>
  <c r="E41" i="7"/>
  <c r="F41" i="7"/>
  <c r="D41" i="7"/>
  <c r="M39" i="7"/>
  <c r="E39" i="7"/>
  <c r="F39" i="7"/>
  <c r="D39" i="7"/>
  <c r="M37" i="7"/>
  <c r="E37" i="7"/>
  <c r="F37" i="7"/>
  <c r="D37" i="7"/>
  <c r="O37" i="7"/>
  <c r="M35" i="7"/>
  <c r="E35" i="7"/>
  <c r="F35" i="7"/>
  <c r="D35" i="7"/>
  <c r="M33" i="7"/>
  <c r="E33" i="7"/>
  <c r="F33" i="7"/>
  <c r="D33" i="7"/>
  <c r="M31" i="7"/>
  <c r="E31" i="7"/>
  <c r="F31" i="7"/>
  <c r="D31" i="7"/>
  <c r="M29" i="7"/>
  <c r="E29" i="7"/>
  <c r="F29" i="7"/>
  <c r="D29" i="7"/>
  <c r="M27" i="7"/>
  <c r="E27" i="7"/>
  <c r="D27" i="7"/>
  <c r="F27" i="7"/>
  <c r="M25" i="7"/>
  <c r="E25" i="7"/>
  <c r="D25" i="7"/>
  <c r="F25" i="7"/>
  <c r="M23" i="7"/>
  <c r="O23" i="7" s="1"/>
  <c r="E23" i="7"/>
  <c r="D23" i="7"/>
  <c r="F23" i="7"/>
  <c r="AB78" i="2"/>
  <c r="R74" i="2"/>
  <c r="AB74" i="2"/>
  <c r="R72" i="2"/>
  <c r="AB72" i="2"/>
  <c r="R71" i="2"/>
  <c r="AB71" i="2" s="1"/>
  <c r="R70" i="2"/>
  <c r="AB70" i="2"/>
  <c r="R69" i="2"/>
  <c r="AB69" i="2" s="1"/>
  <c r="R68" i="2"/>
  <c r="AB68" i="2" s="1"/>
  <c r="R67" i="2"/>
  <c r="AB67" i="2" s="1"/>
  <c r="AC66" i="2"/>
  <c r="Q74" i="11"/>
  <c r="N73" i="5"/>
  <c r="AB65" i="2"/>
  <c r="AC64" i="2"/>
  <c r="Q72" i="11"/>
  <c r="N71" i="5"/>
  <c r="AB63" i="2"/>
  <c r="Q70" i="11"/>
  <c r="N69" i="5"/>
  <c r="AC60" i="2"/>
  <c r="L92" i="7"/>
  <c r="L91" i="7"/>
  <c r="L89" i="7"/>
  <c r="L87" i="7"/>
  <c r="L85" i="7"/>
  <c r="L83" i="7"/>
  <c r="L81" i="7"/>
  <c r="L80" i="7"/>
  <c r="M80" i="7"/>
  <c r="D80" i="7"/>
  <c r="F80" i="7"/>
  <c r="E80" i="7"/>
  <c r="L79" i="7"/>
  <c r="M79" i="7"/>
  <c r="E79" i="7"/>
  <c r="D79" i="7"/>
  <c r="F79" i="7"/>
  <c r="C78" i="7"/>
  <c r="L77" i="7"/>
  <c r="M77" i="7"/>
  <c r="E77" i="7"/>
  <c r="D77" i="7"/>
  <c r="F77" i="7"/>
  <c r="C76" i="7"/>
  <c r="L75" i="7"/>
  <c r="M75" i="7"/>
  <c r="E75" i="7"/>
  <c r="D75" i="7"/>
  <c r="F75" i="7"/>
  <c r="C74" i="7"/>
  <c r="L73" i="7"/>
  <c r="M73" i="7"/>
  <c r="E73" i="7"/>
  <c r="D73" i="7"/>
  <c r="F73" i="7"/>
  <c r="AC65" i="5"/>
  <c r="P72" i="7" s="1"/>
  <c r="L72" i="7"/>
  <c r="C72" i="7"/>
  <c r="J71" i="7"/>
  <c r="E71" i="7"/>
  <c r="D71" i="7"/>
  <c r="F71" i="7"/>
  <c r="C70" i="7"/>
  <c r="J69" i="7"/>
  <c r="E69" i="7"/>
  <c r="D69" i="7"/>
  <c r="F69" i="7"/>
  <c r="C68" i="7"/>
  <c r="J67" i="7"/>
  <c r="M67" i="7"/>
  <c r="E67" i="7"/>
  <c r="D67" i="7"/>
  <c r="F67" i="7"/>
  <c r="C66" i="7"/>
  <c r="J65" i="7"/>
  <c r="E65" i="7"/>
  <c r="D65" i="7"/>
  <c r="F65" i="7"/>
  <c r="AC57" i="5"/>
  <c r="P64" i="7"/>
  <c r="L64" i="7"/>
  <c r="C64" i="7"/>
  <c r="O64" i="7" s="1"/>
  <c r="J63" i="7"/>
  <c r="M63" i="7"/>
  <c r="E63" i="7"/>
  <c r="D63" i="7"/>
  <c r="F63" i="7"/>
  <c r="AC55" i="5"/>
  <c r="P62" i="7" s="1"/>
  <c r="L62" i="7"/>
  <c r="C62" i="7"/>
  <c r="AB54" i="5"/>
  <c r="AC54" i="5"/>
  <c r="P61" i="7" s="1"/>
  <c r="J61" i="7"/>
  <c r="M61" i="7"/>
  <c r="E61" i="7"/>
  <c r="D61" i="7"/>
  <c r="F61" i="7"/>
  <c r="AB53" i="5"/>
  <c r="AC53" i="5" s="1"/>
  <c r="P60" i="7" s="1"/>
  <c r="J60" i="7"/>
  <c r="M60" i="7"/>
  <c r="E60" i="7"/>
  <c r="D60" i="7"/>
  <c r="F60" i="7"/>
  <c r="O60" i="7" s="1"/>
  <c r="AB52" i="5"/>
  <c r="J59" i="7"/>
  <c r="E59" i="7"/>
  <c r="D59" i="7"/>
  <c r="F59" i="7"/>
  <c r="AB51" i="5"/>
  <c r="M58" i="7" s="1"/>
  <c r="AC51" i="5"/>
  <c r="P58" i="7"/>
  <c r="J58" i="7"/>
  <c r="E58" i="7"/>
  <c r="D58" i="7"/>
  <c r="F58" i="7"/>
  <c r="J57" i="7"/>
  <c r="E57" i="7"/>
  <c r="D57" i="7"/>
  <c r="F57" i="7"/>
  <c r="AC49" i="5"/>
  <c r="P56" i="7"/>
  <c r="L56" i="7"/>
  <c r="C56" i="7"/>
  <c r="J55" i="7"/>
  <c r="E55" i="7"/>
  <c r="D55" i="7"/>
  <c r="F55" i="7"/>
  <c r="AC47" i="5"/>
  <c r="P54" i="7" s="1"/>
  <c r="L54" i="7"/>
  <c r="O54" i="7" s="1"/>
  <c r="C54" i="7"/>
  <c r="J53" i="7"/>
  <c r="M53" i="7"/>
  <c r="E53" i="7"/>
  <c r="D53" i="7"/>
  <c r="F53" i="7"/>
  <c r="AC45" i="5"/>
  <c r="L52" i="7"/>
  <c r="C52" i="7"/>
  <c r="J51" i="7"/>
  <c r="M51" i="7"/>
  <c r="E51" i="7"/>
  <c r="D51" i="7"/>
  <c r="F51" i="7"/>
  <c r="C50" i="7"/>
  <c r="L49" i="7"/>
  <c r="C49" i="7"/>
  <c r="J48" i="7"/>
  <c r="M48" i="7"/>
  <c r="E48" i="7"/>
  <c r="F48" i="7"/>
  <c r="D48" i="7"/>
  <c r="L47" i="7"/>
  <c r="C47" i="7"/>
  <c r="J46" i="7"/>
  <c r="M46" i="7"/>
  <c r="E46" i="7"/>
  <c r="F46" i="7"/>
  <c r="D46" i="7"/>
  <c r="L45" i="7"/>
  <c r="C45" i="7"/>
  <c r="J44" i="7"/>
  <c r="M44" i="7"/>
  <c r="E44" i="7"/>
  <c r="F44" i="7"/>
  <c r="D44" i="7"/>
  <c r="L43" i="7"/>
  <c r="C43" i="7"/>
  <c r="O43" i="7" s="1"/>
  <c r="J42" i="7"/>
  <c r="M42" i="7"/>
  <c r="E42" i="7"/>
  <c r="F42" i="7"/>
  <c r="D42" i="7"/>
  <c r="L41" i="7"/>
  <c r="C41" i="7"/>
  <c r="J40" i="7"/>
  <c r="M40" i="7"/>
  <c r="E40" i="7"/>
  <c r="F40" i="7"/>
  <c r="D40" i="7"/>
  <c r="L39" i="7"/>
  <c r="C39" i="7"/>
  <c r="J38" i="7"/>
  <c r="M38" i="7"/>
  <c r="E38" i="7"/>
  <c r="F38" i="7"/>
  <c r="D38" i="7"/>
  <c r="L37" i="7"/>
  <c r="C37" i="7"/>
  <c r="J36" i="7"/>
  <c r="M36" i="7"/>
  <c r="E36" i="7"/>
  <c r="F36" i="7"/>
  <c r="D36" i="7"/>
  <c r="L35" i="7"/>
  <c r="O35" i="7" s="1"/>
  <c r="C35" i="7"/>
  <c r="J34" i="7"/>
  <c r="M34" i="7"/>
  <c r="E34" i="7"/>
  <c r="F34" i="7"/>
  <c r="D34" i="7"/>
  <c r="L33" i="7"/>
  <c r="C33" i="7"/>
  <c r="J32" i="7"/>
  <c r="M32" i="7"/>
  <c r="E32" i="7"/>
  <c r="F32" i="7"/>
  <c r="D32" i="7"/>
  <c r="L31" i="7"/>
  <c r="C31" i="7"/>
  <c r="J30" i="7"/>
  <c r="M30" i="7"/>
  <c r="E30" i="7"/>
  <c r="F30" i="7"/>
  <c r="D30" i="7"/>
  <c r="L29" i="7"/>
  <c r="C29" i="7"/>
  <c r="O29" i="7"/>
  <c r="J28" i="7"/>
  <c r="M28" i="7"/>
  <c r="E28" i="7"/>
  <c r="D28" i="7"/>
  <c r="F28" i="7"/>
  <c r="L27" i="7"/>
  <c r="C27" i="7"/>
  <c r="J26" i="7"/>
  <c r="M26" i="7"/>
  <c r="E26" i="7"/>
  <c r="D26" i="7"/>
  <c r="F26" i="7"/>
  <c r="L25" i="7"/>
  <c r="C25" i="7"/>
  <c r="J24" i="7"/>
  <c r="M24" i="7"/>
  <c r="E24" i="7"/>
  <c r="D24" i="7"/>
  <c r="F24" i="7"/>
  <c r="L23" i="7"/>
  <c r="C23" i="7"/>
  <c r="J22" i="7"/>
  <c r="M22" i="7"/>
  <c r="E22" i="7"/>
  <c r="D22" i="7"/>
  <c r="O22" i="7" s="1"/>
  <c r="F22" i="7"/>
  <c r="L21" i="7"/>
  <c r="C21" i="7"/>
  <c r="J20" i="7"/>
  <c r="M20" i="7"/>
  <c r="E20" i="7"/>
  <c r="D20" i="7"/>
  <c r="F20" i="7"/>
  <c r="L19" i="7"/>
  <c r="C19" i="7"/>
  <c r="J18" i="7"/>
  <c r="M18" i="7"/>
  <c r="E18" i="7"/>
  <c r="D18" i="7"/>
  <c r="F18" i="7"/>
  <c r="L17" i="7"/>
  <c r="C17" i="7"/>
  <c r="L16" i="7"/>
  <c r="C16" i="7"/>
  <c r="H87" i="12"/>
  <c r="L367" i="14" s="1"/>
  <c r="ES367" i="14" s="1"/>
  <c r="C86" i="12"/>
  <c r="H86" i="12"/>
  <c r="H88" i="12"/>
  <c r="L368" i="14" s="1"/>
  <c r="ES368" i="14" s="1"/>
  <c r="H89" i="12"/>
  <c r="H93" i="12"/>
  <c r="L373" i="14" s="1"/>
  <c r="ES373" i="14" s="1"/>
  <c r="H94" i="12"/>
  <c r="H96" i="12"/>
  <c r="H99" i="12"/>
  <c r="H100" i="12"/>
  <c r="L380" i="14" s="1"/>
  <c r="H101" i="12"/>
  <c r="L381" i="14" s="1"/>
  <c r="H102" i="12"/>
  <c r="L382" i="14" s="1"/>
  <c r="H103" i="12"/>
  <c r="L383" i="14" s="1"/>
  <c r="H104" i="12"/>
  <c r="L384" i="14" s="1"/>
  <c r="H105" i="12"/>
  <c r="L385" i="14" s="1"/>
  <c r="H95" i="12"/>
  <c r="H97" i="12"/>
  <c r="H98" i="12"/>
  <c r="H37" i="12"/>
  <c r="H47" i="12"/>
  <c r="H42" i="12"/>
  <c r="H53" i="12"/>
  <c r="L333" i="14" s="1"/>
  <c r="C58" i="12"/>
  <c r="H58" i="12"/>
  <c r="C60" i="12"/>
  <c r="H60" i="12"/>
  <c r="H62" i="12"/>
  <c r="L342" i="14" s="1"/>
  <c r="C64" i="12"/>
  <c r="H64" i="12"/>
  <c r="C66" i="12"/>
  <c r="H66" i="12"/>
  <c r="H54" i="12"/>
  <c r="H55" i="12"/>
  <c r="H57" i="12"/>
  <c r="C59" i="12"/>
  <c r="H59" i="12"/>
  <c r="H61" i="12"/>
  <c r="C63" i="12"/>
  <c r="H63" i="12"/>
  <c r="H65" i="12"/>
  <c r="H67" i="12"/>
  <c r="L347" i="14" s="1"/>
  <c r="H68" i="12"/>
  <c r="H69" i="12"/>
  <c r="H70" i="12"/>
  <c r="H71" i="12"/>
  <c r="H72" i="12"/>
  <c r="H73" i="12"/>
  <c r="H74" i="12"/>
  <c r="H75" i="12"/>
  <c r="L355" i="14" s="1"/>
  <c r="H76" i="12"/>
  <c r="H77" i="12"/>
  <c r="C78" i="12"/>
  <c r="H78" i="12"/>
  <c r="C79" i="12"/>
  <c r="H79" i="12"/>
  <c r="C80" i="12"/>
  <c r="H80" i="12"/>
  <c r="C81" i="12"/>
  <c r="H81" i="12"/>
  <c r="C82" i="12"/>
  <c r="H82" i="12"/>
  <c r="C83" i="12"/>
  <c r="H83" i="12"/>
  <c r="C84" i="12"/>
  <c r="H84" i="12"/>
  <c r="C85" i="12"/>
  <c r="H85" i="12"/>
  <c r="M21" i="7"/>
  <c r="E21" i="7"/>
  <c r="D21" i="7"/>
  <c r="F21" i="7"/>
  <c r="M19" i="7"/>
  <c r="E19" i="7"/>
  <c r="D19" i="7"/>
  <c r="F19" i="7"/>
  <c r="M17" i="7"/>
  <c r="E17" i="7"/>
  <c r="D17" i="7"/>
  <c r="F17" i="7"/>
  <c r="M16" i="7"/>
  <c r="E16" i="7"/>
  <c r="D16" i="7"/>
  <c r="F16" i="7"/>
  <c r="C75" i="12"/>
  <c r="G355" i="14" s="1"/>
  <c r="C74" i="12"/>
  <c r="C73" i="12"/>
  <c r="C72" i="12"/>
  <c r="C71" i="12"/>
  <c r="G351" i="14" s="1"/>
  <c r="C70" i="12"/>
  <c r="L56" i="12"/>
  <c r="T30" i="10"/>
  <c r="K29" i="11" s="1"/>
  <c r="W29" i="10"/>
  <c r="U29" i="10"/>
  <c r="R29" i="10"/>
  <c r="V28" i="10"/>
  <c r="M27" i="11" s="1"/>
  <c r="CH310" i="14"/>
  <c r="F76" i="12"/>
  <c r="E75" i="12"/>
  <c r="F74" i="12"/>
  <c r="J354" i="14" s="1"/>
  <c r="E74" i="12"/>
  <c r="F70" i="12"/>
  <c r="F68" i="12"/>
  <c r="S29" i="10"/>
  <c r="T27" i="10"/>
  <c r="K26" i="11" s="1"/>
  <c r="T25" i="10"/>
  <c r="K24" i="11" s="1"/>
  <c r="V25" i="10"/>
  <c r="BA25" i="10" s="1"/>
  <c r="W24" i="10"/>
  <c r="N23" i="11" s="1"/>
  <c r="R24" i="10"/>
  <c r="T23" i="10"/>
  <c r="V23" i="10"/>
  <c r="M22" i="11"/>
  <c r="W22" i="10"/>
  <c r="U22" i="10"/>
  <c r="R22" i="10"/>
  <c r="I21" i="11" s="1"/>
  <c r="H33" i="12" s="1"/>
  <c r="W20" i="10"/>
  <c r="N19" i="11" s="1"/>
  <c r="U20" i="10"/>
  <c r="R20" i="10"/>
  <c r="AK20" i="10" s="1"/>
  <c r="T19" i="10"/>
  <c r="V19" i="10"/>
  <c r="BA19" i="10" s="1"/>
  <c r="W18" i="10"/>
  <c r="BE18" i="10" s="1"/>
  <c r="U18" i="10"/>
  <c r="R18" i="10"/>
  <c r="T17" i="10"/>
  <c r="V17" i="10"/>
  <c r="BA17" i="10" s="1"/>
  <c r="R13" i="10"/>
  <c r="T12" i="10"/>
  <c r="V12" i="10"/>
  <c r="BA12" i="10"/>
  <c r="V27" i="10"/>
  <c r="S22" i="10"/>
  <c r="S20" i="10"/>
  <c r="S18" i="10"/>
  <c r="R14" i="10"/>
  <c r="T13" i="10"/>
  <c r="K12" i="11" s="1"/>
  <c r="V13" i="10"/>
  <c r="M12" i="11"/>
  <c r="S13" i="10"/>
  <c r="Q10" i="10"/>
  <c r="Q8" i="10"/>
  <c r="Q9" i="10"/>
  <c r="Q7" i="10"/>
  <c r="B6" i="11"/>
  <c r="B9" i="11"/>
  <c r="J12" i="11"/>
  <c r="I24" i="12" s="1"/>
  <c r="AO13" i="10"/>
  <c r="J17" i="11"/>
  <c r="I29" i="12" s="1"/>
  <c r="M309" i="14" s="1"/>
  <c r="AO18" i="10"/>
  <c r="M26" i="11"/>
  <c r="BA27" i="10"/>
  <c r="K16" i="11"/>
  <c r="AS17" i="10"/>
  <c r="L17" i="11"/>
  <c r="K29" i="12" s="1"/>
  <c r="AW18" i="10"/>
  <c r="M18" i="11"/>
  <c r="N21" i="11"/>
  <c r="BE22" i="10"/>
  <c r="K22" i="11"/>
  <c r="AS23" i="10"/>
  <c r="M24" i="11"/>
  <c r="J28" i="11"/>
  <c r="I40" i="12" s="1"/>
  <c r="AO29" i="10"/>
  <c r="I28" i="11"/>
  <c r="H40" i="12" s="1"/>
  <c r="AK29" i="10"/>
  <c r="N28" i="11"/>
  <c r="BE29" i="10"/>
  <c r="AS30" i="10"/>
  <c r="O17" i="7"/>
  <c r="O27" i="7"/>
  <c r="P52" i="7"/>
  <c r="L58" i="7"/>
  <c r="L60" i="7"/>
  <c r="L61" i="7"/>
  <c r="Z71" i="5"/>
  <c r="Q361" i="14"/>
  <c r="L11" i="11"/>
  <c r="K23" i="12" s="1"/>
  <c r="AW12" i="10"/>
  <c r="I11" i="11"/>
  <c r="H23" i="12" s="1"/>
  <c r="L303" i="14" s="1"/>
  <c r="AK12" i="10"/>
  <c r="N12" i="11"/>
  <c r="BE13" i="10"/>
  <c r="B12" i="11"/>
  <c r="AF13" i="10"/>
  <c r="N18" i="11"/>
  <c r="M19" i="11"/>
  <c r="BA20" i="10"/>
  <c r="Z66" i="5"/>
  <c r="M66" i="5"/>
  <c r="P66" i="5" s="1"/>
  <c r="AS18" i="10"/>
  <c r="X18" i="10"/>
  <c r="AA18" i="10" s="1"/>
  <c r="M21" i="11"/>
  <c r="BA22" i="10"/>
  <c r="I26" i="11"/>
  <c r="H38" i="12" s="1"/>
  <c r="AK27" i="10"/>
  <c r="BE17" i="10"/>
  <c r="B16" i="11"/>
  <c r="AF17" i="10"/>
  <c r="N22" i="11"/>
  <c r="AF23" i="10"/>
  <c r="N24" i="11"/>
  <c r="J24" i="11"/>
  <c r="I36" i="12" s="1"/>
  <c r="M316" i="14" s="1"/>
  <c r="AO25" i="10"/>
  <c r="B8" i="11"/>
  <c r="B7" i="11"/>
  <c r="BA13" i="10"/>
  <c r="J21" i="11"/>
  <c r="I33" i="12" s="1"/>
  <c r="AO22" i="10"/>
  <c r="M11" i="11"/>
  <c r="N17" i="11"/>
  <c r="L19" i="11"/>
  <c r="K31" i="12" s="1"/>
  <c r="AW20" i="10"/>
  <c r="L21" i="11"/>
  <c r="K33" i="12" s="1"/>
  <c r="AW22" i="10"/>
  <c r="BA23" i="10"/>
  <c r="AS27" i="10"/>
  <c r="AS28" i="10"/>
  <c r="O49" i="7"/>
  <c r="H71" i="11"/>
  <c r="J70" i="5"/>
  <c r="J87" i="5" s="1"/>
  <c r="K87" i="5" s="1"/>
  <c r="AC63" i="2"/>
  <c r="H73" i="11"/>
  <c r="J72" i="5"/>
  <c r="M72" i="5" s="1"/>
  <c r="P72" i="5" s="1"/>
  <c r="AC65" i="2"/>
  <c r="J80" i="12"/>
  <c r="J84" i="12"/>
  <c r="C72" i="11"/>
  <c r="C74" i="11"/>
  <c r="D15" i="10"/>
  <c r="P15" i="10" s="1"/>
  <c r="BE12" i="10"/>
  <c r="B11" i="11"/>
  <c r="L12" i="11"/>
  <c r="K24" i="12" s="1"/>
  <c r="AW13" i="10"/>
  <c r="AS20" i="10"/>
  <c r="K34" i="11"/>
  <c r="Z68" i="5"/>
  <c r="M68" i="5"/>
  <c r="P68" i="5"/>
  <c r="P346" i="14"/>
  <c r="P358" i="14"/>
  <c r="M17" i="11"/>
  <c r="BA18" i="10"/>
  <c r="K21" i="11"/>
  <c r="AS22" i="10"/>
  <c r="B21" i="11"/>
  <c r="X22" i="10"/>
  <c r="AC22" i="10" s="1"/>
  <c r="AF22" i="10"/>
  <c r="AF24" i="10"/>
  <c r="N26" i="11"/>
  <c r="BE27" i="10"/>
  <c r="J26" i="11"/>
  <c r="I38" i="12" s="1"/>
  <c r="M318" i="14" s="1"/>
  <c r="B26" i="11"/>
  <c r="AF27" i="10"/>
  <c r="K28" i="11"/>
  <c r="AS29" i="10"/>
  <c r="B28" i="11"/>
  <c r="AF29" i="10"/>
  <c r="X29" i="10"/>
  <c r="AA29" i="10" s="1"/>
  <c r="L16" i="11"/>
  <c r="K28" i="12" s="1"/>
  <c r="AW17" i="10"/>
  <c r="I22" i="11"/>
  <c r="H34" i="12" s="1"/>
  <c r="AK23" i="10"/>
  <c r="L24" i="11"/>
  <c r="K36" i="12" s="1"/>
  <c r="AW25" i="10"/>
  <c r="I24" i="11"/>
  <c r="H36" i="12" s="1"/>
  <c r="AK25" i="10"/>
  <c r="N27" i="11"/>
  <c r="D16" i="10"/>
  <c r="Z70" i="5"/>
  <c r="J77" i="7" s="1"/>
  <c r="O77" i="7" s="1"/>
  <c r="J73" i="7"/>
  <c r="AC66" i="5"/>
  <c r="J78" i="7"/>
  <c r="O78" i="7" s="1"/>
  <c r="AC71" i="5"/>
  <c r="P78" i="7" s="1"/>
  <c r="AA22" i="10"/>
  <c r="J75" i="7"/>
  <c r="AC68" i="5"/>
  <c r="P75" i="7"/>
  <c r="J80" i="7"/>
  <c r="P80" i="7"/>
  <c r="M320" i="14"/>
  <c r="P73" i="7"/>
  <c r="J19" i="11"/>
  <c r="I31" i="12" s="1"/>
  <c r="AO20" i="10"/>
  <c r="I17" i="11"/>
  <c r="H29" i="12" s="1"/>
  <c r="AK18" i="10"/>
  <c r="L28" i="11"/>
  <c r="K40" i="12" s="1"/>
  <c r="AW29" i="10"/>
  <c r="G365" i="14"/>
  <c r="G363" i="14"/>
  <c r="G361" i="14"/>
  <c r="G359" i="14"/>
  <c r="L353" i="14"/>
  <c r="L351" i="14"/>
  <c r="L349" i="14"/>
  <c r="L346" i="14"/>
  <c r="L340" i="14"/>
  <c r="L338" i="14"/>
  <c r="L322" i="14"/>
  <c r="L375" i="14"/>
  <c r="ES375" i="14" s="1"/>
  <c r="CN415" i="14"/>
  <c r="CN425" i="14" s="1"/>
  <c r="O16" i="7"/>
  <c r="U22" i="16"/>
  <c r="X22" i="16" s="1"/>
  <c r="U19" i="16"/>
  <c r="X19" i="16" s="1"/>
  <c r="U23" i="16"/>
  <c r="X23" i="16" s="1"/>
  <c r="U25" i="16"/>
  <c r="U26" i="16"/>
  <c r="X26" i="16" s="1"/>
  <c r="O45" i="7"/>
  <c r="M71" i="5"/>
  <c r="P71" i="5" s="1"/>
  <c r="J88" i="5"/>
  <c r="K88" i="5" s="1"/>
  <c r="P343" i="14"/>
  <c r="J11" i="11"/>
  <c r="I23" i="12" s="1"/>
  <c r="AO12" i="10"/>
  <c r="B19" i="11"/>
  <c r="AF20" i="10"/>
  <c r="Q352" i="14"/>
  <c r="Q360" i="14"/>
  <c r="B17" i="11"/>
  <c r="AF18" i="10"/>
  <c r="L26" i="11"/>
  <c r="K38" i="12" s="1"/>
  <c r="M28" i="11"/>
  <c r="BA29" i="10"/>
  <c r="CF425" i="14"/>
  <c r="DC414" i="14"/>
  <c r="CH376" i="14"/>
  <c r="DC376" i="14"/>
  <c r="DQ376" i="14"/>
  <c r="DQ373" i="14"/>
  <c r="CH368" i="14"/>
  <c r="CO368" i="14" s="1"/>
  <c r="DC368" i="14"/>
  <c r="DQ368" i="14"/>
  <c r="DC357" i="14"/>
  <c r="DQ357" i="14"/>
  <c r="C299" i="14"/>
  <c r="D298" i="14"/>
  <c r="A177" i="14"/>
  <c r="F178" i="14"/>
  <c r="AB178" i="14" s="1"/>
  <c r="F69" i="14"/>
  <c r="A69" i="14" s="1"/>
  <c r="G17" i="16"/>
  <c r="D21" i="16"/>
  <c r="H65" i="11"/>
  <c r="J77" i="12" s="1"/>
  <c r="AD57" i="2"/>
  <c r="I13" i="11"/>
  <c r="AK14" i="10"/>
  <c r="I23" i="11"/>
  <c r="H35" i="12" s="1"/>
  <c r="AK24" i="10"/>
  <c r="O21" i="7"/>
  <c r="O39" i="7"/>
  <c r="O72" i="7"/>
  <c r="N102" i="5"/>
  <c r="D103" i="5" s="1"/>
  <c r="D77" i="5" s="1"/>
  <c r="T77" i="5" s="1"/>
  <c r="M84" i="7" s="1"/>
  <c r="J16" i="11"/>
  <c r="I28" i="12" s="1"/>
  <c r="AO17" i="10"/>
  <c r="X17" i="10"/>
  <c r="B22" i="11"/>
  <c r="X23" i="10"/>
  <c r="AA23" i="10" s="1"/>
  <c r="B24" i="11"/>
  <c r="AF25" i="10"/>
  <c r="AN468" i="14"/>
  <c r="EV438" i="14"/>
  <c r="ED438" i="14"/>
  <c r="ED440" i="14"/>
  <c r="EB449" i="14" s="1"/>
  <c r="AO466" i="14"/>
  <c r="AM475" i="14" s="1"/>
  <c r="EU423" i="14"/>
  <c r="ED423" i="14"/>
  <c r="DE413" i="14"/>
  <c r="CP423" i="14"/>
  <c r="DA403" i="14"/>
  <c r="CH372" i="14"/>
  <c r="DQ372" i="14"/>
  <c r="DC372" i="14"/>
  <c r="DQ352" i="14"/>
  <c r="A248" i="14"/>
  <c r="AB248" i="14"/>
  <c r="F249" i="14"/>
  <c r="F250" i="14" s="1"/>
  <c r="O35" i="9"/>
  <c r="O33" i="9"/>
  <c r="N34" i="9"/>
  <c r="N36" i="9"/>
  <c r="N38" i="9"/>
  <c r="N26" i="9"/>
  <c r="M30" i="9"/>
  <c r="M32" i="9"/>
  <c r="L15" i="9"/>
  <c r="L19" i="9"/>
  <c r="L21" i="9"/>
  <c r="L23" i="9"/>
  <c r="L24" i="9"/>
  <c r="L26" i="9"/>
  <c r="L27" i="9"/>
  <c r="AB65" i="10"/>
  <c r="AB61" i="10"/>
  <c r="BF57" i="10"/>
  <c r="AB57" i="10"/>
  <c r="AB55" i="10"/>
  <c r="BF53" i="10"/>
  <c r="AB53" i="10" s="1"/>
  <c r="AB51" i="10"/>
  <c r="BF49" i="10"/>
  <c r="AB49" i="10" s="1"/>
  <c r="AB47" i="10"/>
  <c r="AB45" i="10"/>
  <c r="AB39" i="10"/>
  <c r="AC39" i="10" s="1"/>
  <c r="AB35" i="10"/>
  <c r="AB31" i="10"/>
  <c r="AC31" i="10"/>
  <c r="AB29" i="10"/>
  <c r="AC29" i="10"/>
  <c r="AB23" i="10"/>
  <c r="AB17" i="10"/>
  <c r="AC17" i="10" s="1"/>
  <c r="AI41" i="10"/>
  <c r="AY41" i="10"/>
  <c r="AU41" i="10"/>
  <c r="E99" i="2"/>
  <c r="B99" i="2"/>
  <c r="M77" i="2"/>
  <c r="M74" i="2"/>
  <c r="M73" i="2"/>
  <c r="AF71" i="2"/>
  <c r="AF70" i="2"/>
  <c r="AI70" i="2" s="1"/>
  <c r="AF69" i="2"/>
  <c r="AH69" i="2" s="1"/>
  <c r="AF68" i="2"/>
  <c r="AF67" i="2"/>
  <c r="AJ65" i="2"/>
  <c r="AI62" i="2"/>
  <c r="AH62" i="2"/>
  <c r="AJ59" i="2"/>
  <c r="AD58" i="2"/>
  <c r="H79" i="7"/>
  <c r="C79" i="7"/>
  <c r="AB63" i="5"/>
  <c r="AC63" i="5" s="1"/>
  <c r="P70" i="7" s="1"/>
  <c r="C69" i="7"/>
  <c r="H67" i="7"/>
  <c r="O67" i="7" s="1"/>
  <c r="C67" i="7"/>
  <c r="I62" i="7"/>
  <c r="O62" i="7" s="1"/>
  <c r="J62" i="7"/>
  <c r="I56" i="7"/>
  <c r="J56" i="7"/>
  <c r="O56" i="7" s="1"/>
  <c r="M48" i="5"/>
  <c r="P48" i="5" s="1"/>
  <c r="AB48" i="5"/>
  <c r="L55" i="7" s="1"/>
  <c r="I52" i="7"/>
  <c r="O52" i="7"/>
  <c r="J52" i="7"/>
  <c r="AB43" i="5"/>
  <c r="M50" i="7" s="1"/>
  <c r="M11" i="9"/>
  <c r="M13" i="9"/>
  <c r="M17" i="9"/>
  <c r="M12" i="9"/>
  <c r="AB63" i="10"/>
  <c r="AB59" i="10"/>
  <c r="C99" i="2"/>
  <c r="F95" i="2"/>
  <c r="M75" i="2"/>
  <c r="AI60" i="2"/>
  <c r="AH60" i="2"/>
  <c r="H80" i="7"/>
  <c r="C80" i="7"/>
  <c r="H71" i="7"/>
  <c r="C71" i="7"/>
  <c r="C65" i="7"/>
  <c r="O65" i="7" s="1"/>
  <c r="H63" i="7"/>
  <c r="C63" i="7"/>
  <c r="AC46" i="5"/>
  <c r="L86" i="7"/>
  <c r="M62" i="5"/>
  <c r="P62" i="5"/>
  <c r="AB62" i="5"/>
  <c r="AC60" i="5"/>
  <c r="P67" i="7"/>
  <c r="M58" i="5"/>
  <c r="P58" i="5" s="1"/>
  <c r="AB58" i="5"/>
  <c r="L65" i="7" s="1"/>
  <c r="AC56" i="5"/>
  <c r="P63" i="7"/>
  <c r="L53" i="7"/>
  <c r="O53" i="7"/>
  <c r="H44" i="7"/>
  <c r="C44" i="7"/>
  <c r="I41" i="7"/>
  <c r="O41" i="7" s="1"/>
  <c r="J41" i="7"/>
  <c r="H36" i="7"/>
  <c r="C36" i="7"/>
  <c r="O36" i="7" s="1"/>
  <c r="I33" i="7"/>
  <c r="O33" i="7"/>
  <c r="J33" i="7"/>
  <c r="H28" i="7"/>
  <c r="C28" i="7"/>
  <c r="O28" i="7" s="1"/>
  <c r="I25" i="7"/>
  <c r="O25" i="7"/>
  <c r="J25" i="7"/>
  <c r="H24" i="7"/>
  <c r="C24" i="7"/>
  <c r="L40" i="7"/>
  <c r="O40" i="7" s="1"/>
  <c r="L32" i="7"/>
  <c r="O32" i="7"/>
  <c r="L20" i="7"/>
  <c r="O20" i="7" s="1"/>
  <c r="Q13" i="5"/>
  <c r="A14" i="5"/>
  <c r="AC9" i="5"/>
  <c r="P16" i="7"/>
  <c r="M8" i="3"/>
  <c r="M9" i="3" s="1"/>
  <c r="M10" i="3" s="1"/>
  <c r="M11" i="3" s="1"/>
  <c r="M12" i="3" s="1"/>
  <c r="M13" i="3" s="1"/>
  <c r="M14" i="3" s="1"/>
  <c r="M15" i="3" s="1"/>
  <c r="M16" i="3" s="1"/>
  <c r="L48" i="12"/>
  <c r="P328" i="14" s="1"/>
  <c r="L42" i="12"/>
  <c r="A15" i="5"/>
  <c r="Q14" i="5"/>
  <c r="M65" i="7"/>
  <c r="D96" i="2"/>
  <c r="C96" i="2"/>
  <c r="B96" i="2"/>
  <c r="L50" i="7"/>
  <c r="O50" i="7"/>
  <c r="AJ67" i="2"/>
  <c r="AH67" i="2"/>
  <c r="AI67" i="2"/>
  <c r="AJ71" i="2"/>
  <c r="AH71" i="2"/>
  <c r="AI71" i="2"/>
  <c r="C103" i="5"/>
  <c r="E103" i="5"/>
  <c r="E77" i="5" s="1"/>
  <c r="U77" i="5" s="1"/>
  <c r="G84" i="7" s="1"/>
  <c r="B103" i="5"/>
  <c r="F179" i="14"/>
  <c r="AB179" i="14" s="1"/>
  <c r="A178" i="14"/>
  <c r="F18" i="16"/>
  <c r="O24" i="7"/>
  <c r="O44" i="7"/>
  <c r="L69" i="7"/>
  <c r="M69" i="7"/>
  <c r="O69" i="7" s="1"/>
  <c r="P53" i="7"/>
  <c r="O80" i="7"/>
  <c r="E96" i="2"/>
  <c r="AC62" i="5"/>
  <c r="P69" i="7" s="1"/>
  <c r="M70" i="7"/>
  <c r="L70" i="7"/>
  <c r="AJ68" i="2"/>
  <c r="AH68" i="2"/>
  <c r="AI68" i="2"/>
  <c r="AJ70" i="2"/>
  <c r="AH70" i="2"/>
  <c r="AB249" i="14"/>
  <c r="AC23" i="10"/>
  <c r="AA17" i="10"/>
  <c r="AC48" i="5"/>
  <c r="P55" i="7" s="1"/>
  <c r="F70" i="14"/>
  <c r="CG425" i="14"/>
  <c r="G18" i="16"/>
  <c r="E75" i="5"/>
  <c r="U75" i="5" s="1"/>
  <c r="G82" i="7" s="1"/>
  <c r="E79" i="5"/>
  <c r="U79" i="5" s="1"/>
  <c r="G86" i="7" s="1"/>
  <c r="E81" i="5"/>
  <c r="U81" i="5" s="1"/>
  <c r="G88" i="7" s="1"/>
  <c r="E83" i="5"/>
  <c r="U83" i="5" s="1"/>
  <c r="G90" i="7" s="1"/>
  <c r="E76" i="5"/>
  <c r="U76" i="5" s="1"/>
  <c r="G83" i="7" s="1"/>
  <c r="E80" i="5"/>
  <c r="U80" i="5" s="1"/>
  <c r="G87" i="7" s="1"/>
  <c r="E84" i="5"/>
  <c r="U84" i="5" s="1"/>
  <c r="G91" i="7" s="1"/>
  <c r="E82" i="5"/>
  <c r="U82" i="5" s="1"/>
  <c r="G89" i="7" s="1"/>
  <c r="E78" i="5"/>
  <c r="U78" i="5" s="1"/>
  <c r="G85" i="7" s="1"/>
  <c r="D75" i="5"/>
  <c r="T75" i="5" s="1"/>
  <c r="M82" i="7" s="1"/>
  <c r="D79" i="5"/>
  <c r="T79" i="5" s="1"/>
  <c r="M86" i="7" s="1"/>
  <c r="D81" i="5"/>
  <c r="T81" i="5" s="1"/>
  <c r="M88" i="7" s="1"/>
  <c r="D83" i="5"/>
  <c r="T83" i="5" s="1"/>
  <c r="M90" i="7" s="1"/>
  <c r="D80" i="5"/>
  <c r="T80" i="5"/>
  <c r="M87" i="7" s="1"/>
  <c r="D78" i="5"/>
  <c r="T78" i="5" s="1"/>
  <c r="M85" i="7"/>
  <c r="F180" i="14"/>
  <c r="B75" i="5"/>
  <c r="B77" i="5"/>
  <c r="B85" i="5"/>
  <c r="B78" i="5"/>
  <c r="B84" i="5"/>
  <c r="C75" i="5"/>
  <c r="S75" i="5" s="1"/>
  <c r="C82" i="7" s="1"/>
  <c r="C83" i="5"/>
  <c r="S83" i="5" s="1"/>
  <c r="C90" i="7" s="1"/>
  <c r="C82" i="5"/>
  <c r="S82" i="5" s="1"/>
  <c r="C89" i="7" s="1"/>
  <c r="F181" i="14"/>
  <c r="R84" i="5"/>
  <c r="DI413" i="14" l="1"/>
  <c r="DF413" i="14"/>
  <c r="L376" i="14"/>
  <c r="ES376" i="14" s="1"/>
  <c r="L27" i="12"/>
  <c r="P341" i="14"/>
  <c r="P322" i="14"/>
  <c r="L366" i="14"/>
  <c r="L316" i="14"/>
  <c r="L37" i="12"/>
  <c r="P317" i="14" s="1"/>
  <c r="L354" i="14"/>
  <c r="L22" i="12"/>
  <c r="M76" i="12"/>
  <c r="L40" i="12"/>
  <c r="F75" i="12"/>
  <c r="L363" i="14"/>
  <c r="L47" i="12"/>
  <c r="L372" i="14"/>
  <c r="ES372" i="14" s="1"/>
  <c r="O308" i="14"/>
  <c r="H27" i="12"/>
  <c r="L345" i="14"/>
  <c r="G358" i="14"/>
  <c r="N364" i="14"/>
  <c r="L52" i="12"/>
  <c r="R85" i="5"/>
  <c r="P307" i="14"/>
  <c r="C300" i="14"/>
  <c r="D299" i="14"/>
  <c r="H18" i="16"/>
  <c r="B83" i="5"/>
  <c r="B74" i="5"/>
  <c r="B76" i="5"/>
  <c r="B80" i="5"/>
  <c r="B82" i="5"/>
  <c r="B81" i="5"/>
  <c r="D91" i="7"/>
  <c r="Q15" i="5"/>
  <c r="A16" i="5"/>
  <c r="O63" i="7"/>
  <c r="R78" i="5"/>
  <c r="C77" i="5"/>
  <c r="S77" i="5" s="1"/>
  <c r="C84" i="7" s="1"/>
  <c r="C85" i="5"/>
  <c r="S85" i="5" s="1"/>
  <c r="C92" i="7" s="1"/>
  <c r="C76" i="5"/>
  <c r="S76" i="5" s="1"/>
  <c r="C83" i="7" s="1"/>
  <c r="C79" i="5"/>
  <c r="S79" i="5" s="1"/>
  <c r="C86" i="7" s="1"/>
  <c r="C74" i="5"/>
  <c r="S74" i="5" s="1"/>
  <c r="C81" i="7" s="1"/>
  <c r="C80" i="5"/>
  <c r="S80" i="5" s="1"/>
  <c r="C87" i="7" s="1"/>
  <c r="C81" i="5"/>
  <c r="S81" i="5" s="1"/>
  <c r="C88" i="7" s="1"/>
  <c r="C78" i="5"/>
  <c r="S78" i="5" s="1"/>
  <c r="C85" i="7" s="1"/>
  <c r="C84" i="5"/>
  <c r="S84" i="5" s="1"/>
  <c r="C91" i="7" s="1"/>
  <c r="F251" i="14"/>
  <c r="AB250" i="14"/>
  <c r="E91" i="7"/>
  <c r="B79" i="5"/>
  <c r="E85" i="5"/>
  <c r="U85" i="5" s="1"/>
  <c r="G92" i="7" s="1"/>
  <c r="P16" i="10"/>
  <c r="D17" i="10"/>
  <c r="R77" i="5"/>
  <c r="D74" i="5"/>
  <c r="T74" i="5" s="1"/>
  <c r="M81" i="7" s="1"/>
  <c r="D76" i="5"/>
  <c r="T76" i="5" s="1"/>
  <c r="M83" i="7" s="1"/>
  <c r="D82" i="5"/>
  <c r="T82" i="5" s="1"/>
  <c r="M89" i="7" s="1"/>
  <c r="D84" i="5"/>
  <c r="T84" i="5" s="1"/>
  <c r="R75" i="5"/>
  <c r="AJ69" i="2"/>
  <c r="AI69" i="2"/>
  <c r="D85" i="5"/>
  <c r="T85" i="5" s="1"/>
  <c r="M92" i="7" s="1"/>
  <c r="E74" i="5"/>
  <c r="U74" i="5" s="1"/>
  <c r="G81" i="7" s="1"/>
  <c r="O70" i="7"/>
  <c r="AC58" i="5"/>
  <c r="P65" i="7" s="1"/>
  <c r="U20" i="16"/>
  <c r="X20" i="16" s="1"/>
  <c r="U24" i="16"/>
  <c r="X24" i="16" s="1"/>
  <c r="X29" i="16" s="1"/>
  <c r="T528" i="14" s="1"/>
  <c r="U21" i="16"/>
  <c r="X21" i="16" s="1"/>
  <c r="F20" i="16" s="1"/>
  <c r="M47" i="2"/>
  <c r="BF56" i="10"/>
  <c r="A179" i="14"/>
  <c r="N360" i="14"/>
  <c r="M55" i="7"/>
  <c r="O55" i="7" s="1"/>
  <c r="R15" i="10"/>
  <c r="S15" i="10"/>
  <c r="U15" i="10"/>
  <c r="W15" i="10"/>
  <c r="T15" i="10"/>
  <c r="V15" i="10"/>
  <c r="Q15" i="10"/>
  <c r="M29" i="9"/>
  <c r="M34" i="9"/>
  <c r="M33" i="9"/>
  <c r="M36" i="9"/>
  <c r="M38" i="9"/>
  <c r="M37" i="9"/>
  <c r="M31" i="9"/>
  <c r="V33" i="2"/>
  <c r="C132" i="2"/>
  <c r="D132" i="2"/>
  <c r="E132" i="2"/>
  <c r="B132" i="2"/>
  <c r="O58" i="7"/>
  <c r="X27" i="10"/>
  <c r="AO27" i="10"/>
  <c r="W35" i="10"/>
  <c r="U35" i="10"/>
  <c r="R35" i="10"/>
  <c r="Q35" i="10"/>
  <c r="V35" i="10"/>
  <c r="S35" i="10"/>
  <c r="Q14" i="10"/>
  <c r="W14" i="10"/>
  <c r="V14" i="10"/>
  <c r="S14" i="10"/>
  <c r="U14" i="10"/>
  <c r="AC62" i="2"/>
  <c r="H70" i="11"/>
  <c r="J69" i="5"/>
  <c r="L76" i="7"/>
  <c r="M76" i="7"/>
  <c r="AC70" i="5"/>
  <c r="P77" i="7" s="1"/>
  <c r="X12" i="10"/>
  <c r="K11" i="11"/>
  <c r="AS12" i="10"/>
  <c r="O31" i="7"/>
  <c r="I16" i="11"/>
  <c r="H28" i="12" s="1"/>
  <c r="AK17" i="10"/>
  <c r="Q30" i="10"/>
  <c r="R30" i="10"/>
  <c r="S30" i="10"/>
  <c r="U30" i="10"/>
  <c r="W30" i="10"/>
  <c r="V30" i="10"/>
  <c r="X13" i="10"/>
  <c r="I12" i="11"/>
  <c r="H24" i="12" s="1"/>
  <c r="L304" i="14" s="1"/>
  <c r="AK13" i="10"/>
  <c r="K13" i="11"/>
  <c r="CP415" i="14"/>
  <c r="CP425" i="14" s="1"/>
  <c r="N33" i="9"/>
  <c r="N35" i="9"/>
  <c r="N37" i="9"/>
  <c r="N29" i="9"/>
  <c r="N32" i="9"/>
  <c r="B18" i="11"/>
  <c r="AF19" i="10"/>
  <c r="K76" i="7"/>
  <c r="X20" i="10"/>
  <c r="I19" i="11"/>
  <c r="H31" i="12" s="1"/>
  <c r="L337" i="14"/>
  <c r="P340" i="14"/>
  <c r="DC356" i="14"/>
  <c r="DQ356" i="14"/>
  <c r="P15" i="8"/>
  <c r="O13" i="8"/>
  <c r="O15" i="8" s="1"/>
  <c r="Q16" i="8" s="1"/>
  <c r="J83" i="12"/>
  <c r="O71" i="11"/>
  <c r="P83" i="12" s="1"/>
  <c r="AO23" i="10"/>
  <c r="O59" i="7"/>
  <c r="O61" i="7"/>
  <c r="AB56" i="10"/>
  <c r="BF28" i="10"/>
  <c r="M19" i="2"/>
  <c r="J89" i="5"/>
  <c r="K89" i="5" s="1"/>
  <c r="Z72" i="5"/>
  <c r="M70" i="5"/>
  <c r="P70" i="5" s="1"/>
  <c r="AW23" i="10"/>
  <c r="M73" i="5"/>
  <c r="P73" i="5" s="1"/>
  <c r="J90" i="5"/>
  <c r="K90" i="5" s="1"/>
  <c r="M35" i="9"/>
  <c r="CH380" i="14"/>
  <c r="DC380" i="14"/>
  <c r="M313" i="14"/>
  <c r="O75" i="7"/>
  <c r="DC364" i="14"/>
  <c r="DQ364" i="14"/>
  <c r="BE24" i="10"/>
  <c r="M59" i="7"/>
  <c r="L59" i="7"/>
  <c r="AC52" i="5"/>
  <c r="P59" i="7" s="1"/>
  <c r="M67" i="5"/>
  <c r="P67" i="5" s="1"/>
  <c r="K18" i="11"/>
  <c r="AS19" i="10"/>
  <c r="J74" i="7"/>
  <c r="O74" i="7" s="1"/>
  <c r="AC67" i="5"/>
  <c r="P74" i="7" s="1"/>
  <c r="U24" i="10"/>
  <c r="EB430" i="14"/>
  <c r="ED390" i="14"/>
  <c r="AB64" i="10"/>
  <c r="AB44" i="10"/>
  <c r="AC37" i="10"/>
  <c r="AA37" i="10"/>
  <c r="AB32" i="10"/>
  <c r="BC41" i="10"/>
  <c r="H363" i="14"/>
  <c r="H361" i="14"/>
  <c r="H359" i="14"/>
  <c r="M349" i="14"/>
  <c r="U19" i="10"/>
  <c r="U28" i="10"/>
  <c r="AB25" i="10"/>
  <c r="AB18" i="10"/>
  <c r="AC18" i="10" s="1"/>
  <c r="AI65" i="2"/>
  <c r="AH65" i="2"/>
  <c r="M28" i="2"/>
  <c r="M6" i="2"/>
  <c r="BF15" i="10"/>
  <c r="M16" i="11"/>
  <c r="AS25" i="10"/>
  <c r="S19" i="10"/>
  <c r="S28" i="10"/>
  <c r="EB429" i="14"/>
  <c r="CX406" i="14"/>
  <c r="CX413" i="14" s="1"/>
  <c r="CY413" i="14" s="1"/>
  <c r="EV390" i="14"/>
  <c r="DC375" i="14"/>
  <c r="N32" i="10"/>
  <c r="Q30" i="9"/>
  <c r="N33" i="10" s="1"/>
  <c r="Q31" i="9"/>
  <c r="N34" i="10" s="1"/>
  <c r="L25" i="9"/>
  <c r="AB50" i="10"/>
  <c r="AB41" i="10"/>
  <c r="AC41" i="10" s="1"/>
  <c r="AB28" i="10"/>
  <c r="AC16" i="10"/>
  <c r="R19" i="10"/>
  <c r="R28" i="10"/>
  <c r="AO464" i="14"/>
  <c r="AM477" i="14" s="1"/>
  <c r="AN410" i="14"/>
  <c r="L28" i="9"/>
  <c r="C134" i="2"/>
  <c r="D134" i="2"/>
  <c r="E134" i="2"/>
  <c r="AK22" i="10"/>
  <c r="Q28" i="10"/>
  <c r="AB38" i="10"/>
  <c r="AC38" i="10" s="1"/>
  <c r="AQ41" i="10"/>
  <c r="V15" i="2"/>
  <c r="C114" i="2"/>
  <c r="D114" i="2"/>
  <c r="E114" i="2"/>
  <c r="T24" i="10"/>
  <c r="AC26" i="10"/>
  <c r="AB11" i="10"/>
  <c r="C46" i="7"/>
  <c r="O46" i="7" s="1"/>
  <c r="H46" i="7"/>
  <c r="X25" i="10"/>
  <c r="BA28" i="10"/>
  <c r="BE20" i="10"/>
  <c r="AS13" i="10"/>
  <c r="S24" i="10"/>
  <c r="DQ360" i="14"/>
  <c r="AB14" i="10"/>
  <c r="AB59" i="5"/>
  <c r="M59" i="5"/>
  <c r="P59" i="5" s="1"/>
  <c r="V24" i="10"/>
  <c r="DQ354" i="14"/>
  <c r="DI411" i="14"/>
  <c r="S15" i="8"/>
  <c r="AB60" i="10"/>
  <c r="V24" i="2"/>
  <c r="B123" i="2"/>
  <c r="C123" i="2"/>
  <c r="D123" i="2"/>
  <c r="E123" i="2"/>
  <c r="M10" i="2"/>
  <c r="AB34" i="10"/>
  <c r="B101" i="2"/>
  <c r="C101" i="2"/>
  <c r="D101" i="2"/>
  <c r="E101" i="2"/>
  <c r="BF48" i="10"/>
  <c r="AB48" i="10" s="1"/>
  <c r="AB24" i="10"/>
  <c r="B134" i="2"/>
  <c r="V4" i="2"/>
  <c r="B103" i="2"/>
  <c r="C103" i="2"/>
  <c r="D103" i="2"/>
  <c r="E103" i="2"/>
  <c r="AI63" i="2"/>
  <c r="L71" i="7"/>
  <c r="M64" i="5"/>
  <c r="P64" i="5" s="1"/>
  <c r="AB64" i="5"/>
  <c r="M76" i="2"/>
  <c r="AH66" i="2"/>
  <c r="V9" i="2"/>
  <c r="AB50" i="5"/>
  <c r="M50" i="5"/>
  <c r="P50" i="5" s="1"/>
  <c r="M70" i="2"/>
  <c r="C73" i="7"/>
  <c r="O73" i="7" s="1"/>
  <c r="AC11" i="10"/>
  <c r="C127" i="2"/>
  <c r="C109" i="2"/>
  <c r="O109" i="7"/>
  <c r="AI64" i="2"/>
  <c r="AJ64" i="2"/>
  <c r="AI61" i="2"/>
  <c r="AJ61" i="2"/>
  <c r="AA26" i="10"/>
  <c r="AA16" i="10"/>
  <c r="L48" i="7"/>
  <c r="H48" i="7"/>
  <c r="E130" i="2"/>
  <c r="E118" i="2"/>
  <c r="E108" i="2"/>
  <c r="A5" i="2"/>
  <c r="C118" i="2"/>
  <c r="M67" i="2"/>
  <c r="L38" i="7"/>
  <c r="H38" i="7"/>
  <c r="O106" i="7"/>
  <c r="R40" i="10"/>
  <c r="W40" i="10"/>
  <c r="S40" i="10"/>
  <c r="T40" i="10"/>
  <c r="W21" i="10"/>
  <c r="C62" i="12"/>
  <c r="AB61" i="5"/>
  <c r="M61" i="5"/>
  <c r="P61" i="5" s="1"/>
  <c r="L30" i="7"/>
  <c r="O30" i="7" s="1"/>
  <c r="L26" i="7"/>
  <c r="O26" i="7" s="1"/>
  <c r="O111" i="7"/>
  <c r="O107" i="7"/>
  <c r="O104" i="7"/>
  <c r="O97" i="7"/>
  <c r="H56" i="12"/>
  <c r="Q40" i="10"/>
  <c r="H22" i="12"/>
  <c r="C48" i="7"/>
  <c r="L18" i="7"/>
  <c r="O18" i="7" s="1"/>
  <c r="H111" i="12"/>
  <c r="L391" i="14" s="1"/>
  <c r="L395" i="14"/>
  <c r="L396" i="14"/>
  <c r="L397" i="14"/>
  <c r="H110" i="12"/>
  <c r="L390" i="14" s="1"/>
  <c r="H109" i="12"/>
  <c r="L389" i="14" s="1"/>
  <c r="H106" i="12"/>
  <c r="L386" i="14" s="1"/>
  <c r="H108" i="12"/>
  <c r="L388" i="14" s="1"/>
  <c r="H107" i="12"/>
  <c r="L387" i="14" s="1"/>
  <c r="O110" i="7"/>
  <c r="O108" i="7"/>
  <c r="O105" i="7"/>
  <c r="O103" i="7"/>
  <c r="O94" i="7"/>
  <c r="L34" i="7"/>
  <c r="H34" i="7"/>
  <c r="O34" i="7" s="1"/>
  <c r="O99" i="7"/>
  <c r="O95" i="7"/>
  <c r="O96" i="7"/>
  <c r="L42" i="7"/>
  <c r="O42" i="7" s="1"/>
  <c r="V21" i="10"/>
  <c r="R21" i="10"/>
  <c r="S21" i="10"/>
  <c r="U21" i="10"/>
  <c r="C38" i="7"/>
  <c r="L19" i="3"/>
  <c r="Q21" i="10"/>
  <c r="U217" i="14"/>
  <c r="U216" i="14"/>
  <c r="L46" i="7"/>
  <c r="U40" i="10"/>
  <c r="C77" i="12"/>
  <c r="G357" i="14" s="1"/>
  <c r="U286" i="14"/>
  <c r="U257" i="14"/>
  <c r="U241" i="14"/>
  <c r="T225" i="14"/>
  <c r="U225" i="14" s="1"/>
  <c r="L90" i="12"/>
  <c r="I19" i="7"/>
  <c r="O19" i="7" s="1"/>
  <c r="F300" i="14"/>
  <c r="F301" i="14" s="1"/>
  <c r="M73" i="12"/>
  <c r="C61" i="12"/>
  <c r="U281" i="14"/>
  <c r="U267" i="14"/>
  <c r="T221" i="14"/>
  <c r="T400" i="14" s="1"/>
  <c r="L91" i="12"/>
  <c r="H51" i="7"/>
  <c r="O51" i="7" s="1"/>
  <c r="C69" i="12"/>
  <c r="C67" i="12"/>
  <c r="E118" i="11"/>
  <c r="U294" i="14"/>
  <c r="H90" i="12"/>
  <c r="H50" i="12"/>
  <c r="AC44" i="5"/>
  <c r="U218" i="14"/>
  <c r="M61" i="12"/>
  <c r="U290" i="14"/>
  <c r="T231" i="14"/>
  <c r="H91" i="12"/>
  <c r="L50" i="12"/>
  <c r="P330" i="14" s="1"/>
  <c r="T510" i="14"/>
  <c r="L89" i="12"/>
  <c r="E76" i="12"/>
  <c r="F72" i="12"/>
  <c r="B52" i="11"/>
  <c r="U274" i="14"/>
  <c r="T229" i="14"/>
  <c r="U230" i="14" s="1"/>
  <c r="C76" i="12"/>
  <c r="G356" i="14" s="1"/>
  <c r="C68" i="12"/>
  <c r="M64" i="12"/>
  <c r="C65" i="12"/>
  <c r="U266" i="14"/>
  <c r="U247" i="14"/>
  <c r="U248" i="14"/>
  <c r="DC359" i="14"/>
  <c r="DQ359" i="14"/>
  <c r="U295" i="14"/>
  <c r="U296" i="14"/>
  <c r="U278" i="14"/>
  <c r="U235" i="14"/>
  <c r="F182" i="14"/>
  <c r="AB181" i="14"/>
  <c r="A181" i="14"/>
  <c r="A70" i="14"/>
  <c r="F71" i="14"/>
  <c r="EV423" i="14"/>
  <c r="ET428" i="14"/>
  <c r="CG437" i="14"/>
  <c r="CH328" i="14"/>
  <c r="CH313" i="14" s="1"/>
  <c r="DL369" i="14"/>
  <c r="CT369" i="14"/>
  <c r="CU369" i="14" s="1"/>
  <c r="DC355" i="14"/>
  <c r="DQ355" i="14"/>
  <c r="A180" i="14"/>
  <c r="AB180" i="14"/>
  <c r="EU442" i="14"/>
  <c r="EV439" i="14"/>
  <c r="ET450" i="14" s="1"/>
  <c r="DC350" i="14"/>
  <c r="DQ350" i="14"/>
  <c r="EB451" i="14"/>
  <c r="ED442" i="14"/>
  <c r="ED443" i="14" s="1"/>
  <c r="ET451" i="14"/>
  <c r="BU346" i="14"/>
  <c r="E298" i="14"/>
  <c r="A251" i="14"/>
  <c r="A249" i="14"/>
  <c r="CX405" i="14"/>
  <c r="CX412" i="14" s="1"/>
  <c r="CY412" i="14" s="1"/>
  <c r="DB412" i="14" s="1"/>
  <c r="DC412" i="14" s="1"/>
  <c r="DE412" i="14" s="1"/>
  <c r="DF412" i="14" s="1"/>
  <c r="CG424" i="14"/>
  <c r="CI413" i="14"/>
  <c r="DB411" i="14" s="1"/>
  <c r="DC411" i="14" s="1"/>
  <c r="DE411" i="14" s="1"/>
  <c r="DF411" i="14" s="1"/>
  <c r="CH371" i="14"/>
  <c r="DC371" i="14"/>
  <c r="DQ363" i="14"/>
  <c r="DC363" i="14"/>
  <c r="U254" i="14"/>
  <c r="U243" i="14"/>
  <c r="CN414" i="14"/>
  <c r="CN424" i="14" s="1"/>
  <c r="CP414" i="14"/>
  <c r="CP424" i="14" s="1"/>
  <c r="DL366" i="14"/>
  <c r="CH327" i="14"/>
  <c r="CH312" i="14" s="1"/>
  <c r="CT366" i="14"/>
  <c r="CU366" i="14" s="1"/>
  <c r="CG436" i="14"/>
  <c r="U263" i="14"/>
  <c r="U264" i="14"/>
  <c r="U231" i="14"/>
  <c r="U232" i="14"/>
  <c r="CH377" i="14"/>
  <c r="DC377" i="14"/>
  <c r="A300" i="14"/>
  <c r="A250" i="14"/>
  <c r="AM456" i="14"/>
  <c r="AM458" i="14"/>
  <c r="AO451" i="14"/>
  <c r="EC423" i="14"/>
  <c r="CH374" i="14"/>
  <c r="DQ374" i="14"/>
  <c r="E297" i="14"/>
  <c r="BU347" i="14"/>
  <c r="A18" i="14"/>
  <c r="F19" i="14"/>
  <c r="CG435" i="14"/>
  <c r="CH326" i="14"/>
  <c r="CH311" i="14" s="1"/>
  <c r="CT363" i="14"/>
  <c r="DL363" i="14"/>
  <c r="DC358" i="14"/>
  <c r="U238" i="14"/>
  <c r="DQ380" i="14"/>
  <c r="CH379" i="14"/>
  <c r="DQ379" i="14"/>
  <c r="U255" i="14"/>
  <c r="U256" i="14"/>
  <c r="U223" i="14"/>
  <c r="U224" i="14"/>
  <c r="DF380" i="14"/>
  <c r="DR380" i="14"/>
  <c r="C250" i="14"/>
  <c r="D249" i="14"/>
  <c r="U271" i="14"/>
  <c r="U272" i="14"/>
  <c r="U219" i="14"/>
  <c r="DC381" i="14"/>
  <c r="DD381" i="14" s="1"/>
  <c r="DF381" i="14" s="1"/>
  <c r="CH381" i="14"/>
  <c r="U279" i="14"/>
  <c r="U280" i="14"/>
  <c r="U239" i="14"/>
  <c r="U240" i="14"/>
  <c r="CH367" i="14"/>
  <c r="DC367" i="14"/>
  <c r="CO377" i="14"/>
  <c r="DA364" i="14" s="1"/>
  <c r="U287" i="14"/>
  <c r="U288" i="14"/>
  <c r="U259" i="14"/>
  <c r="DV376" i="14"/>
  <c r="T292" i="14"/>
  <c r="T284" i="14"/>
  <c r="U284" i="14" s="1"/>
  <c r="T276" i="14"/>
  <c r="U276" i="14" s="1"/>
  <c r="T268" i="14"/>
  <c r="T260" i="14"/>
  <c r="T252" i="14"/>
  <c r="T244" i="14"/>
  <c r="T236" i="14"/>
  <c r="U236" i="14" s="1"/>
  <c r="T228" i="14"/>
  <c r="T220" i="14"/>
  <c r="CH370" i="14"/>
  <c r="T258" i="14"/>
  <c r="U258" i="14" s="1"/>
  <c r="T250" i="14"/>
  <c r="U250" i="14" s="1"/>
  <c r="T242" i="14"/>
  <c r="U242" i="14" s="1"/>
  <c r="T234" i="14"/>
  <c r="U234" i="14" s="1"/>
  <c r="T226" i="14"/>
  <c r="DV372" i="14"/>
  <c r="DT380" i="14"/>
  <c r="DK412" i="14"/>
  <c r="DK411" i="14"/>
  <c r="CM372" i="14"/>
  <c r="DL372" i="14"/>
  <c r="CH329" i="14"/>
  <c r="CT372" i="14"/>
  <c r="CH438" i="14"/>
  <c r="CH440" i="14"/>
  <c r="CT380" i="14"/>
  <c r="CH331" i="14"/>
  <c r="CH316" i="14" s="1"/>
  <c r="DL376" i="14"/>
  <c r="CH439" i="14"/>
  <c r="CT376" i="14"/>
  <c r="CH330" i="14"/>
  <c r="CH315" i="14" s="1"/>
  <c r="P517" i="14"/>
  <c r="P347" i="14"/>
  <c r="P339" i="14"/>
  <c r="J356" i="14"/>
  <c r="G364" i="14"/>
  <c r="J79" i="12"/>
  <c r="O67" i="11"/>
  <c r="P79" i="12" s="1"/>
  <c r="P362" i="14"/>
  <c r="P342" i="14"/>
  <c r="O375" i="14"/>
  <c r="M83" i="12"/>
  <c r="Q364" i="14"/>
  <c r="H49" i="12"/>
  <c r="L49" i="12"/>
  <c r="M517" i="14"/>
  <c r="P333" i="14"/>
  <c r="G343" i="14"/>
  <c r="M62" i="12"/>
  <c r="L84" i="12"/>
  <c r="O84" i="12" s="1"/>
  <c r="O72" i="11"/>
  <c r="P84" i="12" s="1"/>
  <c r="M60" i="12"/>
  <c r="B48" i="11"/>
  <c r="L314" i="14"/>
  <c r="M362" i="14"/>
  <c r="M366" i="14"/>
  <c r="M304" i="14"/>
  <c r="G362" i="14"/>
  <c r="Q358" i="14"/>
  <c r="B50" i="11"/>
  <c r="M370" i="14"/>
  <c r="O65" i="11"/>
  <c r="P77" i="12" s="1"/>
  <c r="L311" i="14"/>
  <c r="Q362" i="14"/>
  <c r="I354" i="14"/>
  <c r="G339" i="14"/>
  <c r="L374" i="14"/>
  <c r="ES374" i="14" s="1"/>
  <c r="Q357" i="14"/>
  <c r="M339" i="14"/>
  <c r="Q344" i="14"/>
  <c r="B47" i="11"/>
  <c r="F118" i="11"/>
  <c r="C57" i="12"/>
  <c r="L344" i="14"/>
  <c r="L379" i="14"/>
  <c r="G366" i="14"/>
  <c r="J365" i="14"/>
  <c r="H360" i="14"/>
  <c r="M337" i="14"/>
  <c r="O367" i="14"/>
  <c r="J350" i="14"/>
  <c r="M75" i="12"/>
  <c r="Q346" i="14"/>
  <c r="Q354" i="14"/>
  <c r="P355" i="14"/>
  <c r="G360" i="14"/>
  <c r="L24" i="12"/>
  <c r="G350" i="14"/>
  <c r="Q350" i="14"/>
  <c r="I366" i="14"/>
  <c r="P363" i="14"/>
  <c r="H364" i="14"/>
  <c r="J361" i="14"/>
  <c r="M358" i="14"/>
  <c r="M343" i="14"/>
  <c r="L335" i="14"/>
  <c r="L317" i="14"/>
  <c r="Q345" i="14"/>
  <c r="P350" i="14"/>
  <c r="L79" i="12"/>
  <c r="M79" i="12"/>
  <c r="M71" i="12"/>
  <c r="L71" i="12"/>
  <c r="M63" i="12"/>
  <c r="Q343" i="14" s="1"/>
  <c r="M364" i="14"/>
  <c r="J363" i="14"/>
  <c r="H362" i="14"/>
  <c r="M360" i="14"/>
  <c r="J359" i="14"/>
  <c r="O348" i="14"/>
  <c r="K347" i="14"/>
  <c r="B49" i="11"/>
  <c r="M377" i="14"/>
  <c r="H366" i="14"/>
  <c r="L359" i="14"/>
  <c r="L88" i="12"/>
  <c r="L332" i="14"/>
  <c r="D118" i="11"/>
  <c r="G344" i="14"/>
  <c r="B54" i="11"/>
  <c r="L95" i="12"/>
  <c r="L94" i="12"/>
  <c r="L93" i="12"/>
  <c r="P373" i="14" s="1"/>
  <c r="L92" i="12"/>
  <c r="P372" i="14" s="1"/>
  <c r="AO409" i="14"/>
  <c r="AO408" i="14"/>
  <c r="AO407" i="14"/>
  <c r="AO406" i="14"/>
  <c r="AO468" i="14"/>
  <c r="AO469" i="14" s="1"/>
  <c r="DR381" i="14"/>
  <c r="DF382" i="14"/>
  <c r="DR382" i="14"/>
  <c r="DC373" i="14"/>
  <c r="DC374" i="14"/>
  <c r="DQ381" i="14"/>
  <c r="CH378" i="14"/>
  <c r="DQ377" i="14"/>
  <c r="DQ375" i="14"/>
  <c r="DQ371" i="14"/>
  <c r="DQ369" i="14"/>
  <c r="DV369" i="14" s="1"/>
  <c r="DQ365" i="14"/>
  <c r="DC361" i="14"/>
  <c r="DQ353" i="14"/>
  <c r="H25" i="12"/>
  <c r="L305" i="14" s="1"/>
  <c r="G353" i="14"/>
  <c r="J355" i="14"/>
  <c r="M311" i="14"/>
  <c r="L86" i="12"/>
  <c r="M86" i="12"/>
  <c r="O311" i="14"/>
  <c r="O316" i="14"/>
  <c r="L34" i="12"/>
  <c r="P314" i="14" s="1"/>
  <c r="O74" i="11"/>
  <c r="P86" i="12" s="1"/>
  <c r="D76" i="12"/>
  <c r="B57" i="11"/>
  <c r="O66" i="11"/>
  <c r="P78" i="12" s="1"/>
  <c r="E72" i="12"/>
  <c r="E71" i="12"/>
  <c r="E70" i="12"/>
  <c r="L55" i="12"/>
  <c r="L54" i="12"/>
  <c r="L29" i="12"/>
  <c r="L36" i="12"/>
  <c r="L308" i="14"/>
  <c r="N363" i="14"/>
  <c r="O83" i="12"/>
  <c r="O353" i="14"/>
  <c r="B61" i="11"/>
  <c r="F73" i="12"/>
  <c r="O351" i="14"/>
  <c r="K351" i="14"/>
  <c r="O350" i="14"/>
  <c r="K349" i="14"/>
  <c r="D69" i="12"/>
  <c r="M69" i="12"/>
  <c r="E69" i="12"/>
  <c r="I349" i="14" s="1"/>
  <c r="G349" i="14"/>
  <c r="M348" i="14"/>
  <c r="M68" i="12"/>
  <c r="E68" i="12"/>
  <c r="M347" i="14"/>
  <c r="M67" i="12"/>
  <c r="E67" i="12"/>
  <c r="I347" i="14" s="1"/>
  <c r="M346" i="14"/>
  <c r="M342" i="14"/>
  <c r="M340" i="14"/>
  <c r="M338" i="14"/>
  <c r="O336" i="14"/>
  <c r="M335" i="14"/>
  <c r="O332" i="14"/>
  <c r="O328" i="14"/>
  <c r="O327" i="14"/>
  <c r="I355" i="14"/>
  <c r="P327" i="14"/>
  <c r="G352" i="14"/>
  <c r="L364" i="14"/>
  <c r="L362" i="14"/>
  <c r="L360" i="14"/>
  <c r="L358" i="14"/>
  <c r="L356" i="14"/>
  <c r="L352" i="14"/>
  <c r="L348" i="14"/>
  <c r="L343" i="14"/>
  <c r="L339" i="14"/>
  <c r="L336" i="14"/>
  <c r="G346" i="14"/>
  <c r="G338" i="14"/>
  <c r="L328" i="14"/>
  <c r="L307" i="14"/>
  <c r="L377" i="14"/>
  <c r="ES377" i="14" s="1"/>
  <c r="Q339" i="14"/>
  <c r="P348" i="14"/>
  <c r="P352" i="14"/>
  <c r="P356" i="14"/>
  <c r="P360" i="14"/>
  <c r="L315" i="14"/>
  <c r="H124" i="11"/>
  <c r="J78" i="12"/>
  <c r="G354" i="14"/>
  <c r="P336" i="14"/>
  <c r="O80" i="12"/>
  <c r="L318" i="14"/>
  <c r="C71" i="11"/>
  <c r="P354" i="14"/>
  <c r="J86" i="12"/>
  <c r="C68" i="11"/>
  <c r="G340" i="14"/>
  <c r="L334" i="14"/>
  <c r="L341" i="14"/>
  <c r="L350" i="14"/>
  <c r="L357" i="14"/>
  <c r="L361" i="14"/>
  <c r="L365" i="14"/>
  <c r="Q341" i="14"/>
  <c r="L327" i="14"/>
  <c r="P335" i="14"/>
  <c r="J348" i="14"/>
  <c r="F67" i="12"/>
  <c r="F69" i="12"/>
  <c r="F71" i="12"/>
  <c r="E73" i="12"/>
  <c r="L369" i="14"/>
  <c r="ES369" i="14" s="1"/>
  <c r="P345" i="14"/>
  <c r="P353" i="14"/>
  <c r="P361" i="14"/>
  <c r="J81" i="12"/>
  <c r="O81" i="12" s="1"/>
  <c r="O69" i="11"/>
  <c r="P81" i="12" s="1"/>
  <c r="L23" i="12"/>
  <c r="L33" i="12"/>
  <c r="L31" i="12"/>
  <c r="O365" i="14"/>
  <c r="K365" i="14"/>
  <c r="I365" i="14"/>
  <c r="O364" i="14"/>
  <c r="K364" i="14"/>
  <c r="I364" i="14"/>
  <c r="O363" i="14"/>
  <c r="K363" i="14"/>
  <c r="I363" i="14"/>
  <c r="O362" i="14"/>
  <c r="K362" i="14"/>
  <c r="I362" i="14"/>
  <c r="O361" i="14"/>
  <c r="K361" i="14"/>
  <c r="I361" i="14"/>
  <c r="O360" i="14"/>
  <c r="K360" i="14"/>
  <c r="I360" i="14"/>
  <c r="O359" i="14"/>
  <c r="K359" i="14"/>
  <c r="I359" i="14"/>
  <c r="O358" i="14"/>
  <c r="M355" i="14"/>
  <c r="M354" i="14"/>
  <c r="M353" i="14"/>
  <c r="O333" i="14"/>
  <c r="M330" i="14"/>
  <c r="M329" i="14"/>
  <c r="M322" i="14"/>
  <c r="M317" i="14"/>
  <c r="M307" i="14"/>
  <c r="M302" i="14"/>
  <c r="O377" i="14"/>
  <c r="M375" i="14"/>
  <c r="O373" i="14"/>
  <c r="O371" i="14"/>
  <c r="O369" i="14"/>
  <c r="D73" i="12"/>
  <c r="O318" i="14"/>
  <c r="N357" i="14"/>
  <c r="J85" i="12"/>
  <c r="C73" i="11"/>
  <c r="H114" i="11"/>
  <c r="O313" i="14"/>
  <c r="M314" i="14"/>
  <c r="O73" i="11"/>
  <c r="P85" i="12" s="1"/>
  <c r="O314" i="14"/>
  <c r="L320" i="14"/>
  <c r="O309" i="14"/>
  <c r="L38" i="12"/>
  <c r="O357" i="14"/>
  <c r="K357" i="14"/>
  <c r="O345" i="14"/>
  <c r="K345" i="14"/>
  <c r="O343" i="14"/>
  <c r="K343" i="14"/>
  <c r="O341" i="14"/>
  <c r="K341" i="14"/>
  <c r="O339" i="14"/>
  <c r="K339" i="14"/>
  <c r="Q337" i="14"/>
  <c r="O337" i="14"/>
  <c r="K337" i="14"/>
  <c r="O302" i="14"/>
  <c r="K358" i="14"/>
  <c r="D78" i="12"/>
  <c r="E78" i="12"/>
  <c r="B65" i="11"/>
  <c r="C65" i="11" s="1"/>
  <c r="D77" i="12"/>
  <c r="F77" i="12"/>
  <c r="E77" i="12"/>
  <c r="D66" i="12"/>
  <c r="F66" i="12"/>
  <c r="E66" i="12"/>
  <c r="D65" i="12"/>
  <c r="F65" i="12"/>
  <c r="E65" i="12"/>
  <c r="D64" i="12"/>
  <c r="F64" i="12"/>
  <c r="E64" i="12"/>
  <c r="D63" i="12"/>
  <c r="F63" i="12"/>
  <c r="E63" i="12"/>
  <c r="D62" i="12"/>
  <c r="F62" i="12"/>
  <c r="E62" i="12"/>
  <c r="D61" i="12"/>
  <c r="F61" i="12"/>
  <c r="E61" i="12"/>
  <c r="D60" i="12"/>
  <c r="F60" i="12"/>
  <c r="E60" i="12"/>
  <c r="D59" i="12"/>
  <c r="F59" i="12"/>
  <c r="E59" i="12"/>
  <c r="D58" i="12"/>
  <c r="F58" i="12"/>
  <c r="E58" i="12"/>
  <c r="D57" i="12"/>
  <c r="F57" i="12"/>
  <c r="E57" i="12"/>
  <c r="O374" i="14"/>
  <c r="O372" i="14"/>
  <c r="P371" i="14"/>
  <c r="O370" i="14"/>
  <c r="O368" i="14"/>
  <c r="L378" i="14"/>
  <c r="ES378" i="14" s="1"/>
  <c r="Q338" i="14"/>
  <c r="F78" i="12"/>
  <c r="O356" i="14"/>
  <c r="B63" i="11"/>
  <c r="O354" i="14"/>
  <c r="K353" i="14"/>
  <c r="M352" i="14"/>
  <c r="M351" i="14"/>
  <c r="B55" i="11"/>
  <c r="O346" i="14"/>
  <c r="G66" i="12"/>
  <c r="O344" i="14"/>
  <c r="G64" i="12"/>
  <c r="O342" i="14"/>
  <c r="K342" i="14"/>
  <c r="O340" i="14"/>
  <c r="K340" i="14"/>
  <c r="O338" i="14"/>
  <c r="K338" i="14"/>
  <c r="O335" i="14"/>
  <c r="M334" i="14"/>
  <c r="M333" i="14"/>
  <c r="M332" i="14"/>
  <c r="M328" i="14"/>
  <c r="M327" i="14"/>
  <c r="O322" i="14"/>
  <c r="O317" i="14"/>
  <c r="B59" i="11"/>
  <c r="D75" i="12"/>
  <c r="D71" i="12"/>
  <c r="D67" i="12"/>
  <c r="H347" i="14" s="1"/>
  <c r="L87" i="12"/>
  <c r="M303" i="14"/>
  <c r="O320" i="14"/>
  <c r="O303" i="14"/>
  <c r="L313" i="14"/>
  <c r="K352" i="14"/>
  <c r="K348" i="14"/>
  <c r="M336" i="14"/>
  <c r="O517" i="14"/>
  <c r="P378" i="14"/>
  <c r="M374" i="14"/>
  <c r="M373" i="14"/>
  <c r="M371" i="14"/>
  <c r="M369" i="14"/>
  <c r="K354" i="14"/>
  <c r="K350" i="14"/>
  <c r="O334" i="14"/>
  <c r="B66" i="11"/>
  <c r="B53" i="11"/>
  <c r="G118" i="11"/>
  <c r="Q114" i="11"/>
  <c r="F115" i="11" s="1"/>
  <c r="B64" i="11"/>
  <c r="B62" i="11"/>
  <c r="B60" i="11"/>
  <c r="B58" i="11"/>
  <c r="B56" i="11"/>
  <c r="P320" i="14"/>
  <c r="L309" i="14"/>
  <c r="M308" i="14"/>
  <c r="O304" i="14"/>
  <c r="P311" i="14"/>
  <c r="K356" i="14"/>
  <c r="D74" i="12"/>
  <c r="D72" i="12"/>
  <c r="D70" i="12"/>
  <c r="D68" i="12"/>
  <c r="B51" i="11"/>
  <c r="H356" i="14" l="1"/>
  <c r="I356" i="14"/>
  <c r="P302" i="14"/>
  <c r="H351" i="14"/>
  <c r="F103" i="11"/>
  <c r="C115" i="12" s="1"/>
  <c r="G395" i="14" s="1"/>
  <c r="F102" i="11"/>
  <c r="C114" i="12" s="1"/>
  <c r="F101" i="11"/>
  <c r="C113" i="12" s="1"/>
  <c r="Q353" i="14"/>
  <c r="L517" i="14"/>
  <c r="L330" i="14"/>
  <c r="Q356" i="14"/>
  <c r="P334" i="14"/>
  <c r="P370" i="14"/>
  <c r="P369" i="14"/>
  <c r="P313" i="14"/>
  <c r="P332" i="14"/>
  <c r="H353" i="14"/>
  <c r="G342" i="14"/>
  <c r="G345" i="14"/>
  <c r="Q9" i="8"/>
  <c r="G9" i="8" s="1"/>
  <c r="G7" i="10" s="1"/>
  <c r="S7" i="10" s="1"/>
  <c r="J6" i="11" s="1"/>
  <c r="I18" i="12" s="1"/>
  <c r="Q7" i="8"/>
  <c r="G7" i="8" s="1"/>
  <c r="G5" i="10" s="1"/>
  <c r="S5" i="10" s="1"/>
  <c r="J4" i="11" s="1"/>
  <c r="I16" i="12" s="1"/>
  <c r="Q12" i="8"/>
  <c r="G12" i="8" s="1"/>
  <c r="G10" i="10" s="1"/>
  <c r="S10" i="10" s="1"/>
  <c r="J9" i="11" s="1"/>
  <c r="I21" i="12" s="1"/>
  <c r="Q8" i="8"/>
  <c r="G8" i="8" s="1"/>
  <c r="G6" i="10" s="1"/>
  <c r="S6" i="10" s="1"/>
  <c r="J5" i="11" s="1"/>
  <c r="I17" i="12" s="1"/>
  <c r="Q10" i="8"/>
  <c r="G10" i="8" s="1"/>
  <c r="G8" i="10" s="1"/>
  <c r="S8" i="10" s="1"/>
  <c r="J7" i="11" s="1"/>
  <c r="I19" i="12" s="1"/>
  <c r="Q11" i="8"/>
  <c r="G11" i="8" s="1"/>
  <c r="G9" i="10" s="1"/>
  <c r="S9" i="10" s="1"/>
  <c r="J8" i="11" s="1"/>
  <c r="I20" i="12" s="1"/>
  <c r="M20" i="11"/>
  <c r="BA21" i="10"/>
  <c r="G397" i="14"/>
  <c r="T397" i="14" s="1"/>
  <c r="N39" i="11"/>
  <c r="BE40" i="10"/>
  <c r="B13" i="11"/>
  <c r="AF14" i="10"/>
  <c r="X14" i="10"/>
  <c r="R76" i="5"/>
  <c r="G396" i="14"/>
  <c r="T396" i="14" s="1"/>
  <c r="I39" i="11"/>
  <c r="H51" i="12" s="1"/>
  <c r="AK40" i="10"/>
  <c r="N76" i="2"/>
  <c r="N77" i="2"/>
  <c r="BA24" i="10"/>
  <c r="M23" i="11"/>
  <c r="L35" i="12" s="1"/>
  <c r="B27" i="11"/>
  <c r="X28" i="10"/>
  <c r="AF28" i="10"/>
  <c r="L27" i="11"/>
  <c r="K39" i="12" s="1"/>
  <c r="AW28" i="10"/>
  <c r="AW24" i="10"/>
  <c r="L23" i="11"/>
  <c r="K35" i="12" s="1"/>
  <c r="AC12" i="10"/>
  <c r="AA12" i="10"/>
  <c r="J34" i="11"/>
  <c r="I46" i="12" s="1"/>
  <c r="AO35" i="10"/>
  <c r="R74" i="5"/>
  <c r="F99" i="11"/>
  <c r="C111" i="12" s="1"/>
  <c r="F100" i="11"/>
  <c r="C112" i="12" s="1"/>
  <c r="G348" i="14"/>
  <c r="AB300" i="14"/>
  <c r="L39" i="11"/>
  <c r="K51" i="12" s="1"/>
  <c r="AW40" i="10"/>
  <c r="J27" i="11"/>
  <c r="I39" i="12" s="1"/>
  <c r="AO28" i="10"/>
  <c r="L18" i="11"/>
  <c r="K30" i="12" s="1"/>
  <c r="AW19" i="10"/>
  <c r="M29" i="11"/>
  <c r="BA30" i="10"/>
  <c r="M34" i="11"/>
  <c r="BA35" i="10"/>
  <c r="D85" i="7"/>
  <c r="E85" i="7"/>
  <c r="F85" i="7"/>
  <c r="R83" i="5"/>
  <c r="U277" i="14"/>
  <c r="M66" i="7"/>
  <c r="AC59" i="5"/>
  <c r="P66" i="7" s="1"/>
  <c r="L66" i="7"/>
  <c r="J18" i="11"/>
  <c r="I30" i="12" s="1"/>
  <c r="AO19" i="10"/>
  <c r="N29" i="11"/>
  <c r="BE30" i="10"/>
  <c r="AF35" i="10"/>
  <c r="X35" i="10"/>
  <c r="B34" i="11"/>
  <c r="X27" i="16"/>
  <c r="F252" i="14"/>
  <c r="AB251" i="14"/>
  <c r="P51" i="7"/>
  <c r="G341" i="14"/>
  <c r="A6" i="2"/>
  <c r="Q5" i="2"/>
  <c r="M71" i="7"/>
  <c r="O71" i="7" s="1"/>
  <c r="AC64" i="5"/>
  <c r="P71" i="7" s="1"/>
  <c r="K23" i="11"/>
  <c r="AS24" i="10"/>
  <c r="J79" i="7"/>
  <c r="O79" i="7" s="1"/>
  <c r="AC72" i="5"/>
  <c r="P79" i="7" s="1"/>
  <c r="L29" i="11"/>
  <c r="K41" i="12" s="1"/>
  <c r="AW30" i="10"/>
  <c r="AK35" i="10"/>
  <c r="I34" i="11"/>
  <c r="H46" i="12" s="1"/>
  <c r="AF15" i="10"/>
  <c r="B14" i="11"/>
  <c r="X15" i="10"/>
  <c r="F84" i="7"/>
  <c r="D84" i="7"/>
  <c r="E84" i="7"/>
  <c r="A17" i="5"/>
  <c r="Q16" i="5"/>
  <c r="J352" i="14"/>
  <c r="S34" i="10"/>
  <c r="U34" i="10"/>
  <c r="W34" i="10"/>
  <c r="T34" i="10"/>
  <c r="V34" i="10"/>
  <c r="R34" i="10"/>
  <c r="Q34" i="10"/>
  <c r="AO30" i="10"/>
  <c r="J29" i="11"/>
  <c r="I41" i="12" s="1"/>
  <c r="J102" i="5"/>
  <c r="Z69" i="5"/>
  <c r="M69" i="5"/>
  <c r="P69" i="5" s="1"/>
  <c r="J86" i="5"/>
  <c r="K86" i="5" s="1"/>
  <c r="L34" i="11"/>
  <c r="K46" i="12" s="1"/>
  <c r="AW35" i="10"/>
  <c r="M14" i="11"/>
  <c r="BA15" i="10"/>
  <c r="P17" i="10"/>
  <c r="D18" i="10"/>
  <c r="D92" i="7"/>
  <c r="E92" i="7"/>
  <c r="F92" i="7"/>
  <c r="B20" i="11"/>
  <c r="X21" i="10"/>
  <c r="AF21" i="10"/>
  <c r="Q33" i="10"/>
  <c r="V33" i="10"/>
  <c r="T33" i="10"/>
  <c r="W33" i="10"/>
  <c r="R33" i="10"/>
  <c r="S33" i="10"/>
  <c r="U33" i="10"/>
  <c r="BG41" i="10"/>
  <c r="AB15" i="10"/>
  <c r="AC20" i="10"/>
  <c r="AA20" i="10"/>
  <c r="AK30" i="10"/>
  <c r="I29" i="11"/>
  <c r="H41" i="12" s="1"/>
  <c r="J82" i="12"/>
  <c r="C70" i="11"/>
  <c r="BE35" i="10"/>
  <c r="N34" i="11"/>
  <c r="K14" i="11"/>
  <c r="AS15" i="10"/>
  <c r="AC61" i="5"/>
  <c r="P68" i="7" s="1"/>
  <c r="L68" i="7"/>
  <c r="M68" i="7"/>
  <c r="AO24" i="10"/>
  <c r="J23" i="11"/>
  <c r="I35" i="12" s="1"/>
  <c r="X24" i="10"/>
  <c r="W32" i="10"/>
  <c r="V32" i="10"/>
  <c r="Q32" i="10"/>
  <c r="U32" i="10"/>
  <c r="T32" i="10"/>
  <c r="S32" i="10"/>
  <c r="R32" i="10"/>
  <c r="AF30" i="10"/>
  <c r="B29" i="11"/>
  <c r="X30" i="10"/>
  <c r="N14" i="11"/>
  <c r="BE15" i="10"/>
  <c r="E299" i="14"/>
  <c r="BU345" i="14"/>
  <c r="P367" i="14"/>
  <c r="L28" i="12"/>
  <c r="O70" i="11"/>
  <c r="P82" i="12" s="1"/>
  <c r="U222" i="14"/>
  <c r="O38" i="7"/>
  <c r="O48" i="7"/>
  <c r="L13" i="11"/>
  <c r="K25" i="12" s="1"/>
  <c r="AW14" i="10"/>
  <c r="AA27" i="10"/>
  <c r="AC27" i="10"/>
  <c r="L14" i="11"/>
  <c r="K26" i="12" s="1"/>
  <c r="AW15" i="10"/>
  <c r="R79" i="5"/>
  <c r="C301" i="14"/>
  <c r="D300" i="14"/>
  <c r="G347" i="14"/>
  <c r="L20" i="11"/>
  <c r="K32" i="12" s="1"/>
  <c r="AW21" i="10"/>
  <c r="L302" i="14"/>
  <c r="N20" i="11"/>
  <c r="BE21" i="10"/>
  <c r="I27" i="11"/>
  <c r="AK28" i="10"/>
  <c r="R16" i="8"/>
  <c r="U16" i="8"/>
  <c r="J13" i="11"/>
  <c r="I25" i="12" s="1"/>
  <c r="AO14" i="10"/>
  <c r="J14" i="11"/>
  <c r="I26" i="12" s="1"/>
  <c r="AO15" i="10"/>
  <c r="G20" i="16"/>
  <c r="H20" i="16"/>
  <c r="R81" i="5"/>
  <c r="L370" i="14"/>
  <c r="ES370" i="14" s="1"/>
  <c r="U226" i="14"/>
  <c r="J20" i="11"/>
  <c r="I32" i="12" s="1"/>
  <c r="AO21" i="10"/>
  <c r="B39" i="11"/>
  <c r="X40" i="10"/>
  <c r="AF40" i="10"/>
  <c r="K39" i="11"/>
  <c r="AS40" i="10"/>
  <c r="M57" i="7"/>
  <c r="AC50" i="5"/>
  <c r="P57" i="7" s="1"/>
  <c r="L57" i="7"/>
  <c r="S16" i="8"/>
  <c r="I18" i="11"/>
  <c r="AK19" i="10"/>
  <c r="X19" i="10"/>
  <c r="P16" i="8"/>
  <c r="M13" i="11"/>
  <c r="BA14" i="10"/>
  <c r="AK15" i="10"/>
  <c r="I14" i="11"/>
  <c r="H26" i="12" s="1"/>
  <c r="F82" i="7"/>
  <c r="E82" i="7"/>
  <c r="D82" i="7"/>
  <c r="R82" i="5"/>
  <c r="L371" i="14"/>
  <c r="ES371" i="14" s="1"/>
  <c r="I20" i="11"/>
  <c r="H32" i="12" s="1"/>
  <c r="AK21" i="10"/>
  <c r="J39" i="11"/>
  <c r="I51" i="12" s="1"/>
  <c r="AO40" i="10"/>
  <c r="AA25" i="10"/>
  <c r="AC25" i="10"/>
  <c r="AA13" i="10"/>
  <c r="AC13" i="10"/>
  <c r="BE14" i="10"/>
  <c r="N13" i="11"/>
  <c r="T16" i="8"/>
  <c r="F19" i="16"/>
  <c r="F91" i="7"/>
  <c r="M91" i="7"/>
  <c r="R80" i="5"/>
  <c r="U220" i="14"/>
  <c r="U221" i="14"/>
  <c r="A19" i="14"/>
  <c r="F20" i="14"/>
  <c r="U293" i="14"/>
  <c r="U292" i="14"/>
  <c r="T420" i="14"/>
  <c r="AB182" i="14"/>
  <c r="A182" i="14"/>
  <c r="F183" i="14"/>
  <c r="U229" i="14"/>
  <c r="U228" i="14"/>
  <c r="U245" i="14"/>
  <c r="U244" i="14"/>
  <c r="U227" i="14"/>
  <c r="U251" i="14"/>
  <c r="U252" i="14"/>
  <c r="U253" i="14"/>
  <c r="F72" i="14"/>
  <c r="A71" i="14"/>
  <c r="U261" i="14"/>
  <c r="U260" i="14"/>
  <c r="U285" i="14"/>
  <c r="U420" i="14" s="1"/>
  <c r="DV380" i="14"/>
  <c r="U268" i="14"/>
  <c r="U269" i="14"/>
  <c r="E249" i="14"/>
  <c r="A301" i="14"/>
  <c r="F302" i="14"/>
  <c r="AB301" i="14"/>
  <c r="U237" i="14"/>
  <c r="D250" i="14"/>
  <c r="C251" i="14"/>
  <c r="CK413" i="14"/>
  <c r="CM413" i="14"/>
  <c r="EV442" i="14"/>
  <c r="EV443" i="14" s="1"/>
  <c r="G522" i="14"/>
  <c r="G532" i="14" s="1"/>
  <c r="M520" i="14"/>
  <c r="M530" i="14" s="1"/>
  <c r="G520" i="14"/>
  <c r="G530" i="14" s="1"/>
  <c r="CH314" i="14"/>
  <c r="CK310" i="14" s="1" a="1"/>
  <c r="CH333" i="14" a="1"/>
  <c r="F98" i="11"/>
  <c r="C110" i="12" s="1"/>
  <c r="F97" i="11"/>
  <c r="C109" i="12" s="1"/>
  <c r="P304" i="14"/>
  <c r="P368" i="14"/>
  <c r="M474" i="14"/>
  <c r="O86" i="12"/>
  <c r="P351" i="14"/>
  <c r="G521" i="14"/>
  <c r="G531" i="14" s="1"/>
  <c r="P374" i="14"/>
  <c r="Q351" i="14"/>
  <c r="G337" i="14"/>
  <c r="Q342" i="14"/>
  <c r="G493" i="14"/>
  <c r="Q363" i="14"/>
  <c r="T363" i="14" s="1"/>
  <c r="N359" i="14"/>
  <c r="O79" i="12"/>
  <c r="E115" i="11"/>
  <c r="P375" i="14"/>
  <c r="G529" i="14"/>
  <c r="P316" i="14"/>
  <c r="Q340" i="14"/>
  <c r="P329" i="14"/>
  <c r="P359" i="14"/>
  <c r="Q355" i="14"/>
  <c r="L329" i="14"/>
  <c r="H349" i="14"/>
  <c r="P315" i="14"/>
  <c r="O522" i="14"/>
  <c r="O532" i="14" s="1"/>
  <c r="Q359" i="14"/>
  <c r="O521" i="14"/>
  <c r="O531" i="14" s="1"/>
  <c r="L522" i="14"/>
  <c r="L532" i="14" s="1"/>
  <c r="P364" i="14"/>
  <c r="T364" i="14" s="1"/>
  <c r="AO410" i="14"/>
  <c r="O493" i="14"/>
  <c r="O519" i="14"/>
  <c r="O529" i="14" s="1"/>
  <c r="Q366" i="14"/>
  <c r="M521" i="14"/>
  <c r="M531" i="14" s="1"/>
  <c r="P366" i="14"/>
  <c r="M522" i="14"/>
  <c r="M532" i="14" s="1"/>
  <c r="M519" i="14"/>
  <c r="M529" i="14" s="1"/>
  <c r="P309" i="14"/>
  <c r="L520" i="14"/>
  <c r="L530" i="14" s="1"/>
  <c r="I351" i="14"/>
  <c r="T360" i="14"/>
  <c r="I350" i="14"/>
  <c r="I352" i="14"/>
  <c r="P303" i="14"/>
  <c r="N361" i="14"/>
  <c r="T361" i="14" s="1"/>
  <c r="J351" i="14"/>
  <c r="J347" i="14"/>
  <c r="N366" i="14"/>
  <c r="N358" i="14"/>
  <c r="Q348" i="14"/>
  <c r="I353" i="14"/>
  <c r="J349" i="14"/>
  <c r="L519" i="14"/>
  <c r="L529" i="14" s="1"/>
  <c r="L474" i="14"/>
  <c r="Q347" i="14"/>
  <c r="I348" i="14"/>
  <c r="Q349" i="14"/>
  <c r="J353" i="14"/>
  <c r="L521" i="14"/>
  <c r="L531" i="14" s="1"/>
  <c r="F95" i="11"/>
  <c r="C107" i="12" s="1"/>
  <c r="F96" i="11"/>
  <c r="I338" i="14"/>
  <c r="J339" i="14"/>
  <c r="J341" i="14"/>
  <c r="I344" i="14"/>
  <c r="I346" i="14"/>
  <c r="H358" i="14"/>
  <c r="K346" i="14"/>
  <c r="J337" i="14"/>
  <c r="H338" i="14"/>
  <c r="I340" i="14"/>
  <c r="H340" i="14"/>
  <c r="I342" i="14"/>
  <c r="H342" i="14"/>
  <c r="J343" i="14"/>
  <c r="H344" i="14"/>
  <c r="J345" i="14"/>
  <c r="H346" i="14"/>
  <c r="J357" i="14"/>
  <c r="H355" i="14"/>
  <c r="O520" i="14"/>
  <c r="O530" i="14" s="1"/>
  <c r="O474" i="14"/>
  <c r="M493" i="14"/>
  <c r="K344" i="14"/>
  <c r="J358" i="14"/>
  <c r="I337" i="14"/>
  <c r="H337" i="14"/>
  <c r="J338" i="14"/>
  <c r="I339" i="14"/>
  <c r="H339" i="14"/>
  <c r="J340" i="14"/>
  <c r="I341" i="14"/>
  <c r="H341" i="14"/>
  <c r="J342" i="14"/>
  <c r="I343" i="14"/>
  <c r="H343" i="14"/>
  <c r="J344" i="14"/>
  <c r="I345" i="14"/>
  <c r="H345" i="14"/>
  <c r="J346" i="14"/>
  <c r="I357" i="14"/>
  <c r="H357" i="14"/>
  <c r="O77" i="12"/>
  <c r="I358" i="14"/>
  <c r="P318" i="14"/>
  <c r="O78" i="12"/>
  <c r="O114" i="11"/>
  <c r="O85" i="12"/>
  <c r="N365" i="14"/>
  <c r="T365" i="14" s="1"/>
  <c r="B124" i="11"/>
  <c r="H125" i="11" s="1"/>
  <c r="H51" i="11" s="1"/>
  <c r="C51" i="11" s="1"/>
  <c r="C66" i="11"/>
  <c r="H115" i="11"/>
  <c r="G115" i="11"/>
  <c r="D115" i="11"/>
  <c r="H348" i="14"/>
  <c r="H352" i="14"/>
  <c r="E94" i="11"/>
  <c r="E77" i="11"/>
  <c r="E75" i="11"/>
  <c r="E83" i="11"/>
  <c r="E85" i="11"/>
  <c r="E79" i="11"/>
  <c r="E89" i="11"/>
  <c r="B118" i="11"/>
  <c r="H350" i="14"/>
  <c r="H354" i="14"/>
  <c r="F94" i="11"/>
  <c r="C106" i="12" s="1"/>
  <c r="F75" i="11"/>
  <c r="C87" i="12" s="1"/>
  <c r="F76" i="11"/>
  <c r="C88" i="12" s="1"/>
  <c r="F77" i="11"/>
  <c r="C89" i="12" s="1"/>
  <c r="F78" i="11"/>
  <c r="C90" i="12" s="1"/>
  <c r="F79" i="11"/>
  <c r="C91" i="12" s="1"/>
  <c r="F80" i="11"/>
  <c r="C92" i="12" s="1"/>
  <c r="F81" i="11"/>
  <c r="C93" i="12" s="1"/>
  <c r="F82" i="11"/>
  <c r="C94" i="12" s="1"/>
  <c r="F83" i="11"/>
  <c r="C95" i="12" s="1"/>
  <c r="F84" i="11"/>
  <c r="C96" i="12" s="1"/>
  <c r="F87" i="11"/>
  <c r="C99" i="12" s="1"/>
  <c r="F88" i="11"/>
  <c r="C100" i="12" s="1"/>
  <c r="F89" i="11"/>
  <c r="C101" i="12" s="1"/>
  <c r="F90" i="11"/>
  <c r="C102" i="12" s="1"/>
  <c r="F91" i="11"/>
  <c r="C103" i="12" s="1"/>
  <c r="F92" i="11"/>
  <c r="C104" i="12" s="1"/>
  <c r="F93" i="11"/>
  <c r="C105" i="12" s="1"/>
  <c r="F85" i="11"/>
  <c r="C97" i="12" s="1"/>
  <c r="F86" i="11"/>
  <c r="C98" i="12" s="1"/>
  <c r="D103" i="11" l="1"/>
  <c r="D102" i="11"/>
  <c r="D101" i="11"/>
  <c r="G103" i="11"/>
  <c r="G115" i="12" s="1"/>
  <c r="K395" i="14" s="1"/>
  <c r="G102" i="11"/>
  <c r="G114" i="12" s="1"/>
  <c r="K394" i="14" s="1"/>
  <c r="G101" i="11"/>
  <c r="G113" i="12" s="1"/>
  <c r="K393" i="14" s="1"/>
  <c r="H103" i="11"/>
  <c r="J115" i="12" s="1"/>
  <c r="N395" i="14" s="1"/>
  <c r="H102" i="11"/>
  <c r="J114" i="12" s="1"/>
  <c r="N394" i="14" s="1"/>
  <c r="H101" i="11"/>
  <c r="J113" i="12" s="1"/>
  <c r="N393" i="14" s="1"/>
  <c r="G393" i="14"/>
  <c r="E80" i="11"/>
  <c r="E103" i="11"/>
  <c r="M115" i="12" s="1"/>
  <c r="Q395" i="14" s="1"/>
  <c r="E101" i="11"/>
  <c r="M113" i="12" s="1"/>
  <c r="Q393" i="14" s="1"/>
  <c r="E102" i="11"/>
  <c r="M114" i="12" s="1"/>
  <c r="Q394" i="14" s="1"/>
  <c r="G394" i="14"/>
  <c r="U397" i="14"/>
  <c r="G392" i="14"/>
  <c r="K521" i="14"/>
  <c r="K531" i="14" s="1"/>
  <c r="G474" i="14"/>
  <c r="L493" i="14"/>
  <c r="E90" i="11"/>
  <c r="H99" i="11"/>
  <c r="J111" i="12" s="1"/>
  <c r="N391" i="14" s="1"/>
  <c r="H100" i="11"/>
  <c r="J112" i="12" s="1"/>
  <c r="N392" i="14" s="1"/>
  <c r="G100" i="11"/>
  <c r="G112" i="12" s="1"/>
  <c r="K392" i="14" s="1"/>
  <c r="G99" i="11"/>
  <c r="G111" i="12" s="1"/>
  <c r="K391" i="14" s="1"/>
  <c r="O57" i="7"/>
  <c r="F88" i="7"/>
  <c r="D88" i="7"/>
  <c r="E88" i="7"/>
  <c r="R10" i="8"/>
  <c r="H10" i="8" s="1"/>
  <c r="H8" i="10" s="1"/>
  <c r="T8" i="10" s="1"/>
  <c r="K7" i="11" s="1"/>
  <c r="R7" i="8"/>
  <c r="H7" i="8" s="1"/>
  <c r="H5" i="10" s="1"/>
  <c r="T5" i="10" s="1"/>
  <c r="K4" i="11" s="1"/>
  <c r="R11" i="8"/>
  <c r="H11" i="8" s="1"/>
  <c r="H9" i="10" s="1"/>
  <c r="T9" i="10" s="1"/>
  <c r="K8" i="11" s="1"/>
  <c r="R8" i="8"/>
  <c r="H8" i="8" s="1"/>
  <c r="H6" i="10" s="1"/>
  <c r="T6" i="10" s="1"/>
  <c r="K5" i="11" s="1"/>
  <c r="R12" i="8"/>
  <c r="H12" i="8" s="1"/>
  <c r="H10" i="10" s="1"/>
  <c r="T10" i="10" s="1"/>
  <c r="K9" i="11" s="1"/>
  <c r="R9" i="8"/>
  <c r="H9" i="8" s="1"/>
  <c r="H7" i="10" s="1"/>
  <c r="T7" i="10" s="1"/>
  <c r="K6" i="11" s="1"/>
  <c r="D301" i="14"/>
  <c r="C302" i="14"/>
  <c r="N31" i="11"/>
  <c r="BE32" i="10"/>
  <c r="AW33" i="10"/>
  <c r="L32" i="11"/>
  <c r="K44" i="12" s="1"/>
  <c r="L26" i="12"/>
  <c r="A7" i="2"/>
  <c r="Q6" i="2"/>
  <c r="AC21" i="10"/>
  <c r="AA21" i="10"/>
  <c r="G391" i="14"/>
  <c r="T9" i="8"/>
  <c r="J9" i="8" s="1"/>
  <c r="J7" i="10" s="1"/>
  <c r="V7" i="10" s="1"/>
  <c r="M6" i="11" s="1"/>
  <c r="T7" i="8"/>
  <c r="J7" i="8" s="1"/>
  <c r="J5" i="10" s="1"/>
  <c r="V5" i="10" s="1"/>
  <c r="M4" i="11" s="1"/>
  <c r="T12" i="8"/>
  <c r="J12" i="8" s="1"/>
  <c r="J10" i="10" s="1"/>
  <c r="V10" i="10" s="1"/>
  <c r="M9" i="11" s="1"/>
  <c r="T10" i="8"/>
  <c r="J10" i="8" s="1"/>
  <c r="J8" i="10" s="1"/>
  <c r="V8" i="10" s="1"/>
  <c r="M7" i="11" s="1"/>
  <c r="T8" i="8"/>
  <c r="J8" i="8" s="1"/>
  <c r="J6" i="10" s="1"/>
  <c r="V6" i="10" s="1"/>
  <c r="M5" i="11" s="1"/>
  <c r="T11" i="8"/>
  <c r="J11" i="8" s="1"/>
  <c r="J9" i="10" s="1"/>
  <c r="V9" i="10" s="1"/>
  <c r="M8" i="11" s="1"/>
  <c r="H39" i="12"/>
  <c r="L39" i="12"/>
  <c r="M315" i="14"/>
  <c r="I32" i="11"/>
  <c r="H44" i="12" s="1"/>
  <c r="AK33" i="10"/>
  <c r="O326" i="14"/>
  <c r="B33" i="11"/>
  <c r="X34" i="10"/>
  <c r="AF34" i="10"/>
  <c r="A18" i="5"/>
  <c r="Q17" i="5"/>
  <c r="O321" i="14"/>
  <c r="M310" i="14"/>
  <c r="D90" i="7"/>
  <c r="F90" i="7"/>
  <c r="E90" i="7"/>
  <c r="D83" i="7"/>
  <c r="F83" i="7"/>
  <c r="E83" i="7"/>
  <c r="L312" i="14"/>
  <c r="AC24" i="10"/>
  <c r="AA24" i="10"/>
  <c r="L306" i="14"/>
  <c r="AC30" i="10"/>
  <c r="AA30" i="10"/>
  <c r="N32" i="11"/>
  <c r="BE33" i="10"/>
  <c r="I33" i="11"/>
  <c r="H45" i="12" s="1"/>
  <c r="AK34" i="10"/>
  <c r="O66" i="7"/>
  <c r="M319" i="14"/>
  <c r="F81" i="7"/>
  <c r="D81" i="7"/>
  <c r="E81" i="7"/>
  <c r="AA28" i="10"/>
  <c r="AC28" i="10"/>
  <c r="L32" i="12"/>
  <c r="G19" i="16"/>
  <c r="G21" i="16" s="1"/>
  <c r="H19" i="16"/>
  <c r="F21" i="16"/>
  <c r="AO33" i="10"/>
  <c r="J32" i="11"/>
  <c r="I44" i="12" s="1"/>
  <c r="O310" i="14"/>
  <c r="O319" i="14"/>
  <c r="E91" i="11"/>
  <c r="M103" i="12" s="1"/>
  <c r="Q383" i="14" s="1"/>
  <c r="BG39" i="10"/>
  <c r="D86" i="7"/>
  <c r="E86" i="7"/>
  <c r="F86" i="7"/>
  <c r="K32" i="11"/>
  <c r="AS33" i="10"/>
  <c r="M33" i="11"/>
  <c r="BA34" i="10"/>
  <c r="P308" i="14"/>
  <c r="N362" i="14"/>
  <c r="T362" i="14" s="1"/>
  <c r="U363" i="14" s="1"/>
  <c r="O82" i="12"/>
  <c r="M32" i="11"/>
  <c r="BA33" i="10"/>
  <c r="J76" i="7"/>
  <c r="O76" i="7" s="1"/>
  <c r="AC69" i="5"/>
  <c r="P76" i="7" s="1"/>
  <c r="AS34" i="10"/>
  <c r="K33" i="11"/>
  <c r="AA35" i="10"/>
  <c r="AC35" i="10"/>
  <c r="M326" i="14"/>
  <c r="U400" i="14"/>
  <c r="L25" i="12"/>
  <c r="AA40" i="10"/>
  <c r="AC40" i="10"/>
  <c r="O306" i="14"/>
  <c r="I31" i="11"/>
  <c r="H43" i="12" s="1"/>
  <c r="AK32" i="10"/>
  <c r="AM39" i="10" s="1"/>
  <c r="L321" i="14"/>
  <c r="AF33" i="10"/>
  <c r="B32" i="11"/>
  <c r="H32" i="11" s="1"/>
  <c r="X33" i="10"/>
  <c r="M102" i="5"/>
  <c r="J103" i="5"/>
  <c r="N33" i="11"/>
  <c r="BE34" i="10"/>
  <c r="M300" i="14"/>
  <c r="F87" i="7"/>
  <c r="E87" i="7"/>
  <c r="D87" i="7"/>
  <c r="P7" i="8"/>
  <c r="F7" i="8" s="1"/>
  <c r="F5" i="10" s="1"/>
  <c r="R5" i="10" s="1"/>
  <c r="P10" i="8"/>
  <c r="F10" i="8" s="1"/>
  <c r="F8" i="10" s="1"/>
  <c r="R8" i="10" s="1"/>
  <c r="O16" i="8"/>
  <c r="P8" i="8"/>
  <c r="F8" i="8" s="1"/>
  <c r="F6" i="10" s="1"/>
  <c r="R6" i="10" s="1"/>
  <c r="P11" i="8"/>
  <c r="F11" i="8" s="1"/>
  <c r="F9" i="10" s="1"/>
  <c r="R9" i="10" s="1"/>
  <c r="P9" i="8"/>
  <c r="F9" i="8" s="1"/>
  <c r="F7" i="10" s="1"/>
  <c r="R7" i="10" s="1"/>
  <c r="P12" i="8"/>
  <c r="F12" i="8" s="1"/>
  <c r="F10" i="10" s="1"/>
  <c r="R10" i="10" s="1"/>
  <c r="M306" i="14"/>
  <c r="AO32" i="10"/>
  <c r="J31" i="11"/>
  <c r="I43" i="12" s="1"/>
  <c r="O68" i="7"/>
  <c r="M321" i="14"/>
  <c r="L33" i="11"/>
  <c r="K45" i="12" s="1"/>
  <c r="AW34" i="10"/>
  <c r="O331" i="14"/>
  <c r="AA14" i="10"/>
  <c r="AC14" i="10"/>
  <c r="M299" i="14"/>
  <c r="E95" i="11"/>
  <c r="M107" i="12" s="1"/>
  <c r="Q387" i="14" s="1"/>
  <c r="E99" i="11"/>
  <c r="M111" i="12" s="1"/>
  <c r="Q391" i="14" s="1"/>
  <c r="E100" i="11"/>
  <c r="M112" i="12" s="1"/>
  <c r="Q392" i="14" s="1"/>
  <c r="AA19" i="10"/>
  <c r="AC19" i="10"/>
  <c r="AQ39" i="10"/>
  <c r="O312" i="14"/>
  <c r="K31" i="11"/>
  <c r="AS32" i="10"/>
  <c r="AU39" i="10" s="1"/>
  <c r="AO34" i="10"/>
  <c r="J33" i="11"/>
  <c r="I45" i="12" s="1"/>
  <c r="AA15" i="10"/>
  <c r="AC15" i="10"/>
  <c r="M297" i="14"/>
  <c r="K520" i="14"/>
  <c r="K530" i="14" s="1"/>
  <c r="P474" i="14"/>
  <c r="E89" i="7"/>
  <c r="D89" i="7"/>
  <c r="F89" i="7"/>
  <c r="M312" i="14"/>
  <c r="M305" i="14"/>
  <c r="L31" i="11"/>
  <c r="K43" i="12" s="1"/>
  <c r="AW32" i="10"/>
  <c r="AY39" i="10" s="1"/>
  <c r="P18" i="10"/>
  <c r="D19" i="10"/>
  <c r="L46" i="12"/>
  <c r="M301" i="14"/>
  <c r="H30" i="12"/>
  <c r="L30" i="12"/>
  <c r="O305" i="14"/>
  <c r="AF32" i="10"/>
  <c r="AI39" i="10" s="1"/>
  <c r="B31" i="11"/>
  <c r="X32" i="10"/>
  <c r="O315" i="14"/>
  <c r="L331" i="14"/>
  <c r="E88" i="11"/>
  <c r="M100" i="12" s="1"/>
  <c r="Q380" i="14" s="1"/>
  <c r="D99" i="11"/>
  <c r="D100" i="11"/>
  <c r="M331" i="14"/>
  <c r="S7" i="8"/>
  <c r="I7" i="8" s="1"/>
  <c r="I5" i="10" s="1"/>
  <c r="U5" i="10" s="1"/>
  <c r="L4" i="11" s="1"/>
  <c r="K16" i="12" s="1"/>
  <c r="S11" i="8"/>
  <c r="I11" i="8" s="1"/>
  <c r="I9" i="10" s="1"/>
  <c r="U9" i="10" s="1"/>
  <c r="L8" i="11" s="1"/>
  <c r="K20" i="12" s="1"/>
  <c r="S9" i="8"/>
  <c r="I9" i="8" s="1"/>
  <c r="I7" i="10" s="1"/>
  <c r="U7" i="10" s="1"/>
  <c r="L6" i="11" s="1"/>
  <c r="K18" i="12" s="1"/>
  <c r="S12" i="8"/>
  <c r="I12" i="8" s="1"/>
  <c r="I10" i="10" s="1"/>
  <c r="U10" i="10" s="1"/>
  <c r="L9" i="11" s="1"/>
  <c r="K21" i="12" s="1"/>
  <c r="S10" i="8"/>
  <c r="I10" i="8" s="1"/>
  <c r="I8" i="10" s="1"/>
  <c r="U8" i="10" s="1"/>
  <c r="L7" i="11" s="1"/>
  <c r="K19" i="12" s="1"/>
  <c r="S8" i="8"/>
  <c r="I8" i="8" s="1"/>
  <c r="I6" i="10" s="1"/>
  <c r="U6" i="10" s="1"/>
  <c r="L5" i="11" s="1"/>
  <c r="K17" i="12" s="1"/>
  <c r="U8" i="8"/>
  <c r="K8" i="8" s="1"/>
  <c r="K6" i="10" s="1"/>
  <c r="W6" i="10" s="1"/>
  <c r="N5" i="11" s="1"/>
  <c r="U11" i="8"/>
  <c r="K11" i="8" s="1"/>
  <c r="K9" i="10" s="1"/>
  <c r="W9" i="10" s="1"/>
  <c r="N8" i="11" s="1"/>
  <c r="U9" i="8"/>
  <c r="K9" i="8" s="1"/>
  <c r="K7" i="10" s="1"/>
  <c r="W7" i="10" s="1"/>
  <c r="N6" i="11" s="1"/>
  <c r="U7" i="8"/>
  <c r="K7" i="8" s="1"/>
  <c r="K5" i="10" s="1"/>
  <c r="W5" i="10" s="1"/>
  <c r="N4" i="11" s="1"/>
  <c r="U12" i="8"/>
  <c r="K12" i="8" s="1"/>
  <c r="K10" i="10" s="1"/>
  <c r="W10" i="10" s="1"/>
  <c r="N9" i="11" s="1"/>
  <c r="U10" i="8"/>
  <c r="K10" i="8" s="1"/>
  <c r="K8" i="10" s="1"/>
  <c r="W8" i="10" s="1"/>
  <c r="N7" i="11" s="1"/>
  <c r="BU344" i="14"/>
  <c r="E300" i="14"/>
  <c r="M31" i="11"/>
  <c r="BA32" i="10"/>
  <c r="BC39" i="10" s="1"/>
  <c r="L326" i="14"/>
  <c r="A252" i="14"/>
  <c r="AB252" i="14"/>
  <c r="F253" i="14"/>
  <c r="L41" i="12"/>
  <c r="L51" i="12"/>
  <c r="M298" i="14"/>
  <c r="F303" i="14"/>
  <c r="A302" i="14"/>
  <c r="AB302" i="14"/>
  <c r="A20" i="14"/>
  <c r="F21" i="14"/>
  <c r="P522" i="14"/>
  <c r="P532" i="14" s="1"/>
  <c r="C252" i="14"/>
  <c r="D251" i="14"/>
  <c r="CZ404" i="14"/>
  <c r="DA404" i="14"/>
  <c r="DB404" i="14"/>
  <c r="F73" i="14"/>
  <c r="A72" i="14"/>
  <c r="E250" i="14"/>
  <c r="A183" i="14"/>
  <c r="AB183" i="14"/>
  <c r="F184" i="14"/>
  <c r="K519" i="14"/>
  <c r="K529" i="14" s="1"/>
  <c r="K474" i="14"/>
  <c r="P493" i="14"/>
  <c r="P519" i="14"/>
  <c r="P529" i="14" s="1"/>
  <c r="P521" i="14"/>
  <c r="P531" i="14" s="1"/>
  <c r="T366" i="14"/>
  <c r="U366" i="14" s="1"/>
  <c r="P520" i="14"/>
  <c r="P530" i="14" s="1"/>
  <c r="CI333" i="14"/>
  <c r="CH337" i="14"/>
  <c r="CH333" i="14"/>
  <c r="CH336" i="14"/>
  <c r="CI337" i="14"/>
  <c r="CI335" i="14"/>
  <c r="CH335" i="14"/>
  <c r="CH334" i="14"/>
  <c r="CI334" i="14"/>
  <c r="CI336" i="14"/>
  <c r="T359" i="14"/>
  <c r="U360" i="14" s="1"/>
  <c r="CL312" i="14"/>
  <c r="CK312" i="14"/>
  <c r="CL310" i="14"/>
  <c r="CL356" i="14" s="1"/>
  <c r="CL311" i="14"/>
  <c r="CK310" i="14"/>
  <c r="CM356" i="14" s="1"/>
  <c r="CK311" i="14"/>
  <c r="CL314" i="14"/>
  <c r="CK314" i="14"/>
  <c r="CL313" i="14"/>
  <c r="CK313" i="14"/>
  <c r="G98" i="11"/>
  <c r="G110" i="12" s="1"/>
  <c r="K390" i="14" s="1"/>
  <c r="G97" i="11"/>
  <c r="G109" i="12" s="1"/>
  <c r="K389" i="14" s="1"/>
  <c r="E81" i="11"/>
  <c r="E92" i="11"/>
  <c r="M104" i="12" s="1"/>
  <c r="Q384" i="14" s="1"/>
  <c r="E76" i="11"/>
  <c r="M88" i="12" s="1"/>
  <c r="H98" i="11"/>
  <c r="J110" i="12" s="1"/>
  <c r="N390" i="14" s="1"/>
  <c r="H97" i="11"/>
  <c r="J109" i="12" s="1"/>
  <c r="N389" i="14" s="1"/>
  <c r="Q520" i="14"/>
  <c r="Q530" i="14" s="1"/>
  <c r="E78" i="11"/>
  <c r="E87" i="11"/>
  <c r="U364" i="14"/>
  <c r="I115" i="11"/>
  <c r="O115" i="11" s="1"/>
  <c r="E84" i="11"/>
  <c r="M96" i="12" s="1"/>
  <c r="D97" i="11"/>
  <c r="D98" i="11"/>
  <c r="Q521" i="14"/>
  <c r="Q531" i="14" s="1"/>
  <c r="E98" i="11"/>
  <c r="M110" i="12" s="1"/>
  <c r="Q390" i="14" s="1"/>
  <c r="E97" i="11"/>
  <c r="M109" i="12" s="1"/>
  <c r="Q389" i="14" s="1"/>
  <c r="E93" i="11"/>
  <c r="E86" i="11"/>
  <c r="M98" i="12" s="1"/>
  <c r="E82" i="11"/>
  <c r="E96" i="11"/>
  <c r="M108" i="12" s="1"/>
  <c r="Q388" i="14" s="1"/>
  <c r="G389" i="14"/>
  <c r="G390" i="14"/>
  <c r="T357" i="14"/>
  <c r="Q519" i="14"/>
  <c r="Q529" i="14" s="1"/>
  <c r="Q474" i="14"/>
  <c r="K522" i="14"/>
  <c r="K532" i="14" s="1"/>
  <c r="Q522" i="14"/>
  <c r="Q532" i="14" s="1"/>
  <c r="U361" i="14"/>
  <c r="U362" i="14"/>
  <c r="G95" i="11"/>
  <c r="G107" i="12" s="1"/>
  <c r="K387" i="14" s="1"/>
  <c r="G96" i="11"/>
  <c r="G108" i="12" s="1"/>
  <c r="K388" i="14" s="1"/>
  <c r="U365" i="14"/>
  <c r="I521" i="14"/>
  <c r="I531" i="14" s="1"/>
  <c r="I474" i="14"/>
  <c r="I520" i="14"/>
  <c r="I530" i="14" s="1"/>
  <c r="I522" i="14"/>
  <c r="I532" i="14" s="1"/>
  <c r="I519" i="14"/>
  <c r="I529" i="14" s="1"/>
  <c r="T358" i="14"/>
  <c r="C108" i="12"/>
  <c r="D96" i="11"/>
  <c r="D95" i="11"/>
  <c r="H95" i="11"/>
  <c r="J107" i="12" s="1"/>
  <c r="N387" i="14" s="1"/>
  <c r="H96" i="11"/>
  <c r="J108" i="12" s="1"/>
  <c r="N388" i="14" s="1"/>
  <c r="J474" i="14"/>
  <c r="J520" i="14"/>
  <c r="J530" i="14" s="1"/>
  <c r="J522" i="14"/>
  <c r="J532" i="14" s="1"/>
  <c r="J519" i="14"/>
  <c r="J529" i="14" s="1"/>
  <c r="J521" i="14"/>
  <c r="J531" i="14" s="1"/>
  <c r="G387" i="14"/>
  <c r="G75" i="11"/>
  <c r="G87" i="12" s="1"/>
  <c r="G76" i="11"/>
  <c r="G88" i="12" s="1"/>
  <c r="G77" i="11"/>
  <c r="G89" i="12" s="1"/>
  <c r="G78" i="11"/>
  <c r="G90" i="12" s="1"/>
  <c r="G79" i="11"/>
  <c r="G91" i="12" s="1"/>
  <c r="G80" i="11"/>
  <c r="G92" i="12" s="1"/>
  <c r="G81" i="11"/>
  <c r="G93" i="12" s="1"/>
  <c r="G82" i="11"/>
  <c r="G94" i="12" s="1"/>
  <c r="G83" i="11"/>
  <c r="G95" i="12" s="1"/>
  <c r="G85" i="11"/>
  <c r="G97" i="12" s="1"/>
  <c r="G86" i="11"/>
  <c r="G98" i="12" s="1"/>
  <c r="G84" i="11"/>
  <c r="G96" i="12" s="1"/>
  <c r="G87" i="11"/>
  <c r="G99" i="12" s="1"/>
  <c r="G88" i="11"/>
  <c r="G100" i="12" s="1"/>
  <c r="K380" i="14" s="1"/>
  <c r="G90" i="11"/>
  <c r="G102" i="12" s="1"/>
  <c r="K382" i="14" s="1"/>
  <c r="G91" i="11"/>
  <c r="G103" i="12" s="1"/>
  <c r="K383" i="14" s="1"/>
  <c r="G93" i="11"/>
  <c r="G105" i="12" s="1"/>
  <c r="K385" i="14" s="1"/>
  <c r="G94" i="11"/>
  <c r="G106" i="12" s="1"/>
  <c r="K386" i="14" s="1"/>
  <c r="G92" i="11"/>
  <c r="G104" i="12" s="1"/>
  <c r="K384" i="14" s="1"/>
  <c r="G89" i="11"/>
  <c r="G101" i="12" s="1"/>
  <c r="K381" i="14" s="1"/>
  <c r="D94" i="11"/>
  <c r="F106" i="12" s="1"/>
  <c r="J386" i="14" s="1"/>
  <c r="D78" i="11"/>
  <c r="D82" i="11"/>
  <c r="D84" i="11"/>
  <c r="D90" i="11"/>
  <c r="D77" i="11"/>
  <c r="D89" i="12" s="1"/>
  <c r="D86" i="11"/>
  <c r="D93" i="11"/>
  <c r="D79" i="11"/>
  <c r="D91" i="12" s="1"/>
  <c r="D87" i="11"/>
  <c r="D76" i="11"/>
  <c r="D80" i="11"/>
  <c r="E92" i="12" s="1"/>
  <c r="D85" i="11"/>
  <c r="F97" i="12" s="1"/>
  <c r="D88" i="11"/>
  <c r="D92" i="11"/>
  <c r="D81" i="11"/>
  <c r="D89" i="11"/>
  <c r="E101" i="12" s="1"/>
  <c r="I381" i="14" s="1"/>
  <c r="D75" i="11"/>
  <c r="D87" i="12" s="1"/>
  <c r="D83" i="11"/>
  <c r="D95" i="12" s="1"/>
  <c r="D91" i="11"/>
  <c r="F103" i="12" s="1"/>
  <c r="J383" i="14" s="1"/>
  <c r="H75" i="11"/>
  <c r="J87" i="12" s="1"/>
  <c r="H77" i="11"/>
  <c r="J89" i="12" s="1"/>
  <c r="H79" i="11"/>
  <c r="J91" i="12" s="1"/>
  <c r="H82" i="11"/>
  <c r="J94" i="12" s="1"/>
  <c r="H84" i="11"/>
  <c r="J96" i="12" s="1"/>
  <c r="H87" i="11"/>
  <c r="J99" i="12" s="1"/>
  <c r="H89" i="11"/>
  <c r="J101" i="12" s="1"/>
  <c r="N381" i="14" s="1"/>
  <c r="H90" i="11"/>
  <c r="J102" i="12" s="1"/>
  <c r="N382" i="14" s="1"/>
  <c r="H92" i="11"/>
  <c r="J104" i="12" s="1"/>
  <c r="N384" i="14" s="1"/>
  <c r="H86" i="11"/>
  <c r="J98" i="12" s="1"/>
  <c r="H94" i="11"/>
  <c r="J106" i="12" s="1"/>
  <c r="N386" i="14" s="1"/>
  <c r="H76" i="11"/>
  <c r="J88" i="12" s="1"/>
  <c r="H78" i="11"/>
  <c r="J90" i="12" s="1"/>
  <c r="H80" i="11"/>
  <c r="J92" i="12" s="1"/>
  <c r="H81" i="11"/>
  <c r="J93" i="12" s="1"/>
  <c r="H83" i="11"/>
  <c r="J95" i="12" s="1"/>
  <c r="H85" i="11"/>
  <c r="J97" i="12" s="1"/>
  <c r="H88" i="11"/>
  <c r="J100" i="12" s="1"/>
  <c r="N380" i="14" s="1"/>
  <c r="H91" i="11"/>
  <c r="J103" i="12" s="1"/>
  <c r="N383" i="14" s="1"/>
  <c r="H93" i="11"/>
  <c r="J105" i="12" s="1"/>
  <c r="N385" i="14" s="1"/>
  <c r="H7" i="11"/>
  <c r="H13" i="11"/>
  <c r="H21" i="11"/>
  <c r="H14" i="11"/>
  <c r="H22" i="11"/>
  <c r="H30" i="11"/>
  <c r="H38" i="11"/>
  <c r="H29" i="11"/>
  <c r="H37" i="11"/>
  <c r="H44" i="11"/>
  <c r="H52" i="11"/>
  <c r="H57" i="11"/>
  <c r="H61" i="11"/>
  <c r="H45" i="11"/>
  <c r="H53" i="11"/>
  <c r="H6" i="11"/>
  <c r="H11" i="11"/>
  <c r="H19" i="11"/>
  <c r="H12" i="11"/>
  <c r="H20" i="11"/>
  <c r="H28" i="11"/>
  <c r="H36" i="11"/>
  <c r="H27" i="11"/>
  <c r="H35" i="11"/>
  <c r="H43" i="11"/>
  <c r="H50" i="11"/>
  <c r="H56" i="11"/>
  <c r="H60" i="11"/>
  <c r="H64" i="11"/>
  <c r="H4" i="11"/>
  <c r="H5" i="11"/>
  <c r="H9" i="11"/>
  <c r="H17" i="11"/>
  <c r="H25" i="11"/>
  <c r="H18" i="11"/>
  <c r="H26" i="11"/>
  <c r="H34" i="11"/>
  <c r="H41" i="11"/>
  <c r="H33" i="11"/>
  <c r="H42" i="11"/>
  <c r="H48" i="11"/>
  <c r="H55" i="11"/>
  <c r="H59" i="11"/>
  <c r="H63" i="11"/>
  <c r="H49" i="11"/>
  <c r="H10" i="11"/>
  <c r="H8" i="11"/>
  <c r="H15" i="11"/>
  <c r="H23" i="11"/>
  <c r="H16" i="11"/>
  <c r="H24" i="11"/>
  <c r="H40" i="11"/>
  <c r="H31" i="11"/>
  <c r="H39" i="11"/>
  <c r="H46" i="11"/>
  <c r="H54" i="11"/>
  <c r="H58" i="11"/>
  <c r="H62" i="11"/>
  <c r="H47" i="11"/>
  <c r="G378" i="14"/>
  <c r="G385" i="14"/>
  <c r="G383" i="14"/>
  <c r="G381" i="14"/>
  <c r="G379" i="14"/>
  <c r="G375" i="14"/>
  <c r="G373" i="14"/>
  <c r="G371" i="14"/>
  <c r="G369" i="14"/>
  <c r="G367" i="14"/>
  <c r="E119" i="11"/>
  <c r="G119" i="11"/>
  <c r="F119" i="11"/>
  <c r="D119" i="11"/>
  <c r="M105" i="12"/>
  <c r="Q385" i="14" s="1"/>
  <c r="M101" i="12"/>
  <c r="Q381" i="14" s="1"/>
  <c r="M92" i="12"/>
  <c r="M90" i="12"/>
  <c r="M95" i="12"/>
  <c r="M102" i="12"/>
  <c r="Q382" i="14" s="1"/>
  <c r="M99" i="12"/>
  <c r="M94" i="12"/>
  <c r="M89" i="12"/>
  <c r="M106" i="12"/>
  <c r="Q386" i="14" s="1"/>
  <c r="H519" i="14"/>
  <c r="H529" i="14" s="1"/>
  <c r="H522" i="14"/>
  <c r="H532" i="14" s="1"/>
  <c r="H520" i="14"/>
  <c r="H530" i="14" s="1"/>
  <c r="G377" i="14"/>
  <c r="G384" i="14"/>
  <c r="G382" i="14"/>
  <c r="G380" i="14"/>
  <c r="G376" i="14"/>
  <c r="G374" i="14"/>
  <c r="G372" i="14"/>
  <c r="G370" i="14"/>
  <c r="G368" i="14"/>
  <c r="G386" i="14"/>
  <c r="O51" i="11"/>
  <c r="P63" i="12" s="1"/>
  <c r="J63" i="12"/>
  <c r="D103" i="12"/>
  <c r="H383" i="14" s="1"/>
  <c r="M93" i="12"/>
  <c r="M91" i="12"/>
  <c r="F91" i="12"/>
  <c r="M97" i="12"/>
  <c r="M87" i="12"/>
  <c r="H474" i="14"/>
  <c r="H521" i="14"/>
  <c r="H531" i="14" s="1"/>
  <c r="D96" i="12" l="1"/>
  <c r="D100" i="12"/>
  <c r="H380" i="14" s="1"/>
  <c r="F88" i="12"/>
  <c r="E105" i="12"/>
  <c r="I385" i="14" s="1"/>
  <c r="F87" i="12"/>
  <c r="D90" i="12"/>
  <c r="F113" i="12"/>
  <c r="J393" i="14" s="1"/>
  <c r="O101" i="11"/>
  <c r="P113" i="12" s="1"/>
  <c r="D113" i="12"/>
  <c r="E113" i="12"/>
  <c r="I393" i="14" s="1"/>
  <c r="D114" i="12"/>
  <c r="E114" i="12"/>
  <c r="I394" i="14" s="1"/>
  <c r="F114" i="12"/>
  <c r="J394" i="14" s="1"/>
  <c r="O102" i="11"/>
  <c r="P114" i="12" s="1"/>
  <c r="E115" i="12"/>
  <c r="I395" i="14" s="1"/>
  <c r="F115" i="12"/>
  <c r="J395" i="14" s="1"/>
  <c r="D115" i="12"/>
  <c r="O103" i="11"/>
  <c r="P115" i="12" s="1"/>
  <c r="F112" i="12"/>
  <c r="J392" i="14" s="1"/>
  <c r="D112" i="12"/>
  <c r="E112" i="12"/>
  <c r="I392" i="14" s="1"/>
  <c r="L45" i="12"/>
  <c r="P325" i="14" s="1"/>
  <c r="E106" i="12"/>
  <c r="I386" i="14" s="1"/>
  <c r="E102" i="12"/>
  <c r="O88" i="11"/>
  <c r="P100" i="12" s="1"/>
  <c r="D93" i="12"/>
  <c r="F100" i="12"/>
  <c r="J380" i="14" s="1"/>
  <c r="E94" i="12"/>
  <c r="F102" i="12"/>
  <c r="J382" i="14" s="1"/>
  <c r="L44" i="12"/>
  <c r="P324" i="14" s="1"/>
  <c r="E93" i="12"/>
  <c r="E96" i="12"/>
  <c r="F96" i="12"/>
  <c r="D101" i="12"/>
  <c r="H381" i="14" s="1"/>
  <c r="O80" i="11"/>
  <c r="P92" i="12" s="1"/>
  <c r="O323" i="14"/>
  <c r="P305" i="14"/>
  <c r="A19" i="5"/>
  <c r="Q18" i="5"/>
  <c r="P319" i="14"/>
  <c r="L319" i="14"/>
  <c r="X10" i="10"/>
  <c r="I9" i="11"/>
  <c r="AA34" i="10"/>
  <c r="AC34" i="10"/>
  <c r="C303" i="14"/>
  <c r="D302" i="14"/>
  <c r="E89" i="12"/>
  <c r="A253" i="14"/>
  <c r="AB253" i="14"/>
  <c r="F254" i="14"/>
  <c r="AC32" i="10"/>
  <c r="AA32" i="10"/>
  <c r="X7" i="10"/>
  <c r="I6" i="11"/>
  <c r="H18" i="12" s="1"/>
  <c r="BU343" i="14"/>
  <c r="E301" i="14"/>
  <c r="E103" i="12"/>
  <c r="I383" i="14" s="1"/>
  <c r="O325" i="14"/>
  <c r="I8" i="11"/>
  <c r="H20" i="12" s="1"/>
  <c r="X9" i="10"/>
  <c r="O100" i="11"/>
  <c r="P112" i="12" s="1"/>
  <c r="X6" i="10"/>
  <c r="I5" i="11"/>
  <c r="H17" i="12" s="1"/>
  <c r="P312" i="14"/>
  <c r="L325" i="14"/>
  <c r="O99" i="11"/>
  <c r="P111" i="12" s="1"/>
  <c r="D111" i="12"/>
  <c r="E111" i="12"/>
  <c r="I391" i="14" s="1"/>
  <c r="F111" i="12"/>
  <c r="J391" i="14" s="1"/>
  <c r="M325" i="14"/>
  <c r="L323" i="14"/>
  <c r="Q7" i="2"/>
  <c r="A8" i="2"/>
  <c r="D97" i="12"/>
  <c r="H377" i="14" s="1"/>
  <c r="EA377" i="14" s="1"/>
  <c r="O297" i="14"/>
  <c r="P326" i="14"/>
  <c r="X8" i="10"/>
  <c r="I7" i="11"/>
  <c r="H19" i="12" s="1"/>
  <c r="P306" i="14"/>
  <c r="O299" i="14"/>
  <c r="X5" i="10"/>
  <c r="I4" i="11"/>
  <c r="H16" i="12" s="1"/>
  <c r="AD73" i="5"/>
  <c r="L324" i="14"/>
  <c r="O324" i="14"/>
  <c r="P331" i="14"/>
  <c r="O301" i="14"/>
  <c r="P310" i="14"/>
  <c r="P19" i="10"/>
  <c r="D20" i="10"/>
  <c r="M438" i="14"/>
  <c r="M323" i="14"/>
  <c r="J84" i="5"/>
  <c r="J75" i="5"/>
  <c r="J74" i="5"/>
  <c r="J79" i="5"/>
  <c r="J76" i="5"/>
  <c r="J81" i="5"/>
  <c r="J80" i="5"/>
  <c r="J85" i="5"/>
  <c r="J78" i="5"/>
  <c r="J82" i="5"/>
  <c r="J77" i="5"/>
  <c r="J83" i="5"/>
  <c r="M103" i="5"/>
  <c r="L43" i="12"/>
  <c r="O298" i="14"/>
  <c r="L310" i="14"/>
  <c r="P321" i="14"/>
  <c r="O300" i="14"/>
  <c r="AA33" i="10"/>
  <c r="AC33" i="10"/>
  <c r="M324" i="14"/>
  <c r="F74" i="14"/>
  <c r="A73" i="14"/>
  <c r="A21" i="14"/>
  <c r="F22" i="14"/>
  <c r="E251" i="14"/>
  <c r="F185" i="14"/>
  <c r="AB184" i="14"/>
  <c r="A184" i="14"/>
  <c r="D252" i="14"/>
  <c r="C253" i="14"/>
  <c r="A303" i="14"/>
  <c r="F304" i="14"/>
  <c r="AB303" i="14"/>
  <c r="D99" i="12"/>
  <c r="H379" i="14" s="1"/>
  <c r="D110" i="12"/>
  <c r="E110" i="12"/>
  <c r="I390" i="14" s="1"/>
  <c r="F110" i="12"/>
  <c r="J390" i="14" s="1"/>
  <c r="O98" i="11"/>
  <c r="P110" i="12" s="1"/>
  <c r="E87" i="12"/>
  <c r="F92" i="12"/>
  <c r="J372" i="14" s="1"/>
  <c r="D109" i="12"/>
  <c r="E109" i="12"/>
  <c r="I389" i="14" s="1"/>
  <c r="F109" i="12"/>
  <c r="J389" i="14" s="1"/>
  <c r="O97" i="11"/>
  <c r="P109" i="12" s="1"/>
  <c r="D104" i="12"/>
  <c r="H384" i="14" s="1"/>
  <c r="F98" i="12"/>
  <c r="O98" i="12" s="1"/>
  <c r="O77" i="11"/>
  <c r="P89" i="12" s="1"/>
  <c r="E104" i="12"/>
  <c r="I384" i="14" s="1"/>
  <c r="F99" i="12"/>
  <c r="J379" i="14" s="1"/>
  <c r="E90" i="12"/>
  <c r="F105" i="12"/>
  <c r="J385" i="14" s="1"/>
  <c r="O81" i="11"/>
  <c r="P93" i="12" s="1"/>
  <c r="O87" i="11"/>
  <c r="P99" i="12" s="1"/>
  <c r="F90" i="12"/>
  <c r="D105" i="12"/>
  <c r="H385" i="14" s="1"/>
  <c r="E100" i="12"/>
  <c r="I380" i="14" s="1"/>
  <c r="F93" i="12"/>
  <c r="O91" i="11"/>
  <c r="P103" i="12" s="1"/>
  <c r="F89" i="12"/>
  <c r="J369" i="14" s="1"/>
  <c r="E99" i="12"/>
  <c r="I379" i="14" s="1"/>
  <c r="O83" i="11"/>
  <c r="P95" i="12" s="1"/>
  <c r="O86" i="11"/>
  <c r="P98" i="12" s="1"/>
  <c r="D92" i="12"/>
  <c r="O93" i="11"/>
  <c r="P105" i="12" s="1"/>
  <c r="O76" i="11"/>
  <c r="P88" i="12" s="1"/>
  <c r="O82" i="11"/>
  <c r="P94" i="12" s="1"/>
  <c r="E88" i="12"/>
  <c r="F104" i="12"/>
  <c r="J384" i="14" s="1"/>
  <c r="O85" i="11"/>
  <c r="P97" i="12" s="1"/>
  <c r="O79" i="11"/>
  <c r="P91" i="12" s="1"/>
  <c r="O94" i="11"/>
  <c r="P106" i="12" s="1"/>
  <c r="D94" i="12"/>
  <c r="D102" i="12"/>
  <c r="H382" i="14" s="1"/>
  <c r="F95" i="12"/>
  <c r="J375" i="14" s="1"/>
  <c r="E98" i="12"/>
  <c r="F101" i="12"/>
  <c r="J381" i="14" s="1"/>
  <c r="T381" i="14" s="1"/>
  <c r="I382" i="14"/>
  <c r="D88" i="12"/>
  <c r="O75" i="11"/>
  <c r="P87" i="12" s="1"/>
  <c r="O84" i="11"/>
  <c r="P96" i="12" s="1"/>
  <c r="O92" i="11"/>
  <c r="P104" i="12" s="1"/>
  <c r="E97" i="12"/>
  <c r="I377" i="14" s="1"/>
  <c r="E91" i="12"/>
  <c r="I371" i="14" s="1"/>
  <c r="D106" i="12"/>
  <c r="F94" i="12"/>
  <c r="O90" i="11"/>
  <c r="P102" i="12" s="1"/>
  <c r="E95" i="12"/>
  <c r="D98" i="12"/>
  <c r="O78" i="11"/>
  <c r="P90" i="12" s="1"/>
  <c r="O89" i="11"/>
  <c r="P101" i="12" s="1"/>
  <c r="D108" i="12"/>
  <c r="H388" i="14" s="1"/>
  <c r="F108" i="12"/>
  <c r="J388" i="14" s="1"/>
  <c r="E108" i="12"/>
  <c r="I388" i="14" s="1"/>
  <c r="O96" i="11"/>
  <c r="P108" i="12" s="1"/>
  <c r="T519" i="14"/>
  <c r="T529" i="14" s="1"/>
  <c r="T522" i="14"/>
  <c r="T532" i="14" s="1"/>
  <c r="T521" i="14"/>
  <c r="T531" i="14" s="1"/>
  <c r="O95" i="11"/>
  <c r="P107" i="12" s="1"/>
  <c r="F107" i="12"/>
  <c r="J387" i="14" s="1"/>
  <c r="D107" i="12"/>
  <c r="E107" i="12"/>
  <c r="I387" i="14" s="1"/>
  <c r="G388" i="14"/>
  <c r="U358" i="14"/>
  <c r="U359" i="14"/>
  <c r="T493" i="14"/>
  <c r="AB494" i="14" s="1"/>
  <c r="V366" i="14"/>
  <c r="T520" i="14"/>
  <c r="T530" i="14" s="1"/>
  <c r="O47" i="11"/>
  <c r="P59" i="12" s="1"/>
  <c r="J59" i="12"/>
  <c r="C47" i="11"/>
  <c r="O58" i="11"/>
  <c r="P70" i="12" s="1"/>
  <c r="J70" i="12"/>
  <c r="C58" i="11"/>
  <c r="O46" i="11"/>
  <c r="P58" i="12" s="1"/>
  <c r="J58" i="12"/>
  <c r="C46" i="11"/>
  <c r="J43" i="12"/>
  <c r="C31" i="11"/>
  <c r="J44" i="12"/>
  <c r="C32" i="11"/>
  <c r="J28" i="12"/>
  <c r="C16" i="11"/>
  <c r="J27" i="12"/>
  <c r="C15" i="11"/>
  <c r="J22" i="12"/>
  <c r="C10" i="11"/>
  <c r="O63" i="11"/>
  <c r="P75" i="12" s="1"/>
  <c r="J75" i="12"/>
  <c r="C63" i="11"/>
  <c r="O55" i="11"/>
  <c r="P67" i="12" s="1"/>
  <c r="J67" i="12"/>
  <c r="C55" i="11"/>
  <c r="C42" i="11"/>
  <c r="J54" i="12"/>
  <c r="C41" i="11"/>
  <c r="J53" i="12"/>
  <c r="C26" i="11"/>
  <c r="J38" i="12"/>
  <c r="C25" i="11"/>
  <c r="J37" i="12"/>
  <c r="C9" i="11"/>
  <c r="J21" i="12"/>
  <c r="C4" i="11"/>
  <c r="J16" i="12"/>
  <c r="J72" i="12"/>
  <c r="O60" i="11"/>
  <c r="P72" i="12" s="1"/>
  <c r="C60" i="11"/>
  <c r="J62" i="12"/>
  <c r="O50" i="11"/>
  <c r="P62" i="12" s="1"/>
  <c r="C50" i="11"/>
  <c r="J47" i="12"/>
  <c r="C35" i="11"/>
  <c r="J48" i="12"/>
  <c r="C36" i="11"/>
  <c r="J32" i="12"/>
  <c r="C20" i="11"/>
  <c r="J31" i="12"/>
  <c r="C19" i="11"/>
  <c r="J18" i="12"/>
  <c r="C6" i="11"/>
  <c r="J57" i="12"/>
  <c r="O45" i="11"/>
  <c r="P57" i="12" s="1"/>
  <c r="C45" i="11"/>
  <c r="J69" i="12"/>
  <c r="O57" i="11"/>
  <c r="P69" i="12" s="1"/>
  <c r="C57" i="11"/>
  <c r="J56" i="12"/>
  <c r="C44" i="11"/>
  <c r="J41" i="12"/>
  <c r="C29" i="11"/>
  <c r="J42" i="12"/>
  <c r="C30" i="11"/>
  <c r="J26" i="12"/>
  <c r="C14" i="11"/>
  <c r="J25" i="12"/>
  <c r="C13" i="11"/>
  <c r="N377" i="14"/>
  <c r="N373" i="14"/>
  <c r="N370" i="14"/>
  <c r="N376" i="14"/>
  <c r="N371" i="14"/>
  <c r="N367" i="14"/>
  <c r="K517" i="14"/>
  <c r="K376" i="14"/>
  <c r="K377" i="14"/>
  <c r="K374" i="14"/>
  <c r="K372" i="14"/>
  <c r="K370" i="14"/>
  <c r="K368" i="14"/>
  <c r="O93" i="12"/>
  <c r="J74" i="12"/>
  <c r="O62" i="11"/>
  <c r="P74" i="12" s="1"/>
  <c r="C62" i="11"/>
  <c r="J66" i="12"/>
  <c r="C54" i="11"/>
  <c r="O54" i="11"/>
  <c r="P66" i="12" s="1"/>
  <c r="J51" i="12"/>
  <c r="C39" i="11"/>
  <c r="J52" i="12"/>
  <c r="C40" i="11"/>
  <c r="J36" i="12"/>
  <c r="C24" i="11"/>
  <c r="J35" i="12"/>
  <c r="C23" i="11"/>
  <c r="J20" i="12"/>
  <c r="C8" i="11"/>
  <c r="J61" i="12"/>
  <c r="C49" i="11"/>
  <c r="O49" i="11"/>
  <c r="P61" i="12" s="1"/>
  <c r="J71" i="12"/>
  <c r="C59" i="11"/>
  <c r="O59" i="11"/>
  <c r="P71" i="12" s="1"/>
  <c r="J60" i="12"/>
  <c r="C48" i="11"/>
  <c r="O48" i="11"/>
  <c r="P60" i="12" s="1"/>
  <c r="C33" i="11"/>
  <c r="J45" i="12"/>
  <c r="C34" i="11"/>
  <c r="J46" i="12"/>
  <c r="C18" i="11"/>
  <c r="J30" i="12"/>
  <c r="C17" i="11"/>
  <c r="J29" i="12"/>
  <c r="C5" i="11"/>
  <c r="J17" i="12"/>
  <c r="J76" i="12"/>
  <c r="O64" i="11"/>
  <c r="P76" i="12" s="1"/>
  <c r="C64" i="11"/>
  <c r="J68" i="12"/>
  <c r="O56" i="11"/>
  <c r="P68" i="12" s="1"/>
  <c r="C56" i="11"/>
  <c r="J55" i="12"/>
  <c r="C43" i="11"/>
  <c r="J39" i="12"/>
  <c r="C27" i="11"/>
  <c r="J40" i="12"/>
  <c r="C28" i="11"/>
  <c r="J24" i="12"/>
  <c r="C12" i="11"/>
  <c r="J23" i="12"/>
  <c r="C11" i="11"/>
  <c r="J65" i="12"/>
  <c r="O53" i="11"/>
  <c r="P65" i="12" s="1"/>
  <c r="C53" i="11"/>
  <c r="J73" i="12"/>
  <c r="O61" i="11"/>
  <c r="P73" i="12" s="1"/>
  <c r="C61" i="11"/>
  <c r="J64" i="12"/>
  <c r="O52" i="11"/>
  <c r="P64" i="12" s="1"/>
  <c r="C52" i="11"/>
  <c r="J49" i="12"/>
  <c r="C37" i="11"/>
  <c r="J50" i="12"/>
  <c r="C38" i="11"/>
  <c r="J34" i="12"/>
  <c r="C22" i="11"/>
  <c r="J33" i="12"/>
  <c r="C21" i="11"/>
  <c r="J19" i="12"/>
  <c r="C7" i="11"/>
  <c r="N517" i="14"/>
  <c r="N375" i="14"/>
  <c r="N372" i="14"/>
  <c r="N368" i="14"/>
  <c r="N378" i="14"/>
  <c r="N379" i="14"/>
  <c r="N374" i="14"/>
  <c r="N369" i="14"/>
  <c r="K379" i="14"/>
  <c r="K378" i="14"/>
  <c r="K375" i="14"/>
  <c r="K373" i="14"/>
  <c r="K371" i="14"/>
  <c r="K369" i="14"/>
  <c r="K367" i="14"/>
  <c r="J368" i="14"/>
  <c r="I367" i="14"/>
  <c r="H367" i="14"/>
  <c r="Q367" i="14"/>
  <c r="H376" i="14"/>
  <c r="EA376" i="14" s="1"/>
  <c r="J376" i="14"/>
  <c r="Q517" i="14"/>
  <c r="Q377" i="14"/>
  <c r="J371" i="14"/>
  <c r="J373" i="14"/>
  <c r="Q373" i="14"/>
  <c r="I369" i="14"/>
  <c r="H369" i="14"/>
  <c r="EA369" i="14" s="1"/>
  <c r="Q374" i="14"/>
  <c r="I375" i="14"/>
  <c r="H375" i="14"/>
  <c r="EA375" i="14" s="1"/>
  <c r="H378" i="14"/>
  <c r="EA378" i="14" s="1"/>
  <c r="Q378" i="14"/>
  <c r="Q370" i="14"/>
  <c r="I372" i="14"/>
  <c r="D44" i="11"/>
  <c r="D38" i="11"/>
  <c r="D25" i="11"/>
  <c r="D40" i="11"/>
  <c r="D39" i="11"/>
  <c r="D43" i="11"/>
  <c r="D21" i="11"/>
  <c r="D31" i="11"/>
  <c r="D34" i="11"/>
  <c r="D18" i="11"/>
  <c r="D9" i="11"/>
  <c r="D41" i="11"/>
  <c r="D15" i="11"/>
  <c r="D29" i="11"/>
  <c r="D22" i="11"/>
  <c r="D13" i="11"/>
  <c r="D23" i="11"/>
  <c r="D24" i="11"/>
  <c r="D33" i="11"/>
  <c r="D19" i="11"/>
  <c r="D4" i="11"/>
  <c r="D42" i="11"/>
  <c r="D36" i="11"/>
  <c r="D10" i="11"/>
  <c r="D30" i="11"/>
  <c r="D20" i="11"/>
  <c r="D26" i="11"/>
  <c r="D32" i="11"/>
  <c r="D27" i="11"/>
  <c r="D7" i="11"/>
  <c r="D12" i="11"/>
  <c r="D37" i="11"/>
  <c r="D35" i="11"/>
  <c r="D5" i="11"/>
  <c r="D14" i="11"/>
  <c r="D17" i="11"/>
  <c r="D28" i="11"/>
  <c r="D11" i="11"/>
  <c r="D16" i="11"/>
  <c r="D6" i="11"/>
  <c r="D8" i="11"/>
  <c r="G40" i="11"/>
  <c r="G52" i="12" s="1"/>
  <c r="G30" i="11"/>
  <c r="G42" i="12" s="1"/>
  <c r="G39" i="11"/>
  <c r="G51" i="12" s="1"/>
  <c r="G43" i="11"/>
  <c r="G55" i="12" s="1"/>
  <c r="G37" i="11"/>
  <c r="G49" i="12" s="1"/>
  <c r="G41" i="11"/>
  <c r="G53" i="12" s="1"/>
  <c r="G35" i="11"/>
  <c r="G47" i="12" s="1"/>
  <c r="G20" i="11"/>
  <c r="G32" i="12" s="1"/>
  <c r="G15" i="11"/>
  <c r="G27" i="12" s="1"/>
  <c r="G10" i="11"/>
  <c r="G22" i="12" s="1"/>
  <c r="G5" i="11"/>
  <c r="G17" i="12" s="1"/>
  <c r="G4" i="11"/>
  <c r="G16" i="12" s="1"/>
  <c r="G44" i="11"/>
  <c r="G56" i="12" s="1"/>
  <c r="G38" i="11"/>
  <c r="G50" i="12" s="1"/>
  <c r="G36" i="11"/>
  <c r="G48" i="12" s="1"/>
  <c r="G25" i="11"/>
  <c r="G37" i="12" s="1"/>
  <c r="G29" i="11"/>
  <c r="G41" i="12" s="1"/>
  <c r="G14" i="11"/>
  <c r="G26" i="12" s="1"/>
  <c r="G22" i="11"/>
  <c r="G34" i="12" s="1"/>
  <c r="G17" i="11"/>
  <c r="G29" i="12" s="1"/>
  <c r="G13" i="11"/>
  <c r="G25" i="12" s="1"/>
  <c r="G28" i="11"/>
  <c r="G40" i="12" s="1"/>
  <c r="G23" i="11"/>
  <c r="G35" i="12" s="1"/>
  <c r="G19" i="11"/>
  <c r="G31" i="12" s="1"/>
  <c r="G11" i="11"/>
  <c r="G23" i="12" s="1"/>
  <c r="G7" i="11"/>
  <c r="G19" i="12" s="1"/>
  <c r="G24" i="11"/>
  <c r="G36" i="12" s="1"/>
  <c r="G16" i="11"/>
  <c r="G28" i="12" s="1"/>
  <c r="G33" i="11"/>
  <c r="G45" i="12" s="1"/>
  <c r="G9" i="11"/>
  <c r="G21" i="12" s="1"/>
  <c r="G42" i="11"/>
  <c r="G54" i="12" s="1"/>
  <c r="G26" i="11"/>
  <c r="G38" i="12" s="1"/>
  <c r="G21" i="11"/>
  <c r="G33" i="12" s="1"/>
  <c r="G32" i="11"/>
  <c r="G44" i="12" s="1"/>
  <c r="G31" i="11"/>
  <c r="G43" i="12" s="1"/>
  <c r="G27" i="11"/>
  <c r="G39" i="12" s="1"/>
  <c r="G8" i="11"/>
  <c r="G20" i="12" s="1"/>
  <c r="G18" i="11"/>
  <c r="G30" i="12" s="1"/>
  <c r="G12" i="11"/>
  <c r="G24" i="12" s="1"/>
  <c r="G34" i="11"/>
  <c r="G46" i="12" s="1"/>
  <c r="G6" i="11"/>
  <c r="G18" i="12" s="1"/>
  <c r="O87" i="12"/>
  <c r="O89" i="12"/>
  <c r="T383" i="14"/>
  <c r="H368" i="14"/>
  <c r="EA368" i="14" s="1"/>
  <c r="Q368" i="14"/>
  <c r="J367" i="14"/>
  <c r="I376" i="14"/>
  <c r="Q376" i="14"/>
  <c r="J377" i="14"/>
  <c r="H371" i="14"/>
  <c r="EA371" i="14" s="1"/>
  <c r="Q371" i="14"/>
  <c r="I373" i="14"/>
  <c r="H373" i="14"/>
  <c r="EA373" i="14" s="1"/>
  <c r="O63" i="12"/>
  <c r="N343" i="14"/>
  <c r="O96" i="12"/>
  <c r="Q369" i="14"/>
  <c r="I374" i="14"/>
  <c r="Q379" i="14"/>
  <c r="Q375" i="14"/>
  <c r="I378" i="14"/>
  <c r="H370" i="14"/>
  <c r="EA370" i="14" s="1"/>
  <c r="J370" i="14"/>
  <c r="Q372" i="14"/>
  <c r="F6" i="11"/>
  <c r="F9" i="11"/>
  <c r="C21" i="12" s="1"/>
  <c r="F15" i="11"/>
  <c r="C27" i="12" s="1"/>
  <c r="F17" i="11"/>
  <c r="C29" i="12" s="1"/>
  <c r="F18" i="11"/>
  <c r="C30" i="12" s="1"/>
  <c r="F24" i="11"/>
  <c r="C36" i="12" s="1"/>
  <c r="F33" i="11"/>
  <c r="C45" i="12" s="1"/>
  <c r="F5" i="11"/>
  <c r="F13" i="11"/>
  <c r="C25" i="12" s="1"/>
  <c r="F25" i="11"/>
  <c r="C37" i="12" s="1"/>
  <c r="F16" i="11"/>
  <c r="C28" i="12" s="1"/>
  <c r="F22" i="11"/>
  <c r="C34" i="12" s="1"/>
  <c r="F36" i="11"/>
  <c r="C48" i="12" s="1"/>
  <c r="F40" i="11"/>
  <c r="C52" i="12" s="1"/>
  <c r="F31" i="11"/>
  <c r="C43" i="12" s="1"/>
  <c r="F37" i="11"/>
  <c r="C49" i="12" s="1"/>
  <c r="F42" i="11"/>
  <c r="C54" i="12" s="1"/>
  <c r="F44" i="11"/>
  <c r="C56" i="12" s="1"/>
  <c r="F19" i="11"/>
  <c r="C31" i="12" s="1"/>
  <c r="F23" i="11"/>
  <c r="C35" i="12" s="1"/>
  <c r="F27" i="11"/>
  <c r="C39" i="12" s="1"/>
  <c r="F32" i="11"/>
  <c r="C44" i="12" s="1"/>
  <c r="F28" i="11"/>
  <c r="C40" i="12" s="1"/>
  <c r="F29" i="11"/>
  <c r="C41" i="12" s="1"/>
  <c r="F34" i="11"/>
  <c r="C46" i="12" s="1"/>
  <c r="F21" i="11"/>
  <c r="C33" i="12" s="1"/>
  <c r="F7" i="11"/>
  <c r="C19" i="12" s="1"/>
  <c r="F10" i="11"/>
  <c r="C22" i="12" s="1"/>
  <c r="F8" i="11"/>
  <c r="F12" i="11"/>
  <c r="C24" i="12" s="1"/>
  <c r="F20" i="11"/>
  <c r="C32" i="12" s="1"/>
  <c r="F30" i="11"/>
  <c r="C42" i="12" s="1"/>
  <c r="F38" i="11"/>
  <c r="C50" i="12" s="1"/>
  <c r="F41" i="11"/>
  <c r="C53" i="12" s="1"/>
  <c r="F35" i="11"/>
  <c r="C47" i="12" s="1"/>
  <c r="F39" i="11"/>
  <c r="C51" i="12" s="1"/>
  <c r="F43" i="11"/>
  <c r="C55" i="12" s="1"/>
  <c r="F4" i="11"/>
  <c r="C16" i="12" s="1"/>
  <c r="F11" i="11"/>
  <c r="C23" i="12" s="1"/>
  <c r="F26" i="11"/>
  <c r="C38" i="12" s="1"/>
  <c r="F14" i="11"/>
  <c r="C26" i="12" s="1"/>
  <c r="E10" i="11"/>
  <c r="M22" i="12" s="1"/>
  <c r="E20" i="11"/>
  <c r="M32" i="12" s="1"/>
  <c r="E15" i="11"/>
  <c r="M27" i="12" s="1"/>
  <c r="E25" i="11"/>
  <c r="M37" i="12" s="1"/>
  <c r="E35" i="11"/>
  <c r="M47" i="12" s="1"/>
  <c r="E37" i="11"/>
  <c r="M49" i="12" s="1"/>
  <c r="E39" i="11"/>
  <c r="M51" i="12" s="1"/>
  <c r="E30" i="11"/>
  <c r="M42" i="12" s="1"/>
  <c r="E36" i="11"/>
  <c r="M48" i="12" s="1"/>
  <c r="E38" i="11"/>
  <c r="M50" i="12" s="1"/>
  <c r="E40" i="11"/>
  <c r="M52" i="12" s="1"/>
  <c r="E41" i="11"/>
  <c r="M53" i="12" s="1"/>
  <c r="E42" i="11"/>
  <c r="M54" i="12" s="1"/>
  <c r="E43" i="11"/>
  <c r="M55" i="12" s="1"/>
  <c r="E44" i="11"/>
  <c r="M56" i="12" s="1"/>
  <c r="E4" i="11"/>
  <c r="M16" i="12" s="1"/>
  <c r="E6" i="11"/>
  <c r="M18" i="12" s="1"/>
  <c r="E33" i="11"/>
  <c r="M45" i="12" s="1"/>
  <c r="E16" i="11"/>
  <c r="M28" i="12" s="1"/>
  <c r="E8" i="11"/>
  <c r="E11" i="11"/>
  <c r="M23" i="12" s="1"/>
  <c r="E5" i="11"/>
  <c r="E12" i="11"/>
  <c r="M24" i="12" s="1"/>
  <c r="E24" i="11"/>
  <c r="M36" i="12" s="1"/>
  <c r="E32" i="11"/>
  <c r="M44" i="12" s="1"/>
  <c r="E34" i="11"/>
  <c r="M46" i="12" s="1"/>
  <c r="E26" i="11"/>
  <c r="M38" i="12" s="1"/>
  <c r="E22" i="11"/>
  <c r="M34" i="12" s="1"/>
  <c r="E18" i="11"/>
  <c r="M30" i="12" s="1"/>
  <c r="E14" i="11"/>
  <c r="M26" i="12" s="1"/>
  <c r="E7" i="11"/>
  <c r="M19" i="12" s="1"/>
  <c r="E28" i="11"/>
  <c r="M40" i="12" s="1"/>
  <c r="E17" i="11"/>
  <c r="M29" i="12" s="1"/>
  <c r="E31" i="11"/>
  <c r="M43" i="12" s="1"/>
  <c r="E23" i="11"/>
  <c r="M35" i="12" s="1"/>
  <c r="E29" i="11"/>
  <c r="M41" i="12" s="1"/>
  <c r="E21" i="11"/>
  <c r="M33" i="12" s="1"/>
  <c r="E13" i="11"/>
  <c r="M25" i="12" s="1"/>
  <c r="E27" i="11"/>
  <c r="M39" i="12" s="1"/>
  <c r="E19" i="11"/>
  <c r="M31" i="12" s="1"/>
  <c r="E9" i="11"/>
  <c r="M21" i="12" s="1"/>
  <c r="O103" i="12"/>
  <c r="O105" i="12"/>
  <c r="O104" i="12" l="1"/>
  <c r="J378" i="14"/>
  <c r="C18" i="12"/>
  <c r="H394" i="14"/>
  <c r="T394" i="14" s="1"/>
  <c r="O114" i="12"/>
  <c r="H393" i="14"/>
  <c r="T393" i="14" s="1"/>
  <c r="O113" i="12"/>
  <c r="T385" i="14"/>
  <c r="H395" i="14"/>
  <c r="T395" i="14" s="1"/>
  <c r="O115" i="12"/>
  <c r="H392" i="14"/>
  <c r="T392" i="14" s="1"/>
  <c r="O112" i="12"/>
  <c r="T380" i="14"/>
  <c r="U381" i="14" s="1"/>
  <c r="AD381" i="14" s="1"/>
  <c r="AL381" i="14" s="1"/>
  <c r="L18" i="12"/>
  <c r="M456" i="14"/>
  <c r="M20" i="12"/>
  <c r="O99" i="12"/>
  <c r="C20" i="12"/>
  <c r="L16" i="12"/>
  <c r="M17" i="12"/>
  <c r="O90" i="12"/>
  <c r="H374" i="14"/>
  <c r="EA374" i="14" s="1"/>
  <c r="C17" i="12"/>
  <c r="I370" i="14"/>
  <c r="Z74" i="5"/>
  <c r="M74" i="5"/>
  <c r="P74" i="5" s="1"/>
  <c r="L17" i="12"/>
  <c r="L21" i="12"/>
  <c r="H21" i="12"/>
  <c r="P323" i="14"/>
  <c r="P456" i="14" s="1"/>
  <c r="Z75" i="5"/>
  <c r="M75" i="5"/>
  <c r="P75" i="5" s="1"/>
  <c r="L297" i="14"/>
  <c r="Q19" i="5"/>
  <c r="A20" i="5"/>
  <c r="Z84" i="5"/>
  <c r="M84" i="5"/>
  <c r="P84" i="5" s="1"/>
  <c r="A9" i="2"/>
  <c r="Q8" i="2"/>
  <c r="L298" i="14"/>
  <c r="Z83" i="5"/>
  <c r="M83" i="5"/>
  <c r="P83" i="5" s="1"/>
  <c r="P298" i="14"/>
  <c r="Z77" i="5"/>
  <c r="M77" i="5"/>
  <c r="P77" i="5" s="1"/>
  <c r="L299" i="14"/>
  <c r="L300" i="14"/>
  <c r="BU342" i="14"/>
  <c r="E302" i="14"/>
  <c r="Z82" i="5"/>
  <c r="M82" i="5"/>
  <c r="P82" i="5" s="1"/>
  <c r="L456" i="14"/>
  <c r="H391" i="14"/>
  <c r="T391" i="14" s="1"/>
  <c r="O111" i="12"/>
  <c r="C304" i="14"/>
  <c r="D303" i="14"/>
  <c r="Z78" i="5"/>
  <c r="M78" i="5"/>
  <c r="P78" i="5" s="1"/>
  <c r="F255" i="14"/>
  <c r="A254" i="14"/>
  <c r="AB254" i="14"/>
  <c r="L20" i="12"/>
  <c r="Z85" i="5"/>
  <c r="M85" i="5"/>
  <c r="P85" i="5" s="1"/>
  <c r="I368" i="14"/>
  <c r="I493" i="14" s="1"/>
  <c r="Z80" i="5"/>
  <c r="M80" i="5"/>
  <c r="P80" i="5" s="1"/>
  <c r="P20" i="10"/>
  <c r="D21" i="10"/>
  <c r="O94" i="12"/>
  <c r="Z81" i="5"/>
  <c r="M81" i="5"/>
  <c r="P81" i="5" s="1"/>
  <c r="L19" i="12"/>
  <c r="O456" i="14"/>
  <c r="Z76" i="5"/>
  <c r="M76" i="5"/>
  <c r="P76" i="5" s="1"/>
  <c r="O438" i="14"/>
  <c r="Z79" i="5"/>
  <c r="M79" i="5"/>
  <c r="P79" i="5" s="1"/>
  <c r="F305" i="14"/>
  <c r="A304" i="14"/>
  <c r="AB304" i="14"/>
  <c r="C254" i="14"/>
  <c r="D253" i="14"/>
  <c r="A22" i="14"/>
  <c r="F23" i="14"/>
  <c r="F75" i="14"/>
  <c r="A74" i="14"/>
  <c r="E252" i="14"/>
  <c r="F186" i="14"/>
  <c r="A185" i="14"/>
  <c r="AB185" i="14"/>
  <c r="T382" i="14"/>
  <c r="AC382" i="14" s="1"/>
  <c r="O91" i="12"/>
  <c r="O102" i="12"/>
  <c r="T388" i="14"/>
  <c r="AC388" i="14" s="1"/>
  <c r="T384" i="14"/>
  <c r="AC384" i="14" s="1"/>
  <c r="H389" i="14"/>
  <c r="T389" i="14" s="1"/>
  <c r="O109" i="12"/>
  <c r="H390" i="14"/>
  <c r="T390" i="14" s="1"/>
  <c r="O110" i="12"/>
  <c r="O92" i="12"/>
  <c r="O100" i="12"/>
  <c r="O88" i="12"/>
  <c r="G517" i="14"/>
  <c r="O95" i="12"/>
  <c r="H372" i="14"/>
  <c r="EA372" i="14" s="1"/>
  <c r="O101" i="12"/>
  <c r="O97" i="12"/>
  <c r="J374" i="14"/>
  <c r="I517" i="14"/>
  <c r="J517" i="14"/>
  <c r="H386" i="14"/>
  <c r="T386" i="14" s="1"/>
  <c r="AC386" i="14" s="1"/>
  <c r="O106" i="12"/>
  <c r="T367" i="14"/>
  <c r="AC367" i="14" s="1"/>
  <c r="H387" i="14"/>
  <c r="O107" i="12"/>
  <c r="T375" i="14"/>
  <c r="AH375" i="14" s="1"/>
  <c r="T371" i="14"/>
  <c r="AC371" i="14" s="1"/>
  <c r="T378" i="14"/>
  <c r="AH378" i="14" s="1"/>
  <c r="T379" i="14"/>
  <c r="AC379" i="14" s="1"/>
  <c r="T369" i="14"/>
  <c r="AH369" i="14" s="1"/>
  <c r="O108" i="12"/>
  <c r="T377" i="14"/>
  <c r="AH377" i="14" s="1"/>
  <c r="T376" i="14"/>
  <c r="AH376" i="14" s="1"/>
  <c r="N299" i="14"/>
  <c r="N313" i="14"/>
  <c r="N314" i="14"/>
  <c r="N330" i="14"/>
  <c r="N329" i="14"/>
  <c r="N353" i="14"/>
  <c r="T353" i="14" s="1"/>
  <c r="O73" i="12"/>
  <c r="N348" i="14"/>
  <c r="T348" i="14" s="1"/>
  <c r="O68" i="12"/>
  <c r="N297" i="14"/>
  <c r="N309" i="14"/>
  <c r="N310" i="14"/>
  <c r="N326" i="14"/>
  <c r="N325" i="14"/>
  <c r="N340" i="14"/>
  <c r="T340" i="14" s="1"/>
  <c r="O60" i="12"/>
  <c r="N341" i="14"/>
  <c r="T341" i="14" s="1"/>
  <c r="O61" i="12"/>
  <c r="N300" i="14"/>
  <c r="N315" i="14"/>
  <c r="N316" i="14"/>
  <c r="N332" i="14"/>
  <c r="N331" i="14"/>
  <c r="N354" i="14"/>
  <c r="T354" i="14" s="1"/>
  <c r="O74" i="12"/>
  <c r="N305" i="14"/>
  <c r="N306" i="14"/>
  <c r="N322" i="14"/>
  <c r="N321" i="14"/>
  <c r="N336" i="14"/>
  <c r="N337" i="14"/>
  <c r="T337" i="14" s="1"/>
  <c r="O57" i="12"/>
  <c r="N298" i="14"/>
  <c r="N311" i="14"/>
  <c r="N312" i="14"/>
  <c r="N328" i="14"/>
  <c r="N327" i="14"/>
  <c r="N352" i="14"/>
  <c r="T352" i="14" s="1"/>
  <c r="O72" i="12"/>
  <c r="N347" i="14"/>
  <c r="T347" i="14" s="1"/>
  <c r="O67" i="12"/>
  <c r="N302" i="14"/>
  <c r="N307" i="14"/>
  <c r="N308" i="14"/>
  <c r="N324" i="14"/>
  <c r="N323" i="14"/>
  <c r="N338" i="14"/>
  <c r="T338" i="14" s="1"/>
  <c r="O58" i="12"/>
  <c r="O59" i="12"/>
  <c r="N339" i="14"/>
  <c r="T339" i="14" s="1"/>
  <c r="K493" i="14"/>
  <c r="O64" i="12"/>
  <c r="N344" i="14"/>
  <c r="T344" i="14" s="1"/>
  <c r="N345" i="14"/>
  <c r="T345" i="14" s="1"/>
  <c r="O65" i="12"/>
  <c r="N303" i="14"/>
  <c r="N304" i="14"/>
  <c r="N320" i="14"/>
  <c r="N319" i="14"/>
  <c r="N335" i="14"/>
  <c r="O76" i="12"/>
  <c r="N356" i="14"/>
  <c r="N351" i="14"/>
  <c r="T351" i="14" s="1"/>
  <c r="O71" i="12"/>
  <c r="O66" i="12"/>
  <c r="N346" i="14"/>
  <c r="T346" i="14" s="1"/>
  <c r="N349" i="14"/>
  <c r="T349" i="14" s="1"/>
  <c r="O69" i="12"/>
  <c r="O62" i="12"/>
  <c r="N342" i="14"/>
  <c r="T342" i="14" s="1"/>
  <c r="N301" i="14"/>
  <c r="N317" i="14"/>
  <c r="N318" i="14"/>
  <c r="N333" i="14"/>
  <c r="N334" i="14"/>
  <c r="N355" i="14"/>
  <c r="T355" i="14" s="1"/>
  <c r="O75" i="12"/>
  <c r="N350" i="14"/>
  <c r="T350" i="14" s="1"/>
  <c r="O70" i="12"/>
  <c r="Q311" i="14"/>
  <c r="Q305" i="14"/>
  <c r="Q321" i="14"/>
  <c r="Q323" i="14"/>
  <c r="Q320" i="14"/>
  <c r="Q306" i="14"/>
  <c r="Q314" i="14"/>
  <c r="Q326" i="14"/>
  <c r="Q316" i="14"/>
  <c r="Q297" i="14"/>
  <c r="Q300" i="14"/>
  <c r="Q325" i="14"/>
  <c r="Q335" i="14"/>
  <c r="Q333" i="14"/>
  <c r="Q330" i="14"/>
  <c r="Q322" i="14"/>
  <c r="Q329" i="14"/>
  <c r="Q317" i="14"/>
  <c r="Q312" i="14"/>
  <c r="G306" i="14"/>
  <c r="G303" i="14"/>
  <c r="G335" i="14"/>
  <c r="G327" i="14"/>
  <c r="G330" i="14"/>
  <c r="G312" i="14"/>
  <c r="G300" i="14"/>
  <c r="G299" i="14"/>
  <c r="G326" i="14"/>
  <c r="G320" i="14"/>
  <c r="G319" i="14"/>
  <c r="G311" i="14"/>
  <c r="G334" i="14"/>
  <c r="G323" i="14"/>
  <c r="G328" i="14"/>
  <c r="G308" i="14"/>
  <c r="G305" i="14"/>
  <c r="G325" i="14"/>
  <c r="G310" i="14"/>
  <c r="G307" i="14"/>
  <c r="G298" i="14"/>
  <c r="T370" i="14"/>
  <c r="AC383" i="14"/>
  <c r="U383" i="14"/>
  <c r="AD383" i="14" s="1"/>
  <c r="AL383" i="14" s="1"/>
  <c r="F90" i="30" s="1"/>
  <c r="K326" i="14"/>
  <c r="K310" i="14"/>
  <c r="K319" i="14"/>
  <c r="K324" i="14"/>
  <c r="K318" i="14"/>
  <c r="K301" i="14"/>
  <c r="K308" i="14"/>
  <c r="K299" i="14"/>
  <c r="K311" i="14"/>
  <c r="K320" i="14"/>
  <c r="K309" i="14"/>
  <c r="K306" i="14"/>
  <c r="K317" i="14"/>
  <c r="K330" i="14"/>
  <c r="K302" i="14"/>
  <c r="K312" i="14"/>
  <c r="K333" i="14"/>
  <c r="K335" i="14"/>
  <c r="K322" i="14"/>
  <c r="F20" i="12"/>
  <c r="O8" i="11"/>
  <c r="P20" i="12" s="1"/>
  <c r="D20" i="12"/>
  <c r="E20" i="12"/>
  <c r="F28" i="12"/>
  <c r="O16" i="11"/>
  <c r="P28" i="12" s="1"/>
  <c r="E28" i="12"/>
  <c r="D28" i="12"/>
  <c r="E40" i="12"/>
  <c r="O28" i="11"/>
  <c r="P40" i="12" s="1"/>
  <c r="D40" i="12"/>
  <c r="F40" i="12"/>
  <c r="F26" i="12"/>
  <c r="O14" i="11"/>
  <c r="P26" i="12" s="1"/>
  <c r="D26" i="12"/>
  <c r="E26" i="12"/>
  <c r="F47" i="12"/>
  <c r="O35" i="11"/>
  <c r="P47" i="12" s="1"/>
  <c r="D47" i="12"/>
  <c r="E47" i="12"/>
  <c r="F24" i="12"/>
  <c r="D24" i="12"/>
  <c r="O12" i="11"/>
  <c r="P24" i="12" s="1"/>
  <c r="E24" i="12"/>
  <c r="F39" i="12"/>
  <c r="D39" i="12"/>
  <c r="O27" i="11"/>
  <c r="P39" i="12" s="1"/>
  <c r="E39" i="12"/>
  <c r="F38" i="12"/>
  <c r="O26" i="11"/>
  <c r="P38" i="12" s="1"/>
  <c r="D38" i="12"/>
  <c r="E38" i="12"/>
  <c r="D42" i="12"/>
  <c r="O30" i="11"/>
  <c r="P42" i="12" s="1"/>
  <c r="E42" i="12"/>
  <c r="F42" i="12"/>
  <c r="D48" i="12"/>
  <c r="O36" i="11"/>
  <c r="P48" i="12" s="1"/>
  <c r="E48" i="12"/>
  <c r="F48" i="12"/>
  <c r="D16" i="12"/>
  <c r="O4" i="11"/>
  <c r="P16" i="12" s="1"/>
  <c r="F16" i="12"/>
  <c r="E16" i="12"/>
  <c r="F45" i="12"/>
  <c r="O33" i="11"/>
  <c r="P45" i="12" s="1"/>
  <c r="D45" i="12"/>
  <c r="E45" i="12"/>
  <c r="E35" i="12"/>
  <c r="O23" i="11"/>
  <c r="P35" i="12" s="1"/>
  <c r="F35" i="12"/>
  <c r="D35" i="12"/>
  <c r="E34" i="12"/>
  <c r="F34" i="12"/>
  <c r="O22" i="11"/>
  <c r="P34" i="12" s="1"/>
  <c r="D34" i="12"/>
  <c r="D27" i="12"/>
  <c r="E27" i="12"/>
  <c r="F27" i="12"/>
  <c r="O15" i="11"/>
  <c r="P27" i="12" s="1"/>
  <c r="D21" i="12"/>
  <c r="F21" i="12"/>
  <c r="O9" i="11"/>
  <c r="P21" i="12" s="1"/>
  <c r="E21" i="12"/>
  <c r="F46" i="12"/>
  <c r="O34" i="11"/>
  <c r="P46" i="12" s="1"/>
  <c r="D46" i="12"/>
  <c r="E46" i="12"/>
  <c r="O21" i="11"/>
  <c r="P33" i="12" s="1"/>
  <c r="D33" i="12"/>
  <c r="E33" i="12"/>
  <c r="F33" i="12"/>
  <c r="F51" i="12"/>
  <c r="O39" i="11"/>
  <c r="P51" i="12" s="1"/>
  <c r="E51" i="12"/>
  <c r="D51" i="12"/>
  <c r="D37" i="12"/>
  <c r="O25" i="11"/>
  <c r="P37" i="12" s="1"/>
  <c r="E37" i="12"/>
  <c r="F37" i="12"/>
  <c r="F56" i="12"/>
  <c r="O44" i="11"/>
  <c r="P56" i="12" s="1"/>
  <c r="D56" i="12"/>
  <c r="E56" i="12"/>
  <c r="T372" i="14"/>
  <c r="T368" i="14"/>
  <c r="Q493" i="14"/>
  <c r="Q301" i="14"/>
  <c r="Q319" i="14"/>
  <c r="Q313" i="14"/>
  <c r="Q315" i="14"/>
  <c r="Q309" i="14"/>
  <c r="Q299" i="14"/>
  <c r="Q310" i="14"/>
  <c r="Q318" i="14"/>
  <c r="Q324" i="14"/>
  <c r="Q304" i="14"/>
  <c r="Q303" i="14"/>
  <c r="Q308" i="14"/>
  <c r="Q298" i="14"/>
  <c r="Q336" i="14"/>
  <c r="Q334" i="14"/>
  <c r="Q332" i="14"/>
  <c r="Q328" i="14"/>
  <c r="Q331" i="14"/>
  <c r="Q327" i="14"/>
  <c r="Q307" i="14"/>
  <c r="Q302" i="14"/>
  <c r="G318" i="14"/>
  <c r="G331" i="14"/>
  <c r="G333" i="14"/>
  <c r="G322" i="14"/>
  <c r="G304" i="14"/>
  <c r="G302" i="14"/>
  <c r="G313" i="14"/>
  <c r="G321" i="14"/>
  <c r="G324" i="14"/>
  <c r="G315" i="14"/>
  <c r="G336" i="14"/>
  <c r="G329" i="14"/>
  <c r="G332" i="14"/>
  <c r="G314" i="14"/>
  <c r="G317" i="14"/>
  <c r="G297" i="14"/>
  <c r="G316" i="14"/>
  <c r="G309" i="14"/>
  <c r="G301" i="14"/>
  <c r="T343" i="14"/>
  <c r="AC385" i="14"/>
  <c r="AC381" i="14"/>
  <c r="T373" i="14"/>
  <c r="K298" i="14"/>
  <c r="K304" i="14"/>
  <c r="K300" i="14"/>
  <c r="K323" i="14"/>
  <c r="K313" i="14"/>
  <c r="K334" i="14"/>
  <c r="K325" i="14"/>
  <c r="K316" i="14"/>
  <c r="K303" i="14"/>
  <c r="K315" i="14"/>
  <c r="K305" i="14"/>
  <c r="K314" i="14"/>
  <c r="K321" i="14"/>
  <c r="K328" i="14"/>
  <c r="K336" i="14"/>
  <c r="K297" i="14"/>
  <c r="K307" i="14"/>
  <c r="K327" i="14"/>
  <c r="K329" i="14"/>
  <c r="K331" i="14"/>
  <c r="K332" i="14"/>
  <c r="E18" i="12"/>
  <c r="O6" i="11"/>
  <c r="P18" i="12" s="1"/>
  <c r="D18" i="12"/>
  <c r="F18" i="12"/>
  <c r="D23" i="12"/>
  <c r="O11" i="11"/>
  <c r="P23" i="12" s="1"/>
  <c r="E23" i="12"/>
  <c r="F23" i="12"/>
  <c r="D29" i="12"/>
  <c r="E29" i="12"/>
  <c r="F29" i="12"/>
  <c r="O17" i="11"/>
  <c r="P29" i="12" s="1"/>
  <c r="D17" i="12"/>
  <c r="E17" i="12"/>
  <c r="F17" i="12"/>
  <c r="O5" i="11"/>
  <c r="P17" i="12" s="1"/>
  <c r="E49" i="12"/>
  <c r="F49" i="12"/>
  <c r="D49" i="12"/>
  <c r="O37" i="11"/>
  <c r="P49" i="12" s="1"/>
  <c r="E19" i="12"/>
  <c r="D19" i="12"/>
  <c r="F19" i="12"/>
  <c r="O7" i="11"/>
  <c r="P19" i="12" s="1"/>
  <c r="D44" i="12"/>
  <c r="E44" i="12"/>
  <c r="F44" i="12"/>
  <c r="O32" i="11"/>
  <c r="P44" i="12" s="1"/>
  <c r="E32" i="12"/>
  <c r="F32" i="12"/>
  <c r="D32" i="12"/>
  <c r="O20" i="11"/>
  <c r="P32" i="12" s="1"/>
  <c r="E22" i="12"/>
  <c r="F22" i="12"/>
  <c r="D22" i="12"/>
  <c r="O10" i="11"/>
  <c r="P22" i="12" s="1"/>
  <c r="D54" i="12"/>
  <c r="E54" i="12"/>
  <c r="F54" i="12"/>
  <c r="O42" i="11"/>
  <c r="P54" i="12" s="1"/>
  <c r="E31" i="12"/>
  <c r="F31" i="12"/>
  <c r="D31" i="12"/>
  <c r="O19" i="11"/>
  <c r="P31" i="12" s="1"/>
  <c r="D36" i="12"/>
  <c r="F36" i="12"/>
  <c r="O24" i="11"/>
  <c r="P36" i="12" s="1"/>
  <c r="E36" i="12"/>
  <c r="O13" i="11"/>
  <c r="P25" i="12" s="1"/>
  <c r="D25" i="12"/>
  <c r="E25" i="12"/>
  <c r="F25" i="12"/>
  <c r="O29" i="11"/>
  <c r="P41" i="12" s="1"/>
  <c r="D41" i="12"/>
  <c r="E41" i="12"/>
  <c r="F41" i="12"/>
  <c r="F53" i="12"/>
  <c r="O41" i="11"/>
  <c r="P53" i="12" s="1"/>
  <c r="D53" i="12"/>
  <c r="E53" i="12"/>
  <c r="E30" i="12"/>
  <c r="F30" i="12"/>
  <c r="D30" i="12"/>
  <c r="O18" i="11"/>
  <c r="P30" i="12" s="1"/>
  <c r="E43" i="12"/>
  <c r="F43" i="12"/>
  <c r="O31" i="11"/>
  <c r="P43" i="12" s="1"/>
  <c r="D43" i="12"/>
  <c r="E55" i="12"/>
  <c r="F55" i="12"/>
  <c r="D55" i="12"/>
  <c r="O43" i="11"/>
  <c r="P55" i="12" s="1"/>
  <c r="E52" i="12"/>
  <c r="D52" i="12"/>
  <c r="F52" i="12"/>
  <c r="O40" i="11"/>
  <c r="P52" i="12" s="1"/>
  <c r="E50" i="12"/>
  <c r="D50" i="12"/>
  <c r="F50" i="12"/>
  <c r="O38" i="11"/>
  <c r="P50" i="12" s="1"/>
  <c r="U382" i="14"/>
  <c r="AD382" i="14" s="1"/>
  <c r="AL382" i="14" s="1"/>
  <c r="F89" i="30" s="1"/>
  <c r="AC380" i="14"/>
  <c r="EA367" i="14"/>
  <c r="T374" i="14" l="1"/>
  <c r="U375" i="14" s="1"/>
  <c r="AD375" i="14" s="1"/>
  <c r="AL375" i="14" s="1"/>
  <c r="F82" i="30" s="1"/>
  <c r="U396" i="14"/>
  <c r="U395" i="14"/>
  <c r="F88" i="30"/>
  <c r="U394" i="14"/>
  <c r="U378" i="14"/>
  <c r="AD378" i="14" s="1"/>
  <c r="AL378" i="14" s="1"/>
  <c r="F85" i="30" s="1"/>
  <c r="O34" i="12"/>
  <c r="O21" i="12"/>
  <c r="AC378" i="14"/>
  <c r="U380" i="14"/>
  <c r="AD380" i="14" s="1"/>
  <c r="AL380" i="14" s="1"/>
  <c r="F87" i="30" s="1"/>
  <c r="J83" i="7"/>
  <c r="O83" i="7" s="1"/>
  <c r="AC76" i="5"/>
  <c r="P83" i="7" s="1"/>
  <c r="Q9" i="2"/>
  <c r="A10" i="2"/>
  <c r="J82" i="7"/>
  <c r="O82" i="7" s="1"/>
  <c r="AC75" i="5"/>
  <c r="P82" i="7" s="1"/>
  <c r="O37" i="12"/>
  <c r="O38" i="12"/>
  <c r="U392" i="14"/>
  <c r="U393" i="14"/>
  <c r="A255" i="14"/>
  <c r="F256" i="14"/>
  <c r="AB255" i="14"/>
  <c r="J89" i="7"/>
  <c r="O89" i="7" s="1"/>
  <c r="AC82" i="5"/>
  <c r="P89" i="7" s="1"/>
  <c r="P299" i="14"/>
  <c r="P21" i="10"/>
  <c r="D22" i="10"/>
  <c r="J90" i="7"/>
  <c r="O90" i="7" s="1"/>
  <c r="AC83" i="5"/>
  <c r="P90" i="7" s="1"/>
  <c r="J86" i="7"/>
  <c r="O86" i="7" s="1"/>
  <c r="AC79" i="5"/>
  <c r="P86" i="7" s="1"/>
  <c r="J84" i="7"/>
  <c r="O84" i="7" s="1"/>
  <c r="AC77" i="5"/>
  <c r="P84" i="7" s="1"/>
  <c r="L301" i="14"/>
  <c r="L438" i="14" s="1"/>
  <c r="J87" i="7"/>
  <c r="O87" i="7" s="1"/>
  <c r="AC80" i="5"/>
  <c r="P87" i="7" s="1"/>
  <c r="J85" i="7"/>
  <c r="O85" i="7" s="1"/>
  <c r="AC78" i="5"/>
  <c r="P85" i="7" s="1"/>
  <c r="J91" i="7"/>
  <c r="O91" i="7" s="1"/>
  <c r="AC84" i="5"/>
  <c r="P91" i="7" s="1"/>
  <c r="P301" i="14"/>
  <c r="J88" i="7"/>
  <c r="O88" i="7" s="1"/>
  <c r="AC81" i="5"/>
  <c r="P88" i="7" s="1"/>
  <c r="E303" i="14"/>
  <c r="BU341" i="14"/>
  <c r="A21" i="5"/>
  <c r="Q20" i="5"/>
  <c r="P297" i="14"/>
  <c r="C305" i="14"/>
  <c r="D304" i="14"/>
  <c r="U345" i="14"/>
  <c r="J92" i="7"/>
  <c r="O92" i="7" s="1"/>
  <c r="AC85" i="5"/>
  <c r="P92" i="7" s="1"/>
  <c r="J81" i="7"/>
  <c r="O81" i="7" s="1"/>
  <c r="AC74" i="5"/>
  <c r="P81" i="7" s="1"/>
  <c r="P300" i="14"/>
  <c r="A305" i="14"/>
  <c r="AB305" i="14"/>
  <c r="F306" i="14"/>
  <c r="U377" i="14"/>
  <c r="AD377" i="14" s="1"/>
  <c r="AL377" i="14" s="1"/>
  <c r="F84" i="30" s="1"/>
  <c r="A75" i="14"/>
  <c r="F76" i="14"/>
  <c r="AB186" i="14"/>
  <c r="F187" i="14"/>
  <c r="A186" i="14"/>
  <c r="U354" i="14"/>
  <c r="AH367" i="14"/>
  <c r="U367" i="14"/>
  <c r="AD367" i="14" s="1"/>
  <c r="AL367" i="14" s="1"/>
  <c r="F74" i="30" s="1"/>
  <c r="E253" i="14"/>
  <c r="A23" i="14"/>
  <c r="F24" i="14"/>
  <c r="C255" i="14"/>
  <c r="D254" i="14"/>
  <c r="AC375" i="14"/>
  <c r="U384" i="14"/>
  <c r="AD384" i="14" s="1"/>
  <c r="AL384" i="14" s="1"/>
  <c r="AC377" i="14"/>
  <c r="AC369" i="14"/>
  <c r="U342" i="14"/>
  <c r="U385" i="14"/>
  <c r="AD385" i="14" s="1"/>
  <c r="AL385" i="14" s="1"/>
  <c r="F92" i="30" s="1"/>
  <c r="U355" i="14"/>
  <c r="U346" i="14"/>
  <c r="N519" i="14"/>
  <c r="N529" i="14" s="1"/>
  <c r="O56" i="12"/>
  <c r="O51" i="12"/>
  <c r="O35" i="12"/>
  <c r="O16" i="12"/>
  <c r="O42" i="12"/>
  <c r="J493" i="14"/>
  <c r="N474" i="14"/>
  <c r="N521" i="14"/>
  <c r="N531" i="14" s="1"/>
  <c r="U371" i="14"/>
  <c r="AD371" i="14" s="1"/>
  <c r="AL371" i="14" s="1"/>
  <c r="F78" i="30" s="1"/>
  <c r="U350" i="14"/>
  <c r="AH371" i="14"/>
  <c r="AC376" i="14"/>
  <c r="U391" i="14"/>
  <c r="U390" i="14"/>
  <c r="U389" i="14"/>
  <c r="H493" i="14"/>
  <c r="U376" i="14"/>
  <c r="AD376" i="14" s="1"/>
  <c r="AL376" i="14" s="1"/>
  <c r="F83" i="30" s="1"/>
  <c r="U338" i="14"/>
  <c r="U379" i="14"/>
  <c r="AD379" i="14" s="1"/>
  <c r="AL379" i="14" s="1"/>
  <c r="O33" i="12"/>
  <c r="O24" i="12"/>
  <c r="N522" i="14"/>
  <c r="N532" i="14" s="1"/>
  <c r="N520" i="14"/>
  <c r="N530" i="14" s="1"/>
  <c r="U349" i="14"/>
  <c r="U341" i="14"/>
  <c r="T523" i="14"/>
  <c r="T533" i="14" s="1"/>
  <c r="U386" i="14"/>
  <c r="AD386" i="14" s="1"/>
  <c r="AL386" i="14" s="1"/>
  <c r="F93" i="30" s="1"/>
  <c r="O52" i="12"/>
  <c r="U339" i="14"/>
  <c r="T387" i="14"/>
  <c r="H517" i="14"/>
  <c r="U351" i="14"/>
  <c r="U352" i="14"/>
  <c r="N438" i="14"/>
  <c r="O41" i="12"/>
  <c r="O25" i="12"/>
  <c r="N493" i="14"/>
  <c r="T356" i="14"/>
  <c r="V356" i="14" s="1"/>
  <c r="N456" i="14"/>
  <c r="U347" i="14"/>
  <c r="U340" i="14"/>
  <c r="U348" i="14"/>
  <c r="U353" i="14"/>
  <c r="J330" i="14"/>
  <c r="I330" i="14"/>
  <c r="J332" i="14"/>
  <c r="I332" i="14"/>
  <c r="H335" i="14"/>
  <c r="I335" i="14"/>
  <c r="I323" i="14"/>
  <c r="H310" i="14"/>
  <c r="I310" i="14"/>
  <c r="H333" i="14"/>
  <c r="J333" i="14"/>
  <c r="I321" i="14"/>
  <c r="I305" i="14"/>
  <c r="H316" i="14"/>
  <c r="H311" i="14"/>
  <c r="I311" i="14"/>
  <c r="J334" i="14"/>
  <c r="H334" i="14"/>
  <c r="H302" i="14"/>
  <c r="I302" i="14"/>
  <c r="H312" i="14"/>
  <c r="I312" i="14"/>
  <c r="J324" i="14"/>
  <c r="H324" i="14"/>
  <c r="J299" i="14"/>
  <c r="I299" i="14"/>
  <c r="H329" i="14"/>
  <c r="I329" i="14"/>
  <c r="J297" i="14"/>
  <c r="H297" i="14"/>
  <c r="J309" i="14"/>
  <c r="H309" i="14"/>
  <c r="I303" i="14"/>
  <c r="H303" i="14"/>
  <c r="H298" i="14"/>
  <c r="I298" i="14"/>
  <c r="O29" i="12"/>
  <c r="O36" i="12"/>
  <c r="O17" i="12"/>
  <c r="G438" i="14"/>
  <c r="O49" i="12"/>
  <c r="O44" i="12"/>
  <c r="O22" i="12"/>
  <c r="O53" i="12"/>
  <c r="V376" i="14"/>
  <c r="U368" i="14"/>
  <c r="AD368" i="14" s="1"/>
  <c r="AL368" i="14" s="1"/>
  <c r="F75" i="30" s="1"/>
  <c r="AC368" i="14"/>
  <c r="AH368" i="14"/>
  <c r="I336" i="14"/>
  <c r="J317" i="14"/>
  <c r="H331" i="14"/>
  <c r="J313" i="14"/>
  <c r="H313" i="14"/>
  <c r="I326" i="14"/>
  <c r="I301" i="14"/>
  <c r="J301" i="14"/>
  <c r="I307" i="14"/>
  <c r="H314" i="14"/>
  <c r="J314" i="14"/>
  <c r="H315" i="14"/>
  <c r="I325" i="14"/>
  <c r="J328" i="14"/>
  <c r="J322" i="14"/>
  <c r="I318" i="14"/>
  <c r="I319" i="14"/>
  <c r="H319" i="14"/>
  <c r="I304" i="14"/>
  <c r="H304" i="14"/>
  <c r="I327" i="14"/>
  <c r="I306" i="14"/>
  <c r="J320" i="14"/>
  <c r="H308" i="14"/>
  <c r="I300" i="14"/>
  <c r="AH370" i="14"/>
  <c r="U370" i="14"/>
  <c r="AD370" i="14" s="1"/>
  <c r="AL370" i="14" s="1"/>
  <c r="F77" i="30" s="1"/>
  <c r="AC370" i="14"/>
  <c r="G456" i="14"/>
  <c r="O23" i="12"/>
  <c r="Q438" i="14"/>
  <c r="H330" i="14"/>
  <c r="H332" i="14"/>
  <c r="J335" i="14"/>
  <c r="H323" i="14"/>
  <c r="J323" i="14"/>
  <c r="J310" i="14"/>
  <c r="T310" i="14" s="1"/>
  <c r="I333" i="14"/>
  <c r="J321" i="14"/>
  <c r="H321" i="14"/>
  <c r="J305" i="14"/>
  <c r="H305" i="14"/>
  <c r="I316" i="14"/>
  <c r="J316" i="14"/>
  <c r="J311" i="14"/>
  <c r="T311" i="14" s="1"/>
  <c r="U311" i="14" s="1"/>
  <c r="I334" i="14"/>
  <c r="J302" i="14"/>
  <c r="J312" i="14"/>
  <c r="I324" i="14"/>
  <c r="H299" i="14"/>
  <c r="J329" i="14"/>
  <c r="I297" i="14"/>
  <c r="I309" i="14"/>
  <c r="J303" i="14"/>
  <c r="J298" i="14"/>
  <c r="K438" i="14"/>
  <c r="K456" i="14"/>
  <c r="AH373" i="14"/>
  <c r="U373" i="14"/>
  <c r="AD373" i="14" s="1"/>
  <c r="AL373" i="14" s="1"/>
  <c r="F80" i="30" s="1"/>
  <c r="AC373" i="14"/>
  <c r="U343" i="14"/>
  <c r="U344" i="14"/>
  <c r="V346" i="14"/>
  <c r="V493" i="14"/>
  <c r="AB495" i="14" s="1"/>
  <c r="AC372" i="14"/>
  <c r="AH372" i="14"/>
  <c r="U372" i="14"/>
  <c r="AD372" i="14" s="1"/>
  <c r="AL372" i="14" s="1"/>
  <c r="F79" i="30" s="1"/>
  <c r="H336" i="14"/>
  <c r="J336" i="14"/>
  <c r="I317" i="14"/>
  <c r="H317" i="14"/>
  <c r="I331" i="14"/>
  <c r="J331" i="14"/>
  <c r="I313" i="14"/>
  <c r="H326" i="14"/>
  <c r="J326" i="14"/>
  <c r="H301" i="14"/>
  <c r="J307" i="14"/>
  <c r="H307" i="14"/>
  <c r="I314" i="14"/>
  <c r="J315" i="14"/>
  <c r="I315" i="14"/>
  <c r="H325" i="14"/>
  <c r="J325" i="14"/>
  <c r="I328" i="14"/>
  <c r="H328" i="14"/>
  <c r="I322" i="14"/>
  <c r="H322" i="14"/>
  <c r="H318" i="14"/>
  <c r="J318" i="14"/>
  <c r="J319" i="14"/>
  <c r="J304" i="14"/>
  <c r="H327" i="14"/>
  <c r="J327" i="14"/>
  <c r="H306" i="14"/>
  <c r="J306" i="14"/>
  <c r="H320" i="14"/>
  <c r="I320" i="14"/>
  <c r="I308" i="14"/>
  <c r="J308" i="14"/>
  <c r="H300" i="14"/>
  <c r="J300" i="14"/>
  <c r="U374" i="14"/>
  <c r="AD374" i="14" s="1"/>
  <c r="AL374" i="14" s="1"/>
  <c r="F81" i="30" s="1"/>
  <c r="AC374" i="14"/>
  <c r="AH374" i="14"/>
  <c r="O18" i="12"/>
  <c r="O27" i="12"/>
  <c r="O30" i="12"/>
  <c r="O45" i="12"/>
  <c r="O28" i="12"/>
  <c r="O48" i="12"/>
  <c r="O43" i="12"/>
  <c r="O54" i="12"/>
  <c r="O31" i="12"/>
  <c r="O39" i="12"/>
  <c r="O40" i="12"/>
  <c r="O46" i="12"/>
  <c r="O19" i="12"/>
  <c r="O20" i="12"/>
  <c r="O32" i="12"/>
  <c r="O50" i="12"/>
  <c r="O47" i="12"/>
  <c r="O55" i="12"/>
  <c r="O26" i="12"/>
  <c r="Q456" i="14"/>
  <c r="U369" i="14"/>
  <c r="AD369" i="14" s="1"/>
  <c r="AL369" i="14" s="1"/>
  <c r="F76" i="30" s="1"/>
  <c r="AH386" i="14" l="1"/>
  <c r="F91" i="30"/>
  <c r="F86" i="30"/>
  <c r="T474" i="14"/>
  <c r="T305" i="14"/>
  <c r="D305" i="14"/>
  <c r="C306" i="14"/>
  <c r="Q10" i="2"/>
  <c r="A11" i="2"/>
  <c r="P438" i="14"/>
  <c r="F257" i="14"/>
  <c r="AB256" i="14"/>
  <c r="A256" i="14"/>
  <c r="E304" i="14"/>
  <c r="BU340" i="14"/>
  <c r="T319" i="14"/>
  <c r="A22" i="5"/>
  <c r="Q21" i="5"/>
  <c r="T317" i="14"/>
  <c r="T324" i="14"/>
  <c r="AE440" i="14" s="1"/>
  <c r="P22" i="10"/>
  <c r="D23" i="10"/>
  <c r="T309" i="14"/>
  <c r="U310" i="14" s="1"/>
  <c r="F77" i="14"/>
  <c r="A76" i="14"/>
  <c r="F25" i="14"/>
  <c r="A24" i="14"/>
  <c r="E254" i="14"/>
  <c r="C256" i="14"/>
  <c r="D255" i="14"/>
  <c r="AB187" i="14"/>
  <c r="A187" i="14"/>
  <c r="F188" i="14"/>
  <c r="A306" i="14"/>
  <c r="F307" i="14"/>
  <c r="AB306" i="14"/>
  <c r="T304" i="14"/>
  <c r="U305" i="14" s="1"/>
  <c r="T334" i="14"/>
  <c r="AE450" i="14" s="1"/>
  <c r="T333" i="14"/>
  <c r="AE449" i="14" s="1"/>
  <c r="T332" i="14"/>
  <c r="AE448" i="14" s="1"/>
  <c r="T307" i="14"/>
  <c r="T329" i="14"/>
  <c r="T316" i="14"/>
  <c r="T301" i="14"/>
  <c r="T297" i="14"/>
  <c r="U297" i="14" s="1"/>
  <c r="T321" i="14"/>
  <c r="T303" i="14"/>
  <c r="T312" i="14"/>
  <c r="U312" i="14" s="1"/>
  <c r="T299" i="14"/>
  <c r="T302" i="14"/>
  <c r="T300" i="14"/>
  <c r="T308" i="14"/>
  <c r="T327" i="14"/>
  <c r="AE443" i="14" s="1"/>
  <c r="T326" i="14"/>
  <c r="AE442" i="14" s="1"/>
  <c r="AK376" i="14"/>
  <c r="T314" i="14"/>
  <c r="T298" i="14"/>
  <c r="T335" i="14"/>
  <c r="AE451" i="14" s="1"/>
  <c r="T330" i="14"/>
  <c r="AE446" i="14" s="1"/>
  <c r="AC387" i="14"/>
  <c r="U387" i="14"/>
  <c r="AD387" i="14" s="1"/>
  <c r="AL387" i="14" s="1"/>
  <c r="F94" i="30" s="1"/>
  <c r="U388" i="14"/>
  <c r="T517" i="14"/>
  <c r="AB518" i="14" s="1"/>
  <c r="T306" i="14"/>
  <c r="U306" i="14" s="1"/>
  <c r="T318" i="14"/>
  <c r="T322" i="14"/>
  <c r="U322" i="14" s="1"/>
  <c r="T328" i="14"/>
  <c r="T325" i="14"/>
  <c r="T315" i="14"/>
  <c r="T331" i="14"/>
  <c r="AE447" i="14" s="1"/>
  <c r="T336" i="14"/>
  <c r="AE452" i="14" s="1"/>
  <c r="U356" i="14"/>
  <c r="U357" i="14"/>
  <c r="U300" i="14"/>
  <c r="T320" i="14"/>
  <c r="T313" i="14"/>
  <c r="H456" i="14"/>
  <c r="T323" i="14"/>
  <c r="U324" i="14" s="1"/>
  <c r="H438" i="14"/>
  <c r="I438" i="14"/>
  <c r="J456" i="14"/>
  <c r="J438" i="14"/>
  <c r="I456" i="14"/>
  <c r="U320" i="14" l="1"/>
  <c r="U302" i="14"/>
  <c r="U318" i="14"/>
  <c r="U334" i="14"/>
  <c r="U328" i="14"/>
  <c r="U308" i="14"/>
  <c r="U299" i="14"/>
  <c r="Q22" i="5"/>
  <c r="A23" i="5"/>
  <c r="P23" i="10"/>
  <c r="D24" i="10"/>
  <c r="C307" i="14"/>
  <c r="D306" i="14"/>
  <c r="E305" i="14"/>
  <c r="BU339" i="14"/>
  <c r="U317" i="14"/>
  <c r="U335" i="14"/>
  <c r="U330" i="14"/>
  <c r="A12" i="2"/>
  <c r="Q11" i="2"/>
  <c r="U337" i="14"/>
  <c r="U474" i="14" s="1"/>
  <c r="AB257" i="14"/>
  <c r="A257" i="14"/>
  <c r="F258" i="14"/>
  <c r="A307" i="14"/>
  <c r="F308" i="14"/>
  <c r="AB307" i="14"/>
  <c r="AE444" i="14"/>
  <c r="U314" i="14"/>
  <c r="U329" i="14"/>
  <c r="U333" i="14"/>
  <c r="AE445" i="14"/>
  <c r="AB188" i="14"/>
  <c r="F189" i="14"/>
  <c r="A188" i="14"/>
  <c r="E255" i="14"/>
  <c r="A25" i="14"/>
  <c r="F26" i="14"/>
  <c r="U304" i="14"/>
  <c r="D256" i="14"/>
  <c r="C257" i="14"/>
  <c r="F78" i="14"/>
  <c r="A77" i="14"/>
  <c r="U321" i="14"/>
  <c r="U301" i="14"/>
  <c r="U327" i="14"/>
  <c r="U332" i="14"/>
  <c r="U303" i="14"/>
  <c r="U309" i="14"/>
  <c r="U331" i="14"/>
  <c r="U315" i="14"/>
  <c r="U326" i="14"/>
  <c r="U307" i="14"/>
  <c r="U336" i="14"/>
  <c r="AE441" i="14"/>
  <c r="T438" i="14"/>
  <c r="U316" i="14"/>
  <c r="U298" i="14"/>
  <c r="U325" i="14"/>
  <c r="U313" i="14"/>
  <c r="U319" i="14"/>
  <c r="AE439" i="14"/>
  <c r="T456" i="14"/>
  <c r="U323" i="14"/>
  <c r="V517" i="14"/>
  <c r="AB519" i="14" s="1"/>
  <c r="D25" i="10" l="1"/>
  <c r="P24" i="10"/>
  <c r="Q23" i="5"/>
  <c r="A24" i="5"/>
  <c r="A258" i="14"/>
  <c r="AB258" i="14"/>
  <c r="F259" i="14"/>
  <c r="BU338" i="14"/>
  <c r="E306" i="14"/>
  <c r="C308" i="14"/>
  <c r="D307" i="14"/>
  <c r="A13" i="2"/>
  <c r="Q12" i="2"/>
  <c r="AB189" i="14"/>
  <c r="A189" i="14"/>
  <c r="F190" i="14"/>
  <c r="D257" i="14"/>
  <c r="C258" i="14"/>
  <c r="F27" i="14"/>
  <c r="A26" i="14"/>
  <c r="F309" i="14"/>
  <c r="AB308" i="14"/>
  <c r="A308" i="14"/>
  <c r="A78" i="14"/>
  <c r="F79" i="14"/>
  <c r="E256" i="14"/>
  <c r="U438" i="14"/>
  <c r="U456" i="14"/>
  <c r="AE453" i="14"/>
  <c r="Q13" i="2" l="1"/>
  <c r="A14" i="2"/>
  <c r="BU337" i="14"/>
  <c r="E307" i="14"/>
  <c r="D308" i="14"/>
  <c r="C309" i="14"/>
  <c r="D26" i="10"/>
  <c r="P25" i="10"/>
  <c r="F260" i="14"/>
  <c r="A259" i="14"/>
  <c r="AB259" i="14"/>
  <c r="Q24" i="5"/>
  <c r="A25" i="5"/>
  <c r="A309" i="14"/>
  <c r="F310" i="14"/>
  <c r="AB309" i="14"/>
  <c r="F80" i="14"/>
  <c r="A79" i="14"/>
  <c r="E257" i="14"/>
  <c r="C259" i="14"/>
  <c r="D258" i="14"/>
  <c r="A27" i="14"/>
  <c r="F28" i="14"/>
  <c r="F191" i="14"/>
  <c r="A190" i="14"/>
  <c r="AB190" i="14"/>
  <c r="A26" i="5" l="1"/>
  <c r="Q25" i="5"/>
  <c r="D27" i="10"/>
  <c r="P26" i="10"/>
  <c r="A260" i="14"/>
  <c r="F261" i="14"/>
  <c r="AB260" i="14"/>
  <c r="D309" i="14"/>
  <c r="C310" i="14"/>
  <c r="A15" i="2"/>
  <c r="Q14" i="2"/>
  <c r="E308" i="14"/>
  <c r="BU336" i="14"/>
  <c r="F81" i="14"/>
  <c r="A80" i="14"/>
  <c r="F29" i="14"/>
  <c r="A28" i="14"/>
  <c r="F311" i="14"/>
  <c r="A310" i="14"/>
  <c r="AB310" i="14"/>
  <c r="A191" i="14"/>
  <c r="F192" i="14"/>
  <c r="AB191" i="14"/>
  <c r="E258" i="14"/>
  <c r="D259" i="14"/>
  <c r="C260" i="14"/>
  <c r="A16" i="2" l="1"/>
  <c r="Q15" i="2"/>
  <c r="C311" i="14"/>
  <c r="D310" i="14"/>
  <c r="BU335" i="14"/>
  <c r="E309" i="14"/>
  <c r="A261" i="14"/>
  <c r="F262" i="14"/>
  <c r="AB261" i="14"/>
  <c r="P27" i="10"/>
  <c r="D28" i="10"/>
  <c r="Q26" i="5"/>
  <c r="A27" i="5"/>
  <c r="A311" i="14"/>
  <c r="AB311" i="14"/>
  <c r="F312" i="14"/>
  <c r="E259" i="14"/>
  <c r="A81" i="14"/>
  <c r="F82" i="14"/>
  <c r="A29" i="14"/>
  <c r="F30" i="14"/>
  <c r="D260" i="14"/>
  <c r="C261" i="14"/>
  <c r="F193" i="14"/>
  <c r="AB192" i="14"/>
  <c r="A192" i="14"/>
  <c r="A262" i="14" l="1"/>
  <c r="AB262" i="14"/>
  <c r="F263" i="14"/>
  <c r="D29" i="10"/>
  <c r="P28" i="10"/>
  <c r="BU334" i="14"/>
  <c r="E310" i="14"/>
  <c r="A28" i="5"/>
  <c r="Q27" i="5"/>
  <c r="D311" i="14"/>
  <c r="C312" i="14"/>
  <c r="Q16" i="2"/>
  <c r="A17" i="2"/>
  <c r="A30" i="14"/>
  <c r="F31" i="14"/>
  <c r="AB193" i="14"/>
  <c r="F194" i="14"/>
  <c r="A193" i="14"/>
  <c r="D261" i="14"/>
  <c r="C262" i="14"/>
  <c r="E260" i="14"/>
  <c r="A82" i="14"/>
  <c r="F83" i="14"/>
  <c r="F313" i="14"/>
  <c r="A312" i="14"/>
  <c r="AB312" i="14"/>
  <c r="A29" i="5" l="1"/>
  <c r="Q28" i="5"/>
  <c r="A263" i="14"/>
  <c r="AB263" i="14"/>
  <c r="F264" i="14"/>
  <c r="BU333" i="14"/>
  <c r="E311" i="14"/>
  <c r="P29" i="10"/>
  <c r="D30" i="10"/>
  <c r="D312" i="14"/>
  <c r="C313" i="14"/>
  <c r="A18" i="2"/>
  <c r="Q17" i="2"/>
  <c r="A31" i="14"/>
  <c r="F32" i="14"/>
  <c r="F84" i="14"/>
  <c r="A83" i="14"/>
  <c r="C263" i="14"/>
  <c r="D262" i="14"/>
  <c r="F195" i="14"/>
  <c r="A194" i="14"/>
  <c r="AB194" i="14"/>
  <c r="A313" i="14"/>
  <c r="AB313" i="14"/>
  <c r="F314" i="14"/>
  <c r="E261" i="14"/>
  <c r="A30" i="5" l="1"/>
  <c r="Q29" i="5"/>
  <c r="P30" i="10"/>
  <c r="D31" i="10"/>
  <c r="Q18" i="2"/>
  <c r="A19" i="2"/>
  <c r="A264" i="14"/>
  <c r="F265" i="14"/>
  <c r="AB264" i="14"/>
  <c r="C314" i="14"/>
  <c r="D313" i="14"/>
  <c r="E312" i="14"/>
  <c r="BU332" i="14"/>
  <c r="D263" i="14"/>
  <c r="C264" i="14"/>
  <c r="A314" i="14"/>
  <c r="AB314" i="14"/>
  <c r="F315" i="14"/>
  <c r="F196" i="14"/>
  <c r="A195" i="14"/>
  <c r="AB195" i="14"/>
  <c r="A84" i="14"/>
  <c r="F85" i="14"/>
  <c r="F33" i="14"/>
  <c r="A32" i="14"/>
  <c r="E262" i="14"/>
  <c r="D314" i="14" l="1"/>
  <c r="C315" i="14"/>
  <c r="E313" i="14"/>
  <c r="BU331" i="14"/>
  <c r="Q19" i="2"/>
  <c r="A20" i="2"/>
  <c r="P31" i="10"/>
  <c r="D32" i="10"/>
  <c r="A31" i="5"/>
  <c r="Q30" i="5"/>
  <c r="AB265" i="14"/>
  <c r="A265" i="14"/>
  <c r="F266" i="14"/>
  <c r="C265" i="14"/>
  <c r="D264" i="14"/>
  <c r="E263" i="14"/>
  <c r="A196" i="14"/>
  <c r="AB196" i="14"/>
  <c r="F197" i="14"/>
  <c r="F34" i="14"/>
  <c r="A33" i="14"/>
  <c r="A315" i="14"/>
  <c r="F316" i="14"/>
  <c r="AB315" i="14"/>
  <c r="A85" i="14"/>
  <c r="F86" i="14"/>
  <c r="Q31" i="5" l="1"/>
  <c r="A32" i="5"/>
  <c r="P32" i="10"/>
  <c r="D33" i="10"/>
  <c r="A21" i="2"/>
  <c r="Q20" i="2"/>
  <c r="C316" i="14"/>
  <c r="D315" i="14"/>
  <c r="F267" i="14"/>
  <c r="A266" i="14"/>
  <c r="AB266" i="14"/>
  <c r="E314" i="14"/>
  <c r="BU330" i="14"/>
  <c r="F317" i="14"/>
  <c r="AB316" i="14"/>
  <c r="A316" i="14"/>
  <c r="AB197" i="14"/>
  <c r="F198" i="14"/>
  <c r="A197" i="14"/>
  <c r="F35" i="14"/>
  <c r="A34" i="14"/>
  <c r="E264" i="14"/>
  <c r="A86" i="14"/>
  <c r="F87" i="14"/>
  <c r="D265" i="14"/>
  <c r="C266" i="14"/>
  <c r="P33" i="10" l="1"/>
  <c r="D34" i="10"/>
  <c r="AB267" i="14"/>
  <c r="A267" i="14"/>
  <c r="F268" i="14"/>
  <c r="BU329" i="14"/>
  <c r="E315" i="14"/>
  <c r="D316" i="14"/>
  <c r="C317" i="14"/>
  <c r="A33" i="5"/>
  <c r="Q32" i="5"/>
  <c r="A22" i="2"/>
  <c r="Q21" i="2"/>
  <c r="A317" i="14"/>
  <c r="F318" i="14"/>
  <c r="AB317" i="14"/>
  <c r="F88" i="14"/>
  <c r="A87" i="14"/>
  <c r="A35" i="14"/>
  <c r="F36" i="14"/>
  <c r="F199" i="14"/>
  <c r="AB198" i="14"/>
  <c r="A198" i="14"/>
  <c r="D266" i="14"/>
  <c r="C267" i="14"/>
  <c r="E265" i="14"/>
  <c r="D35" i="10" l="1"/>
  <c r="P34" i="10"/>
  <c r="Q33" i="5"/>
  <c r="A34" i="5"/>
  <c r="C318" i="14"/>
  <c r="D317" i="14"/>
  <c r="BU328" i="14"/>
  <c r="E316" i="14"/>
  <c r="F269" i="14"/>
  <c r="AB268" i="14"/>
  <c r="A268" i="14"/>
  <c r="Q22" i="2"/>
  <c r="A23" i="2"/>
  <c r="A199" i="14"/>
  <c r="F200" i="14"/>
  <c r="AB199" i="14"/>
  <c r="E266" i="14"/>
  <c r="F319" i="14"/>
  <c r="A318" i="14"/>
  <c r="AB318" i="14"/>
  <c r="A36" i="14"/>
  <c r="F37" i="14"/>
  <c r="C268" i="14"/>
  <c r="D267" i="14"/>
  <c r="A88" i="14"/>
  <c r="F89" i="14"/>
  <c r="P35" i="10" l="1"/>
  <c r="D36" i="10"/>
  <c r="BU327" i="14"/>
  <c r="E317" i="14"/>
  <c r="D318" i="14"/>
  <c r="C319" i="14"/>
  <c r="AB269" i="14"/>
  <c r="F270" i="14"/>
  <c r="A269" i="14"/>
  <c r="A24" i="2"/>
  <c r="Q23" i="2"/>
  <c r="A35" i="5"/>
  <c r="Q34" i="5"/>
  <c r="E267" i="14"/>
  <c r="A37" i="14"/>
  <c r="F38" i="14"/>
  <c r="C269" i="14"/>
  <c r="D268" i="14"/>
  <c r="A319" i="14"/>
  <c r="F320" i="14"/>
  <c r="AB319" i="14"/>
  <c r="F201" i="14"/>
  <c r="AB200" i="14"/>
  <c r="A200" i="14"/>
  <c r="A89" i="14"/>
  <c r="F90" i="14"/>
  <c r="Q35" i="5" l="1"/>
  <c r="A36" i="5"/>
  <c r="C320" i="14"/>
  <c r="D319" i="14"/>
  <c r="E318" i="14"/>
  <c r="BU326" i="14"/>
  <c r="P36" i="10"/>
  <c r="D37" i="10"/>
  <c r="F271" i="14"/>
  <c r="AB270" i="14"/>
  <c r="A270" i="14"/>
  <c r="A25" i="2"/>
  <c r="Q24" i="2"/>
  <c r="E268" i="14"/>
  <c r="A90" i="14"/>
  <c r="F91" i="14"/>
  <c r="C270" i="14"/>
  <c r="D269" i="14"/>
  <c r="F39" i="14"/>
  <c r="A38" i="14"/>
  <c r="AB201" i="14"/>
  <c r="F202" i="14"/>
  <c r="A201" i="14"/>
  <c r="F321" i="14"/>
  <c r="A320" i="14"/>
  <c r="AB320" i="14"/>
  <c r="F272" i="14" l="1"/>
  <c r="AB271" i="14"/>
  <c r="A271" i="14"/>
  <c r="D320" i="14"/>
  <c r="C321" i="14"/>
  <c r="E319" i="14"/>
  <c r="BU325" i="14"/>
  <c r="A37" i="5"/>
  <c r="Q36" i="5"/>
  <c r="Q25" i="2"/>
  <c r="A26" i="2"/>
  <c r="P37" i="10"/>
  <c r="D38" i="10"/>
  <c r="A91" i="14"/>
  <c r="F92" i="14"/>
  <c r="A321" i="14"/>
  <c r="AB321" i="14"/>
  <c r="F322" i="14"/>
  <c r="A202" i="14"/>
  <c r="AB202" i="14"/>
  <c r="F203" i="14"/>
  <c r="F40" i="14"/>
  <c r="A39" i="14"/>
  <c r="D270" i="14"/>
  <c r="C271" i="14"/>
  <c r="E269" i="14"/>
  <c r="D321" i="14" l="1"/>
  <c r="C322" i="14"/>
  <c r="P38" i="10"/>
  <c r="D39" i="10"/>
  <c r="BU324" i="14"/>
  <c r="E320" i="14"/>
  <c r="Q37" i="5"/>
  <c r="A38" i="5"/>
  <c r="A27" i="2"/>
  <c r="Q26" i="2"/>
  <c r="AB272" i="14"/>
  <c r="F273" i="14"/>
  <c r="A272" i="14"/>
  <c r="C272" i="14"/>
  <c r="D271" i="14"/>
  <c r="E270" i="14"/>
  <c r="AB203" i="14"/>
  <c r="A203" i="14"/>
  <c r="F204" i="14"/>
  <c r="F93" i="14"/>
  <c r="A92" i="14"/>
  <c r="A40" i="14"/>
  <c r="F41" i="14"/>
  <c r="A322" i="14"/>
  <c r="F323" i="14"/>
  <c r="AB322" i="14"/>
  <c r="Q27" i="2" l="1"/>
  <c r="A28" i="2"/>
  <c r="D40" i="10"/>
  <c r="P39" i="10"/>
  <c r="C323" i="14"/>
  <c r="D322" i="14"/>
  <c r="BU323" i="14"/>
  <c r="E321" i="14"/>
  <c r="Q38" i="5"/>
  <c r="A39" i="5"/>
  <c r="A273" i="14"/>
  <c r="F274" i="14"/>
  <c r="AB273" i="14"/>
  <c r="A323" i="14"/>
  <c r="F324" i="14"/>
  <c r="AB323" i="14"/>
  <c r="F205" i="14"/>
  <c r="A204" i="14"/>
  <c r="AB204" i="14"/>
  <c r="E271" i="14"/>
  <c r="D272" i="14"/>
  <c r="C273" i="14"/>
  <c r="A93" i="14"/>
  <c r="F94" i="14"/>
  <c r="F42" i="14"/>
  <c r="A41" i="14"/>
  <c r="AB274" i="14" l="1"/>
  <c r="A274" i="14"/>
  <c r="F275" i="14"/>
  <c r="BU322" i="14"/>
  <c r="E322" i="14"/>
  <c r="D323" i="14"/>
  <c r="C324" i="14"/>
  <c r="A40" i="5"/>
  <c r="Q39" i="5"/>
  <c r="D41" i="10"/>
  <c r="P40" i="10"/>
  <c r="Q28" i="2"/>
  <c r="A29" i="2"/>
  <c r="AB205" i="14"/>
  <c r="F206" i="14"/>
  <c r="A205" i="14"/>
  <c r="F325" i="14"/>
  <c r="AB324" i="14"/>
  <c r="A324" i="14"/>
  <c r="F43" i="14"/>
  <c r="A42" i="14"/>
  <c r="C274" i="14"/>
  <c r="D273" i="14"/>
  <c r="E272" i="14"/>
  <c r="A94" i="14"/>
  <c r="F95" i="14"/>
  <c r="A30" i="2" l="1"/>
  <c r="Q29" i="2"/>
  <c r="Q40" i="5"/>
  <c r="A41" i="5"/>
  <c r="C325" i="14"/>
  <c r="D324" i="14"/>
  <c r="BU321" i="14"/>
  <c r="E323" i="14"/>
  <c r="D42" i="10"/>
  <c r="P41" i="10"/>
  <c r="AB275" i="14"/>
  <c r="F276" i="14"/>
  <c r="A275" i="14"/>
  <c r="F207" i="14"/>
  <c r="A206" i="14"/>
  <c r="AB206" i="14"/>
  <c r="F44" i="14"/>
  <c r="A43" i="14"/>
  <c r="F96" i="14"/>
  <c r="A95" i="14"/>
  <c r="F326" i="14"/>
  <c r="A325" i="14"/>
  <c r="AB325" i="14"/>
  <c r="E273" i="14"/>
  <c r="C275" i="14"/>
  <c r="D274" i="14"/>
  <c r="E324" i="14" l="1"/>
  <c r="BU320" i="14"/>
  <c r="D325" i="14"/>
  <c r="C326" i="14"/>
  <c r="A276" i="14"/>
  <c r="AB276" i="14"/>
  <c r="F277" i="14"/>
  <c r="A31" i="2"/>
  <c r="Q30" i="2"/>
  <c r="Q41" i="5"/>
  <c r="A42" i="5"/>
  <c r="D43" i="10"/>
  <c r="P42" i="10"/>
  <c r="F327" i="14"/>
  <c r="AB326" i="14"/>
  <c r="A326" i="14"/>
  <c r="E274" i="14"/>
  <c r="F97" i="14"/>
  <c r="A96" i="14"/>
  <c r="F208" i="14"/>
  <c r="AB207" i="14"/>
  <c r="A207" i="14"/>
  <c r="C276" i="14"/>
  <c r="D275" i="14"/>
  <c r="F45" i="14"/>
  <c r="A44" i="14"/>
  <c r="AB277" i="14" l="1"/>
  <c r="F278" i="14"/>
  <c r="A277" i="14"/>
  <c r="BU319" i="14"/>
  <c r="E325" i="14"/>
  <c r="A43" i="5"/>
  <c r="Q42" i="5"/>
  <c r="Q31" i="2"/>
  <c r="A32" i="2"/>
  <c r="P43" i="10"/>
  <c r="D44" i="10"/>
  <c r="C327" i="14"/>
  <c r="D326" i="14"/>
  <c r="E275" i="14"/>
  <c r="A97" i="14"/>
  <c r="F98" i="14"/>
  <c r="AB327" i="14"/>
  <c r="F328" i="14"/>
  <c r="A327" i="14"/>
  <c r="D276" i="14"/>
  <c r="C277" i="14"/>
  <c r="F46" i="14"/>
  <c r="A45" i="14"/>
  <c r="F209" i="14"/>
  <c r="A208" i="14"/>
  <c r="AB208" i="14"/>
  <c r="A44" i="5" l="1"/>
  <c r="Q43" i="5"/>
  <c r="AB278" i="14"/>
  <c r="A278" i="14"/>
  <c r="F279" i="14"/>
  <c r="E326" i="14"/>
  <c r="BU318" i="14"/>
  <c r="H422" i="14"/>
  <c r="H430" i="14" s="1"/>
  <c r="H434" i="14" s="1"/>
  <c r="G422" i="14"/>
  <c r="G430" i="14" s="1"/>
  <c r="P422" i="14"/>
  <c r="P430" i="14" s="1"/>
  <c r="L422" i="14"/>
  <c r="L430" i="14" s="1"/>
  <c r="L434" i="14" s="1"/>
  <c r="T422" i="14"/>
  <c r="T430" i="14" s="1"/>
  <c r="T434" i="14" s="1"/>
  <c r="O422" i="14"/>
  <c r="O430" i="14" s="1"/>
  <c r="N422" i="14"/>
  <c r="N430" i="14" s="1"/>
  <c r="U422" i="14"/>
  <c r="U430" i="14" s="1"/>
  <c r="U434" i="14" s="1"/>
  <c r="M422" i="14"/>
  <c r="M430" i="14" s="1"/>
  <c r="K422" i="14"/>
  <c r="K430" i="14" s="1"/>
  <c r="I422" i="14"/>
  <c r="I430" i="14" s="1"/>
  <c r="J422" i="14"/>
  <c r="J430" i="14" s="1"/>
  <c r="C328" i="14"/>
  <c r="D327" i="14"/>
  <c r="P44" i="10"/>
  <c r="D45" i="10"/>
  <c r="A33" i="2"/>
  <c r="Q32" i="2"/>
  <c r="F47" i="14"/>
  <c r="A46" i="14"/>
  <c r="AB328" i="14"/>
  <c r="F329" i="14"/>
  <c r="A328" i="14"/>
  <c r="AB209" i="14"/>
  <c r="F210" i="14"/>
  <c r="A209" i="14"/>
  <c r="C278" i="14"/>
  <c r="D277" i="14"/>
  <c r="E276" i="14"/>
  <c r="F99" i="14"/>
  <c r="A98" i="14"/>
  <c r="AB279" i="14" l="1"/>
  <c r="A279" i="14"/>
  <c r="F280" i="14"/>
  <c r="AD284" i="14"/>
  <c r="AD291" i="14"/>
  <c r="AD296" i="14"/>
  <c r="AD279" i="14"/>
  <c r="AD295" i="14"/>
  <c r="AD288" i="14"/>
  <c r="AD281" i="14"/>
  <c r="AD283" i="14"/>
  <c r="AD290" i="14"/>
  <c r="AD278" i="14"/>
  <c r="AD292" i="14"/>
  <c r="AD286" i="14"/>
  <c r="AD293" i="14"/>
  <c r="AD282" i="14"/>
  <c r="AD277" i="14"/>
  <c r="AD294" i="14"/>
  <c r="AD285" i="14"/>
  <c r="AD289" i="14"/>
  <c r="AD287" i="14"/>
  <c r="AD280" i="14"/>
  <c r="ES259" i="14"/>
  <c r="ES296" i="14"/>
  <c r="ES288" i="14"/>
  <c r="ES283" i="14"/>
  <c r="ES249" i="14"/>
  <c r="ES267" i="14"/>
  <c r="ES281" i="14"/>
  <c r="ES264" i="14"/>
  <c r="ES291" i="14"/>
  <c r="ES275" i="14"/>
  <c r="ES250" i="14"/>
  <c r="ES261" i="14"/>
  <c r="ES274" i="14"/>
  <c r="ES258" i="14"/>
  <c r="ES277" i="14"/>
  <c r="ES287" i="14"/>
  <c r="ES295" i="14"/>
  <c r="ES272" i="14"/>
  <c r="ES265" i="14"/>
  <c r="ES271" i="14"/>
  <c r="ES286" i="14"/>
  <c r="ES269" i="14"/>
  <c r="ES290" i="14"/>
  <c r="ES292" i="14"/>
  <c r="ES256" i="14"/>
  <c r="ES252" i="14"/>
  <c r="ES253" i="14"/>
  <c r="ES254" i="14"/>
  <c r="ES284" i="14"/>
  <c r="ES285" i="14"/>
  <c r="ES289" i="14"/>
  <c r="ES293" i="14"/>
  <c r="ES10" i="14"/>
  <c r="ET10" i="14" s="1"/>
  <c r="ES294" i="14"/>
  <c r="ES255" i="14"/>
  <c r="ES273" i="14"/>
  <c r="ES270" i="14"/>
  <c r="ES262" i="14"/>
  <c r="ES248" i="14"/>
  <c r="ES280" i="14"/>
  <c r="ES257" i="14"/>
  <c r="ES263" i="14"/>
  <c r="ES268" i="14"/>
  <c r="ES251" i="14"/>
  <c r="ES282" i="14"/>
  <c r="ES266" i="14"/>
  <c r="ES278" i="14"/>
  <c r="ES279" i="14"/>
  <c r="ES260" i="14"/>
  <c r="ES276" i="14"/>
  <c r="A45" i="5"/>
  <c r="Q44" i="5"/>
  <c r="D46" i="10"/>
  <c r="P45" i="10"/>
  <c r="E327" i="14"/>
  <c r="BU317" i="14"/>
  <c r="Q422" i="14"/>
  <c r="Q430" i="14" s="1"/>
  <c r="C329" i="14"/>
  <c r="D328" i="14"/>
  <c r="A34" i="2"/>
  <c r="Q33" i="2"/>
  <c r="EA292" i="14"/>
  <c r="EA276" i="14"/>
  <c r="EA274" i="14"/>
  <c r="EA269" i="14"/>
  <c r="EA266" i="14"/>
  <c r="EA265" i="14"/>
  <c r="EA259" i="14"/>
  <c r="EA271" i="14"/>
  <c r="EA255" i="14"/>
  <c r="EA253" i="14"/>
  <c r="EA295" i="14"/>
  <c r="EA254" i="14"/>
  <c r="EA287" i="14"/>
  <c r="EA268" i="14"/>
  <c r="EA290" i="14"/>
  <c r="EA285" i="14"/>
  <c r="EA282" i="14"/>
  <c r="EA261" i="14"/>
  <c r="EA286" i="14"/>
  <c r="EA270" i="14"/>
  <c r="EA279" i="14"/>
  <c r="EA252" i="14"/>
  <c r="EA273" i="14"/>
  <c r="EA257" i="14"/>
  <c r="EA281" i="14"/>
  <c r="EA294" i="14"/>
  <c r="EA264" i="14"/>
  <c r="EA256" i="14"/>
  <c r="EA289" i="14"/>
  <c r="EA280" i="14"/>
  <c r="EA278" i="14"/>
  <c r="EA251" i="14"/>
  <c r="EA277" i="14"/>
  <c r="EA260" i="14"/>
  <c r="EA291" i="14"/>
  <c r="EA296" i="14"/>
  <c r="EA262" i="14"/>
  <c r="EA275" i="14"/>
  <c r="EA248" i="14"/>
  <c r="EA293" i="14"/>
  <c r="EA288" i="14"/>
  <c r="EA272" i="14"/>
  <c r="EA258" i="14"/>
  <c r="EA284" i="14"/>
  <c r="EA267" i="14"/>
  <c r="EA263" i="14"/>
  <c r="EA250" i="14"/>
  <c r="EA283" i="14"/>
  <c r="EA10" i="14"/>
  <c r="EB10" i="14" s="1"/>
  <c r="EA249" i="14"/>
  <c r="A329" i="14"/>
  <c r="AB329" i="14"/>
  <c r="F330" i="14"/>
  <c r="A210" i="14"/>
  <c r="F211" i="14"/>
  <c r="AB210" i="14"/>
  <c r="A99" i="14"/>
  <c r="F100" i="14"/>
  <c r="E277" i="14"/>
  <c r="F48" i="14"/>
  <c r="A47" i="14"/>
  <c r="D278" i="14"/>
  <c r="C279" i="14"/>
  <c r="C330" i="14" l="1"/>
  <c r="D329" i="14"/>
  <c r="AH292" i="14"/>
  <c r="AL292" i="14"/>
  <c r="AH290" i="14"/>
  <c r="AL290" i="14"/>
  <c r="AH280" i="14"/>
  <c r="AL280" i="14"/>
  <c r="AL283" i="14"/>
  <c r="AH283" i="14"/>
  <c r="Q45" i="5"/>
  <c r="A46" i="5"/>
  <c r="AL287" i="14"/>
  <c r="AH287" i="14"/>
  <c r="AL281" i="14"/>
  <c r="AH281" i="14"/>
  <c r="AL289" i="14"/>
  <c r="AH289" i="14"/>
  <c r="AH288" i="14"/>
  <c r="AL288" i="14"/>
  <c r="A280" i="14"/>
  <c r="F281" i="14"/>
  <c r="AB280" i="14"/>
  <c r="AH285" i="14"/>
  <c r="AL285" i="14"/>
  <c r="AL295" i="14"/>
  <c r="AH295" i="14"/>
  <c r="AH294" i="14"/>
  <c r="AL294" i="14"/>
  <c r="AH279" i="14"/>
  <c r="AL279" i="14"/>
  <c r="P46" i="10"/>
  <c r="D47" i="10"/>
  <c r="AH277" i="14"/>
  <c r="AL277" i="14"/>
  <c r="AH296" i="14"/>
  <c r="AL296" i="14"/>
  <c r="AH278" i="14"/>
  <c r="AL278" i="14"/>
  <c r="Q34" i="2"/>
  <c r="A35" i="2"/>
  <c r="AH282" i="14"/>
  <c r="AL282" i="14"/>
  <c r="AL291" i="14"/>
  <c r="AH291" i="14"/>
  <c r="AL293" i="14"/>
  <c r="AH293" i="14"/>
  <c r="AH284" i="14"/>
  <c r="AL284" i="14"/>
  <c r="BU316" i="14"/>
  <c r="E328" i="14"/>
  <c r="AL286" i="14"/>
  <c r="AH286" i="14"/>
  <c r="A100" i="14"/>
  <c r="F101" i="14"/>
  <c r="A211" i="14"/>
  <c r="F212" i="14"/>
  <c r="AB211" i="14"/>
  <c r="A48" i="14"/>
  <c r="F49" i="14"/>
  <c r="E278" i="14"/>
  <c r="D279" i="14"/>
  <c r="C280" i="14"/>
  <c r="AB330" i="14"/>
  <c r="A330" i="14"/>
  <c r="F331" i="14"/>
  <c r="Q35" i="2" l="1"/>
  <c r="A36" i="2"/>
  <c r="A281" i="14"/>
  <c r="F282" i="14"/>
  <c r="AB281" i="14"/>
  <c r="E329" i="14"/>
  <c r="BU315" i="14"/>
  <c r="D330" i="14"/>
  <c r="C331" i="14"/>
  <c r="P47" i="10"/>
  <c r="D48" i="10"/>
  <c r="A47" i="5"/>
  <c r="Q46" i="5"/>
  <c r="A331" i="14"/>
  <c r="AB331" i="14"/>
  <c r="F332" i="14"/>
  <c r="A49" i="14"/>
  <c r="F50" i="14"/>
  <c r="A212" i="14"/>
  <c r="AB212" i="14"/>
  <c r="F213" i="14"/>
  <c r="A101" i="14"/>
  <c r="F102" i="14"/>
  <c r="D280" i="14"/>
  <c r="C281" i="14"/>
  <c r="E279" i="14"/>
  <c r="Q36" i="2" l="1"/>
  <c r="A37" i="2"/>
  <c r="Q47" i="5"/>
  <c r="A48" i="5"/>
  <c r="C332" i="14"/>
  <c r="D331" i="14"/>
  <c r="F283" i="14"/>
  <c r="A282" i="14"/>
  <c r="AB282" i="14"/>
  <c r="D49" i="10"/>
  <c r="P48" i="10"/>
  <c r="BU314" i="14"/>
  <c r="E330" i="14"/>
  <c r="E280" i="14"/>
  <c r="D281" i="14"/>
  <c r="C282" i="14"/>
  <c r="AB213" i="14"/>
  <c r="A213" i="14"/>
  <c r="F214" i="14"/>
  <c r="A102" i="14"/>
  <c r="F103" i="14"/>
  <c r="F333" i="14"/>
  <c r="AB332" i="14"/>
  <c r="A332" i="14"/>
  <c r="A50" i="14"/>
  <c r="F51" i="14"/>
  <c r="BU313" i="14" l="1"/>
  <c r="E331" i="14"/>
  <c r="D332" i="14"/>
  <c r="C333" i="14"/>
  <c r="Q48" i="5"/>
  <c r="A49" i="5"/>
  <c r="Q37" i="2"/>
  <c r="A38" i="2"/>
  <c r="P49" i="10"/>
  <c r="D50" i="10"/>
  <c r="AB283" i="14"/>
  <c r="F284" i="14"/>
  <c r="A283" i="14"/>
  <c r="F52" i="14"/>
  <c r="A51" i="14"/>
  <c r="F334" i="14"/>
  <c r="A333" i="14"/>
  <c r="AB333" i="14"/>
  <c r="A103" i="14"/>
  <c r="F104" i="14"/>
  <c r="F215" i="14"/>
  <c r="A214" i="14"/>
  <c r="AB214" i="14"/>
  <c r="D282" i="14"/>
  <c r="C283" i="14"/>
  <c r="E281" i="14"/>
  <c r="AB284" i="14" l="1"/>
  <c r="A284" i="14"/>
  <c r="F285" i="14"/>
  <c r="Q49" i="5"/>
  <c r="A50" i="5"/>
  <c r="P50" i="10"/>
  <c r="D51" i="10"/>
  <c r="A39" i="2"/>
  <c r="Q38" i="2"/>
  <c r="D333" i="14"/>
  <c r="C334" i="14"/>
  <c r="E332" i="14"/>
  <c r="BU312" i="14"/>
  <c r="F216" i="14"/>
  <c r="A215" i="14"/>
  <c r="AB215" i="14"/>
  <c r="F335" i="14"/>
  <c r="AB334" i="14"/>
  <c r="A334" i="14"/>
  <c r="E282" i="14"/>
  <c r="A52" i="14"/>
  <c r="F53" i="14"/>
  <c r="C284" i="14"/>
  <c r="D283" i="14"/>
  <c r="A104" i="14"/>
  <c r="F105" i="14"/>
  <c r="D334" i="14" l="1"/>
  <c r="C335" i="14"/>
  <c r="BU311" i="14"/>
  <c r="E333" i="14"/>
  <c r="AB285" i="14"/>
  <c r="F286" i="14"/>
  <c r="A285" i="14"/>
  <c r="Q39" i="2"/>
  <c r="A40" i="2"/>
  <c r="Q50" i="5"/>
  <c r="A51" i="5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P51" i="10"/>
  <c r="D52" i="10"/>
  <c r="E283" i="14"/>
  <c r="D284" i="14"/>
  <c r="C285" i="14"/>
  <c r="F54" i="14"/>
  <c r="A53" i="14"/>
  <c r="A216" i="14"/>
  <c r="F217" i="14"/>
  <c r="AB216" i="14"/>
  <c r="A105" i="14"/>
  <c r="F106" i="14"/>
  <c r="AB335" i="14"/>
  <c r="F336" i="14"/>
  <c r="A335" i="14"/>
  <c r="A286" i="14" l="1"/>
  <c r="F287" i="14"/>
  <c r="AB286" i="14"/>
  <c r="Q40" i="2"/>
  <c r="A41" i="2"/>
  <c r="D53" i="10"/>
  <c r="P52" i="10"/>
  <c r="D335" i="14"/>
  <c r="C336" i="14"/>
  <c r="BU310" i="14"/>
  <c r="E334" i="14"/>
  <c r="AB336" i="14"/>
  <c r="F337" i="14"/>
  <c r="A336" i="14"/>
  <c r="C286" i="14"/>
  <c r="D285" i="14"/>
  <c r="E284" i="14"/>
  <c r="F55" i="14"/>
  <c r="A54" i="14"/>
  <c r="A106" i="14"/>
  <c r="F107" i="14"/>
  <c r="AB217" i="14"/>
  <c r="A217" i="14"/>
  <c r="F218" i="14"/>
  <c r="Q41" i="2" l="1"/>
  <c r="A42" i="2"/>
  <c r="C337" i="14"/>
  <c r="D336" i="14"/>
  <c r="BU309" i="14"/>
  <c r="E335" i="14"/>
  <c r="D54" i="10"/>
  <c r="P53" i="10"/>
  <c r="AB287" i="14"/>
  <c r="A287" i="14"/>
  <c r="F288" i="14"/>
  <c r="F219" i="14"/>
  <c r="A218" i="14"/>
  <c r="AB218" i="14"/>
  <c r="F108" i="14"/>
  <c r="A107" i="14"/>
  <c r="A337" i="14"/>
  <c r="BZ337" i="14" s="1"/>
  <c r="AB337" i="14"/>
  <c r="F338" i="14"/>
  <c r="F56" i="14"/>
  <c r="A55" i="14"/>
  <c r="D286" i="14"/>
  <c r="C287" i="14"/>
  <c r="E285" i="14"/>
  <c r="F289" i="14" l="1"/>
  <c r="A288" i="14"/>
  <c r="AB288" i="14"/>
  <c r="D337" i="14"/>
  <c r="C338" i="14"/>
  <c r="P54" i="10"/>
  <c r="D55" i="10"/>
  <c r="BU308" i="14"/>
  <c r="E336" i="14"/>
  <c r="Q42" i="2"/>
  <c r="A43" i="2"/>
  <c r="F57" i="14"/>
  <c r="A56" i="14"/>
  <c r="A338" i="14"/>
  <c r="BZ338" i="14" s="1"/>
  <c r="AB338" i="14"/>
  <c r="F339" i="14"/>
  <c r="A108" i="14"/>
  <c r="F109" i="14"/>
  <c r="EW337" i="14"/>
  <c r="EE337" i="14"/>
  <c r="D287" i="14"/>
  <c r="C288" i="14"/>
  <c r="E286" i="14"/>
  <c r="F220" i="14"/>
  <c r="AB219" i="14"/>
  <c r="A219" i="14"/>
  <c r="D338" i="14" l="1"/>
  <c r="C339" i="14"/>
  <c r="P55" i="10"/>
  <c r="D56" i="10"/>
  <c r="P56" i="10" s="1"/>
  <c r="E337" i="14"/>
  <c r="BU307" i="14"/>
  <c r="AB289" i="14"/>
  <c r="A289" i="14"/>
  <c r="F290" i="14"/>
  <c r="Q43" i="2"/>
  <c r="A44" i="2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F110" i="14"/>
  <c r="A109" i="14"/>
  <c r="E287" i="14"/>
  <c r="EW338" i="14"/>
  <c r="EE338" i="14"/>
  <c r="D288" i="14"/>
  <c r="C289" i="14"/>
  <c r="AB339" i="14"/>
  <c r="F340" i="14"/>
  <c r="A339" i="14"/>
  <c r="BZ339" i="14" s="1"/>
  <c r="A220" i="14"/>
  <c r="AB220" i="14"/>
  <c r="F221" i="14"/>
  <c r="F58" i="14"/>
  <c r="A57" i="14"/>
  <c r="C340" i="14" l="1"/>
  <c r="D339" i="14"/>
  <c r="BU306" i="14"/>
  <c r="E338" i="14"/>
  <c r="A290" i="14"/>
  <c r="AB290" i="14"/>
  <c r="F291" i="14"/>
  <c r="A58" i="14"/>
  <c r="F59" i="14"/>
  <c r="EE339" i="14"/>
  <c r="EW339" i="14"/>
  <c r="D289" i="14"/>
  <c r="C290" i="14"/>
  <c r="F222" i="14"/>
  <c r="A221" i="14"/>
  <c r="AB221" i="14"/>
  <c r="F341" i="14"/>
  <c r="A340" i="14"/>
  <c r="BZ340" i="14" s="1"/>
  <c r="AB340" i="14"/>
  <c r="E288" i="14"/>
  <c r="F111" i="14"/>
  <c r="A110" i="14"/>
  <c r="A291" i="14" l="1"/>
  <c r="F292" i="14"/>
  <c r="AB291" i="14"/>
  <c r="E339" i="14"/>
  <c r="BU305" i="14"/>
  <c r="D340" i="14"/>
  <c r="C341" i="14"/>
  <c r="F60" i="14"/>
  <c r="A59" i="14"/>
  <c r="AB222" i="14"/>
  <c r="A222" i="14"/>
  <c r="F223" i="14"/>
  <c r="EE340" i="14"/>
  <c r="EW340" i="14"/>
  <c r="F342" i="14"/>
  <c r="AB341" i="14"/>
  <c r="A341" i="14"/>
  <c r="BZ341" i="14" s="1"/>
  <c r="D290" i="14"/>
  <c r="C291" i="14"/>
  <c r="F112" i="14"/>
  <c r="A111" i="14"/>
  <c r="E289" i="14"/>
  <c r="C342" i="14" l="1"/>
  <c r="D341" i="14"/>
  <c r="AB292" i="14"/>
  <c r="A292" i="14"/>
  <c r="F293" i="14"/>
  <c r="BU304" i="14"/>
  <c r="E340" i="14"/>
  <c r="EE341" i="14"/>
  <c r="EW341" i="14"/>
  <c r="F61" i="14"/>
  <c r="A60" i="14"/>
  <c r="A112" i="14"/>
  <c r="F113" i="14"/>
  <c r="C292" i="14"/>
  <c r="D291" i="14"/>
  <c r="E290" i="14"/>
  <c r="A223" i="14"/>
  <c r="AB223" i="14"/>
  <c r="F224" i="14"/>
  <c r="F343" i="14"/>
  <c r="AB342" i="14"/>
  <c r="A342" i="14"/>
  <c r="BZ342" i="14" s="1"/>
  <c r="BU303" i="14" l="1"/>
  <c r="E341" i="14"/>
  <c r="D342" i="14"/>
  <c r="C343" i="14"/>
  <c r="AB293" i="14"/>
  <c r="F294" i="14"/>
  <c r="A293" i="14"/>
  <c r="F114" i="14"/>
  <c r="A113" i="14"/>
  <c r="A343" i="14"/>
  <c r="BZ343" i="14" s="1"/>
  <c r="AB343" i="14"/>
  <c r="F344" i="14"/>
  <c r="AB224" i="14"/>
  <c r="F225" i="14"/>
  <c r="A224" i="14"/>
  <c r="F62" i="14"/>
  <c r="A61" i="14"/>
  <c r="E291" i="14"/>
  <c r="D292" i="14"/>
  <c r="C293" i="14"/>
  <c r="EE342" i="14"/>
  <c r="EW342" i="14"/>
  <c r="E342" i="14" l="1"/>
  <c r="BU302" i="14"/>
  <c r="O443" i="14"/>
  <c r="O451" i="14" s="1"/>
  <c r="C344" i="14"/>
  <c r="D343" i="14"/>
  <c r="M443" i="14" s="1"/>
  <c r="M451" i="14" s="1"/>
  <c r="F295" i="14"/>
  <c r="A294" i="14"/>
  <c r="AB294" i="14"/>
  <c r="EW343" i="14"/>
  <c r="EE343" i="14"/>
  <c r="A225" i="14"/>
  <c r="F226" i="14"/>
  <c r="AB225" i="14"/>
  <c r="A114" i="14"/>
  <c r="F115" i="14"/>
  <c r="C294" i="14"/>
  <c r="D293" i="14"/>
  <c r="E292" i="14"/>
  <c r="A62" i="14"/>
  <c r="F63" i="14"/>
  <c r="F345" i="14"/>
  <c r="A344" i="14"/>
  <c r="BZ344" i="14" s="1"/>
  <c r="AB344" i="14"/>
  <c r="I443" i="14" l="1"/>
  <c r="I451" i="14" s="1"/>
  <c r="N443" i="14"/>
  <c r="N451" i="14" s="1"/>
  <c r="T443" i="14"/>
  <c r="T451" i="14" s="1"/>
  <c r="P443" i="14"/>
  <c r="P451" i="14" s="1"/>
  <c r="G443" i="14"/>
  <c r="G451" i="14" s="1"/>
  <c r="Q443" i="14"/>
  <c r="Q451" i="14" s="1"/>
  <c r="A295" i="14"/>
  <c r="AB295" i="14"/>
  <c r="F296" i="14"/>
  <c r="BU301" i="14"/>
  <c r="E343" i="14"/>
  <c r="L443" i="14"/>
  <c r="L451" i="14" s="1"/>
  <c r="D344" i="14"/>
  <c r="C345" i="14"/>
  <c r="H443" i="14"/>
  <c r="H451" i="14" s="1"/>
  <c r="U443" i="14"/>
  <c r="K443" i="14"/>
  <c r="K451" i="14" s="1"/>
  <c r="J443" i="14"/>
  <c r="J451" i="14" s="1"/>
  <c r="E293" i="14"/>
  <c r="D294" i="14"/>
  <c r="C295" i="14"/>
  <c r="A226" i="14"/>
  <c r="F227" i="14"/>
  <c r="AB226" i="14"/>
  <c r="EE344" i="14"/>
  <c r="EW344" i="14"/>
  <c r="A63" i="14"/>
  <c r="F64" i="14"/>
  <c r="A345" i="14"/>
  <c r="BZ345" i="14" s="1"/>
  <c r="AB345" i="14"/>
  <c r="F346" i="14"/>
  <c r="F116" i="14"/>
  <c r="A115" i="14"/>
  <c r="C346" i="14" l="1"/>
  <c r="D345" i="14"/>
  <c r="BU300" i="14"/>
  <c r="E344" i="14"/>
  <c r="A296" i="14"/>
  <c r="AB296" i="14"/>
  <c r="A116" i="14"/>
  <c r="F117" i="14"/>
  <c r="D295" i="14"/>
  <c r="C296" i="14"/>
  <c r="D296" i="14" s="1"/>
  <c r="AB346" i="14"/>
  <c r="A346" i="14"/>
  <c r="BZ346" i="14" s="1"/>
  <c r="F347" i="14"/>
  <c r="E294" i="14"/>
  <c r="F228" i="14"/>
  <c r="AB227" i="14"/>
  <c r="A227" i="14"/>
  <c r="A64" i="14"/>
  <c r="F65" i="14"/>
  <c r="EE345" i="14"/>
  <c r="EW345" i="14"/>
  <c r="BU299" i="14" l="1"/>
  <c r="E345" i="14"/>
  <c r="D346" i="14"/>
  <c r="C347" i="14"/>
  <c r="EW346" i="14"/>
  <c r="EE346" i="14"/>
  <c r="E296" i="14"/>
  <c r="BU348" i="14"/>
  <c r="I406" i="14"/>
  <c r="I414" i="14" s="1"/>
  <c r="O403" i="14"/>
  <c r="O411" i="14" s="1"/>
  <c r="N403" i="14"/>
  <c r="N411" i="14" s="1"/>
  <c r="I403" i="14"/>
  <c r="I411" i="14" s="1"/>
  <c r="H403" i="14"/>
  <c r="H411" i="14" s="1"/>
  <c r="H415" i="14" s="1"/>
  <c r="L403" i="14"/>
  <c r="L411" i="14" s="1"/>
  <c r="L415" i="14" s="1"/>
  <c r="J403" i="14"/>
  <c r="J411" i="14" s="1"/>
  <c r="O406" i="14"/>
  <c r="O414" i="14" s="1"/>
  <c r="M403" i="14"/>
  <c r="M411" i="14" s="1"/>
  <c r="Q406" i="14"/>
  <c r="Q414" i="14" s="1"/>
  <c r="H406" i="14"/>
  <c r="H414" i="14" s="1"/>
  <c r="P403" i="14"/>
  <c r="P411" i="14" s="1"/>
  <c r="M406" i="14"/>
  <c r="M414" i="14" s="1"/>
  <c r="G406" i="14"/>
  <c r="G414" i="14" s="1"/>
  <c r="P406" i="14"/>
  <c r="P414" i="14" s="1"/>
  <c r="N406" i="14"/>
  <c r="N414" i="14" s="1"/>
  <c r="K403" i="14"/>
  <c r="K411" i="14" s="1"/>
  <c r="T403" i="14"/>
  <c r="T411" i="14" s="1"/>
  <c r="T415" i="14" s="1"/>
  <c r="K406" i="14"/>
  <c r="K414" i="14" s="1"/>
  <c r="G403" i="14"/>
  <c r="G411" i="14" s="1"/>
  <c r="T406" i="14"/>
  <c r="T414" i="14" s="1"/>
  <c r="Q403" i="14"/>
  <c r="Q411" i="14" s="1"/>
  <c r="L406" i="14"/>
  <c r="L414" i="14" s="1"/>
  <c r="J406" i="14"/>
  <c r="J414" i="14" s="1"/>
  <c r="K405" i="14"/>
  <c r="K413" i="14" s="1"/>
  <c r="Q405" i="14"/>
  <c r="Q413" i="14" s="1"/>
  <c r="I405" i="14"/>
  <c r="I413" i="14" s="1"/>
  <c r="N405" i="14"/>
  <c r="N413" i="14" s="1"/>
  <c r="O405" i="14"/>
  <c r="O413" i="14" s="1"/>
  <c r="T405" i="14"/>
  <c r="T413" i="14" s="1"/>
  <c r="H404" i="14"/>
  <c r="H412" i="14" s="1"/>
  <c r="L405" i="14"/>
  <c r="L413" i="14" s="1"/>
  <c r="G405" i="14"/>
  <c r="G413" i="14" s="1"/>
  <c r="M405" i="14"/>
  <c r="M413" i="14" s="1"/>
  <c r="P405" i="14"/>
  <c r="P413" i="14" s="1"/>
  <c r="U403" i="14"/>
  <c r="U411" i="14" s="1"/>
  <c r="U415" i="14" s="1"/>
  <c r="I404" i="14"/>
  <c r="I412" i="14" s="1"/>
  <c r="J404" i="14"/>
  <c r="J412" i="14" s="1"/>
  <c r="J405" i="14"/>
  <c r="J413" i="14" s="1"/>
  <c r="H405" i="14"/>
  <c r="H413" i="14" s="1"/>
  <c r="Q404" i="14"/>
  <c r="Q412" i="14" s="1"/>
  <c r="L404" i="14"/>
  <c r="L412" i="14" s="1"/>
  <c r="O404" i="14"/>
  <c r="O412" i="14" s="1"/>
  <c r="K404" i="14"/>
  <c r="K412" i="14" s="1"/>
  <c r="M404" i="14"/>
  <c r="M412" i="14" s="1"/>
  <c r="T404" i="14"/>
  <c r="T412" i="14" s="1"/>
  <c r="P404" i="14"/>
  <c r="P412" i="14" s="1"/>
  <c r="G404" i="14"/>
  <c r="G412" i="14" s="1"/>
  <c r="N404" i="14"/>
  <c r="N412" i="14" s="1"/>
  <c r="J425" i="14"/>
  <c r="J433" i="14" s="1"/>
  <c r="Q425" i="14"/>
  <c r="Q433" i="14" s="1"/>
  <c r="L425" i="14"/>
  <c r="L433" i="14" s="1"/>
  <c r="P425" i="14"/>
  <c r="P433" i="14" s="1"/>
  <c r="O425" i="14"/>
  <c r="O433" i="14" s="1"/>
  <c r="EB386" i="14"/>
  <c r="K425" i="14"/>
  <c r="K433" i="14" s="1"/>
  <c r="T425" i="14"/>
  <c r="T433" i="14" s="1"/>
  <c r="M425" i="14"/>
  <c r="M433" i="14" s="1"/>
  <c r="I425" i="14"/>
  <c r="I433" i="14" s="1"/>
  <c r="N425" i="14"/>
  <c r="N433" i="14" s="1"/>
  <c r="G425" i="14"/>
  <c r="G433" i="14" s="1"/>
  <c r="ET386" i="14"/>
  <c r="H425" i="14"/>
  <c r="H433" i="14" s="1"/>
  <c r="K424" i="14"/>
  <c r="K432" i="14" s="1"/>
  <c r="I424" i="14"/>
  <c r="I432" i="14" s="1"/>
  <c r="H424" i="14"/>
  <c r="H432" i="14" s="1"/>
  <c r="G424" i="14"/>
  <c r="G432" i="14" s="1"/>
  <c r="M424" i="14"/>
  <c r="M432" i="14" s="1"/>
  <c r="P424" i="14"/>
  <c r="P432" i="14" s="1"/>
  <c r="L424" i="14"/>
  <c r="L432" i="14" s="1"/>
  <c r="O424" i="14"/>
  <c r="O432" i="14" s="1"/>
  <c r="J424" i="14"/>
  <c r="J432" i="14" s="1"/>
  <c r="N424" i="14"/>
  <c r="N432" i="14" s="1"/>
  <c r="Q423" i="14"/>
  <c r="Q431" i="14" s="1"/>
  <c r="T424" i="14"/>
  <c r="T432" i="14" s="1"/>
  <c r="Q424" i="14"/>
  <c r="Q432" i="14" s="1"/>
  <c r="J423" i="14"/>
  <c r="J431" i="14" s="1"/>
  <c r="K423" i="14"/>
  <c r="K431" i="14" s="1"/>
  <c r="H423" i="14"/>
  <c r="H431" i="14" s="1"/>
  <c r="G423" i="14"/>
  <c r="G431" i="14" s="1"/>
  <c r="ES386" i="14"/>
  <c r="I423" i="14"/>
  <c r="I431" i="14" s="1"/>
  <c r="M423" i="14"/>
  <c r="M431" i="14" s="1"/>
  <c r="T423" i="14"/>
  <c r="T431" i="14" s="1"/>
  <c r="N423" i="14"/>
  <c r="N431" i="14" s="1"/>
  <c r="EA386" i="14"/>
  <c r="L423" i="14"/>
  <c r="L431" i="14" s="1"/>
  <c r="O423" i="14"/>
  <c r="O431" i="14" s="1"/>
  <c r="P423" i="14"/>
  <c r="P431" i="14" s="1"/>
  <c r="F229" i="14"/>
  <c r="AB228" i="14"/>
  <c r="A228" i="14"/>
  <c r="A347" i="14"/>
  <c r="BZ347" i="14" s="1"/>
  <c r="F348" i="14"/>
  <c r="AB347" i="14"/>
  <c r="A65" i="14"/>
  <c r="F66" i="14"/>
  <c r="A66" i="14" s="1"/>
  <c r="A117" i="14"/>
  <c r="F118" i="14"/>
  <c r="E295" i="14"/>
  <c r="D347" i="14" l="1"/>
  <c r="Q442" i="14" s="1"/>
  <c r="Q450" i="14" s="1"/>
  <c r="C348" i="14"/>
  <c r="E346" i="14"/>
  <c r="BU298" i="14"/>
  <c r="K442" i="14"/>
  <c r="K450" i="14" s="1"/>
  <c r="A118" i="14"/>
  <c r="F119" i="14"/>
  <c r="AD238" i="14"/>
  <c r="AD254" i="14"/>
  <c r="AD270" i="14"/>
  <c r="AD235" i="14"/>
  <c r="AD172" i="14"/>
  <c r="AD204" i="14"/>
  <c r="AD187" i="14"/>
  <c r="AD241" i="14"/>
  <c r="AD257" i="14"/>
  <c r="AD273" i="14"/>
  <c r="AD219" i="14"/>
  <c r="AD178" i="14"/>
  <c r="AD210" i="14"/>
  <c r="AD193" i="14"/>
  <c r="AD246" i="14"/>
  <c r="AD264" i="14"/>
  <c r="AD231" i="14"/>
  <c r="AD168" i="14"/>
  <c r="AD208" i="14"/>
  <c r="AD195" i="14"/>
  <c r="AD247" i="14"/>
  <c r="AD265" i="14"/>
  <c r="AD232" i="14"/>
  <c r="AD170" i="14"/>
  <c r="AD206" i="14"/>
  <c r="AD240" i="14"/>
  <c r="AD260" i="14"/>
  <c r="AD229" i="14"/>
  <c r="AD176" i="14"/>
  <c r="AD167" i="14"/>
  <c r="AD207" i="14"/>
  <c r="AD255" i="14"/>
  <c r="AD226" i="14"/>
  <c r="AD214" i="14"/>
  <c r="AD202" i="14"/>
  <c r="AD197" i="14"/>
  <c r="AD242" i="14"/>
  <c r="AD262" i="14"/>
  <c r="AD233" i="14"/>
  <c r="AD180" i="14"/>
  <c r="AD171" i="14"/>
  <c r="AD237" i="14"/>
  <c r="AD259" i="14"/>
  <c r="AD228" i="14"/>
  <c r="AD215" i="14"/>
  <c r="AD211" i="14"/>
  <c r="AD201" i="14"/>
  <c r="AD250" i="14"/>
  <c r="AD272" i="14"/>
  <c r="AD222" i="14"/>
  <c r="AD192" i="14"/>
  <c r="AD183" i="14"/>
  <c r="AD245" i="14"/>
  <c r="AD267" i="14"/>
  <c r="AD217" i="14"/>
  <c r="AD186" i="14"/>
  <c r="AD177" i="14"/>
  <c r="AD252" i="14"/>
  <c r="AD274" i="14"/>
  <c r="AD224" i="14"/>
  <c r="AD196" i="14"/>
  <c r="AD191" i="14"/>
  <c r="AD249" i="14"/>
  <c r="AD269" i="14"/>
  <c r="AD221" i="14"/>
  <c r="AD190" i="14"/>
  <c r="AD181" i="14"/>
  <c r="AD276" i="14"/>
  <c r="AD200" i="14"/>
  <c r="AD251" i="14"/>
  <c r="AD223" i="14"/>
  <c r="AD185" i="14"/>
  <c r="AD236" i="14"/>
  <c r="AD227" i="14"/>
  <c r="AD213" i="14"/>
  <c r="AD253" i="14"/>
  <c r="AD225" i="14"/>
  <c r="AD189" i="14"/>
  <c r="AD244" i="14"/>
  <c r="AD218" i="14"/>
  <c r="AD175" i="14"/>
  <c r="AD261" i="14"/>
  <c r="AD174" i="14"/>
  <c r="AD205" i="14"/>
  <c r="AD258" i="14"/>
  <c r="AD212" i="14"/>
  <c r="AD203" i="14"/>
  <c r="AD275" i="14"/>
  <c r="AD198" i="14"/>
  <c r="AD220" i="14"/>
  <c r="AD263" i="14"/>
  <c r="AD209" i="14"/>
  <c r="AD216" i="14"/>
  <c r="AD271" i="14"/>
  <c r="AD184" i="14"/>
  <c r="AD230" i="14"/>
  <c r="AD188" i="14"/>
  <c r="AD234" i="14"/>
  <c r="AD248" i="14"/>
  <c r="AD179" i="14"/>
  <c r="AD182" i="14"/>
  <c r="AD256" i="14"/>
  <c r="AD199" i="14"/>
  <c r="AD194" i="14"/>
  <c r="AD268" i="14"/>
  <c r="AD239" i="14"/>
  <c r="AD243" i="14"/>
  <c r="AD169" i="14"/>
  <c r="AD173" i="14"/>
  <c r="AD266" i="14"/>
  <c r="EA390" i="14"/>
  <c r="EB410" i="14"/>
  <c r="F349" i="14"/>
  <c r="A348" i="14"/>
  <c r="BZ348" i="14" s="1"/>
  <c r="AB348" i="14"/>
  <c r="ES390" i="14"/>
  <c r="ET410" i="14"/>
  <c r="EE347" i="14"/>
  <c r="EW347" i="14"/>
  <c r="EA410" i="14"/>
  <c r="F230" i="14"/>
  <c r="AB229" i="14"/>
  <c r="A229" i="14"/>
  <c r="ES410" i="14"/>
  <c r="ET390" i="14"/>
  <c r="D348" i="14" l="1"/>
  <c r="C349" i="14"/>
  <c r="BU297" i="14"/>
  <c r="E347" i="14"/>
  <c r="I442" i="14"/>
  <c r="I450" i="14" s="1"/>
  <c r="P442" i="14"/>
  <c r="P450" i="14" s="1"/>
  <c r="T442" i="14"/>
  <c r="T450" i="14" s="1"/>
  <c r="M442" i="14"/>
  <c r="M450" i="14" s="1"/>
  <c r="O442" i="14"/>
  <c r="O450" i="14" s="1"/>
  <c r="N442" i="14"/>
  <c r="N450" i="14" s="1"/>
  <c r="G442" i="14"/>
  <c r="G450" i="14" s="1"/>
  <c r="U442" i="14"/>
  <c r="L442" i="14"/>
  <c r="L450" i="14" s="1"/>
  <c r="H442" i="14"/>
  <c r="H450" i="14" s="1"/>
  <c r="J442" i="14"/>
  <c r="J450" i="14" s="1"/>
  <c r="AL258" i="14"/>
  <c r="AH258" i="14"/>
  <c r="AL239" i="14"/>
  <c r="AH239" i="14"/>
  <c r="AL261" i="14"/>
  <c r="AH261" i="14"/>
  <c r="AH252" i="14"/>
  <c r="AL252" i="14"/>
  <c r="AL273" i="14"/>
  <c r="AH273" i="14"/>
  <c r="AH268" i="14"/>
  <c r="AL268" i="14"/>
  <c r="AH236" i="14"/>
  <c r="AL236" i="14"/>
  <c r="AL221" i="14"/>
  <c r="AH221" i="14"/>
  <c r="AL272" i="14"/>
  <c r="AH272" i="14"/>
  <c r="AH226" i="14"/>
  <c r="AL226" i="14"/>
  <c r="AH231" i="14"/>
  <c r="AL231" i="14"/>
  <c r="AH257" i="14"/>
  <c r="AL257" i="14"/>
  <c r="AL238" i="14"/>
  <c r="AH238" i="14"/>
  <c r="AL220" i="14"/>
  <c r="AH220" i="14"/>
  <c r="AH227" i="14"/>
  <c r="AL227" i="14"/>
  <c r="AH237" i="14"/>
  <c r="AL237" i="14"/>
  <c r="AH230" i="14"/>
  <c r="AL230" i="14"/>
  <c r="AL275" i="14"/>
  <c r="AH275" i="14"/>
  <c r="AL218" i="14"/>
  <c r="AH218" i="14"/>
  <c r="AL269" i="14"/>
  <c r="AH269" i="14"/>
  <c r="AL250" i="14"/>
  <c r="AH250" i="14"/>
  <c r="AL255" i="14"/>
  <c r="AH255" i="14"/>
  <c r="AL264" i="14"/>
  <c r="AH264" i="14"/>
  <c r="AH241" i="14"/>
  <c r="AL241" i="14"/>
  <c r="A119" i="14"/>
  <c r="F120" i="14"/>
  <c r="EW348" i="14"/>
  <c r="EE348" i="14"/>
  <c r="AH244" i="14"/>
  <c r="AL244" i="14"/>
  <c r="AL223" i="14"/>
  <c r="AH223" i="14"/>
  <c r="AL249" i="14"/>
  <c r="AH249" i="14"/>
  <c r="AL217" i="14"/>
  <c r="AH217" i="14"/>
  <c r="AL233" i="14"/>
  <c r="AH233" i="14"/>
  <c r="AH232" i="14"/>
  <c r="AL232" i="14"/>
  <c r="AL246" i="14"/>
  <c r="AH246" i="14"/>
  <c r="AL216" i="14"/>
  <c r="AH216" i="14"/>
  <c r="AL225" i="14"/>
  <c r="AH225" i="14"/>
  <c r="AH245" i="14"/>
  <c r="AL245" i="14"/>
  <c r="AL242" i="14"/>
  <c r="AH242" i="14"/>
  <c r="AH247" i="14"/>
  <c r="AL247" i="14"/>
  <c r="AE247" i="14"/>
  <c r="A230" i="14"/>
  <c r="AB230" i="14"/>
  <c r="F231" i="14"/>
  <c r="AL253" i="14"/>
  <c r="AH253" i="14"/>
  <c r="AH276" i="14"/>
  <c r="AL276" i="14"/>
  <c r="AL224" i="14"/>
  <c r="AH224" i="14"/>
  <c r="AH228" i="14"/>
  <c r="AL228" i="14"/>
  <c r="AH229" i="14"/>
  <c r="AL229" i="14"/>
  <c r="AL235" i="14"/>
  <c r="AH235" i="14"/>
  <c r="AH243" i="14"/>
  <c r="AL243" i="14"/>
  <c r="AL248" i="14"/>
  <c r="AH248" i="14"/>
  <c r="AL263" i="14"/>
  <c r="AH263" i="14"/>
  <c r="AL274" i="14"/>
  <c r="AH274" i="14"/>
  <c r="AL259" i="14"/>
  <c r="AH259" i="14"/>
  <c r="AH260" i="14"/>
  <c r="AL260" i="14"/>
  <c r="AH219" i="14"/>
  <c r="AL219" i="14"/>
  <c r="AL270" i="14"/>
  <c r="AH270" i="14"/>
  <c r="AH234" i="14"/>
  <c r="AL234" i="14"/>
  <c r="AH222" i="14"/>
  <c r="AL222" i="14"/>
  <c r="AL240" i="14"/>
  <c r="AH240" i="14"/>
  <c r="AH254" i="14"/>
  <c r="AL254" i="14"/>
  <c r="F350" i="14"/>
  <c r="A349" i="14"/>
  <c r="BZ349" i="14" s="1"/>
  <c r="AB349" i="14"/>
  <c r="AL266" i="14"/>
  <c r="AH266" i="14"/>
  <c r="AL256" i="14"/>
  <c r="AH256" i="14"/>
  <c r="AH271" i="14"/>
  <c r="AL271" i="14"/>
  <c r="AL251" i="14"/>
  <c r="AH251" i="14"/>
  <c r="AL267" i="14"/>
  <c r="AH267" i="14"/>
  <c r="AL262" i="14"/>
  <c r="AH262" i="14"/>
  <c r="AL265" i="14"/>
  <c r="AH265" i="14"/>
  <c r="C350" i="14" l="1"/>
  <c r="D349" i="14"/>
  <c r="E348" i="14"/>
  <c r="BU296" i="14"/>
  <c r="F232" i="14"/>
  <c r="AB231" i="14"/>
  <c r="A231" i="14"/>
  <c r="F121" i="14"/>
  <c r="A120" i="14"/>
  <c r="AL406" i="14"/>
  <c r="AL464" i="14"/>
  <c r="AL468" i="14" s="1"/>
  <c r="AM464" i="14"/>
  <c r="EW349" i="14"/>
  <c r="EE349" i="14"/>
  <c r="A350" i="14"/>
  <c r="BZ350" i="14" s="1"/>
  <c r="F351" i="14"/>
  <c r="AB350" i="14"/>
  <c r="AM406" i="14"/>
  <c r="E349" i="14" l="1"/>
  <c r="BU295" i="14"/>
  <c r="C351" i="14"/>
  <c r="D350" i="14"/>
  <c r="O441" i="14" s="1"/>
  <c r="O449" i="14" s="1"/>
  <c r="A121" i="14"/>
  <c r="F122" i="14"/>
  <c r="AM426" i="14"/>
  <c r="F233" i="14"/>
  <c r="A232" i="14"/>
  <c r="AB232" i="14"/>
  <c r="A351" i="14"/>
  <c r="BZ351" i="14" s="1"/>
  <c r="AB351" i="14"/>
  <c r="F352" i="14"/>
  <c r="DP350" i="14"/>
  <c r="EW350" i="14"/>
  <c r="EE350" i="14"/>
  <c r="DH350" i="14"/>
  <c r="AL426" i="14"/>
  <c r="AM468" i="14"/>
  <c r="AM469" i="14" s="1"/>
  <c r="AL477" i="14"/>
  <c r="T441" i="14" l="1"/>
  <c r="T449" i="14" s="1"/>
  <c r="H441" i="14"/>
  <c r="H449" i="14" s="1"/>
  <c r="J441" i="14"/>
  <c r="J449" i="14" s="1"/>
  <c r="L441" i="14"/>
  <c r="L449" i="14" s="1"/>
  <c r="Q441" i="14"/>
  <c r="Q449" i="14" s="1"/>
  <c r="K441" i="14"/>
  <c r="K449" i="14" s="1"/>
  <c r="M441" i="14"/>
  <c r="M449" i="14" s="1"/>
  <c r="U441" i="14"/>
  <c r="I441" i="14"/>
  <c r="I449" i="14" s="1"/>
  <c r="BU294" i="14"/>
  <c r="E350" i="14"/>
  <c r="N441" i="14"/>
  <c r="N449" i="14" s="1"/>
  <c r="C352" i="14"/>
  <c r="D351" i="14"/>
  <c r="P441" i="14"/>
  <c r="P449" i="14" s="1"/>
  <c r="G441" i="14"/>
  <c r="G449" i="14" s="1"/>
  <c r="A122" i="14"/>
  <c r="F123" i="14"/>
  <c r="AB233" i="14"/>
  <c r="F234" i="14"/>
  <c r="A233" i="14"/>
  <c r="AN426" i="14"/>
  <c r="EW351" i="14"/>
  <c r="DH351" i="14"/>
  <c r="DP351" i="14"/>
  <c r="EE351" i="14"/>
  <c r="A352" i="14"/>
  <c r="BZ352" i="14" s="1"/>
  <c r="F353" i="14"/>
  <c r="AB352" i="14"/>
  <c r="BU293" i="14" l="1"/>
  <c r="E351" i="14"/>
  <c r="C353" i="14"/>
  <c r="D352" i="14"/>
  <c r="A234" i="14"/>
  <c r="AB234" i="14"/>
  <c r="F235" i="14"/>
  <c r="F124" i="14"/>
  <c r="A123" i="14"/>
  <c r="AB353" i="14"/>
  <c r="F354" i="14"/>
  <c r="A353" i="14"/>
  <c r="BZ353" i="14" s="1"/>
  <c r="DP352" i="14"/>
  <c r="EW352" i="14"/>
  <c r="DH352" i="14"/>
  <c r="EE352" i="14"/>
  <c r="E352" i="14" l="1"/>
  <c r="BU292" i="14"/>
  <c r="N440" i="14"/>
  <c r="N448" i="14" s="1"/>
  <c r="C354" i="14"/>
  <c r="D353" i="14"/>
  <c r="M440" i="14" s="1"/>
  <c r="M448" i="14" s="1"/>
  <c r="DH353" i="14"/>
  <c r="EE353" i="14"/>
  <c r="EW353" i="14"/>
  <c r="DP353" i="14"/>
  <c r="A124" i="14"/>
  <c r="F125" i="14"/>
  <c r="F355" i="14"/>
  <c r="AB354" i="14"/>
  <c r="A354" i="14"/>
  <c r="BZ354" i="14" s="1"/>
  <c r="AB235" i="14"/>
  <c r="A235" i="14"/>
  <c r="F236" i="14"/>
  <c r="BU291" i="14" l="1"/>
  <c r="E353" i="14"/>
  <c r="T440" i="14"/>
  <c r="T448" i="14" s="1"/>
  <c r="T452" i="14" s="1"/>
  <c r="D354" i="14"/>
  <c r="C355" i="14"/>
  <c r="K440" i="14"/>
  <c r="K448" i="14" s="1"/>
  <c r="J440" i="14"/>
  <c r="J448" i="14" s="1"/>
  <c r="U440" i="14"/>
  <c r="U448" i="14" s="1"/>
  <c r="U452" i="14" s="1"/>
  <c r="L440" i="14"/>
  <c r="L448" i="14" s="1"/>
  <c r="L452" i="14" s="1"/>
  <c r="H440" i="14"/>
  <c r="H448" i="14" s="1"/>
  <c r="H452" i="14" s="1"/>
  <c r="G440" i="14"/>
  <c r="G448" i="14" s="1"/>
  <c r="O440" i="14"/>
  <c r="O448" i="14" s="1"/>
  <c r="Q440" i="14"/>
  <c r="Q448" i="14" s="1"/>
  <c r="P440" i="14"/>
  <c r="P448" i="14" s="1"/>
  <c r="I440" i="14"/>
  <c r="I448" i="14" s="1"/>
  <c r="A125" i="14"/>
  <c r="F126" i="14"/>
  <c r="A236" i="14"/>
  <c r="AB236" i="14"/>
  <c r="F237" i="14"/>
  <c r="DP354" i="14"/>
  <c r="EW354" i="14"/>
  <c r="DH354" i="14"/>
  <c r="EE354" i="14"/>
  <c r="AB355" i="14"/>
  <c r="A355" i="14"/>
  <c r="BZ355" i="14" s="1"/>
  <c r="F356" i="14"/>
  <c r="BU290" i="14" l="1"/>
  <c r="E354" i="14"/>
  <c r="AD439" i="14"/>
  <c r="AF439" i="14" s="1"/>
  <c r="EA321" i="14"/>
  <c r="EA303" i="14"/>
  <c r="EA322" i="14"/>
  <c r="EA311" i="14"/>
  <c r="EA309" i="14"/>
  <c r="EA319" i="14"/>
  <c r="EA299" i="14"/>
  <c r="EA310" i="14"/>
  <c r="EA301" i="14"/>
  <c r="EA320" i="14"/>
  <c r="EA306" i="14"/>
  <c r="EA314" i="14"/>
  <c r="EA300" i="14"/>
  <c r="EA305" i="14"/>
  <c r="EA316" i="14"/>
  <c r="EA298" i="14"/>
  <c r="EA302" i="14"/>
  <c r="EA307" i="14"/>
  <c r="EA318" i="14"/>
  <c r="EA312" i="14"/>
  <c r="EA297" i="14"/>
  <c r="EA315" i="14"/>
  <c r="EA317" i="14"/>
  <c r="EA304" i="14"/>
  <c r="EA308" i="14"/>
  <c r="EA313" i="14"/>
  <c r="ES311" i="14"/>
  <c r="ES321" i="14"/>
  <c r="ES312" i="14"/>
  <c r="ES309" i="14"/>
  <c r="ES298" i="14"/>
  <c r="ES314" i="14"/>
  <c r="ES310" i="14"/>
  <c r="ES307" i="14"/>
  <c r="ES320" i="14"/>
  <c r="ES299" i="14"/>
  <c r="ES315" i="14"/>
  <c r="ES303" i="14"/>
  <c r="ES305" i="14"/>
  <c r="ES302" i="14"/>
  <c r="ES297" i="14"/>
  <c r="ES318" i="14"/>
  <c r="ES319" i="14"/>
  <c r="ES316" i="14"/>
  <c r="ES301" i="14"/>
  <c r="ES317" i="14"/>
  <c r="ES306" i="14"/>
  <c r="ES300" i="14"/>
  <c r="ES308" i="14"/>
  <c r="ES313" i="14"/>
  <c r="ES322" i="14"/>
  <c r="ES304" i="14"/>
  <c r="AD316" i="14"/>
  <c r="AD318" i="14"/>
  <c r="AD300" i="14"/>
  <c r="AD306" i="14"/>
  <c r="AD321" i="14"/>
  <c r="AD309" i="14"/>
  <c r="AD315" i="14"/>
  <c r="AD299" i="14"/>
  <c r="AD305" i="14"/>
  <c r="AD308" i="14"/>
  <c r="AD298" i="14"/>
  <c r="AD313" i="14"/>
  <c r="AD304" i="14"/>
  <c r="AD303" i="14"/>
  <c r="AD322" i="14"/>
  <c r="AD310" i="14"/>
  <c r="AD312" i="14"/>
  <c r="AD311" i="14"/>
  <c r="AD317" i="14"/>
  <c r="AD320" i="14"/>
  <c r="AD314" i="14"/>
  <c r="AD297" i="14"/>
  <c r="AD302" i="14"/>
  <c r="AD319" i="14"/>
  <c r="AD307" i="14"/>
  <c r="AD301" i="14"/>
  <c r="D355" i="14"/>
  <c r="C356" i="14"/>
  <c r="DH355" i="14"/>
  <c r="EW355" i="14"/>
  <c r="DP355" i="14"/>
  <c r="EE355" i="14"/>
  <c r="A126" i="14"/>
  <c r="F127" i="14"/>
  <c r="A237" i="14"/>
  <c r="AB237" i="14"/>
  <c r="F238" i="14"/>
  <c r="F357" i="14"/>
  <c r="A356" i="14"/>
  <c r="BZ356" i="14" s="1"/>
  <c r="AB356" i="14"/>
  <c r="AL301" i="14" l="1"/>
  <c r="F8" i="30" s="1"/>
  <c r="AH301" i="14"/>
  <c r="AH307" i="14"/>
  <c r="AL307" i="14"/>
  <c r="F14" i="30" s="1"/>
  <c r="AH304" i="14"/>
  <c r="AL304" i="14"/>
  <c r="F11" i="30" s="1"/>
  <c r="AL316" i="14"/>
  <c r="F23" i="30" s="1"/>
  <c r="AH316" i="14"/>
  <c r="AL302" i="14"/>
  <c r="F9" i="30" s="1"/>
  <c r="AH302" i="14"/>
  <c r="AH298" i="14"/>
  <c r="AL298" i="14"/>
  <c r="F5" i="30" s="1"/>
  <c r="AL297" i="14"/>
  <c r="AH297" i="14"/>
  <c r="AL308" i="14"/>
  <c r="F15" i="30" s="1"/>
  <c r="AH308" i="14"/>
  <c r="AL313" i="14"/>
  <c r="F20" i="30" s="1"/>
  <c r="AH313" i="14"/>
  <c r="AH305" i="14"/>
  <c r="AL305" i="14"/>
  <c r="F12" i="30" s="1"/>
  <c r="AH314" i="14"/>
  <c r="AL314" i="14"/>
  <c r="F21" i="30" s="1"/>
  <c r="AL320" i="14"/>
  <c r="F27" i="30" s="1"/>
  <c r="AH320" i="14"/>
  <c r="AH315" i="14"/>
  <c r="AL315" i="14"/>
  <c r="F22" i="30" s="1"/>
  <c r="ET438" i="14"/>
  <c r="ET387" i="14"/>
  <c r="ES387" i="14"/>
  <c r="ET409" i="14" s="1"/>
  <c r="ES438" i="14"/>
  <c r="ES442" i="14" s="1"/>
  <c r="AL319" i="14"/>
  <c r="F26" i="30" s="1"/>
  <c r="AH319" i="14"/>
  <c r="AL317" i="14"/>
  <c r="F24" i="30" s="1"/>
  <c r="AH317" i="14"/>
  <c r="AH309" i="14"/>
  <c r="AL309" i="14"/>
  <c r="F16" i="30" s="1"/>
  <c r="AL299" i="14"/>
  <c r="F6" i="30" s="1"/>
  <c r="AH299" i="14"/>
  <c r="AL311" i="14"/>
  <c r="F18" i="30" s="1"/>
  <c r="AH311" i="14"/>
  <c r="AL312" i="14"/>
  <c r="F19" i="30" s="1"/>
  <c r="AH312" i="14"/>
  <c r="AH321" i="14"/>
  <c r="AL321" i="14"/>
  <c r="F28" i="30" s="1"/>
  <c r="C357" i="14"/>
  <c r="D356" i="14"/>
  <c r="AL310" i="14"/>
  <c r="F17" i="30" s="1"/>
  <c r="AH310" i="14"/>
  <c r="AL306" i="14"/>
  <c r="F13" i="30" s="1"/>
  <c r="AH306" i="14"/>
  <c r="E355" i="14"/>
  <c r="BU289" i="14"/>
  <c r="AD440" i="14"/>
  <c r="AF440" i="14" s="1"/>
  <c r="AH322" i="14"/>
  <c r="AL322" i="14"/>
  <c r="F29" i="30" s="1"/>
  <c r="AH300" i="14"/>
  <c r="AL300" i="14"/>
  <c r="F7" i="30" s="1"/>
  <c r="AL303" i="14"/>
  <c r="F10" i="30" s="1"/>
  <c r="AH303" i="14"/>
  <c r="AL318" i="14"/>
  <c r="F25" i="30" s="1"/>
  <c r="AH318" i="14"/>
  <c r="EA438" i="14"/>
  <c r="EA442" i="14" s="1"/>
  <c r="EA387" i="14"/>
  <c r="EB409" i="14" s="1"/>
  <c r="EB438" i="14"/>
  <c r="EB387" i="14"/>
  <c r="EW356" i="14"/>
  <c r="EE356" i="14"/>
  <c r="DH356" i="14"/>
  <c r="DP356" i="14"/>
  <c r="A238" i="14"/>
  <c r="AB238" i="14"/>
  <c r="F239" i="14"/>
  <c r="F128" i="14"/>
  <c r="A127" i="14"/>
  <c r="F358" i="14"/>
  <c r="AB357" i="14"/>
  <c r="A357" i="14"/>
  <c r="BZ357" i="14" s="1"/>
  <c r="F4" i="30" l="1"/>
  <c r="EA409" i="14"/>
  <c r="ES409" i="14"/>
  <c r="AD441" i="14"/>
  <c r="AF441" i="14" s="1"/>
  <c r="BU288" i="14"/>
  <c r="E356" i="14"/>
  <c r="N461" i="14"/>
  <c r="N469" i="14" s="1"/>
  <c r="H461" i="14"/>
  <c r="H469" i="14" s="1"/>
  <c r="J461" i="14"/>
  <c r="J469" i="14" s="1"/>
  <c r="L461" i="14"/>
  <c r="L469" i="14" s="1"/>
  <c r="I461" i="14"/>
  <c r="I469" i="14" s="1"/>
  <c r="M461" i="14"/>
  <c r="M469" i="14" s="1"/>
  <c r="D357" i="14"/>
  <c r="C358" i="14"/>
  <c r="EA451" i="14"/>
  <c r="EB442" i="14"/>
  <c r="EB443" i="14" s="1"/>
  <c r="K461" i="14"/>
  <c r="K469" i="14" s="1"/>
  <c r="ES451" i="14"/>
  <c r="ET442" i="14"/>
  <c r="ET443" i="14" s="1"/>
  <c r="AL465" i="14"/>
  <c r="AL407" i="14"/>
  <c r="AM425" i="14" s="1"/>
  <c r="AM407" i="14"/>
  <c r="AM465" i="14"/>
  <c r="F129" i="14"/>
  <c r="A128" i="14"/>
  <c r="F359" i="14"/>
  <c r="AB358" i="14"/>
  <c r="A358" i="14"/>
  <c r="BZ358" i="14" s="1"/>
  <c r="EE357" i="14"/>
  <c r="DP357" i="14"/>
  <c r="EW357" i="14"/>
  <c r="DH357" i="14"/>
  <c r="F240" i="14"/>
  <c r="AB239" i="14"/>
  <c r="A239" i="14"/>
  <c r="D358" i="14" l="1"/>
  <c r="C359" i="14"/>
  <c r="AD442" i="14"/>
  <c r="AF442" i="14" s="1"/>
  <c r="E357" i="14"/>
  <c r="BU287" i="14"/>
  <c r="G461" i="14"/>
  <c r="G469" i="14" s="1"/>
  <c r="P461" i="14"/>
  <c r="P469" i="14" s="1"/>
  <c r="U461" i="14"/>
  <c r="AL476" i="14"/>
  <c r="T461" i="14"/>
  <c r="T469" i="14" s="1"/>
  <c r="AL425" i="14"/>
  <c r="AN425" i="14" s="1"/>
  <c r="O461" i="14"/>
  <c r="O469" i="14" s="1"/>
  <c r="Q461" i="14"/>
  <c r="Q469" i="14" s="1"/>
  <c r="DH358" i="14"/>
  <c r="DP358" i="14"/>
  <c r="EW358" i="14"/>
  <c r="EE358" i="14"/>
  <c r="A240" i="14"/>
  <c r="F241" i="14"/>
  <c r="AB240" i="14"/>
  <c r="A359" i="14"/>
  <c r="BZ359" i="14" s="1"/>
  <c r="F360" i="14"/>
  <c r="AB359" i="14"/>
  <c r="A129" i="14"/>
  <c r="F130" i="14"/>
  <c r="C360" i="14" l="1"/>
  <c r="D359" i="14"/>
  <c r="AD443" i="14"/>
  <c r="AF443" i="14" s="1"/>
  <c r="BU286" i="14"/>
  <c r="E358" i="14"/>
  <c r="DH359" i="14"/>
  <c r="EW359" i="14"/>
  <c r="DP359" i="14"/>
  <c r="EE359" i="14"/>
  <c r="F131" i="14"/>
  <c r="A130" i="14"/>
  <c r="AB241" i="14"/>
  <c r="F242" i="14"/>
  <c r="A241" i="14"/>
  <c r="A360" i="14"/>
  <c r="F361" i="14"/>
  <c r="AB360" i="14"/>
  <c r="BU285" i="14" l="1"/>
  <c r="E359" i="14"/>
  <c r="AD444" i="14"/>
  <c r="AF444" i="14" s="1"/>
  <c r="D360" i="14"/>
  <c r="C361" i="14"/>
  <c r="A361" i="14"/>
  <c r="AB361" i="14"/>
  <c r="F362" i="14"/>
  <c r="CR360" i="14"/>
  <c r="BZ360" i="14"/>
  <c r="CK360" i="14"/>
  <c r="A242" i="14"/>
  <c r="F243" i="14"/>
  <c r="AB242" i="14"/>
  <c r="F132" i="14"/>
  <c r="A131" i="14"/>
  <c r="D361" i="14" l="1"/>
  <c r="C362" i="14"/>
  <c r="E360" i="14"/>
  <c r="BU284" i="14"/>
  <c r="AD445" i="14"/>
  <c r="AF445" i="14" s="1"/>
  <c r="I460" i="14"/>
  <c r="I468" i="14" s="1"/>
  <c r="Q460" i="14"/>
  <c r="Q468" i="14" s="1"/>
  <c r="G460" i="14"/>
  <c r="G468" i="14" s="1"/>
  <c r="N460" i="14"/>
  <c r="N468" i="14" s="1"/>
  <c r="J460" i="14"/>
  <c r="J468" i="14" s="1"/>
  <c r="L460" i="14"/>
  <c r="L468" i="14" s="1"/>
  <c r="U460" i="14"/>
  <c r="M460" i="14"/>
  <c r="M468" i="14" s="1"/>
  <c r="H460" i="14"/>
  <c r="H468" i="14" s="1"/>
  <c r="T460" i="14"/>
  <c r="T468" i="14" s="1"/>
  <c r="P460" i="14"/>
  <c r="P468" i="14" s="1"/>
  <c r="O460" i="14"/>
  <c r="O468" i="14" s="1"/>
  <c r="AB243" i="14"/>
  <c r="A243" i="14"/>
  <c r="F244" i="14"/>
  <c r="EE360" i="14"/>
  <c r="DP360" i="14"/>
  <c r="EW360" i="14"/>
  <c r="DH360" i="14"/>
  <c r="AB362" i="14"/>
  <c r="A362" i="14"/>
  <c r="F363" i="14"/>
  <c r="A132" i="14"/>
  <c r="F133" i="14"/>
  <c r="CR361" i="14"/>
  <c r="BZ361" i="14"/>
  <c r="CK361" i="14"/>
  <c r="D362" i="14" l="1"/>
  <c r="C363" i="14"/>
  <c r="AD446" i="14"/>
  <c r="AF446" i="14" s="1"/>
  <c r="E361" i="14"/>
  <c r="BU283" i="14"/>
  <c r="K460" i="14"/>
  <c r="K468" i="14" s="1"/>
  <c r="A244" i="14"/>
  <c r="AB244" i="14"/>
  <c r="F245" i="14"/>
  <c r="BZ362" i="14"/>
  <c r="CL362" i="14"/>
  <c r="CR362" i="14"/>
  <c r="CK362" i="14"/>
  <c r="A133" i="14"/>
  <c r="F134" i="14"/>
  <c r="A363" i="14"/>
  <c r="F364" i="14"/>
  <c r="AB363" i="14"/>
  <c r="EW361" i="14"/>
  <c r="DH361" i="14"/>
  <c r="EE361" i="14"/>
  <c r="DP361" i="14"/>
  <c r="D363" i="14" l="1"/>
  <c r="C364" i="14"/>
  <c r="E362" i="14"/>
  <c r="BU282" i="14"/>
  <c r="AD447" i="14"/>
  <c r="AF447" i="14" s="1"/>
  <c r="AB364" i="14"/>
  <c r="F365" i="14"/>
  <c r="A364" i="14"/>
  <c r="CL363" i="14"/>
  <c r="BZ363" i="14"/>
  <c r="CR363" i="14"/>
  <c r="CK363" i="14"/>
  <c r="AB245" i="14"/>
  <c r="F246" i="14"/>
  <c r="A245" i="14"/>
  <c r="EW362" i="14"/>
  <c r="DH362" i="14"/>
  <c r="DP362" i="14"/>
  <c r="EE362" i="14"/>
  <c r="A134" i="14"/>
  <c r="F135" i="14"/>
  <c r="C365" i="14" l="1"/>
  <c r="D364" i="14"/>
  <c r="AD448" i="14"/>
  <c r="AF448" i="14" s="1"/>
  <c r="E363" i="14"/>
  <c r="BU281" i="14"/>
  <c r="T459" i="14"/>
  <c r="T467" i="14" s="1"/>
  <c r="H459" i="14"/>
  <c r="H467" i="14" s="1"/>
  <c r="Q459" i="14"/>
  <c r="Q467" i="14" s="1"/>
  <c r="P459" i="14"/>
  <c r="P467" i="14" s="1"/>
  <c r="L459" i="14"/>
  <c r="L467" i="14" s="1"/>
  <c r="O459" i="14"/>
  <c r="O467" i="14" s="1"/>
  <c r="M459" i="14"/>
  <c r="M467" i="14" s="1"/>
  <c r="I459" i="14"/>
  <c r="I467" i="14" s="1"/>
  <c r="K459" i="14"/>
  <c r="K467" i="14" s="1"/>
  <c r="U459" i="14"/>
  <c r="J459" i="14"/>
  <c r="J467" i="14" s="1"/>
  <c r="N459" i="14"/>
  <c r="N467" i="14" s="1"/>
  <c r="G459" i="14"/>
  <c r="G467" i="14" s="1"/>
  <c r="F136" i="14"/>
  <c r="A135" i="14"/>
  <c r="DH363" i="14"/>
  <c r="EW363" i="14"/>
  <c r="EE363" i="14"/>
  <c r="DP363" i="14"/>
  <c r="A246" i="14"/>
  <c r="AB246" i="14"/>
  <c r="BZ364" i="14"/>
  <c r="CL364" i="14"/>
  <c r="CR364" i="14"/>
  <c r="CK364" i="14"/>
  <c r="F366" i="14"/>
  <c r="A365" i="14"/>
  <c r="AB365" i="14"/>
  <c r="E364" i="14" l="1"/>
  <c r="BU280" i="14"/>
  <c r="AD449" i="14"/>
  <c r="AF449" i="14" s="1"/>
  <c r="D365" i="14"/>
  <c r="C366" i="14"/>
  <c r="DH364" i="14"/>
  <c r="DP364" i="14"/>
  <c r="EE364" i="14"/>
  <c r="EW364" i="14"/>
  <c r="CR365" i="14"/>
  <c r="CL365" i="14"/>
  <c r="BZ365" i="14"/>
  <c r="CK365" i="14"/>
  <c r="A366" i="14"/>
  <c r="F367" i="14"/>
  <c r="AB366" i="14"/>
  <c r="A136" i="14"/>
  <c r="F137" i="14"/>
  <c r="BU279" i="14" l="1"/>
  <c r="AD450" i="14"/>
  <c r="AF450" i="14" s="1"/>
  <c r="E365" i="14"/>
  <c r="C367" i="14"/>
  <c r="D366" i="14"/>
  <c r="AB367" i="14"/>
  <c r="A367" i="14"/>
  <c r="F368" i="14"/>
  <c r="CR366" i="14"/>
  <c r="BZ366" i="14"/>
  <c r="CL366" i="14"/>
  <c r="CK366" i="14"/>
  <c r="A137" i="14"/>
  <c r="F138" i="14"/>
  <c r="EW365" i="14"/>
  <c r="DP365" i="14"/>
  <c r="DH365" i="14"/>
  <c r="EE365" i="14"/>
  <c r="D367" i="14" l="1"/>
  <c r="C368" i="14"/>
  <c r="E366" i="14"/>
  <c r="BU278" i="14"/>
  <c r="AD451" i="14"/>
  <c r="AF451" i="14" s="1"/>
  <c r="I458" i="14"/>
  <c r="I466" i="14" s="1"/>
  <c r="H458" i="14"/>
  <c r="H466" i="14" s="1"/>
  <c r="H470" i="14" s="1"/>
  <c r="Q458" i="14"/>
  <c r="Q466" i="14" s="1"/>
  <c r="P458" i="14"/>
  <c r="P466" i="14" s="1"/>
  <c r="L458" i="14"/>
  <c r="L466" i="14" s="1"/>
  <c r="L470" i="14" s="1"/>
  <c r="G458" i="14"/>
  <c r="G466" i="14" s="1"/>
  <c r="K458" i="14"/>
  <c r="K466" i="14" s="1"/>
  <c r="N458" i="14"/>
  <c r="N466" i="14" s="1"/>
  <c r="T458" i="14"/>
  <c r="T466" i="14" s="1"/>
  <c r="T470" i="14" s="1"/>
  <c r="J458" i="14"/>
  <c r="J466" i="14" s="1"/>
  <c r="O458" i="14"/>
  <c r="O466" i="14" s="1"/>
  <c r="U458" i="14"/>
  <c r="U466" i="14" s="1"/>
  <c r="U470" i="14" s="1"/>
  <c r="M458" i="14"/>
  <c r="M466" i="14" s="1"/>
  <c r="A138" i="14"/>
  <c r="F139" i="14"/>
  <c r="BZ367" i="14"/>
  <c r="CL367" i="14"/>
  <c r="CR367" i="14"/>
  <c r="CK367" i="14"/>
  <c r="EW366" i="14"/>
  <c r="DH366" i="14"/>
  <c r="DP366" i="14"/>
  <c r="EE366" i="14"/>
  <c r="AB368" i="14"/>
  <c r="F369" i="14"/>
  <c r="A368" i="14"/>
  <c r="ES329" i="14" l="1"/>
  <c r="ES323" i="14"/>
  <c r="ES335" i="14"/>
  <c r="ES334" i="14"/>
  <c r="ES331" i="14"/>
  <c r="ES330" i="14"/>
  <c r="ES333" i="14"/>
  <c r="ES326" i="14"/>
  <c r="ES327" i="14"/>
  <c r="ES324" i="14"/>
  <c r="ES336" i="14"/>
  <c r="ES328" i="14"/>
  <c r="ES332" i="14"/>
  <c r="ES325" i="14"/>
  <c r="EA331" i="14"/>
  <c r="EA333" i="14"/>
  <c r="EA325" i="14"/>
  <c r="EA326" i="14"/>
  <c r="EA327" i="14"/>
  <c r="EA332" i="14"/>
  <c r="EA328" i="14"/>
  <c r="EA335" i="14"/>
  <c r="EA329" i="14"/>
  <c r="EA334" i="14"/>
  <c r="EA323" i="14"/>
  <c r="EA336" i="14"/>
  <c r="EA330" i="14"/>
  <c r="EA324" i="14"/>
  <c r="AD334" i="14"/>
  <c r="AD323" i="14"/>
  <c r="AD330" i="14"/>
  <c r="AD324" i="14"/>
  <c r="AD335" i="14"/>
  <c r="AD327" i="14"/>
  <c r="AD329" i="14"/>
  <c r="AD331" i="14"/>
  <c r="AD333" i="14"/>
  <c r="AD332" i="14"/>
  <c r="AD326" i="14"/>
  <c r="AD328" i="14"/>
  <c r="AD325" i="14"/>
  <c r="AD336" i="14"/>
  <c r="D368" i="14"/>
  <c r="C369" i="14"/>
  <c r="AD452" i="14"/>
  <c r="AF452" i="14" s="1"/>
  <c r="AF453" i="14" s="1"/>
  <c r="E367" i="14"/>
  <c r="BU277" i="14"/>
  <c r="A139" i="14"/>
  <c r="F140" i="14"/>
  <c r="BZ368" i="14"/>
  <c r="CL368" i="14"/>
  <c r="CR368" i="14"/>
  <c r="CK368" i="14"/>
  <c r="DP367" i="14"/>
  <c r="DH367" i="14"/>
  <c r="EW367" i="14"/>
  <c r="EE367" i="14"/>
  <c r="AB369" i="14"/>
  <c r="A369" i="14"/>
  <c r="F370" i="14"/>
  <c r="AH327" i="14" l="1"/>
  <c r="AL327" i="14"/>
  <c r="F34" i="30" s="1"/>
  <c r="AH324" i="14"/>
  <c r="AL324" i="14"/>
  <c r="F31" i="30" s="1"/>
  <c r="AL330" i="14"/>
  <c r="F37" i="30" s="1"/>
  <c r="AH330" i="14"/>
  <c r="AH336" i="14"/>
  <c r="AL336" i="14"/>
  <c r="F43" i="30" s="1"/>
  <c r="AL323" i="14"/>
  <c r="AH323" i="14"/>
  <c r="AL325" i="14"/>
  <c r="F32" i="30" s="1"/>
  <c r="AH325" i="14"/>
  <c r="AH334" i="14"/>
  <c r="AL334" i="14"/>
  <c r="F41" i="30" s="1"/>
  <c r="E368" i="14"/>
  <c r="BU276" i="14"/>
  <c r="AL328" i="14"/>
  <c r="F35" i="30" s="1"/>
  <c r="AH328" i="14"/>
  <c r="AL335" i="14"/>
  <c r="F42" i="30" s="1"/>
  <c r="AH335" i="14"/>
  <c r="AL326" i="14"/>
  <c r="F33" i="30" s="1"/>
  <c r="AH326" i="14"/>
  <c r="C370" i="14"/>
  <c r="D369" i="14"/>
  <c r="AL332" i="14"/>
  <c r="F39" i="30" s="1"/>
  <c r="AH332" i="14"/>
  <c r="ET439" i="14"/>
  <c r="ET419" i="14"/>
  <c r="ES431" i="14" s="1"/>
  <c r="ET388" i="14"/>
  <c r="ES388" i="14"/>
  <c r="ET408" i="14" s="1"/>
  <c r="ES439" i="14"/>
  <c r="AH333" i="14"/>
  <c r="AL333" i="14"/>
  <c r="F40" i="30" s="1"/>
  <c r="AH331" i="14"/>
  <c r="AL331" i="14"/>
  <c r="F38" i="30" s="1"/>
  <c r="AL329" i="14"/>
  <c r="F36" i="30" s="1"/>
  <c r="AH329" i="14"/>
  <c r="EB419" i="14"/>
  <c r="EA431" i="14" s="1"/>
  <c r="EB439" i="14"/>
  <c r="EA439" i="14"/>
  <c r="EB388" i="14"/>
  <c r="EA388" i="14"/>
  <c r="EB408" i="14" s="1"/>
  <c r="EW368" i="14"/>
  <c r="DP368" i="14"/>
  <c r="EE368" i="14"/>
  <c r="DH368" i="14"/>
  <c r="A370" i="14"/>
  <c r="AB370" i="14"/>
  <c r="F371" i="14"/>
  <c r="CR369" i="14"/>
  <c r="CL369" i="14"/>
  <c r="BZ369" i="14"/>
  <c r="CK369" i="14"/>
  <c r="A140" i="14"/>
  <c r="F141" i="14"/>
  <c r="F30" i="30" l="1"/>
  <c r="ES450" i="14"/>
  <c r="E369" i="14"/>
  <c r="BU275" i="14"/>
  <c r="D370" i="14"/>
  <c r="C371" i="14"/>
  <c r="ES408" i="14"/>
  <c r="AL408" i="14"/>
  <c r="AM424" i="14" s="1"/>
  <c r="AM447" i="14"/>
  <c r="AL459" i="14" s="1"/>
  <c r="AM408" i="14"/>
  <c r="EA450" i="14"/>
  <c r="EA408" i="14"/>
  <c r="DP369" i="14"/>
  <c r="DH369" i="14"/>
  <c r="EW369" i="14"/>
  <c r="EE369" i="14"/>
  <c r="CL370" i="14"/>
  <c r="CR370" i="14"/>
  <c r="BZ370" i="14"/>
  <c r="CK370" i="14"/>
  <c r="A141" i="14"/>
  <c r="F142" i="14"/>
  <c r="AB371" i="14"/>
  <c r="F372" i="14"/>
  <c r="A371" i="14"/>
  <c r="AL424" i="14" l="1"/>
  <c r="AN424" i="14" s="1"/>
  <c r="D371" i="14"/>
  <c r="C372" i="14"/>
  <c r="E370" i="14"/>
  <c r="BU274" i="14"/>
  <c r="BZ371" i="14"/>
  <c r="CR371" i="14"/>
  <c r="CL371" i="14"/>
  <c r="CK371" i="14"/>
  <c r="A142" i="14"/>
  <c r="F143" i="14"/>
  <c r="AB372" i="14"/>
  <c r="A372" i="14"/>
  <c r="F373" i="14"/>
  <c r="EE370" i="14"/>
  <c r="DH370" i="14"/>
  <c r="DP370" i="14"/>
  <c r="EW370" i="14"/>
  <c r="C373" i="14" l="1"/>
  <c r="D372" i="14"/>
  <c r="BU273" i="14"/>
  <c r="E371" i="14"/>
  <c r="A373" i="14"/>
  <c r="F374" i="14"/>
  <c r="AB373" i="14"/>
  <c r="A143" i="14"/>
  <c r="F144" i="14"/>
  <c r="CL372" i="14"/>
  <c r="CR372" i="14"/>
  <c r="BZ372" i="14"/>
  <c r="CK372" i="14"/>
  <c r="DP371" i="14"/>
  <c r="DH371" i="14"/>
  <c r="EE371" i="14"/>
  <c r="EW371" i="14"/>
  <c r="E372" i="14" l="1"/>
  <c r="BU272" i="14"/>
  <c r="D373" i="14"/>
  <c r="C374" i="14"/>
  <c r="DP372" i="14"/>
  <c r="EE372" i="14"/>
  <c r="EW372" i="14"/>
  <c r="DH372" i="14"/>
  <c r="F145" i="14"/>
  <c r="A144" i="14"/>
  <c r="F375" i="14"/>
  <c r="AB374" i="14"/>
  <c r="A374" i="14"/>
  <c r="BZ373" i="14"/>
  <c r="CL373" i="14"/>
  <c r="CR373" i="14"/>
  <c r="CK373" i="14"/>
  <c r="D374" i="14" l="1"/>
  <c r="C375" i="14"/>
  <c r="E373" i="14"/>
  <c r="BU271" i="14"/>
  <c r="AB375" i="14"/>
  <c r="A375" i="14"/>
  <c r="F376" i="14"/>
  <c r="DP373" i="14"/>
  <c r="EE373" i="14"/>
  <c r="EW373" i="14"/>
  <c r="DH373" i="14"/>
  <c r="CL374" i="14"/>
  <c r="CR374" i="14"/>
  <c r="BZ374" i="14"/>
  <c r="CK374" i="14"/>
  <c r="A145" i="14"/>
  <c r="F146" i="14"/>
  <c r="E374" i="14" l="1"/>
  <c r="BU270" i="14"/>
  <c r="C376" i="14"/>
  <c r="D375" i="14"/>
  <c r="AB376" i="14"/>
  <c r="A376" i="14"/>
  <c r="F377" i="14"/>
  <c r="A146" i="14"/>
  <c r="F147" i="14"/>
  <c r="EE374" i="14"/>
  <c r="DH374" i="14"/>
  <c r="DP374" i="14"/>
  <c r="EW374" i="14"/>
  <c r="CL375" i="14"/>
  <c r="BZ375" i="14"/>
  <c r="CR375" i="14"/>
  <c r="CK375" i="14"/>
  <c r="BU269" i="14" l="1"/>
  <c r="E375" i="14"/>
  <c r="C377" i="14"/>
  <c r="D376" i="14"/>
  <c r="F148" i="14"/>
  <c r="A147" i="14"/>
  <c r="CL376" i="14"/>
  <c r="CR376" i="14"/>
  <c r="BZ376" i="14"/>
  <c r="CK376" i="14"/>
  <c r="A377" i="14"/>
  <c r="F378" i="14"/>
  <c r="AB377" i="14"/>
  <c r="EE375" i="14"/>
  <c r="DH375" i="14"/>
  <c r="DP375" i="14"/>
  <c r="EW375" i="14"/>
  <c r="BU268" i="14" l="1"/>
  <c r="E376" i="14"/>
  <c r="D377" i="14"/>
  <c r="C378" i="14"/>
  <c r="DH376" i="14"/>
  <c r="EE376" i="14"/>
  <c r="EW376" i="14"/>
  <c r="DP376" i="14"/>
  <c r="F379" i="14"/>
  <c r="A378" i="14"/>
  <c r="AB378" i="14"/>
  <c r="BZ377" i="14"/>
  <c r="CR377" i="14"/>
  <c r="CL377" i="14"/>
  <c r="CK377" i="14"/>
  <c r="F149" i="14"/>
  <c r="A148" i="14"/>
  <c r="D378" i="14" l="1"/>
  <c r="C379" i="14"/>
  <c r="E377" i="14"/>
  <c r="BU267" i="14"/>
  <c r="BZ378" i="14"/>
  <c r="CL378" i="14"/>
  <c r="CR378" i="14"/>
  <c r="CK378" i="14"/>
  <c r="EW377" i="14"/>
  <c r="DH377" i="14"/>
  <c r="EE377" i="14"/>
  <c r="DP377" i="14"/>
  <c r="A149" i="14"/>
  <c r="F150" i="14"/>
  <c r="F380" i="14"/>
  <c r="A379" i="14"/>
  <c r="AB379" i="14"/>
  <c r="C380" i="14" l="1"/>
  <c r="D379" i="14"/>
  <c r="E378" i="14"/>
  <c r="BU266" i="14"/>
  <c r="AB380" i="14"/>
  <c r="A380" i="14"/>
  <c r="F381" i="14"/>
  <c r="BZ379" i="14"/>
  <c r="CR379" i="14"/>
  <c r="CL379" i="14"/>
  <c r="CK379" i="14"/>
  <c r="A150" i="14"/>
  <c r="F151" i="14"/>
  <c r="EE378" i="14"/>
  <c r="EW378" i="14"/>
  <c r="DH378" i="14"/>
  <c r="DP378" i="14"/>
  <c r="BU265" i="14" l="1"/>
  <c r="E379" i="14"/>
  <c r="D380" i="14"/>
  <c r="C381" i="14"/>
  <c r="F382" i="14"/>
  <c r="AB381" i="14"/>
  <c r="A381" i="14"/>
  <c r="BZ380" i="14"/>
  <c r="CL380" i="14"/>
  <c r="CR380" i="14"/>
  <c r="CK380" i="14"/>
  <c r="CM384" i="14" s="1"/>
  <c r="A151" i="14"/>
  <c r="F152" i="14"/>
  <c r="DH379" i="14"/>
  <c r="DP379" i="14"/>
  <c r="D381" i="14" l="1"/>
  <c r="C382" i="14"/>
  <c r="E380" i="14"/>
  <c r="BU264" i="14"/>
  <c r="DP380" i="14"/>
  <c r="DH380" i="14"/>
  <c r="A152" i="14"/>
  <c r="F153" i="14"/>
  <c r="CR381" i="14"/>
  <c r="CL381" i="14"/>
  <c r="CK381" i="14"/>
  <c r="CM383" i="14" s="1"/>
  <c r="F383" i="14"/>
  <c r="AB382" i="14"/>
  <c r="A382" i="14"/>
  <c r="E381" i="14" l="1"/>
  <c r="BU263" i="14"/>
  <c r="D382" i="14"/>
  <c r="C383" i="14"/>
  <c r="DB369" i="14"/>
  <c r="DB362" i="14"/>
  <c r="F384" i="14"/>
  <c r="AB383" i="14"/>
  <c r="A383" i="14"/>
  <c r="CL382" i="14"/>
  <c r="CR382" i="14"/>
  <c r="CK382" i="14"/>
  <c r="F154" i="14"/>
  <c r="A153" i="14"/>
  <c r="D383" i="14" l="1"/>
  <c r="C384" i="14"/>
  <c r="BU262" i="14"/>
  <c r="E382" i="14"/>
  <c r="CK388" i="14"/>
  <c r="CM387" i="14"/>
  <c r="F385" i="14"/>
  <c r="A384" i="14"/>
  <c r="AB384" i="14"/>
  <c r="A154" i="14"/>
  <c r="F155" i="14"/>
  <c r="D384" i="14" l="1"/>
  <c r="C385" i="14"/>
  <c r="BU261" i="14"/>
  <c r="E383" i="14"/>
  <c r="F386" i="14"/>
  <c r="A385" i="14"/>
  <c r="AB385" i="14"/>
  <c r="A155" i="14"/>
  <c r="F156" i="14"/>
  <c r="C386" i="14" l="1"/>
  <c r="D385" i="14"/>
  <c r="E384" i="14"/>
  <c r="BU260" i="14"/>
  <c r="A386" i="14"/>
  <c r="AB386" i="14"/>
  <c r="F387" i="14"/>
  <c r="F157" i="14"/>
  <c r="A156" i="14"/>
  <c r="D386" i="14" l="1"/>
  <c r="C387" i="14"/>
  <c r="BU259" i="14"/>
  <c r="E385" i="14"/>
  <c r="F388" i="14"/>
  <c r="A387" i="14"/>
  <c r="AB387" i="14"/>
  <c r="A157" i="14"/>
  <c r="F158" i="14"/>
  <c r="D387" i="14" l="1"/>
  <c r="C388" i="14"/>
  <c r="BU258" i="14"/>
  <c r="E386" i="14"/>
  <c r="L479" i="14"/>
  <c r="L487" i="14" s="1"/>
  <c r="O479" i="14"/>
  <c r="O487" i="14" s="1"/>
  <c r="M479" i="14"/>
  <c r="M487" i="14" s="1"/>
  <c r="Q479" i="14"/>
  <c r="Q487" i="14" s="1"/>
  <c r="U479" i="14"/>
  <c r="P479" i="14"/>
  <c r="P487" i="14" s="1"/>
  <c r="A158" i="14"/>
  <c r="F159" i="14"/>
  <c r="AB388" i="14"/>
  <c r="A388" i="14"/>
  <c r="F389" i="14"/>
  <c r="D388" i="14" l="1"/>
  <c r="C389" i="14"/>
  <c r="E387" i="14"/>
  <c r="BU257" i="14"/>
  <c r="T498" i="14"/>
  <c r="T506" i="14" s="1"/>
  <c r="G498" i="14"/>
  <c r="G506" i="14" s="1"/>
  <c r="N479" i="14"/>
  <c r="N487" i="14" s="1"/>
  <c r="J479" i="14"/>
  <c r="J487" i="14" s="1"/>
  <c r="K479" i="14"/>
  <c r="K487" i="14" s="1"/>
  <c r="G479" i="14"/>
  <c r="G487" i="14" s="1"/>
  <c r="T479" i="14"/>
  <c r="T487" i="14" s="1"/>
  <c r="I479" i="14"/>
  <c r="I487" i="14" s="1"/>
  <c r="H479" i="14"/>
  <c r="H487" i="14" s="1"/>
  <c r="A159" i="14"/>
  <c r="F160" i="14"/>
  <c r="AB389" i="14"/>
  <c r="A389" i="14"/>
  <c r="F390" i="14"/>
  <c r="D389" i="14" l="1"/>
  <c r="C390" i="14"/>
  <c r="BU256" i="14"/>
  <c r="E388" i="14"/>
  <c r="A160" i="14"/>
  <c r="F161" i="14"/>
  <c r="F391" i="14"/>
  <c r="A390" i="14"/>
  <c r="AB390" i="14"/>
  <c r="C391" i="14" l="1"/>
  <c r="D390" i="14"/>
  <c r="BU255" i="14"/>
  <c r="E389" i="14"/>
  <c r="A161" i="14"/>
  <c r="F162" i="14"/>
  <c r="F392" i="14"/>
  <c r="A391" i="14"/>
  <c r="AB391" i="14"/>
  <c r="E390" i="14" l="1"/>
  <c r="BU254" i="14"/>
  <c r="L478" i="14"/>
  <c r="L486" i="14" s="1"/>
  <c r="Q478" i="14"/>
  <c r="Q486" i="14" s="1"/>
  <c r="D391" i="14"/>
  <c r="M478" i="14" s="1"/>
  <c r="M486" i="14" s="1"/>
  <c r="C392" i="14"/>
  <c r="F393" i="14"/>
  <c r="A392" i="14"/>
  <c r="AB392" i="14"/>
  <c r="F163" i="14"/>
  <c r="A162" i="14"/>
  <c r="E391" i="14" l="1"/>
  <c r="BU253" i="14"/>
  <c r="P478" i="14"/>
  <c r="P486" i="14" s="1"/>
  <c r="C393" i="14"/>
  <c r="D392" i="14"/>
  <c r="J478" i="14"/>
  <c r="J486" i="14" s="1"/>
  <c r="H478" i="14"/>
  <c r="H486" i="14" s="1"/>
  <c r="K478" i="14"/>
  <c r="K486" i="14" s="1"/>
  <c r="T497" i="14"/>
  <c r="T505" i="14" s="1"/>
  <c r="G478" i="14"/>
  <c r="G486" i="14" s="1"/>
  <c r="G497" i="14"/>
  <c r="G505" i="14" s="1"/>
  <c r="N478" i="14"/>
  <c r="N486" i="14" s="1"/>
  <c r="U478" i="14"/>
  <c r="T478" i="14"/>
  <c r="T486" i="14" s="1"/>
  <c r="I478" i="14"/>
  <c r="I486" i="14" s="1"/>
  <c r="O478" i="14"/>
  <c r="O486" i="14" s="1"/>
  <c r="F164" i="14"/>
  <c r="A163" i="14"/>
  <c r="F394" i="14"/>
  <c r="A393" i="14"/>
  <c r="AB393" i="14"/>
  <c r="E392" i="14" l="1"/>
  <c r="BU252" i="14"/>
  <c r="D393" i="14"/>
  <c r="C394" i="14"/>
  <c r="F395" i="14"/>
  <c r="AB394" i="14"/>
  <c r="A394" i="14"/>
  <c r="A164" i="14"/>
  <c r="F165" i="14"/>
  <c r="D394" i="14" l="1"/>
  <c r="C395" i="14"/>
  <c r="E393" i="14"/>
  <c r="BU251" i="14"/>
  <c r="L477" i="14"/>
  <c r="L485" i="14" s="1"/>
  <c r="K477" i="14"/>
  <c r="K485" i="14" s="1"/>
  <c r="I477" i="14"/>
  <c r="I485" i="14" s="1"/>
  <c r="T477" i="14"/>
  <c r="T485" i="14" s="1"/>
  <c r="J477" i="14"/>
  <c r="J485" i="14" s="1"/>
  <c r="M477" i="14"/>
  <c r="M485" i="14" s="1"/>
  <c r="H477" i="14"/>
  <c r="H485" i="14" s="1"/>
  <c r="Q477" i="14"/>
  <c r="Q485" i="14" s="1"/>
  <c r="O477" i="14"/>
  <c r="O485" i="14" s="1"/>
  <c r="G496" i="14"/>
  <c r="G504" i="14" s="1"/>
  <c r="N477" i="14"/>
  <c r="N485" i="14" s="1"/>
  <c r="P477" i="14"/>
  <c r="P485" i="14" s="1"/>
  <c r="U477" i="14"/>
  <c r="T496" i="14"/>
  <c r="T504" i="14" s="1"/>
  <c r="F166" i="14"/>
  <c r="A166" i="14" s="1"/>
  <c r="A165" i="14"/>
  <c r="F396" i="14"/>
  <c r="AB395" i="14"/>
  <c r="A395" i="14"/>
  <c r="D395" i="14" l="1"/>
  <c r="C396" i="14"/>
  <c r="BU250" i="14"/>
  <c r="E394" i="14"/>
  <c r="G477" i="14"/>
  <c r="G485" i="14" s="1"/>
  <c r="F397" i="14"/>
  <c r="A396" i="14"/>
  <c r="AB396" i="14"/>
  <c r="D396" i="14" l="1"/>
  <c r="C397" i="14"/>
  <c r="D397" i="14" s="1"/>
  <c r="AI264" i="14" s="1"/>
  <c r="E395" i="14"/>
  <c r="BU249" i="14"/>
  <c r="EB249" i="14"/>
  <c r="AM252" i="14"/>
  <c r="AM253" i="14"/>
  <c r="EB336" i="14"/>
  <c r="EB316" i="14"/>
  <c r="EB296" i="14"/>
  <c r="EB262" i="14"/>
  <c r="N497" i="14"/>
  <c r="N505" i="14" s="1"/>
  <c r="AM268" i="14"/>
  <c r="AO268" i="14" s="1"/>
  <c r="AP268" i="14" s="1"/>
  <c r="AM240" i="14"/>
  <c r="AI304" i="14"/>
  <c r="AM311" i="14"/>
  <c r="EB291" i="14"/>
  <c r="ET275" i="14"/>
  <c r="AI275" i="14"/>
  <c r="AM279" i="14"/>
  <c r="EB335" i="14"/>
  <c r="EB330" i="14"/>
  <c r="EB305" i="14"/>
  <c r="ET286" i="14"/>
  <c r="ET269" i="14"/>
  <c r="EB257" i="14"/>
  <c r="AM288" i="14"/>
  <c r="AO288" i="14" s="1"/>
  <c r="AP288" i="14" s="1"/>
  <c r="AI256" i="14"/>
  <c r="AI290" i="14"/>
  <c r="AI261" i="14"/>
  <c r="ET335" i="14"/>
  <c r="AM309" i="14"/>
  <c r="EB324" i="14"/>
  <c r="EB303" i="14"/>
  <c r="Q476" i="14"/>
  <c r="Q484" i="14" s="1"/>
  <c r="L496" i="14"/>
  <c r="L504" i="14" s="1"/>
  <c r="EB258" i="14"/>
  <c r="AI244" i="14"/>
  <c r="AI238" i="14"/>
  <c r="AM291" i="14"/>
  <c r="AM319" i="14"/>
  <c r="AM329" i="14"/>
  <c r="ET315" i="14"/>
  <c r="EB285" i="14"/>
  <c r="EB272" i="14"/>
  <c r="EB261" i="14"/>
  <c r="ET272" i="14"/>
  <c r="AM303" i="14"/>
  <c r="AM273" i="14"/>
  <c r="AO273" i="14" s="1"/>
  <c r="AP273" i="14" s="1"/>
  <c r="AM230" i="14"/>
  <c r="AI294" i="14"/>
  <c r="AM298" i="14"/>
  <c r="AM306" i="14"/>
  <c r="EB327" i="14"/>
  <c r="ET303" i="14"/>
  <c r="EB283" i="14"/>
  <c r="P476" i="14"/>
  <c r="P484" i="14" s="1"/>
  <c r="EB266" i="14"/>
  <c r="N495" i="14"/>
  <c r="N503" i="14" s="1"/>
  <c r="ET282" i="14"/>
  <c r="J495" i="14"/>
  <c r="J503" i="14" s="1"/>
  <c r="AI317" i="14"/>
  <c r="ET299" i="14"/>
  <c r="AM286" i="14"/>
  <c r="AI233" i="14"/>
  <c r="AM226" i="14"/>
  <c r="AI227" i="14"/>
  <c r="AM267" i="14"/>
  <c r="AM218" i="14"/>
  <c r="AI309" i="14"/>
  <c r="AI300" i="14"/>
  <c r="EB329" i="14"/>
  <c r="ET329" i="14"/>
  <c r="AM326" i="14"/>
  <c r="AM331" i="14"/>
  <c r="ET327" i="14"/>
  <c r="EB308" i="14"/>
  <c r="ET301" i="14"/>
  <c r="ET295" i="14"/>
  <c r="EB289" i="14"/>
  <c r="ET284" i="14"/>
  <c r="L476" i="14"/>
  <c r="L484" i="14" s="1"/>
  <c r="L488" i="14" s="1"/>
  <c r="ET271" i="14"/>
  <c r="ET267" i="14"/>
  <c r="EB264" i="14"/>
  <c r="P497" i="14"/>
  <c r="P505" i="14" s="1"/>
  <c r="EB259" i="14"/>
  <c r="I495" i="14"/>
  <c r="I503" i="14" s="1"/>
  <c r="EB295" i="14"/>
  <c r="K497" i="14"/>
  <c r="K505" i="14" s="1"/>
  <c r="AI282" i="14"/>
  <c r="AI312" i="14"/>
  <c r="EB306" i="14"/>
  <c r="AM262" i="14"/>
  <c r="AI247" i="14"/>
  <c r="AI292" i="14"/>
  <c r="AI240" i="14"/>
  <c r="AI288" i="14"/>
  <c r="AM275" i="14"/>
  <c r="AI280" i="14"/>
  <c r="AI279" i="14"/>
  <c r="AM237" i="14"/>
  <c r="AI295" i="14"/>
  <c r="AM271" i="14"/>
  <c r="AM292" i="14"/>
  <c r="AO292" i="14" s="1"/>
  <c r="AP292" i="14" s="1"/>
  <c r="AM281" i="14"/>
  <c r="AM234" i="14"/>
  <c r="AM317" i="14"/>
  <c r="ET332" i="14"/>
  <c r="AM321" i="14"/>
  <c r="AM307" i="14"/>
  <c r="AI306" i="14"/>
  <c r="AM322" i="14"/>
  <c r="AI336" i="14"/>
  <c r="AI327" i="14"/>
  <c r="EB328" i="14"/>
  <c r="ET320" i="14"/>
  <c r="EB315" i="14"/>
  <c r="ET307" i="14"/>
  <c r="EB300" i="14"/>
  <c r="EB293" i="14"/>
  <c r="ET288" i="14"/>
  <c r="EB281" i="14"/>
  <c r="U476" i="14"/>
  <c r="U484" i="14" s="1"/>
  <c r="U488" i="14" s="1"/>
  <c r="ET324" i="14"/>
  <c r="ET274" i="14"/>
  <c r="EB267" i="14"/>
  <c r="M498" i="14"/>
  <c r="M506" i="14" s="1"/>
  <c r="EB263" i="14"/>
  <c r="Q495" i="14"/>
  <c r="Q503" i="14" s="1"/>
  <c r="EB278" i="14"/>
  <c r="ET251" i="14"/>
  <c r="AI245" i="14"/>
  <c r="AI308" i="14"/>
  <c r="ET287" i="14"/>
  <c r="J497" i="14"/>
  <c r="J505" i="14" s="1"/>
  <c r="AM224" i="14"/>
  <c r="AM269" i="14"/>
  <c r="AO269" i="14" s="1"/>
  <c r="AP269" i="14" s="1"/>
  <c r="AM265" i="14"/>
  <c r="AO265" i="14" s="1"/>
  <c r="AP265" i="14" s="1"/>
  <c r="AI242" i="14"/>
  <c r="AI251" i="14"/>
  <c r="AI293" i="14"/>
  <c r="AI284" i="14"/>
  <c r="AM247" i="14"/>
  <c r="AM276" i="14"/>
  <c r="AO276" i="14" s="1"/>
  <c r="AP276" i="14" s="1"/>
  <c r="AM272" i="14"/>
  <c r="AO272" i="14" s="1"/>
  <c r="AP272" i="14" s="1"/>
  <c r="AM255" i="14"/>
  <c r="AM219" i="14"/>
  <c r="AM239" i="14"/>
  <c r="AM284" i="14"/>
  <c r="ET333" i="14"/>
  <c r="AI302" i="14"/>
  <c r="AI311" i="14"/>
  <c r="AI331" i="14"/>
  <c r="AI298" i="14"/>
  <c r="AM297" i="14"/>
  <c r="AI325" i="14"/>
  <c r="AI330" i="14"/>
  <c r="ET326" i="14"/>
  <c r="EB318" i="14"/>
  <c r="EB313" i="14"/>
  <c r="EB307" i="14"/>
  <c r="EB301" i="14"/>
  <c r="G476" i="14"/>
  <c r="G484" i="14" s="1"/>
  <c r="ET264" i="14"/>
  <c r="AM264" i="14"/>
  <c r="AI334" i="14"/>
  <c r="J476" i="14"/>
  <c r="J484" i="14" s="1"/>
  <c r="AM238" i="14"/>
  <c r="AM280" i="14"/>
  <c r="AI229" i="14"/>
  <c r="AI246" i="14"/>
  <c r="AM244" i="14"/>
  <c r="AM245" i="14"/>
  <c r="AM295" i="14"/>
  <c r="AO295" i="14" s="1"/>
  <c r="AP295" i="14" s="1"/>
  <c r="AI278" i="14"/>
  <c r="AI283" i="14"/>
  <c r="AI271" i="14"/>
  <c r="AM220" i="14"/>
  <c r="AI232" i="14"/>
  <c r="AI252" i="14"/>
  <c r="AI262" i="14"/>
  <c r="AM313" i="14"/>
  <c r="AM308" i="14"/>
  <c r="AO308" i="14" s="1"/>
  <c r="AP308" i="14" s="1"/>
  <c r="AI322" i="14"/>
  <c r="AI333" i="14"/>
  <c r="AM315" i="14"/>
  <c r="AM316" i="14"/>
  <c r="AI332" i="14"/>
  <c r="AI328" i="14"/>
  <c r="ET325" i="14"/>
  <c r="EB320" i="14"/>
  <c r="EB312" i="14"/>
  <c r="ET302" i="14"/>
  <c r="ET300" i="14"/>
  <c r="ET296" i="14"/>
  <c r="EB287" i="14"/>
  <c r="ET283" i="14"/>
  <c r="EB277" i="14"/>
  <c r="T476" i="14"/>
  <c r="T484" i="14" s="1"/>
  <c r="T488" i="14" s="1"/>
  <c r="ET270" i="14"/>
  <c r="H498" i="14"/>
  <c r="H506" i="14" s="1"/>
  <c r="ET262" i="14"/>
  <c r="ET261" i="14"/>
  <c r="ET260" i="14"/>
  <c r="ET258" i="14"/>
  <c r="AI257" i="14"/>
  <c r="AM225" i="14"/>
  <c r="AM294" i="14"/>
  <c r="AI241" i="14"/>
  <c r="EB317" i="14"/>
  <c r="AI221" i="14"/>
  <c r="AM229" i="14"/>
  <c r="AM287" i="14"/>
  <c r="AO287" i="14" s="1"/>
  <c r="AP287" i="14" s="1"/>
  <c r="AM256" i="14"/>
  <c r="AO256" i="14" s="1"/>
  <c r="AP256" i="14" s="1"/>
  <c r="AM278" i="14"/>
  <c r="AI260" i="14"/>
  <c r="AI230" i="14"/>
  <c r="AM235" i="14"/>
  <c r="AM249" i="14"/>
  <c r="AM217" i="14"/>
  <c r="AI274" i="14"/>
  <c r="AI281" i="14"/>
  <c r="AI277" i="14"/>
  <c r="AI250" i="14"/>
  <c r="ET334" i="14"/>
  <c r="EB333" i="14"/>
  <c r="AI299" i="14"/>
  <c r="AI320" i="14"/>
  <c r="AM323" i="14"/>
  <c r="AO323" i="14" s="1"/>
  <c r="AP323" i="14" s="1"/>
  <c r="AI305" i="14"/>
  <c r="AM328" i="14"/>
  <c r="ET328" i="14"/>
  <c r="EB322" i="14"/>
  <c r="ET317" i="14"/>
  <c r="EB311" i="14"/>
  <c r="ET304" i="14"/>
  <c r="EB299" i="14"/>
  <c r="ET294" i="14"/>
  <c r="EB288" i="14"/>
  <c r="ET281" i="14"/>
  <c r="ET277" i="14"/>
  <c r="EB273" i="14"/>
  <c r="EB271" i="14"/>
  <c r="O498" i="14"/>
  <c r="O506" i="14" s="1"/>
  <c r="L497" i="14"/>
  <c r="L505" i="14" s="1"/>
  <c r="I497" i="14"/>
  <c r="I505" i="14" s="1"/>
  <c r="K496" i="14"/>
  <c r="K504" i="14" s="1"/>
  <c r="H495" i="14"/>
  <c r="H503" i="14" s="1"/>
  <c r="M496" i="14"/>
  <c r="M504" i="14" s="1"/>
  <c r="EB269" i="14"/>
  <c r="J496" i="14"/>
  <c r="J504" i="14" s="1"/>
  <c r="EB254" i="14"/>
  <c r="AM293" i="14"/>
  <c r="AM336" i="14"/>
  <c r="I496" i="14"/>
  <c r="I504" i="14" s="1"/>
  <c r="AB397" i="14"/>
  <c r="A397" i="14"/>
  <c r="AO317" i="14" l="1"/>
  <c r="AP317" i="14" s="1"/>
  <c r="AO329" i="14"/>
  <c r="AP329" i="14" s="1"/>
  <c r="AO322" i="14"/>
  <c r="AP322" i="14" s="1"/>
  <c r="EB319" i="14"/>
  <c r="AM221" i="14"/>
  <c r="J498" i="14"/>
  <c r="J506" i="14" s="1"/>
  <c r="H497" i="14"/>
  <c r="H505" i="14" s="1"/>
  <c r="ET319" i="14"/>
  <c r="AM241" i="14"/>
  <c r="ET293" i="14"/>
  <c r="ET268" i="14"/>
  <c r="AI326" i="14"/>
  <c r="AM290" i="14"/>
  <c r="AI265" i="14"/>
  <c r="ET318" i="14"/>
  <c r="AI225" i="14"/>
  <c r="AM334" i="14"/>
  <c r="EB280" i="14"/>
  <c r="AM300" i="14"/>
  <c r="AM231" i="14"/>
  <c r="N498" i="14"/>
  <c r="N506" i="14" s="1"/>
  <c r="AM310" i="14"/>
  <c r="AO310" i="14" s="1"/>
  <c r="AP310" i="14" s="1"/>
  <c r="AI272" i="14"/>
  <c r="ET257" i="14"/>
  <c r="EB292" i="14"/>
  <c r="AI318" i="14"/>
  <c r="AI220" i="14"/>
  <c r="AO279" i="14"/>
  <c r="AP279" i="14" s="1"/>
  <c r="EB268" i="14"/>
  <c r="AM335" i="14"/>
  <c r="AI263" i="14"/>
  <c r="AI285" i="14"/>
  <c r="O476" i="14"/>
  <c r="O484" i="14" s="1"/>
  <c r="AI303" i="14"/>
  <c r="AM242" i="14"/>
  <c r="ET266" i="14"/>
  <c r="AM325" i="14"/>
  <c r="AI291" i="14"/>
  <c r="ET256" i="14"/>
  <c r="ET292" i="14"/>
  <c r="AI301" i="14"/>
  <c r="AI266" i="14"/>
  <c r="ET280" i="14"/>
  <c r="AM301" i="14"/>
  <c r="AM258" i="14"/>
  <c r="EB276" i="14"/>
  <c r="EB304" i="14"/>
  <c r="AM251" i="14"/>
  <c r="AO252" i="14" s="1"/>
  <c r="AP252" i="14" s="1"/>
  <c r="AI223" i="14"/>
  <c r="AO281" i="14"/>
  <c r="AP281" i="14" s="1"/>
  <c r="AO326" i="14"/>
  <c r="AP326" i="14" s="1"/>
  <c r="AM222" i="14"/>
  <c r="ET273" i="14"/>
  <c r="AM333" i="14"/>
  <c r="AM246" i="14"/>
  <c r="O496" i="14"/>
  <c r="O504" i="14" s="1"/>
  <c r="ET279" i="14"/>
  <c r="AM332" i="14"/>
  <c r="AO332" i="14" s="1"/>
  <c r="AP332" i="14" s="1"/>
  <c r="AI219" i="14"/>
  <c r="EB274" i="14"/>
  <c r="AI307" i="14"/>
  <c r="AI270" i="14"/>
  <c r="N496" i="14"/>
  <c r="N504" i="14" s="1"/>
  <c r="EB297" i="14"/>
  <c r="AI319" i="14"/>
  <c r="AM228" i="14"/>
  <c r="ET285" i="14"/>
  <c r="AM299" i="14"/>
  <c r="AO299" i="14" s="1"/>
  <c r="AP299" i="14" s="1"/>
  <c r="AI234" i="14"/>
  <c r="G495" i="14"/>
  <c r="G503" i="14" s="1"/>
  <c r="EB309" i="14"/>
  <c r="AI243" i="14"/>
  <c r="ES349" i="14"/>
  <c r="ES344" i="14"/>
  <c r="ES358" i="14"/>
  <c r="ES362" i="14"/>
  <c r="ES355" i="14"/>
  <c r="ES366" i="14"/>
  <c r="ES342" i="14"/>
  <c r="ES341" i="14"/>
  <c r="ES339" i="14"/>
  <c r="ES360" i="14"/>
  <c r="ES351" i="14"/>
  <c r="ES340" i="14"/>
  <c r="ES359" i="14"/>
  <c r="ES345" i="14"/>
  <c r="ES346" i="14"/>
  <c r="ES363" i="14"/>
  <c r="ES353" i="14"/>
  <c r="ES352" i="14"/>
  <c r="ES354" i="14"/>
  <c r="ES361" i="14"/>
  <c r="ES364" i="14"/>
  <c r="ES365" i="14"/>
  <c r="ES348" i="14"/>
  <c r="ES357" i="14"/>
  <c r="ES343" i="14"/>
  <c r="ES347" i="14"/>
  <c r="ES338" i="14"/>
  <c r="ES356" i="14"/>
  <c r="ES337" i="14"/>
  <c r="ES350" i="14"/>
  <c r="AO309" i="14"/>
  <c r="AP309" i="14" s="1"/>
  <c r="AO253" i="14"/>
  <c r="AP253" i="14" s="1"/>
  <c r="ET253" i="14"/>
  <c r="E397" i="14"/>
  <c r="BU247" i="14"/>
  <c r="X376" i="14"/>
  <c r="AL388" i="14"/>
  <c r="AL391" i="14"/>
  <c r="F98" i="30" s="1"/>
  <c r="X383" i="14"/>
  <c r="X370" i="14"/>
  <c r="X379" i="14"/>
  <c r="X382" i="14"/>
  <c r="AL389" i="14"/>
  <c r="F96" i="30" s="1"/>
  <c r="X385" i="14"/>
  <c r="X373" i="14"/>
  <c r="X378" i="14"/>
  <c r="X377" i="14"/>
  <c r="X367" i="14"/>
  <c r="X369" i="14"/>
  <c r="X375" i="14"/>
  <c r="X380" i="14"/>
  <c r="X372" i="14"/>
  <c r="X387" i="14"/>
  <c r="X386" i="14"/>
  <c r="AL393" i="14"/>
  <c r="F100" i="30" s="1"/>
  <c r="AD396" i="14"/>
  <c r="AL394" i="14"/>
  <c r="F101" i="30" s="1"/>
  <c r="AL395" i="14"/>
  <c r="F102" i="30" s="1"/>
  <c r="X371" i="14"/>
  <c r="X388" i="14"/>
  <c r="AL392" i="14"/>
  <c r="F99" i="30" s="1"/>
  <c r="X384" i="14"/>
  <c r="X374" i="14"/>
  <c r="X381" i="14"/>
  <c r="AD397" i="14"/>
  <c r="X368" i="14"/>
  <c r="AL390" i="14"/>
  <c r="F97" i="30" s="1"/>
  <c r="AO316" i="14"/>
  <c r="AP316" i="14" s="1"/>
  <c r="ET278" i="14"/>
  <c r="AI313" i="14"/>
  <c r="AI248" i="14"/>
  <c r="K498" i="14"/>
  <c r="K506" i="14" s="1"/>
  <c r="EB279" i="14"/>
  <c r="AM302" i="14"/>
  <c r="AO302" i="14" s="1"/>
  <c r="AP302" i="14" s="1"/>
  <c r="AI226" i="14"/>
  <c r="ET289" i="14"/>
  <c r="ET291" i="14"/>
  <c r="AM304" i="14"/>
  <c r="AO304" i="14" s="1"/>
  <c r="AP304" i="14" s="1"/>
  <c r="AM263" i="14"/>
  <c r="AO263" i="14" s="1"/>
  <c r="AP263" i="14" s="1"/>
  <c r="I476" i="14"/>
  <c r="I484" i="14" s="1"/>
  <c r="AI297" i="14"/>
  <c r="AM257" i="14"/>
  <c r="AO257" i="14" s="1"/>
  <c r="AP257" i="14" s="1"/>
  <c r="Q496" i="14"/>
  <c r="Q504" i="14" s="1"/>
  <c r="ET309" i="14"/>
  <c r="AI235" i="14"/>
  <c r="AI269" i="14"/>
  <c r="ET298" i="14"/>
  <c r="EB331" i="14"/>
  <c r="AI258" i="14"/>
  <c r="ET263" i="14"/>
  <c r="ET323" i="14"/>
  <c r="AM266" i="14"/>
  <c r="AO266" i="14" s="1"/>
  <c r="AP266" i="14" s="1"/>
  <c r="EB248" i="14"/>
  <c r="BU248" i="14"/>
  <c r="E396" i="14"/>
  <c r="ET248" i="14"/>
  <c r="ET255" i="14"/>
  <c r="EB255" i="14"/>
  <c r="EB251" i="14"/>
  <c r="ET252" i="14"/>
  <c r="ET254" i="14"/>
  <c r="EB253" i="14"/>
  <c r="EB250" i="14"/>
  <c r="EB252" i="14"/>
  <c r="ET331" i="14"/>
  <c r="AM289" i="14"/>
  <c r="AO289" i="14" s="1"/>
  <c r="AP289" i="14" s="1"/>
  <c r="EB256" i="14"/>
  <c r="ET297" i="14"/>
  <c r="AM305" i="14"/>
  <c r="AO305" i="14" s="1"/>
  <c r="AP305" i="14" s="1"/>
  <c r="AI286" i="14"/>
  <c r="EB284" i="14"/>
  <c r="AM327" i="14"/>
  <c r="AO327" i="14" s="1"/>
  <c r="AP327" i="14" s="1"/>
  <c r="AM259" i="14"/>
  <c r="AO259" i="14" s="1"/>
  <c r="AP259" i="14" s="1"/>
  <c r="P496" i="14"/>
  <c r="P504" i="14" s="1"/>
  <c r="ET314" i="14"/>
  <c r="AI289" i="14"/>
  <c r="EB323" i="14"/>
  <c r="ET305" i="14"/>
  <c r="ET336" i="14"/>
  <c r="AM260" i="14"/>
  <c r="AO260" i="14" s="1"/>
  <c r="AP260" i="14" s="1"/>
  <c r="I498" i="14"/>
  <c r="I506" i="14" s="1"/>
  <c r="AI323" i="14"/>
  <c r="AI237" i="14"/>
  <c r="AM270" i="14"/>
  <c r="AO270" i="14" s="1"/>
  <c r="AP270" i="14" s="1"/>
  <c r="O495" i="14"/>
  <c r="O503" i="14" s="1"/>
  <c r="ET290" i="14"/>
  <c r="AI314" i="14"/>
  <c r="AM248" i="14"/>
  <c r="AO248" i="14" s="1"/>
  <c r="AP248" i="14" s="1"/>
  <c r="T495" i="14"/>
  <c r="T503" i="14" s="1"/>
  <c r="T507" i="14" s="1"/>
  <c r="U507" i="14" s="1"/>
  <c r="EB302" i="14"/>
  <c r="EB332" i="14"/>
  <c r="AI228" i="14"/>
  <c r="EB290" i="14"/>
  <c r="AM320" i="14"/>
  <c r="AO320" i="14" s="1"/>
  <c r="AP320" i="14" s="1"/>
  <c r="AM227" i="14"/>
  <c r="Q497" i="14"/>
  <c r="Q505" i="14" s="1"/>
  <c r="ET321" i="14"/>
  <c r="AI255" i="14"/>
  <c r="AM236" i="14"/>
  <c r="EB310" i="14"/>
  <c r="AM232" i="14"/>
  <c r="AI224" i="14"/>
  <c r="EB270" i="14"/>
  <c r="ET330" i="14"/>
  <c r="AM250" i="14"/>
  <c r="AO250" i="14" s="1"/>
  <c r="AP250" i="14" s="1"/>
  <c r="ET249" i="14"/>
  <c r="AO294" i="14"/>
  <c r="AP294" i="14" s="1"/>
  <c r="AM318" i="14"/>
  <c r="AO318" i="14" s="1"/>
  <c r="AP318" i="14" s="1"/>
  <c r="AI268" i="14"/>
  <c r="M495" i="14"/>
  <c r="M503" i="14" s="1"/>
  <c r="EB294" i="14"/>
  <c r="EB334" i="14"/>
  <c r="AM254" i="14"/>
  <c r="AO254" i="14" s="1"/>
  <c r="AP254" i="14" s="1"/>
  <c r="ET259" i="14"/>
  <c r="ET306" i="14"/>
  <c r="AI254" i="14"/>
  <c r="AM282" i="14"/>
  <c r="AO282" i="14" s="1"/>
  <c r="AP282" i="14" s="1"/>
  <c r="EB298" i="14"/>
  <c r="AI316" i="14"/>
  <c r="AI287" i="14"/>
  <c r="P498" i="14"/>
  <c r="P506" i="14" s="1"/>
  <c r="EB325" i="14"/>
  <c r="AI276" i="14"/>
  <c r="L495" i="14"/>
  <c r="L503" i="14" s="1"/>
  <c r="ET316" i="14"/>
  <c r="AM261" i="14"/>
  <c r="AO261" i="14" s="1"/>
  <c r="AP261" i="14" s="1"/>
  <c r="EB282" i="14"/>
  <c r="M476" i="14"/>
  <c r="M484" i="14" s="1"/>
  <c r="AI321" i="14"/>
  <c r="AI236" i="14"/>
  <c r="AO328" i="14"/>
  <c r="AP328" i="14" s="1"/>
  <c r="AO249" i="14"/>
  <c r="AP249" i="14" s="1"/>
  <c r="AD348" i="14"/>
  <c r="AD346" i="14"/>
  <c r="AD338" i="14"/>
  <c r="AD350" i="14"/>
  <c r="AD356" i="14"/>
  <c r="AD357" i="14"/>
  <c r="AD341" i="14"/>
  <c r="AD349" i="14"/>
  <c r="AD347" i="14"/>
  <c r="AD339" i="14"/>
  <c r="AD340" i="14"/>
  <c r="AD351" i="14"/>
  <c r="AD363" i="14"/>
  <c r="AD358" i="14"/>
  <c r="AD366" i="14"/>
  <c r="AD342" i="14"/>
  <c r="AD365" i="14"/>
  <c r="AD359" i="14"/>
  <c r="AD343" i="14"/>
  <c r="AD352" i="14"/>
  <c r="AD360" i="14"/>
  <c r="AD362" i="14"/>
  <c r="AD353" i="14"/>
  <c r="AD361" i="14"/>
  <c r="AD354" i="14"/>
  <c r="AD355" i="14"/>
  <c r="AD344" i="14"/>
  <c r="AD364" i="14"/>
  <c r="AD345" i="14"/>
  <c r="AD337" i="14"/>
  <c r="AO298" i="14"/>
  <c r="AP298" i="14" s="1"/>
  <c r="AO291" i="14"/>
  <c r="AP291" i="14" s="1"/>
  <c r="AM330" i="14"/>
  <c r="AO330" i="14" s="1"/>
  <c r="AP330" i="14" s="1"/>
  <c r="AI218" i="14"/>
  <c r="O497" i="14"/>
  <c r="O505" i="14" s="1"/>
  <c r="ET322" i="14"/>
  <c r="AI239" i="14"/>
  <c r="ET311" i="14"/>
  <c r="ET276" i="14"/>
  <c r="AM324" i="14"/>
  <c r="AO324" i="14" s="1"/>
  <c r="AP324" i="14" s="1"/>
  <c r="AI222" i="14"/>
  <c r="AO336" i="14"/>
  <c r="AP336" i="14" s="1"/>
  <c r="AO255" i="14"/>
  <c r="AP255" i="14" s="1"/>
  <c r="AO307" i="14"/>
  <c r="AP307" i="14" s="1"/>
  <c r="AM296" i="14"/>
  <c r="AO296" i="14" s="1"/>
  <c r="AP296" i="14" s="1"/>
  <c r="AM285" i="14"/>
  <c r="AO285" i="14" s="1"/>
  <c r="AP285" i="14" s="1"/>
  <c r="H496" i="14"/>
  <c r="H504" i="14" s="1"/>
  <c r="ET310" i="14"/>
  <c r="AI253" i="14"/>
  <c r="AM243" i="14"/>
  <c r="ET265" i="14"/>
  <c r="EB321" i="14"/>
  <c r="AM283" i="14"/>
  <c r="AO283" i="14" s="1"/>
  <c r="AP283" i="14" s="1"/>
  <c r="K476" i="14"/>
  <c r="K484" i="14" s="1"/>
  <c r="ET308" i="14"/>
  <c r="AI267" i="14"/>
  <c r="AI273" i="14"/>
  <c r="EB275" i="14"/>
  <c r="AI315" i="14"/>
  <c r="AM216" i="14"/>
  <c r="ET250" i="14"/>
  <c r="AI329" i="14"/>
  <c r="AM167" i="14"/>
  <c r="AM233" i="14"/>
  <c r="H476" i="14"/>
  <c r="H484" i="14" s="1"/>
  <c r="H488" i="14" s="1"/>
  <c r="AI310" i="14"/>
  <c r="AI249" i="14"/>
  <c r="AO293" i="14"/>
  <c r="AP293" i="14" s="1"/>
  <c r="AO280" i="14"/>
  <c r="AP280" i="14" s="1"/>
  <c r="K495" i="14"/>
  <c r="K503" i="14" s="1"/>
  <c r="ET312" i="14"/>
  <c r="AM274" i="14"/>
  <c r="AO274" i="14" s="1"/>
  <c r="AP274" i="14" s="1"/>
  <c r="AM277" i="14"/>
  <c r="AO277" i="14" s="1"/>
  <c r="AP277" i="14" s="1"/>
  <c r="M497" i="14"/>
  <c r="M505" i="14" s="1"/>
  <c r="ET313" i="14"/>
  <c r="AI231" i="14"/>
  <c r="L498" i="14"/>
  <c r="L506" i="14" s="1"/>
  <c r="Q498" i="14"/>
  <c r="Q506" i="14" s="1"/>
  <c r="EB326" i="14"/>
  <c r="AI259" i="14"/>
  <c r="AM312" i="14"/>
  <c r="AO312" i="14" s="1"/>
  <c r="AP312" i="14" s="1"/>
  <c r="EB314" i="14"/>
  <c r="AI296" i="14"/>
  <c r="P495" i="14"/>
  <c r="P503" i="14" s="1"/>
  <c r="N476" i="14"/>
  <c r="N484" i="14" s="1"/>
  <c r="AM314" i="14"/>
  <c r="AO314" i="14" s="1"/>
  <c r="AP314" i="14" s="1"/>
  <c r="AI216" i="14"/>
  <c r="EB260" i="14"/>
  <c r="AI335" i="14"/>
  <c r="AM223" i="14"/>
  <c r="EB265" i="14"/>
  <c r="EB286" i="14"/>
  <c r="AI324" i="14"/>
  <c r="AI217" i="14"/>
  <c r="AO303" i="14" l="1"/>
  <c r="AP303" i="14" s="1"/>
  <c r="F95" i="30"/>
  <c r="AL397" i="14"/>
  <c r="AO321" i="14"/>
  <c r="AP321" i="14" s="1"/>
  <c r="AO311" i="14"/>
  <c r="AP311" i="14" s="1"/>
  <c r="AO335" i="14"/>
  <c r="AP335" i="14" s="1"/>
  <c r="AH387" i="14"/>
  <c r="AH388" i="14" s="1"/>
  <c r="AG389" i="14" s="1"/>
  <c r="AO301" i="14"/>
  <c r="AP301" i="14" s="1"/>
  <c r="AH362" i="14"/>
  <c r="AL362" i="14"/>
  <c r="F69" i="30" s="1"/>
  <c r="AL339" i="14"/>
  <c r="F46" i="30" s="1"/>
  <c r="AH339" i="14"/>
  <c r="AO258" i="14"/>
  <c r="AP258" i="14" s="1"/>
  <c r="AO275" i="14"/>
  <c r="AP275" i="14" s="1"/>
  <c r="AL360" i="14"/>
  <c r="F67" i="30" s="1"/>
  <c r="AH360" i="14"/>
  <c r="AH347" i="14"/>
  <c r="AL347" i="14"/>
  <c r="F54" i="30" s="1"/>
  <c r="AO262" i="14"/>
  <c r="AP262" i="14" s="1"/>
  <c r="AL352" i="14"/>
  <c r="F59" i="30" s="1"/>
  <c r="AH352" i="14"/>
  <c r="AH349" i="14"/>
  <c r="AL349" i="14"/>
  <c r="F56" i="30" s="1"/>
  <c r="AO319" i="14"/>
  <c r="AP319" i="14" s="1"/>
  <c r="AO290" i="14"/>
  <c r="AP290" i="14" s="1"/>
  <c r="AO286" i="14"/>
  <c r="AP286" i="14" s="1"/>
  <c r="AH343" i="14"/>
  <c r="AL343" i="14"/>
  <c r="F50" i="30" s="1"/>
  <c r="AL341" i="14"/>
  <c r="F48" i="30" s="1"/>
  <c r="AH341" i="14"/>
  <c r="AO306" i="14"/>
  <c r="AP306" i="14" s="1"/>
  <c r="AO264" i="14"/>
  <c r="AP264" i="14" s="1"/>
  <c r="EA343" i="14"/>
  <c r="EA357" i="14"/>
  <c r="EA346" i="14"/>
  <c r="EA360" i="14"/>
  <c r="EA359" i="14"/>
  <c r="EA356" i="14"/>
  <c r="EA344" i="14"/>
  <c r="EA345" i="14"/>
  <c r="EA350" i="14"/>
  <c r="EA352" i="14"/>
  <c r="EA366" i="14"/>
  <c r="EA365" i="14"/>
  <c r="EA358" i="14"/>
  <c r="EA347" i="14"/>
  <c r="EA362" i="14"/>
  <c r="EA349" i="14"/>
  <c r="EA338" i="14"/>
  <c r="EA353" i="14"/>
  <c r="EA361" i="14"/>
  <c r="EA339" i="14"/>
  <c r="EA355" i="14"/>
  <c r="EA337" i="14"/>
  <c r="EA363" i="14"/>
  <c r="EA364" i="14"/>
  <c r="EA340" i="14"/>
  <c r="EA341" i="14"/>
  <c r="EA351" i="14"/>
  <c r="EA342" i="14"/>
  <c r="EA354" i="14"/>
  <c r="EA348" i="14"/>
  <c r="AO313" i="14"/>
  <c r="AP313" i="14" s="1"/>
  <c r="AH337" i="14"/>
  <c r="AL337" i="14"/>
  <c r="AL359" i="14"/>
  <c r="F66" i="30" s="1"/>
  <c r="AH359" i="14"/>
  <c r="AL357" i="14"/>
  <c r="F64" i="30" s="1"/>
  <c r="AH357" i="14"/>
  <c r="AO278" i="14"/>
  <c r="AP278" i="14" s="1"/>
  <c r="AL345" i="14"/>
  <c r="F52" i="30" s="1"/>
  <c r="AH345" i="14"/>
  <c r="AH365" i="14"/>
  <c r="AL365" i="14"/>
  <c r="F72" i="30" s="1"/>
  <c r="AH356" i="14"/>
  <c r="AL356" i="14"/>
  <c r="F63" i="30" s="1"/>
  <c r="ET420" i="14"/>
  <c r="ES430" i="14" s="1"/>
  <c r="ET344" i="14"/>
  <c r="EX344" i="14" s="1"/>
  <c r="ET373" i="14"/>
  <c r="EX373" i="14" s="1"/>
  <c r="ET355" i="14"/>
  <c r="EX355" i="14" s="1"/>
  <c r="ET343" i="14"/>
  <c r="EX343" i="14" s="1"/>
  <c r="ET440" i="14"/>
  <c r="ET351" i="14"/>
  <c r="EX351" i="14" s="1"/>
  <c r="ET348" i="14"/>
  <c r="EX348" i="14" s="1"/>
  <c r="ET421" i="14"/>
  <c r="ES429" i="14" s="1"/>
  <c r="ET360" i="14"/>
  <c r="EX360" i="14" s="1"/>
  <c r="ET361" i="14"/>
  <c r="EX361" i="14" s="1"/>
  <c r="ET358" i="14"/>
  <c r="EX358" i="14" s="1"/>
  <c r="ET367" i="14"/>
  <c r="EX367" i="14" s="1"/>
  <c r="ES440" i="14"/>
  <c r="ET337" i="14"/>
  <c r="EX337" i="14" s="1"/>
  <c r="ET369" i="14"/>
  <c r="EX369" i="14" s="1"/>
  <c r="ET341" i="14"/>
  <c r="EX341" i="14" s="1"/>
  <c r="ET375" i="14"/>
  <c r="EX375" i="14" s="1"/>
  <c r="ET371" i="14"/>
  <c r="EX371" i="14" s="1"/>
  <c r="ET339" i="14"/>
  <c r="EX339" i="14" s="1"/>
  <c r="ET389" i="14"/>
  <c r="ET422" i="14"/>
  <c r="ES428" i="14" s="1"/>
  <c r="ET377" i="14"/>
  <c r="EX377" i="14" s="1"/>
  <c r="ET365" i="14"/>
  <c r="EX365" i="14" s="1"/>
  <c r="ET359" i="14"/>
  <c r="EX359" i="14" s="1"/>
  <c r="ET352" i="14"/>
  <c r="EX352" i="14" s="1"/>
  <c r="ET340" i="14"/>
  <c r="EX340" i="14" s="1"/>
  <c r="ET374" i="14"/>
  <c r="EX374" i="14" s="1"/>
  <c r="ET349" i="14"/>
  <c r="EX349" i="14" s="1"/>
  <c r="ET356" i="14"/>
  <c r="EX356" i="14" s="1"/>
  <c r="ET370" i="14"/>
  <c r="EX370" i="14" s="1"/>
  <c r="ET354" i="14"/>
  <c r="EX354" i="14" s="1"/>
  <c r="ET376" i="14"/>
  <c r="EX376" i="14" s="1"/>
  <c r="ET353" i="14"/>
  <c r="EX353" i="14" s="1"/>
  <c r="ET350" i="14"/>
  <c r="EX350" i="14" s="1"/>
  <c r="ET363" i="14"/>
  <c r="EX363" i="14" s="1"/>
  <c r="ET372" i="14"/>
  <c r="EX372" i="14" s="1"/>
  <c r="ET346" i="14"/>
  <c r="EX346" i="14" s="1"/>
  <c r="ET342" i="14"/>
  <c r="EX342" i="14" s="1"/>
  <c r="ET345" i="14"/>
  <c r="EX345" i="14" s="1"/>
  <c r="ET362" i="14"/>
  <c r="EX362" i="14" s="1"/>
  <c r="ET338" i="14"/>
  <c r="EX338" i="14" s="1"/>
  <c r="ET366" i="14"/>
  <c r="EX366" i="14" s="1"/>
  <c r="ET368" i="14"/>
  <c r="EX368" i="14" s="1"/>
  <c r="ES389" i="14"/>
  <c r="ET407" i="14" s="1"/>
  <c r="ET357" i="14"/>
  <c r="EX357" i="14" s="1"/>
  <c r="ET378" i="14"/>
  <c r="EX378" i="14" s="1"/>
  <c r="ET364" i="14"/>
  <c r="EX364" i="14" s="1"/>
  <c r="ET347" i="14"/>
  <c r="EX347" i="14" s="1"/>
  <c r="AO267" i="14"/>
  <c r="AP267" i="14" s="1"/>
  <c r="AL364" i="14"/>
  <c r="F71" i="30" s="1"/>
  <c r="AH364" i="14"/>
  <c r="AH342" i="14"/>
  <c r="AL342" i="14"/>
  <c r="F49" i="30" s="1"/>
  <c r="AL350" i="14"/>
  <c r="F57" i="30" s="1"/>
  <c r="AH350" i="14"/>
  <c r="AO315" i="14"/>
  <c r="AP315" i="14" s="1"/>
  <c r="AO271" i="14"/>
  <c r="AP271" i="14" s="1"/>
  <c r="AO331" i="14"/>
  <c r="AP331" i="14" s="1"/>
  <c r="AL344" i="14"/>
  <c r="F51" i="30" s="1"/>
  <c r="AH344" i="14"/>
  <c r="AH366" i="14"/>
  <c r="AL366" i="14"/>
  <c r="F73" i="30" s="1"/>
  <c r="AH338" i="14"/>
  <c r="AL338" i="14"/>
  <c r="F45" i="30" s="1"/>
  <c r="AL355" i="14"/>
  <c r="F62" i="30" s="1"/>
  <c r="AH355" i="14"/>
  <c r="AL358" i="14"/>
  <c r="F65" i="30" s="1"/>
  <c r="AH358" i="14"/>
  <c r="AL346" i="14"/>
  <c r="F53" i="30" s="1"/>
  <c r="AH346" i="14"/>
  <c r="AO325" i="14"/>
  <c r="AP325" i="14" s="1"/>
  <c r="AO297" i="14"/>
  <c r="AP297" i="14" s="1"/>
  <c r="AO300" i="14"/>
  <c r="AP300" i="14" s="1"/>
  <c r="AH354" i="14"/>
  <c r="AL354" i="14"/>
  <c r="F61" i="30" s="1"/>
  <c r="AL363" i="14"/>
  <c r="F70" i="30" s="1"/>
  <c r="AH363" i="14"/>
  <c r="AL348" i="14"/>
  <c r="F55" i="30" s="1"/>
  <c r="AH348" i="14"/>
  <c r="AO333" i="14"/>
  <c r="AP333" i="14" s="1"/>
  <c r="AO251" i="14"/>
  <c r="AP251" i="14" s="1"/>
  <c r="AH361" i="14"/>
  <c r="AL361" i="14"/>
  <c r="F68" i="30" s="1"/>
  <c r="AL351" i="14"/>
  <c r="F58" i="30" s="1"/>
  <c r="AH351" i="14"/>
  <c r="AO284" i="14"/>
  <c r="AP284" i="14" s="1"/>
  <c r="AO334" i="14"/>
  <c r="AP334" i="14" s="1"/>
  <c r="AH353" i="14"/>
  <c r="AL353" i="14"/>
  <c r="F60" i="30" s="1"/>
  <c r="AH340" i="14"/>
  <c r="AL340" i="14"/>
  <c r="F47" i="30" s="1"/>
  <c r="F44" i="30" l="1"/>
  <c r="AM395" i="14"/>
  <c r="AM393" i="14"/>
  <c r="AM394" i="14"/>
  <c r="AK366" i="14"/>
  <c r="EB367" i="14"/>
  <c r="EF367" i="14" s="1"/>
  <c r="EB362" i="14"/>
  <c r="EF362" i="14" s="1"/>
  <c r="EB356" i="14"/>
  <c r="EF356" i="14" s="1"/>
  <c r="EB343" i="14"/>
  <c r="EF343" i="14" s="1"/>
  <c r="EB357" i="14"/>
  <c r="EF357" i="14" s="1"/>
  <c r="EB361" i="14"/>
  <c r="EF361" i="14" s="1"/>
  <c r="EB346" i="14"/>
  <c r="EF346" i="14" s="1"/>
  <c r="EB351" i="14"/>
  <c r="EF351" i="14" s="1"/>
  <c r="EB347" i="14"/>
  <c r="EF347" i="14" s="1"/>
  <c r="EB341" i="14"/>
  <c r="EF341" i="14" s="1"/>
  <c r="EB350" i="14"/>
  <c r="EF350" i="14" s="1"/>
  <c r="EB337" i="14"/>
  <c r="EF337" i="14" s="1"/>
  <c r="EB376" i="14"/>
  <c r="EB342" i="14"/>
  <c r="EF342" i="14" s="1"/>
  <c r="EB345" i="14"/>
  <c r="EF345" i="14" s="1"/>
  <c r="EB377" i="14"/>
  <c r="EF377" i="14" s="1"/>
  <c r="EB364" i="14"/>
  <c r="EF364" i="14" s="1"/>
  <c r="EB389" i="14"/>
  <c r="EB378" i="14"/>
  <c r="EF378" i="14" s="1"/>
  <c r="EB340" i="14"/>
  <c r="EF340" i="14" s="1"/>
  <c r="EB374" i="14"/>
  <c r="EF374" i="14" s="1"/>
  <c r="EB359" i="14"/>
  <c r="EF359" i="14" s="1"/>
  <c r="EB422" i="14"/>
  <c r="EA428" i="14" s="1"/>
  <c r="EA389" i="14"/>
  <c r="EB407" i="14" s="1"/>
  <c r="EB355" i="14"/>
  <c r="EF355" i="14" s="1"/>
  <c r="EB365" i="14"/>
  <c r="EF365" i="14" s="1"/>
  <c r="EB372" i="14"/>
  <c r="EF372" i="14" s="1"/>
  <c r="EB421" i="14"/>
  <c r="EA429" i="14" s="1"/>
  <c r="EB420" i="14"/>
  <c r="EA430" i="14" s="1"/>
  <c r="EB370" i="14"/>
  <c r="EF370" i="14" s="1"/>
  <c r="EB360" i="14"/>
  <c r="EF360" i="14" s="1"/>
  <c r="EB369" i="14"/>
  <c r="EF369" i="14" s="1"/>
  <c r="EB338" i="14"/>
  <c r="EF338" i="14" s="1"/>
  <c r="EB349" i="14"/>
  <c r="EF349" i="14" s="1"/>
  <c r="EB363" i="14"/>
  <c r="EF363" i="14" s="1"/>
  <c r="EB440" i="14"/>
  <c r="EB354" i="14"/>
  <c r="EF354" i="14" s="1"/>
  <c r="EB373" i="14"/>
  <c r="EF373" i="14" s="1"/>
  <c r="EB353" i="14"/>
  <c r="EF353" i="14" s="1"/>
  <c r="EA440" i="14"/>
  <c r="EB366" i="14"/>
  <c r="EB358" i="14"/>
  <c r="EF358" i="14" s="1"/>
  <c r="EB352" i="14"/>
  <c r="EF352" i="14" s="1"/>
  <c r="EB339" i="14"/>
  <c r="EF339" i="14" s="1"/>
  <c r="EB371" i="14"/>
  <c r="EF371" i="14" s="1"/>
  <c r="EB368" i="14"/>
  <c r="EF368" i="14" s="1"/>
  <c r="EB344" i="14"/>
  <c r="EF344" i="14" s="1"/>
  <c r="EB375" i="14"/>
  <c r="EF375" i="14" s="1"/>
  <c r="EB348" i="14"/>
  <c r="EF348" i="14" s="1"/>
  <c r="ES407" i="14"/>
  <c r="AL409" i="14"/>
  <c r="AM347" i="14"/>
  <c r="AM389" i="14"/>
  <c r="AM364" i="14"/>
  <c r="AM356" i="14"/>
  <c r="AM367" i="14"/>
  <c r="AN367" i="14"/>
  <c r="AM348" i="14"/>
  <c r="AM382" i="14"/>
  <c r="AM363" i="14"/>
  <c r="AM385" i="14"/>
  <c r="AM390" i="14"/>
  <c r="AM448" i="14"/>
  <c r="AL458" i="14" s="1"/>
  <c r="AM344" i="14"/>
  <c r="AM345" i="14"/>
  <c r="AM354" i="14"/>
  <c r="AM346" i="14"/>
  <c r="AM449" i="14"/>
  <c r="AL457" i="14" s="1"/>
  <c r="AM386" i="14"/>
  <c r="AM352" i="14"/>
  <c r="AM351" i="14"/>
  <c r="AM338" i="14"/>
  <c r="AM466" i="14"/>
  <c r="AM361" i="14"/>
  <c r="AM357" i="14"/>
  <c r="AM383" i="14"/>
  <c r="AM358" i="14"/>
  <c r="AL466" i="14"/>
  <c r="AM377" i="14"/>
  <c r="AM359" i="14"/>
  <c r="AM384" i="14"/>
  <c r="AM360" i="14"/>
  <c r="AM337" i="14"/>
  <c r="AM355" i="14"/>
  <c r="AM381" i="14"/>
  <c r="AM370" i="14"/>
  <c r="AM353" i="14"/>
  <c r="AM340" i="14"/>
  <c r="AM362" i="14"/>
  <c r="AM369" i="14"/>
  <c r="AM366" i="14"/>
  <c r="AM365" i="14"/>
  <c r="AM343" i="14"/>
  <c r="AM376" i="14"/>
  <c r="AM378" i="14"/>
  <c r="AM349" i="14"/>
  <c r="AM342" i="14"/>
  <c r="AM341" i="14"/>
  <c r="AM374" i="14"/>
  <c r="AM350" i="14"/>
  <c r="AM388" i="14"/>
  <c r="AM392" i="14"/>
  <c r="AM373" i="14"/>
  <c r="AM375" i="14"/>
  <c r="AM379" i="14"/>
  <c r="AM339" i="14"/>
  <c r="AM387" i="14"/>
  <c r="AM409" i="14"/>
  <c r="AL423" i="14" s="1"/>
  <c r="AM391" i="14"/>
  <c r="AM371" i="14"/>
  <c r="AM380" i="14"/>
  <c r="AM368" i="14"/>
  <c r="AM372" i="14"/>
  <c r="AI337" i="14"/>
  <c r="AI359" i="14"/>
  <c r="AI358" i="14"/>
  <c r="AI373" i="14"/>
  <c r="AI377" i="14"/>
  <c r="AI361" i="14"/>
  <c r="AI375" i="14"/>
  <c r="AI368" i="14"/>
  <c r="AI364" i="14"/>
  <c r="AI372" i="14"/>
  <c r="AI370" i="14"/>
  <c r="AI341" i="14"/>
  <c r="AI363" i="14"/>
  <c r="AI349" i="14"/>
  <c r="AI354" i="14"/>
  <c r="AI376" i="14"/>
  <c r="AI369" i="14"/>
  <c r="AI367" i="14"/>
  <c r="AI371" i="14"/>
  <c r="AI350" i="14"/>
  <c r="AI356" i="14"/>
  <c r="AI374" i="14"/>
  <c r="AI346" i="14"/>
  <c r="AI357" i="14"/>
  <c r="AI380" i="14"/>
  <c r="AI353" i="14"/>
  <c r="AI342" i="14"/>
  <c r="AI339" i="14"/>
  <c r="AI378" i="14"/>
  <c r="AI352" i="14"/>
  <c r="AI347" i="14"/>
  <c r="AI366" i="14"/>
  <c r="AI348" i="14"/>
  <c r="AI365" i="14"/>
  <c r="AI355" i="14"/>
  <c r="AI344" i="14"/>
  <c r="AI360" i="14"/>
  <c r="AI379" i="14"/>
  <c r="AI351" i="14"/>
  <c r="AI362" i="14"/>
  <c r="AI345" i="14"/>
  <c r="AI338" i="14"/>
  <c r="AI340" i="14"/>
  <c r="AI343" i="14"/>
  <c r="ES449" i="14"/>
  <c r="AO395" i="14" l="1"/>
  <c r="AR395" i="14"/>
  <c r="AP395" i="14"/>
  <c r="AO394" i="14"/>
  <c r="AR394" i="14" s="1"/>
  <c r="AO393" i="14"/>
  <c r="AO377" i="14"/>
  <c r="AP377" i="14" s="1"/>
  <c r="AT377" i="14"/>
  <c r="AO375" i="14"/>
  <c r="AP375" i="14" s="1"/>
  <c r="AT375" i="14"/>
  <c r="AT365" i="14"/>
  <c r="AO365" i="14"/>
  <c r="AP365" i="14" s="1"/>
  <c r="AT359" i="14"/>
  <c r="AO359" i="14"/>
  <c r="AP359" i="14" s="1"/>
  <c r="AT367" i="14"/>
  <c r="AO367" i="14"/>
  <c r="AP367" i="14" s="1"/>
  <c r="EC366" i="14"/>
  <c r="EF366" i="14"/>
  <c r="AO392" i="14"/>
  <c r="AR392" i="14" s="1"/>
  <c r="AO369" i="14"/>
  <c r="AP369" i="14" s="1"/>
  <c r="AT369" i="14"/>
  <c r="AT354" i="14"/>
  <c r="AO354" i="14"/>
  <c r="AP354" i="14" s="1"/>
  <c r="AT364" i="14"/>
  <c r="AO364" i="14"/>
  <c r="AP364" i="14" s="1"/>
  <c r="AO373" i="14"/>
  <c r="AP373" i="14" s="1"/>
  <c r="AT373" i="14"/>
  <c r="AO372" i="14"/>
  <c r="AP372" i="14" s="1"/>
  <c r="AT372" i="14"/>
  <c r="AO388" i="14"/>
  <c r="AR388" i="14" s="1"/>
  <c r="AO362" i="14"/>
  <c r="AP362" i="14" s="1"/>
  <c r="AT362" i="14"/>
  <c r="AO358" i="14"/>
  <c r="AP358" i="14" s="1"/>
  <c r="AT358" i="14"/>
  <c r="AT345" i="14"/>
  <c r="AO345" i="14"/>
  <c r="AP345" i="14" s="1"/>
  <c r="AO389" i="14"/>
  <c r="AR389" i="14" s="1"/>
  <c r="AO368" i="14"/>
  <c r="AP368" i="14" s="1"/>
  <c r="AT368" i="14"/>
  <c r="AO350" i="14"/>
  <c r="AP350" i="14" s="1"/>
  <c r="AT350" i="14"/>
  <c r="AO340" i="14"/>
  <c r="AP340" i="14" s="1"/>
  <c r="AT340" i="14"/>
  <c r="AT383" i="14"/>
  <c r="AO383" i="14"/>
  <c r="AP383" i="14" s="1"/>
  <c r="AO344" i="14"/>
  <c r="AP344" i="14" s="1"/>
  <c r="AT344" i="14"/>
  <c r="AT347" i="14"/>
  <c r="AO347" i="14"/>
  <c r="AP347" i="14" s="1"/>
  <c r="EC376" i="14"/>
  <c r="EF376" i="14"/>
  <c r="AO346" i="14"/>
  <c r="AP346" i="14" s="1"/>
  <c r="AT346" i="14"/>
  <c r="AT380" i="14"/>
  <c r="AO380" i="14"/>
  <c r="AP380" i="14" s="1"/>
  <c r="AT374" i="14"/>
  <c r="AO374" i="14"/>
  <c r="AP374" i="14" s="1"/>
  <c r="AT353" i="14"/>
  <c r="AO353" i="14"/>
  <c r="AP353" i="14" s="1"/>
  <c r="AT357" i="14"/>
  <c r="AO357" i="14"/>
  <c r="AP357" i="14" s="1"/>
  <c r="AL410" i="14"/>
  <c r="AM450" i="14" s="1"/>
  <c r="AL456" i="14" s="1"/>
  <c r="AM423" i="14"/>
  <c r="AN423" i="14" s="1"/>
  <c r="AN427" i="14" s="1"/>
  <c r="EA449" i="14"/>
  <c r="AT371" i="14"/>
  <c r="AO371" i="14"/>
  <c r="AP371" i="14" s="1"/>
  <c r="AT341" i="14"/>
  <c r="AO341" i="14"/>
  <c r="AP341" i="14" s="1"/>
  <c r="AT370" i="14"/>
  <c r="AO370" i="14"/>
  <c r="AP370" i="14" s="1"/>
  <c r="AO361" i="14"/>
  <c r="AP361" i="14" s="1"/>
  <c r="AT361" i="14"/>
  <c r="AO390" i="14"/>
  <c r="AR390" i="14" s="1"/>
  <c r="AJ366" i="14"/>
  <c r="AO391" i="14"/>
  <c r="AR391" i="14" s="1"/>
  <c r="AJ391" i="14"/>
  <c r="AT342" i="14"/>
  <c r="AO342" i="14"/>
  <c r="AP342" i="14" s="1"/>
  <c r="AO381" i="14"/>
  <c r="AP381" i="14" s="1"/>
  <c r="AL475" i="14"/>
  <c r="AO385" i="14"/>
  <c r="AP385" i="14" s="1"/>
  <c r="AT385" i="14"/>
  <c r="AO366" i="14"/>
  <c r="AP366" i="14" s="1"/>
  <c r="AT366" i="14"/>
  <c r="AN366" i="14"/>
  <c r="AT349" i="14"/>
  <c r="AO349" i="14"/>
  <c r="AP349" i="14" s="1"/>
  <c r="AO355" i="14"/>
  <c r="AP355" i="14" s="1"/>
  <c r="AT355" i="14"/>
  <c r="AT338" i="14"/>
  <c r="AO338" i="14"/>
  <c r="AP338" i="14" s="1"/>
  <c r="AT363" i="14"/>
  <c r="AO363" i="14"/>
  <c r="AP363" i="14" s="1"/>
  <c r="AO387" i="14"/>
  <c r="AR387" i="14" s="1"/>
  <c r="AT378" i="14"/>
  <c r="AO378" i="14"/>
  <c r="AP378" i="14" s="1"/>
  <c r="AT337" i="14"/>
  <c r="AO337" i="14"/>
  <c r="AP337" i="14" s="1"/>
  <c r="AT351" i="14"/>
  <c r="AO351" i="14"/>
  <c r="AP351" i="14" s="1"/>
  <c r="AO382" i="14"/>
  <c r="AP382" i="14" s="1"/>
  <c r="AO356" i="14"/>
  <c r="AP356" i="14" s="1"/>
  <c r="AT356" i="14"/>
  <c r="AT339" i="14"/>
  <c r="AO339" i="14"/>
  <c r="AP339" i="14" s="1"/>
  <c r="AT376" i="14"/>
  <c r="AN376" i="14"/>
  <c r="AO376" i="14"/>
  <c r="AP376" i="14" s="1"/>
  <c r="AT360" i="14"/>
  <c r="AO360" i="14"/>
  <c r="AP360" i="14" s="1"/>
  <c r="AT352" i="14"/>
  <c r="AO352" i="14"/>
  <c r="AP352" i="14" s="1"/>
  <c r="AT348" i="14"/>
  <c r="AO348" i="14"/>
  <c r="AP348" i="14" s="1"/>
  <c r="AJ376" i="14"/>
  <c r="AT379" i="14"/>
  <c r="AO379" i="14"/>
  <c r="AP379" i="14" s="1"/>
  <c r="AO343" i="14"/>
  <c r="AP343" i="14" s="1"/>
  <c r="AT343" i="14"/>
  <c r="AT384" i="14"/>
  <c r="AO384" i="14"/>
  <c r="AP384" i="14" s="1"/>
  <c r="AO386" i="14"/>
  <c r="AR386" i="14" s="1"/>
  <c r="AJ386" i="14"/>
  <c r="AN386" i="14"/>
  <c r="EA407" i="14"/>
  <c r="AP394" i="14" l="1"/>
  <c r="CA339" i="14"/>
  <c r="CA344" i="14"/>
  <c r="CA345" i="14"/>
  <c r="CA358" i="14"/>
  <c r="DI358" i="14" s="1"/>
  <c r="CA359" i="14"/>
  <c r="CA363" i="14"/>
  <c r="CA348" i="14"/>
  <c r="CA342" i="14"/>
  <c r="CA383" i="14"/>
  <c r="AU383" i="14"/>
  <c r="AV383" i="14" s="1"/>
  <c r="CA338" i="14"/>
  <c r="CA346" i="14"/>
  <c r="CA340" i="14"/>
  <c r="CA375" i="14"/>
  <c r="CA377" i="14"/>
  <c r="AU377" i="14"/>
  <c r="AV377" i="14" s="1"/>
  <c r="CA353" i="14"/>
  <c r="CA352" i="14"/>
  <c r="CG352" i="14" s="1"/>
  <c r="CA351" i="14"/>
  <c r="CA355" i="14"/>
  <c r="CA366" i="14"/>
  <c r="CA374" i="14"/>
  <c r="DJ374" i="14" s="1"/>
  <c r="CA361" i="14"/>
  <c r="DI361" i="14" s="1"/>
  <c r="CA350" i="14"/>
  <c r="CA372" i="14"/>
  <c r="CA364" i="14"/>
  <c r="CA357" i="14"/>
  <c r="CA362" i="14"/>
  <c r="CA384" i="14"/>
  <c r="AU384" i="14"/>
  <c r="AV384" i="14" s="1"/>
  <c r="CA360" i="14"/>
  <c r="CG360" i="14" s="1"/>
  <c r="CA337" i="14"/>
  <c r="CA385" i="14"/>
  <c r="AU385" i="14"/>
  <c r="AV385" i="14" s="1"/>
  <c r="CA380" i="14"/>
  <c r="CG380" i="14" s="1"/>
  <c r="AU380" i="14"/>
  <c r="AV380" i="14" s="1"/>
  <c r="CA343" i="14"/>
  <c r="CA349" i="14"/>
  <c r="CA368" i="14"/>
  <c r="CA354" i="14"/>
  <c r="CA371" i="14"/>
  <c r="CA373" i="14"/>
  <c r="CA378" i="14"/>
  <c r="AU378" i="14"/>
  <c r="AV378" i="14" s="1"/>
  <c r="CA370" i="14"/>
  <c r="CA369" i="14"/>
  <c r="AP393" i="14"/>
  <c r="AR393" i="14"/>
  <c r="CA382" i="14"/>
  <c r="AU382" i="14"/>
  <c r="AV382" i="14" s="1"/>
  <c r="CA365" i="14"/>
  <c r="CG365" i="14" s="1"/>
  <c r="CA376" i="14"/>
  <c r="AU376" i="14"/>
  <c r="AV376" i="14" s="1"/>
  <c r="CA356" i="14"/>
  <c r="CA381" i="14"/>
  <c r="CS381" i="14" s="1"/>
  <c r="AU381" i="14"/>
  <c r="AV381" i="14" s="1"/>
  <c r="CA379" i="14"/>
  <c r="DK379" i="14" s="1"/>
  <c r="AU379" i="14"/>
  <c r="AV379" i="14" s="1"/>
  <c r="CA341" i="14"/>
  <c r="CA347" i="14"/>
  <c r="CA367" i="14"/>
  <c r="DJ367" i="14" s="1"/>
  <c r="CG367" i="14"/>
  <c r="DI367" i="14"/>
  <c r="CS367" i="14"/>
  <c r="CG358" i="14"/>
  <c r="DI378" i="14"/>
  <c r="AP391" i="14"/>
  <c r="AP392" i="14"/>
  <c r="AP390" i="14"/>
  <c r="AP387" i="14"/>
  <c r="AP386" i="14"/>
  <c r="AP388" i="14"/>
  <c r="AP389" i="14"/>
  <c r="DI380" i="14" l="1"/>
  <c r="CS374" i="14"/>
  <c r="DI374" i="14"/>
  <c r="BY380" i="14"/>
  <c r="DK380" i="14"/>
  <c r="CG374" i="14"/>
  <c r="DJ365" i="14"/>
  <c r="DK374" i="14"/>
  <c r="DJ358" i="14"/>
  <c r="DI381" i="14"/>
  <c r="DM361" i="14" s="1"/>
  <c r="CZ369" i="14" s="1"/>
  <c r="CG381" i="14"/>
  <c r="DI368" i="14"/>
  <c r="DM368" i="14" s="1"/>
  <c r="CZ370" i="14" s="1"/>
  <c r="CG368" i="14"/>
  <c r="DJ368" i="14"/>
  <c r="CS368" i="14"/>
  <c r="DJ372" i="14"/>
  <c r="DI372" i="14"/>
  <c r="DK372" i="14"/>
  <c r="CS372" i="14"/>
  <c r="CG372" i="14"/>
  <c r="DJ351" i="14"/>
  <c r="DI351" i="14"/>
  <c r="DJ363" i="14"/>
  <c r="CS363" i="14"/>
  <c r="DI363" i="14"/>
  <c r="CG363" i="14"/>
  <c r="CG376" i="14"/>
  <c r="DK376" i="14"/>
  <c r="DJ350" i="14"/>
  <c r="DI350" i="14"/>
  <c r="DI352" i="14"/>
  <c r="DJ352" i="14"/>
  <c r="DJ359" i="14"/>
  <c r="DI359" i="14"/>
  <c r="CG359" i="14"/>
  <c r="DI365" i="14"/>
  <c r="CS365" i="14"/>
  <c r="DK378" i="14"/>
  <c r="CS378" i="14"/>
  <c r="CG361" i="14"/>
  <c r="CS361" i="14"/>
  <c r="DJ361" i="14"/>
  <c r="CG353" i="14"/>
  <c r="DI353" i="14"/>
  <c r="DJ353" i="14"/>
  <c r="CG373" i="14"/>
  <c r="DI373" i="14"/>
  <c r="DJ373" i="14"/>
  <c r="DK373" i="14"/>
  <c r="CS373" i="14"/>
  <c r="DJ370" i="14"/>
  <c r="CS370" i="14"/>
  <c r="DK370" i="14"/>
  <c r="DI370" i="14"/>
  <c r="CG370" i="14"/>
  <c r="DI360" i="14"/>
  <c r="CG351" i="14"/>
  <c r="DJ382" i="14"/>
  <c r="DI382" i="14"/>
  <c r="CG382" i="14"/>
  <c r="CS382" i="14"/>
  <c r="DK382" i="14"/>
  <c r="DJ380" i="14"/>
  <c r="CS380" i="14"/>
  <c r="CS384" i="14" s="1"/>
  <c r="DI362" i="14"/>
  <c r="DJ362" i="14"/>
  <c r="CG362" i="14"/>
  <c r="CS362" i="14"/>
  <c r="CG350" i="14"/>
  <c r="DJ360" i="14"/>
  <c r="DJ378" i="14"/>
  <c r="DK371" i="14"/>
  <c r="DI371" i="14"/>
  <c r="CS371" i="14"/>
  <c r="CG371" i="14"/>
  <c r="DJ371" i="14"/>
  <c r="CS377" i="14"/>
  <c r="DK377" i="14"/>
  <c r="DJ377" i="14"/>
  <c r="DI377" i="14"/>
  <c r="CG377" i="14"/>
  <c r="CN377" i="14"/>
  <c r="CZ364" i="14" s="1"/>
  <c r="DJ381" i="14"/>
  <c r="DJ383" i="14" s="1"/>
  <c r="DK381" i="14"/>
  <c r="DI357" i="14"/>
  <c r="CG357" i="14"/>
  <c r="DJ357" i="14"/>
  <c r="CG366" i="14"/>
  <c r="DI366" i="14"/>
  <c r="DJ366" i="14"/>
  <c r="CS366" i="14"/>
  <c r="DJ376" i="14"/>
  <c r="DI376" i="14"/>
  <c r="CS376" i="14"/>
  <c r="CG354" i="14"/>
  <c r="DI354" i="14"/>
  <c r="DJ354" i="14"/>
  <c r="CG375" i="14"/>
  <c r="DK375" i="14"/>
  <c r="CS375" i="14"/>
  <c r="DJ375" i="14"/>
  <c r="DI375" i="14"/>
  <c r="DM378" i="14"/>
  <c r="CZ371" i="14" s="1"/>
  <c r="CS360" i="14"/>
  <c r="CG379" i="14"/>
  <c r="DI379" i="14"/>
  <c r="DJ379" i="14"/>
  <c r="CG378" i="14"/>
  <c r="CS379" i="14"/>
  <c r="DI356" i="14"/>
  <c r="DJ356" i="14"/>
  <c r="CG356" i="14"/>
  <c r="DJ369" i="14"/>
  <c r="DI369" i="14"/>
  <c r="CG369" i="14"/>
  <c r="CS369" i="14"/>
  <c r="DI364" i="14"/>
  <c r="CS364" i="14"/>
  <c r="CG364" i="14"/>
  <c r="DJ364" i="14"/>
  <c r="DI355" i="14"/>
  <c r="CG355" i="14"/>
  <c r="DJ355" i="14"/>
  <c r="AS386" i="14"/>
  <c r="AS387" i="14" l="1"/>
  <c r="AT386" i="14"/>
  <c r="DI383" i="14"/>
  <c r="CM381" i="14"/>
  <c r="AU386" i="14"/>
  <c r="AV386" i="14" s="1"/>
  <c r="DN378" i="14"/>
  <c r="DA371" i="14" s="1"/>
  <c r="DN368" i="14"/>
  <c r="DA370" i="14" s="1"/>
  <c r="CS386" i="14"/>
  <c r="CS385" i="14"/>
  <c r="CG387" i="14"/>
  <c r="CN368" i="14"/>
  <c r="DN361" i="14"/>
  <c r="DA369" i="14" s="1"/>
  <c r="CG385" i="14"/>
  <c r="CG386" i="14"/>
  <c r="CG388" i="14"/>
  <c r="CG389" i="14"/>
  <c r="CG383" i="14"/>
  <c r="CZ362" i="14" s="1"/>
  <c r="CG384" i="14"/>
  <c r="CM386" i="14"/>
  <c r="CN387" i="14" s="1"/>
  <c r="CA386" i="14"/>
  <c r="AK386" i="14"/>
  <c r="AS388" i="14" l="1"/>
  <c r="AT387" i="14"/>
  <c r="DA363" i="14"/>
  <c r="CZ363" i="14"/>
  <c r="AT388" i="14" l="1"/>
  <c r="AS389" i="14"/>
  <c r="CA387" i="14"/>
  <c r="AU387" i="14"/>
  <c r="AV387" i="14" s="1"/>
  <c r="AT389" i="14" l="1"/>
  <c r="AS390" i="14"/>
  <c r="CA388" i="14"/>
  <c r="AU388" i="14"/>
  <c r="AV388" i="14" s="1"/>
  <c r="AT390" i="14" l="1"/>
  <c r="AS391" i="14"/>
  <c r="AU389" i="14"/>
  <c r="AV389" i="14" s="1"/>
  <c r="CA389" i="14"/>
  <c r="AT391" i="14" l="1"/>
  <c r="AS392" i="14"/>
  <c r="CA390" i="14"/>
  <c r="AU390" i="14"/>
  <c r="AV390" i="14" s="1"/>
  <c r="AT392" i="14" l="1"/>
  <c r="AS393" i="14"/>
  <c r="AU391" i="14"/>
  <c r="AV391" i="14" s="1"/>
  <c r="AK391" i="14"/>
  <c r="CA391" i="14"/>
  <c r="AT393" i="14" l="1"/>
  <c r="AS394" i="14"/>
  <c r="CA392" i="14"/>
  <c r="AU392" i="14"/>
  <c r="AV392" i="14" s="1"/>
  <c r="AT394" i="14" l="1"/>
  <c r="AS395" i="14"/>
  <c r="CA393" i="14"/>
  <c r="AU393" i="14"/>
  <c r="AV393" i="14" s="1"/>
  <c r="AT395" i="14" l="1"/>
  <c r="AU395" i="14" s="1"/>
  <c r="AV395" i="14" s="1"/>
  <c r="CA394" i="14"/>
  <c r="AU394" i="14"/>
  <c r="AV394" i="14" s="1"/>
  <c r="CA395" i="1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Staff</author>
    <author>D. Belzer</author>
  </authors>
  <commentList>
    <comment ref="H2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Staff:</t>
        </r>
        <r>
          <rPr>
            <sz val="8"/>
            <color indexed="81"/>
            <rFont val="Tahoma"/>
            <family val="2"/>
          </rPr>
          <t xml:space="preserve">
These parameters yield a curve very similar to that estimated from the 1979-1983 surveys using Maximum Likelihood Estimation. 
</t>
        </r>
      </text>
    </comment>
    <comment ref="CI360" authorId="1" shapeId="0" xr:uid="{00000000-0006-0000-0000-000002000000}">
      <text>
        <r>
          <rPr>
            <b/>
            <sz val="8"/>
            <color indexed="81"/>
            <rFont val="Tahoma"/>
            <family val="2"/>
          </rPr>
          <t>D. Belzer:</t>
        </r>
        <r>
          <rPr>
            <sz val="8"/>
            <color indexed="81"/>
            <rFont val="Tahoma"/>
            <family val="2"/>
          </rPr>
          <t xml:space="preserve">
As revised by Allen Swenson on the CBECS Trends note on the EIA CBECS web site
</t>
        </r>
      </text>
    </comment>
    <comment ref="AJ366" authorId="0" shapeId="0" xr:uid="{00000000-0006-0000-0000-000003000000}">
      <text>
        <r>
          <rPr>
            <b/>
            <sz val="8"/>
            <color indexed="81"/>
            <rFont val="Tahoma"/>
            <family val="2"/>
          </rPr>
          <t>Staff:</t>
        </r>
        <r>
          <rPr>
            <sz val="8"/>
            <color indexed="81"/>
            <rFont val="Tahoma"/>
            <family val="2"/>
          </rPr>
          <t xml:space="preserve">
Growth rate, 1979-1989
</t>
        </r>
      </text>
    </comment>
    <comment ref="DD380" authorId="1" shapeId="0" xr:uid="{00000000-0006-0000-0000-000004000000}">
      <text>
        <r>
          <rPr>
            <b/>
            <sz val="8"/>
            <color indexed="81"/>
            <rFont val="Tahoma"/>
            <family val="2"/>
          </rPr>
          <t>D. Belzer:</t>
        </r>
        <r>
          <rPr>
            <sz val="8"/>
            <color indexed="81"/>
            <rFont val="Tahoma"/>
            <family val="2"/>
          </rPr>
          <t xml:space="preserve">
No data on other is available after 2002.  Assume total is 110,000, then subtract 7,000 for transportation
</t>
        </r>
      </text>
    </comment>
    <comment ref="CN387" authorId="1" shapeId="0" xr:uid="{00000000-0006-0000-0000-000005000000}">
      <text>
        <r>
          <rPr>
            <b/>
            <sz val="8"/>
            <color indexed="81"/>
            <rFont val="Tahoma"/>
            <family val="2"/>
          </rPr>
          <t>D. Belzer:</t>
        </r>
        <r>
          <rPr>
            <sz val="8"/>
            <color indexed="81"/>
            <rFont val="Tahoma"/>
            <family val="2"/>
          </rPr>
          <t xml:space="preserve">
Source of statement that Supply side intensities grew 80% faster than CBECS</t>
        </r>
      </text>
    </comment>
    <comment ref="AN406" authorId="0" shapeId="0" xr:uid="{00000000-0006-0000-0000-000006000000}">
      <text>
        <r>
          <rPr>
            <b/>
            <sz val="8"/>
            <color indexed="81"/>
            <rFont val="Tahoma"/>
            <family val="2"/>
          </rPr>
          <t>Staff:</t>
        </r>
        <r>
          <rPr>
            <sz val="8"/>
            <color indexed="81"/>
            <rFont val="Tahoma"/>
            <family val="2"/>
          </rPr>
          <t xml:space="preserve">
Top line of Table B9 in 1999 CBECS
</t>
        </r>
      </text>
    </comment>
    <comment ref="AN407" authorId="0" shapeId="0" xr:uid="{00000000-0006-0000-0000-000007000000}">
      <text>
        <r>
          <rPr>
            <b/>
            <sz val="8"/>
            <color indexed="81"/>
            <rFont val="Tahoma"/>
            <family val="2"/>
          </rPr>
          <t>Staff:</t>
        </r>
        <r>
          <rPr>
            <sz val="8"/>
            <color indexed="81"/>
            <rFont val="Tahoma"/>
            <family val="2"/>
          </rPr>
          <t xml:space="preserve">
Top line of Table B9 in 1999 CBECS
</t>
        </r>
      </text>
    </comment>
    <comment ref="AN408" authorId="0" shapeId="0" xr:uid="{00000000-0006-0000-0000-000008000000}">
      <text>
        <r>
          <rPr>
            <b/>
            <sz val="8"/>
            <color indexed="81"/>
            <rFont val="Tahoma"/>
            <family val="2"/>
          </rPr>
          <t>Staff:</t>
        </r>
        <r>
          <rPr>
            <sz val="8"/>
            <color indexed="81"/>
            <rFont val="Tahoma"/>
            <family val="2"/>
          </rPr>
          <t xml:space="preserve">
Top line of Table B9 in 1999 CBECS, add 150 as estimate of surviving parking garage
</t>
        </r>
      </text>
    </comment>
    <comment ref="AN409" authorId="0" shapeId="0" xr:uid="{00000000-0006-0000-0000-000009000000}">
      <text>
        <r>
          <rPr>
            <b/>
            <sz val="8"/>
            <color indexed="81"/>
            <rFont val="Tahoma"/>
            <family val="2"/>
          </rPr>
          <t>Staff:</t>
        </r>
        <r>
          <rPr>
            <sz val="8"/>
            <color indexed="81"/>
            <rFont val="Tahoma"/>
            <family val="2"/>
          </rPr>
          <t xml:space="preserve">
Top line of Table B9 in 1999 CBECS, use 700 estimate of surviving parking garage (published 1989 total was 983--by 1999 assume 150+700 = 850 survives)
</t>
        </r>
      </text>
    </comment>
    <comment ref="D465" authorId="0" shapeId="0" xr:uid="{00000000-0006-0000-0000-00000A000000}">
      <text>
        <r>
          <rPr>
            <b/>
            <sz val="8"/>
            <color indexed="81"/>
            <rFont val="Tahoma"/>
            <family val="2"/>
          </rPr>
          <t>Staff:</t>
        </r>
        <r>
          <rPr>
            <sz val="8"/>
            <color indexed="81"/>
            <rFont val="Tahoma"/>
            <family val="2"/>
          </rPr>
          <t xml:space="preserve">
Not adjusted for coverage change in 1995
</t>
        </r>
      </text>
    </comment>
    <comment ref="N480" authorId="0" shapeId="0" xr:uid="{00000000-0006-0000-0000-00000B000000}">
      <text>
        <r>
          <rPr>
            <b/>
            <sz val="8"/>
            <color indexed="81"/>
            <rFont val="Tahoma"/>
            <family val="2"/>
          </rPr>
          <t>Staff:</t>
        </r>
        <r>
          <rPr>
            <sz val="8"/>
            <color indexed="81"/>
            <rFont val="Tahoma"/>
            <family val="2"/>
          </rPr>
          <t xml:space="preserve">
Estimate of 500 for 1987-1989
</t>
        </r>
      </text>
    </comment>
    <comment ref="T480" authorId="0" shapeId="0" xr:uid="{00000000-0006-0000-0000-00000C000000}">
      <text>
        <r>
          <rPr>
            <b/>
            <sz val="8"/>
            <color indexed="81"/>
            <rFont val="Tahoma"/>
            <family val="2"/>
          </rPr>
          <t>Staff:</t>
        </r>
        <r>
          <rPr>
            <sz val="8"/>
            <color indexed="81"/>
            <rFont val="Tahoma"/>
            <family val="2"/>
          </rPr>
          <t xml:space="preserve">
Source:  Table 17, 1989 CBECS Characteristics [Commercial Buildings Characteristics, 1989, DOE/EIA-0246(89).  June 1991</t>
        </r>
      </text>
    </comment>
    <comment ref="U480" authorId="0" shapeId="0" xr:uid="{00000000-0006-0000-0000-00000D000000}">
      <text>
        <r>
          <rPr>
            <b/>
            <sz val="8"/>
            <color indexed="81"/>
            <rFont val="Tahoma"/>
            <family val="2"/>
          </rPr>
          <t>Staff:</t>
        </r>
        <r>
          <rPr>
            <sz val="8"/>
            <color indexed="81"/>
            <rFont val="Tahoma"/>
            <family val="2"/>
          </rPr>
          <t xml:space="preserve">
Source:  Table 17, 1989 CBECS Characteristics [Commercial Buildings Characteristics, 1989, DOE/EIA-0246(89).  June 1991</t>
        </r>
      </text>
    </comment>
    <comment ref="D487" authorId="0" shapeId="0" xr:uid="{00000000-0006-0000-0000-00000E000000}">
      <text>
        <r>
          <rPr>
            <b/>
            <sz val="8"/>
            <color indexed="81"/>
            <rFont val="Tahoma"/>
            <family val="2"/>
          </rPr>
          <t>Staff:</t>
        </r>
        <r>
          <rPr>
            <sz val="8"/>
            <color indexed="81"/>
            <rFont val="Tahoma"/>
            <family val="2"/>
          </rPr>
          <t xml:space="preserve">
Not adjusted for CBECS building coverage change starting in 1995
</t>
        </r>
      </text>
    </comment>
    <comment ref="D506" authorId="0" shapeId="0" xr:uid="{00000000-0006-0000-0000-00000F000000}">
      <text>
        <r>
          <rPr>
            <b/>
            <sz val="8"/>
            <color indexed="81"/>
            <rFont val="Tahoma"/>
            <family val="2"/>
          </rPr>
          <t>Staff:</t>
        </r>
        <r>
          <rPr>
            <sz val="8"/>
            <color indexed="81"/>
            <rFont val="Tahoma"/>
            <family val="2"/>
          </rPr>
          <t xml:space="preserve">
Not adjusted for CBECS coverage change starting in 1995
</t>
        </r>
      </text>
    </comment>
    <comment ref="T528" authorId="1" shapeId="0" xr:uid="{00000000-0006-0000-0000-000010000000}">
      <text>
        <r>
          <rPr>
            <b/>
            <sz val="8"/>
            <color indexed="81"/>
            <rFont val="Tahoma"/>
            <family val="2"/>
          </rPr>
          <t>D. Belzer:</t>
        </r>
        <r>
          <rPr>
            <sz val="8"/>
            <color indexed="81"/>
            <rFont val="Tahoma"/>
            <family val="2"/>
          </rPr>
          <t xml:space="preserve">
Insert adjustment for 1992 definition, 1.056
</t>
        </r>
      </text>
    </comment>
    <comment ref="D532" authorId="0" shapeId="0" xr:uid="{00000000-0006-0000-0000-000011000000}">
      <text>
        <r>
          <rPr>
            <b/>
            <sz val="8"/>
            <color indexed="81"/>
            <rFont val="Tahoma"/>
            <family val="2"/>
          </rPr>
          <t>Staff:</t>
        </r>
        <r>
          <rPr>
            <sz val="8"/>
            <color indexed="81"/>
            <rFont val="Tahoma"/>
            <family val="2"/>
          </rPr>
          <t xml:space="preserve">
Not adjusted for CBECS coverage change starting in 1995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Staff</author>
  </authors>
  <commentList>
    <comment ref="R3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Staff:</t>
        </r>
        <r>
          <rPr>
            <sz val="8"/>
            <color indexed="81"/>
            <rFont val="Tahoma"/>
            <family val="2"/>
          </rPr>
          <t xml:space="preserve">
Total from 1991-1993 work.  Presumbly comes from Dodge Data acquired by PNNL in early 1980's.  Somewhat higher than numbers in Historical Statistics of U.S. (D. Belzer 2/28/02)
</t>
        </r>
      </text>
    </comment>
    <comment ref="I65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Staff:</t>
        </r>
        <r>
          <rPr>
            <sz val="8"/>
            <color indexed="81"/>
            <rFont val="Tahoma"/>
            <family val="2"/>
          </rPr>
          <t xml:space="preserve">
Prio Estimate was 95 in 1980 and 75 in 1981.  </t>
        </r>
      </text>
    </comment>
    <comment ref="Q74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Staff:</t>
        </r>
        <r>
          <rPr>
            <sz val="8"/>
            <color indexed="81"/>
            <rFont val="Tahoma"/>
            <family val="2"/>
          </rPr>
          <t xml:space="preserve">
2000 SAUS
</t>
        </r>
      </text>
    </comment>
    <comment ref="AD74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Staff:</t>
        </r>
        <r>
          <rPr>
            <sz val="8"/>
            <color indexed="81"/>
            <rFont val="Tahoma"/>
            <family val="2"/>
          </rPr>
          <t xml:space="preserve">
2000 SAUS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Staff</author>
  </authors>
  <commentList>
    <comment ref="F8" authorId="0" shapeId="0" xr:uid="{00000000-0006-0000-0400-000001000000}">
      <text>
        <r>
          <rPr>
            <b/>
            <sz val="8"/>
            <color indexed="81"/>
            <rFont val="Tahoma"/>
            <family val="2"/>
          </rPr>
          <t>Staff:</t>
        </r>
        <r>
          <rPr>
            <sz val="8"/>
            <color indexed="81"/>
            <rFont val="Tahoma"/>
            <family val="2"/>
          </rPr>
          <t xml:space="preserve">
Top line of Table B9 in 1999 CBECS
</t>
        </r>
      </text>
    </comment>
    <comment ref="F9" authorId="0" shapeId="0" xr:uid="{00000000-0006-0000-0400-000002000000}">
      <text>
        <r>
          <rPr>
            <b/>
            <sz val="8"/>
            <color indexed="81"/>
            <rFont val="Tahoma"/>
            <family val="2"/>
          </rPr>
          <t>Staff:</t>
        </r>
        <r>
          <rPr>
            <sz val="8"/>
            <color indexed="81"/>
            <rFont val="Tahoma"/>
            <family val="2"/>
          </rPr>
          <t xml:space="preserve">
Top line of Table B9 in 1999 CBECS
</t>
        </r>
      </text>
    </comment>
    <comment ref="F10" authorId="0" shapeId="0" xr:uid="{00000000-0006-0000-0400-000003000000}">
      <text>
        <r>
          <rPr>
            <b/>
            <sz val="8"/>
            <color indexed="81"/>
            <rFont val="Tahoma"/>
            <family val="2"/>
          </rPr>
          <t>Staff:</t>
        </r>
        <r>
          <rPr>
            <sz val="8"/>
            <color indexed="81"/>
            <rFont val="Tahoma"/>
            <family val="2"/>
          </rPr>
          <t xml:space="preserve">
Top line of Table B9 in 1999 CBECS, add 150 as estimate of surviving parking garage
</t>
        </r>
      </text>
    </comment>
    <comment ref="F11" authorId="0" shapeId="0" xr:uid="{00000000-0006-0000-0400-000004000000}">
      <text>
        <r>
          <rPr>
            <b/>
            <sz val="8"/>
            <color indexed="81"/>
            <rFont val="Tahoma"/>
            <family val="2"/>
          </rPr>
          <t>Staff:</t>
        </r>
        <r>
          <rPr>
            <sz val="8"/>
            <color indexed="81"/>
            <rFont val="Tahoma"/>
            <family val="2"/>
          </rPr>
          <t xml:space="preserve">
Top line of Table B9 in 1999 CBECS, use 700 estimate of surviving parking garage (published 1989 total was 983--by 1999 assume 150+700 = 850 survives)
</t>
        </r>
      </text>
    </comment>
    <comment ref="F17" authorId="0" shapeId="0" xr:uid="{00000000-0006-0000-0400-000005000000}">
      <text>
        <r>
          <rPr>
            <b/>
            <sz val="8"/>
            <color indexed="81"/>
            <rFont val="Tahoma"/>
            <family val="2"/>
          </rPr>
          <t>Staff:</t>
        </r>
        <r>
          <rPr>
            <sz val="8"/>
            <color indexed="81"/>
            <rFont val="Tahoma"/>
            <family val="2"/>
          </rPr>
          <t xml:space="preserve">
Top line of Table B9 in 1999 CBECS
</t>
        </r>
      </text>
    </comment>
    <comment ref="F18" authorId="0" shapeId="0" xr:uid="{00000000-0006-0000-0400-000006000000}">
      <text>
        <r>
          <rPr>
            <b/>
            <sz val="8"/>
            <color indexed="81"/>
            <rFont val="Tahoma"/>
            <family val="2"/>
          </rPr>
          <t>Staff:</t>
        </r>
        <r>
          <rPr>
            <sz val="8"/>
            <color indexed="81"/>
            <rFont val="Tahoma"/>
            <family val="2"/>
          </rPr>
          <t xml:space="preserve">
Top line of Table B9 in 1999 CBECS
</t>
        </r>
      </text>
    </comment>
    <comment ref="F19" authorId="0" shapeId="0" xr:uid="{00000000-0006-0000-0400-000007000000}">
      <text>
        <r>
          <rPr>
            <b/>
            <sz val="8"/>
            <color indexed="81"/>
            <rFont val="Tahoma"/>
            <family val="2"/>
          </rPr>
          <t>Staff:</t>
        </r>
        <r>
          <rPr>
            <sz val="8"/>
            <color indexed="81"/>
            <rFont val="Tahoma"/>
            <family val="2"/>
          </rPr>
          <t xml:space="preserve">
Top line of Table B9 in 1999 CBECS, add 150 as estimate of surviving parking garage
</t>
        </r>
      </text>
    </comment>
    <comment ref="F20" authorId="0" shapeId="0" xr:uid="{00000000-0006-0000-0400-000008000000}">
      <text>
        <r>
          <rPr>
            <b/>
            <sz val="8"/>
            <color indexed="81"/>
            <rFont val="Tahoma"/>
            <family val="2"/>
          </rPr>
          <t>Staff:</t>
        </r>
        <r>
          <rPr>
            <sz val="8"/>
            <color indexed="81"/>
            <rFont val="Tahoma"/>
            <family val="2"/>
          </rPr>
          <t xml:space="preserve">
Top line of Table B9 in 1999 CBECS, use 700 estimate of surviving parking garage (published 1989 total was 983--by 1999 assume 150+700 = 850 survives)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Staff</author>
  </authors>
  <commentList>
    <comment ref="K35" authorId="0" shapeId="0" xr:uid="{00000000-0006-0000-0800-000001000000}">
      <text>
        <r>
          <rPr>
            <b/>
            <sz val="8"/>
            <color indexed="81"/>
            <rFont val="Tahoma"/>
            <family val="2"/>
          </rPr>
          <t>Staff:</t>
        </r>
        <r>
          <rPr>
            <sz val="8"/>
            <color indexed="81"/>
            <rFont val="Tahoma"/>
            <family val="2"/>
          </rPr>
          <t xml:space="preserve">
Published number is 1.324.  Assume to be typo as it would an outlier in the 1950 to 1955 series
</t>
        </r>
      </text>
    </comment>
    <comment ref="Q35" authorId="0" shapeId="0" xr:uid="{00000000-0006-0000-0800-000002000000}">
      <text>
        <r>
          <rPr>
            <b/>
            <sz val="8"/>
            <color indexed="81"/>
            <rFont val="Tahoma"/>
            <family val="2"/>
          </rPr>
          <t>Staff:</t>
        </r>
        <r>
          <rPr>
            <sz val="8"/>
            <color indexed="81"/>
            <rFont val="Tahoma"/>
            <family val="2"/>
          </rPr>
          <t xml:space="preserve">
Published number is 1.324.  Assume to be typo as it would an outlier in the 1950 to 1955 series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Staff</author>
  </authors>
  <commentList>
    <comment ref="N5" authorId="0" shapeId="0" xr:uid="{00000000-0006-0000-0900-000001000000}">
      <text>
        <r>
          <rPr>
            <b/>
            <sz val="8"/>
            <color indexed="81"/>
            <rFont val="Tahoma"/>
            <family val="2"/>
          </rPr>
          <t>Staff:</t>
        </r>
        <r>
          <rPr>
            <sz val="8"/>
            <color indexed="81"/>
            <rFont val="Tahoma"/>
            <family val="2"/>
          </rPr>
          <t xml:space="preserve">
Based upon CBECS, the percentage of construction in west census region was slightly greater in the 1900-1919 period than in 1920-1945.  Thus, factor is set to 1.12, approximately same as 1925 value published by Jackson and Johnson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David B. Belzer</author>
    <author>Staff</author>
  </authors>
  <commentList>
    <comment ref="A1" authorId="0" shapeId="0" xr:uid="{00000000-0006-0000-0B00-000001000000}">
      <text>
        <r>
          <rPr>
            <b/>
            <sz val="8"/>
            <color indexed="81"/>
            <rFont val="Tahoma"/>
            <family val="2"/>
          </rPr>
          <t>David B. Belzer:</t>
        </r>
        <r>
          <rPr>
            <sz val="8"/>
            <color indexed="81"/>
            <rFont val="Tahoma"/>
            <family val="2"/>
          </rPr>
          <t xml:space="preserve">
These series are of unknown origin--need to check Jackson and Johnson 197?
</t>
        </r>
      </text>
    </comment>
    <comment ref="O1" authorId="1" shapeId="0" xr:uid="{00000000-0006-0000-0B00-000002000000}">
      <text>
        <r>
          <rPr>
            <b/>
            <sz val="8"/>
            <color indexed="81"/>
            <rFont val="Tahoma"/>
            <family val="2"/>
          </rPr>
          <t>Staff:</t>
        </r>
        <r>
          <rPr>
            <sz val="8"/>
            <color indexed="81"/>
            <rFont val="Tahoma"/>
            <family val="2"/>
          </rPr>
          <t xml:space="preserve">
Total from 1991-1993 work.  Presumbly comes from Dodge Data acquired by PNNL in early 1980's.  Somewhat higher than numbers in Historical Statistics of U.S. (D. Belzer 2/28/02)
</t>
        </r>
      </text>
    </comment>
    <comment ref="AB55" authorId="1" shapeId="0" xr:uid="{00000000-0006-0000-0B00-000003000000}">
      <text>
        <r>
          <rPr>
            <b/>
            <sz val="8"/>
            <color indexed="81"/>
            <rFont val="Tahoma"/>
            <family val="2"/>
          </rPr>
          <t>Staff:</t>
        </r>
        <r>
          <rPr>
            <sz val="8"/>
            <color indexed="81"/>
            <rFont val="Tahoma"/>
            <family val="2"/>
          </rPr>
          <t xml:space="preserve">
Assume difference is hotels, after about 1990, Dodge Commercial estimates in SAUS appear to include hotels/motels.
</t>
        </r>
      </text>
    </comment>
    <comment ref="AC55" authorId="1" shapeId="0" xr:uid="{00000000-0006-0000-0B00-000004000000}">
      <text>
        <r>
          <rPr>
            <b/>
            <sz val="8"/>
            <color indexed="81"/>
            <rFont val="Tahoma"/>
            <family val="2"/>
          </rPr>
          <t>Staff:</t>
        </r>
        <r>
          <rPr>
            <sz val="8"/>
            <color indexed="81"/>
            <rFont val="Tahoma"/>
            <family val="2"/>
          </rPr>
          <t xml:space="preserve">
Data from Dodge in early 1980s likely include dormitories as well as hotels/motels
</t>
        </r>
      </text>
    </comment>
    <comment ref="Z66" authorId="1" shapeId="0" xr:uid="{00000000-0006-0000-0B00-000005000000}">
      <text>
        <r>
          <rPr>
            <b/>
            <sz val="8"/>
            <color indexed="81"/>
            <rFont val="Tahoma"/>
            <family val="2"/>
          </rPr>
          <t>Staff:</t>
        </r>
        <r>
          <rPr>
            <sz val="8"/>
            <color indexed="81"/>
            <rFont val="Tahoma"/>
            <family val="2"/>
          </rPr>
          <t xml:space="preserve">
2000 SAUS
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Staff</author>
  </authors>
  <commentList>
    <comment ref="O2" authorId="0" shapeId="0" xr:uid="{00000000-0006-0000-0E00-000001000000}">
      <text>
        <r>
          <rPr>
            <b/>
            <sz val="8"/>
            <color indexed="81"/>
            <rFont val="Tahoma"/>
            <family val="2"/>
          </rPr>
          <t>Staff:</t>
        </r>
        <r>
          <rPr>
            <sz val="8"/>
            <color indexed="81"/>
            <rFont val="Tahoma"/>
            <family val="2"/>
          </rPr>
          <t xml:space="preserve">
Total from 1991-1993 work.  Presumbly comes from Dodge Data acquired by PNNL in early 1980's.  Somewhat higher than numbers in Historical Statistics of U.S. (D. Belzer 2/28/02)
</t>
        </r>
      </text>
    </comment>
    <comment ref="N73" authorId="0" shapeId="0" xr:uid="{00000000-0006-0000-0E00-000002000000}">
      <text>
        <r>
          <rPr>
            <b/>
            <sz val="8"/>
            <color indexed="81"/>
            <rFont val="Tahoma"/>
            <family val="2"/>
          </rPr>
          <t>Staff:</t>
        </r>
        <r>
          <rPr>
            <sz val="8"/>
            <color indexed="81"/>
            <rFont val="Tahoma"/>
            <family val="2"/>
          </rPr>
          <t xml:space="preserve">
2000 SAUS
</t>
        </r>
      </text>
    </comment>
    <comment ref="AA73" authorId="0" shapeId="0" xr:uid="{00000000-0006-0000-0E00-000003000000}">
      <text>
        <r>
          <rPr>
            <b/>
            <sz val="8"/>
            <color indexed="81"/>
            <rFont val="Tahoma"/>
            <family val="2"/>
          </rPr>
          <t>Staff:</t>
        </r>
        <r>
          <rPr>
            <sz val="8"/>
            <color indexed="81"/>
            <rFont val="Tahoma"/>
            <family val="2"/>
          </rPr>
          <t xml:space="preserve">
2000 SAUS
</t>
        </r>
      </text>
    </comment>
  </commentList>
</comments>
</file>

<file path=xl/sharedStrings.xml><?xml version="1.0" encoding="utf-8"?>
<sst xmlns="http://schemas.openxmlformats.org/spreadsheetml/2006/main" count="1052" uniqueCount="483">
  <si>
    <t>313.2686016 313</t>
  </si>
  <si>
    <t>.4808432   6</t>
  </si>
  <si>
    <t>5.264292 299</t>
  </si>
  <si>
    <t>124.5633909  73</t>
  </si>
  <si>
    <t>.3219817  38</t>
  </si>
  <si>
    <t>58.47516094 102</t>
  </si>
  <si>
    <t>319.5339736 319</t>
  </si>
  <si>
    <t>.7504601 66.</t>
  </si>
  <si>
    <t>56957784 305</t>
  </si>
  <si>
    <t>125.8090248 75.</t>
  </si>
  <si>
    <t>52164115 39.</t>
  </si>
  <si>
    <t>59.93703996 104</t>
  </si>
  <si>
    <t>325.9246531 326</t>
  </si>
  <si>
    <t>.1454693  67</t>
  </si>
  <si>
    <t>.9009694  31</t>
  </si>
  <si>
    <t>127.0671151 77.</t>
  </si>
  <si>
    <t>78729039  40</t>
  </si>
  <si>
    <t>61.43546596 107</t>
  </si>
  <si>
    <t>332.4431462 332</t>
  </si>
  <si>
    <t>.6683787 69.</t>
  </si>
  <si>
    <t>25898878 318</t>
  </si>
  <si>
    <t>128.3377862  80</t>
  </si>
  <si>
    <t>.1209091 41.</t>
  </si>
  <si>
    <t>62.97135261 110</t>
  </si>
  <si>
    <t>339.0920091 339</t>
  </si>
  <si>
    <t>.3217462 70.</t>
  </si>
  <si>
    <t>64416856 324</t>
  </si>
  <si>
    <t>129.6211641 82.</t>
  </si>
  <si>
    <t>52453637 42.</t>
  </si>
  <si>
    <t>64.54563642  11</t>
  </si>
  <si>
    <t>345.8738493 346</t>
  </si>
  <si>
    <t>.1081811 72.</t>
  </si>
  <si>
    <t>05705193 331</t>
  </si>
  <si>
    <t>130.9173757 85.</t>
  </si>
  <si>
    <t>00027246 42.</t>
  </si>
  <si>
    <t>66.15927733  11</t>
  </si>
  <si>
    <t>352.7913263 353</t>
  </si>
  <si>
    <t>.0303448 73.</t>
  </si>
  <si>
    <t>49819297 337</t>
  </si>
  <si>
    <t>132.2265495 87.</t>
  </si>
  <si>
    <t>55028063 43.</t>
  </si>
  <si>
    <t>67.81325927 118</t>
  </si>
  <si>
    <t>359.8471528 360</t>
  </si>
  <si>
    <t>.0909517 74.</t>
  </si>
  <si>
    <t>96815683 344</t>
  </si>
  <si>
    <t>133.548815 90.</t>
  </si>
  <si>
    <t>17678905 44.</t>
  </si>
  <si>
    <t>69.50859075 121</t>
  </si>
  <si>
    <t>367.0440958 367</t>
  </si>
  <si>
    <t>.2927707 76.</t>
  </si>
  <si>
    <t>46751997 351</t>
  </si>
  <si>
    <t>134.8843031 92.</t>
  </si>
  <si>
    <t>88209273 45.</t>
  </si>
  <si>
    <t>71.24630552 124</t>
  </si>
  <si>
    <t>374.3849778 374</t>
  </si>
  <si>
    <t>.6386261 77.</t>
  </si>
  <si>
    <t>99687037 358</t>
  </si>
  <si>
    <t>136.2331461 95.</t>
  </si>
  <si>
    <t>66855551 46.</t>
  </si>
  <si>
    <t>73.02746316 127</t>
  </si>
  <si>
    <t>_x001A__x001A__x001A__x001A__x001A__x001A__x001A__x001A__x001A__x001A__x001A__x001A__x001A__x001A__x001A__x001A__x001A__x001A__x001A_</t>
  </si>
  <si>
    <t>_x001A__x001A__x001A__x001A__x001A__x001A__x001A__x001A__x001A__x001A__x001A__x001A_</t>
  </si>
  <si>
    <t>_x001A__x001A__x001A__x001A__x001A__x001A__x001A__x001A_</t>
  </si>
  <si>
    <t>_x001A__x001A__x001A__x001A__x001A__x001A__x001A__x001A__x001A__x001A__x001A__x001A__x001A__x001A__x001A__x001A_</t>
  </si>
  <si>
    <t>_x001A__x001A__x001A__x001A__x001A__x001A__x001A__x001A__x001A__x001A__x001A__x001A__x001A_</t>
  </si>
  <si>
    <t xml:space="preserve">  Retail</t>
  </si>
  <si>
    <t xml:space="preserve">  Office</t>
  </si>
  <si>
    <t xml:space="preserve">  Auto R</t>
  </si>
  <si>
    <t xml:space="preserve"> Warehouse</t>
  </si>
  <si>
    <t xml:space="preserve"> Education</t>
  </si>
  <si>
    <t>Hospital</t>
  </si>
  <si>
    <t xml:space="preserve">Public </t>
  </si>
  <si>
    <t xml:space="preserve"> Religious</t>
  </si>
  <si>
    <t xml:space="preserve"> Hotel </t>
  </si>
  <si>
    <t>Commercial</t>
  </si>
  <si>
    <t xml:space="preserve"> As Pub</t>
  </si>
  <si>
    <t>1980 SAUS</t>
  </si>
  <si>
    <t>Educational</t>
  </si>
  <si>
    <t>Health</t>
  </si>
  <si>
    <t>Pub. Bldg</t>
  </si>
  <si>
    <t>Religious</t>
  </si>
  <si>
    <t>Soc/Rec</t>
  </si>
  <si>
    <t>Misc.</t>
  </si>
  <si>
    <t xml:space="preserve"> Total</t>
  </si>
  <si>
    <t>1990-1999</t>
  </si>
  <si>
    <t xml:space="preserve"> Pub ord</t>
  </si>
  <si>
    <t xml:space="preserve"> PubAssem</t>
  </si>
  <si>
    <t>CBECS 99</t>
  </si>
  <si>
    <t>Soc/Misc</t>
  </si>
  <si>
    <t>2001 SAUS</t>
  </si>
  <si>
    <t xml:space="preserve"> Diff (Hotels)</t>
  </si>
  <si>
    <t xml:space="preserve"> Office</t>
  </si>
  <si>
    <t>Total</t>
  </si>
  <si>
    <t>1994 SAUS</t>
  </si>
  <si>
    <t>Revised</t>
  </si>
  <si>
    <t>Soc/Amuse</t>
  </si>
  <si>
    <t xml:space="preserve">  Misc</t>
  </si>
  <si>
    <t xml:space="preserve"> Discontinuity in series </t>
  </si>
  <si>
    <t xml:space="preserve"> 1960-1972</t>
  </si>
  <si>
    <t xml:space="preserve"> Commercial</t>
  </si>
  <si>
    <t xml:space="preserve">   ratio</t>
  </si>
  <si>
    <t>1925-1959</t>
  </si>
  <si>
    <t>Hist. Stat</t>
  </si>
  <si>
    <t xml:space="preserve"> in Year</t>
  </si>
  <si>
    <t xml:space="preserve"> </t>
  </si>
  <si>
    <t xml:space="preserve">  Age</t>
  </si>
  <si>
    <t>Begin Age</t>
  </si>
  <si>
    <t xml:space="preserve">  End Age</t>
  </si>
  <si>
    <t xml:space="preserve"> Inflate_Fac</t>
  </si>
  <si>
    <t xml:space="preserve"> In Year</t>
  </si>
  <si>
    <t xml:space="preserve"> End Age</t>
  </si>
  <si>
    <t>Total SF</t>
  </si>
  <si>
    <t>New</t>
  </si>
  <si>
    <t>1920-1945</t>
  </si>
  <si>
    <t>1960-1989</t>
  </si>
  <si>
    <t>Dodge Adjusted for Non-coverage in West Census Region</t>
  </si>
  <si>
    <t>Retail</t>
  </si>
  <si>
    <t>Ret+Off+War</t>
  </si>
  <si>
    <t>Hotels</t>
  </si>
  <si>
    <t>Non-housekeeping residential</t>
  </si>
  <si>
    <t xml:space="preserve"> 1985-1989</t>
  </si>
  <si>
    <t xml:space="preserve"> sum</t>
  </si>
  <si>
    <t>This worksheet attempts to redefine the Dodge building categories more along the lines of the CBECS categories.  Constant fractions of floor space are moved among categories.</t>
  </si>
  <si>
    <t>Key assumptions:</t>
  </si>
  <si>
    <t>Year</t>
  </si>
  <si>
    <t xml:space="preserve">  of education floor space is office</t>
  </si>
  <si>
    <t xml:space="preserve">  of auto repair goes to retail</t>
  </si>
  <si>
    <t xml:space="preserve">  of retail is merc/service (remainder to food service and food sales)</t>
  </si>
  <si>
    <t xml:space="preserve">            2a</t>
  </si>
  <si>
    <t xml:space="preserve">            2b</t>
  </si>
  <si>
    <t xml:space="preserve">            2c</t>
  </si>
  <si>
    <t xml:space="preserve">  of retail is merc/service food sales</t>
  </si>
  <si>
    <t xml:space="preserve"> Merc/Serv</t>
  </si>
  <si>
    <t xml:space="preserve"> Food Sales</t>
  </si>
  <si>
    <t>Food Serv.</t>
  </si>
  <si>
    <t xml:space="preserve">  of retail is merc/service food service </t>
  </si>
  <si>
    <t>Warehouse</t>
  </si>
  <si>
    <t xml:space="preserve">  of education is assembly</t>
  </si>
  <si>
    <t xml:space="preserve">  of education is misc (laboratories)</t>
  </si>
  <si>
    <t>Education</t>
  </si>
  <si>
    <t>Lodging</t>
  </si>
  <si>
    <t>Other</t>
  </si>
  <si>
    <t xml:space="preserve"> Assembly</t>
  </si>
  <si>
    <t xml:space="preserve">  of health transferred to CBECS health (25% to lodging [nursing homes])</t>
  </si>
  <si>
    <t xml:space="preserve">            Totals</t>
  </si>
  <si>
    <t xml:space="preserve"> Dodge</t>
  </si>
  <si>
    <t>Redefined</t>
  </si>
  <si>
    <t xml:space="preserve">  of misc goes to public assembly (passenger terminals)</t>
  </si>
  <si>
    <t>Food Sale</t>
  </si>
  <si>
    <t>Food Serv</t>
  </si>
  <si>
    <t xml:space="preserve"> Hotel</t>
  </si>
  <si>
    <t>1946-1959</t>
  </si>
  <si>
    <t xml:space="preserve"> Selected</t>
  </si>
  <si>
    <t xml:space="preserve">  Selected</t>
  </si>
  <si>
    <t>Pub. Assem</t>
  </si>
  <si>
    <t xml:space="preserve"> Vacant</t>
  </si>
  <si>
    <t>Scaled Additions</t>
  </si>
  <si>
    <t xml:space="preserve"> Health</t>
  </si>
  <si>
    <t>1980-1989</t>
  </si>
  <si>
    <t>1980-89</t>
  </si>
  <si>
    <t>Growth R.</t>
  </si>
  <si>
    <t>1.15 from 1990 -2001</t>
  </si>
  <si>
    <t>Retirements</t>
  </si>
  <si>
    <t>Retire/Stock</t>
  </si>
  <si>
    <t>1.28 from 1990 -2001</t>
  </si>
  <si>
    <t>Estimate A</t>
  </si>
  <si>
    <t>Estimate B</t>
  </si>
  <si>
    <t>Logistic Curve Parameters</t>
  </si>
  <si>
    <t xml:space="preserve">  Year </t>
  </si>
  <si>
    <t>Growth Rate, 1979-1989</t>
  </si>
  <si>
    <t>Growth Rate, 1989-1999</t>
  </si>
  <si>
    <t>Non-office</t>
  </si>
  <si>
    <t xml:space="preserve"> Retail/NonOffice</t>
  </si>
  <si>
    <t>Auto R/Non</t>
  </si>
  <si>
    <t>R+O+W/Hist</t>
  </si>
  <si>
    <t xml:space="preserve"> Comm/Hist</t>
  </si>
  <si>
    <t>Source:  Series N 90-100   Historical Statistics of the U.S., Colonial Times to 1970</t>
  </si>
  <si>
    <t>Educational &amp; Science</t>
  </si>
  <si>
    <t>Pub. Bldg.</t>
  </si>
  <si>
    <t>Soc&amp;Rec</t>
  </si>
  <si>
    <t>Pub&amp;Institutional</t>
  </si>
  <si>
    <t xml:space="preserve"> (million SF)</t>
  </si>
  <si>
    <t xml:space="preserve">  Shares</t>
  </si>
  <si>
    <t>Jackson and Johnson Estimate of West Census Region Inflation Factor</t>
  </si>
  <si>
    <t>1986 CBECS</t>
  </si>
  <si>
    <t xml:space="preserve"> U. S</t>
  </si>
  <si>
    <t xml:space="preserve"> West</t>
  </si>
  <si>
    <t xml:space="preserve">  West</t>
  </si>
  <si>
    <t>Infl. Factor</t>
  </si>
  <si>
    <t xml:space="preserve"> (mill. SF)</t>
  </si>
  <si>
    <t xml:space="preserve"> (fraction)</t>
  </si>
  <si>
    <t>ORNL_78</t>
  </si>
  <si>
    <t>CBECS_86</t>
  </si>
  <si>
    <t>CBECS_89</t>
  </si>
  <si>
    <t>CBECS_92</t>
  </si>
  <si>
    <t>CBECS_95</t>
  </si>
  <si>
    <t>Final Factors</t>
  </si>
  <si>
    <t>&lt; 1900</t>
  </si>
  <si>
    <t>1901-1920</t>
  </si>
  <si>
    <t>1921-1945</t>
  </si>
  <si>
    <t>1946-1960</t>
  </si>
  <si>
    <t>1989 CBECS</t>
  </si>
  <si>
    <t>1900-1919</t>
  </si>
  <si>
    <t>1992 CBECS</t>
  </si>
  <si>
    <t>1995 CBECS</t>
  </si>
  <si>
    <t>NA</t>
  </si>
  <si>
    <t>&lt;1920</t>
  </si>
  <si>
    <t xml:space="preserve">West Inflation </t>
  </si>
  <si>
    <t>Adjusted for West Census Region</t>
  </si>
  <si>
    <t>Comm-Hotel</t>
  </si>
  <si>
    <t>Spring '02</t>
  </si>
  <si>
    <t>Ratio</t>
  </si>
  <si>
    <t>Old</t>
  </si>
  <si>
    <t>Sum-new</t>
  </si>
  <si>
    <t>Sum-old</t>
  </si>
  <si>
    <t>Public Bldg</t>
  </si>
  <si>
    <t xml:space="preserve">  Old</t>
  </si>
  <si>
    <t xml:space="preserve"> New/Old</t>
  </si>
  <si>
    <t>Allocation of Public and Institutional, Constant Shares Based upon 1925-26 Data</t>
  </si>
  <si>
    <t>Misc</t>
  </si>
  <si>
    <t>Soc&amp; Amusement</t>
  </si>
  <si>
    <t>Old, excl AR</t>
  </si>
  <si>
    <t>Old, incl AR</t>
  </si>
  <si>
    <t>Sum-old1</t>
  </si>
  <si>
    <t>Sum-old2</t>
  </si>
  <si>
    <t xml:space="preserve"> New</t>
  </si>
  <si>
    <t>48 States</t>
  </si>
  <si>
    <t>1960-1969</t>
  </si>
  <si>
    <t>ratio</t>
  </si>
  <si>
    <t>CBECS 89</t>
  </si>
  <si>
    <t>Pro Rata Estimate</t>
  </si>
  <si>
    <t>Detailed Dodge Data</t>
  </si>
  <si>
    <t>Hotel based on redefinition of commercial, data available only for 1980-1989</t>
  </si>
  <si>
    <t>Commercial, Excl Hotel</t>
  </si>
  <si>
    <t>Commercial, Incl Hotel</t>
  </si>
  <si>
    <t xml:space="preserve">1980-1989 </t>
  </si>
  <si>
    <t xml:space="preserve">Ratio estimate, based upon total commercial </t>
  </si>
  <si>
    <t>Dodge Additions, Adjusted for Omission of West Census Region prior to 1956</t>
  </si>
  <si>
    <t>(Million Square Feet)</t>
  </si>
  <si>
    <t>Spring 2002 Estimates</t>
  </si>
  <si>
    <t>1921-45</t>
  </si>
  <si>
    <t xml:space="preserve">  Predicted</t>
  </si>
  <si>
    <t>Actual</t>
  </si>
  <si>
    <t>CBECS</t>
  </si>
  <si>
    <t>Gamma</t>
  </si>
  <si>
    <t>Lifetime</t>
  </si>
  <si>
    <t>Remaining</t>
  </si>
  <si>
    <t xml:space="preserve"> Scale Dodge Additions with</t>
  </si>
  <si>
    <t xml:space="preserve">    Total,1925-26</t>
  </si>
  <si>
    <t>West Region Shares Based on CBECS</t>
  </si>
  <si>
    <t>Dodge</t>
  </si>
  <si>
    <t>Surviving Floorspace</t>
  </si>
  <si>
    <t>CBECS/Dodge</t>
  </si>
  <si>
    <t>Scale Dodge Additions</t>
  </si>
  <si>
    <t>with computed ratio, 1960-1989</t>
  </si>
  <si>
    <t>for 1960-2001</t>
  </si>
  <si>
    <t>Estimate C</t>
  </si>
  <si>
    <t xml:space="preserve">   Year</t>
  </si>
  <si>
    <t xml:space="preserve">  Surviving Floorspace</t>
  </si>
  <si>
    <t xml:space="preserve">        1920-1945</t>
  </si>
  <si>
    <t xml:space="preserve">        1946-1959</t>
  </si>
  <si>
    <t xml:space="preserve">       1960-1989</t>
  </si>
  <si>
    <t xml:space="preserve">     Additions ----------&gt;</t>
  </si>
  <si>
    <t xml:space="preserve">        1980-1989</t>
  </si>
  <si>
    <t xml:space="preserve"> Vintage</t>
  </si>
  <si>
    <t xml:space="preserve"> Estimate of</t>
  </si>
  <si>
    <t xml:space="preserve"> Surviving FS</t>
  </si>
  <si>
    <t>1992 Stock - Old Definition</t>
  </si>
  <si>
    <t xml:space="preserve">   less parking garage</t>
  </si>
  <si>
    <t xml:space="preserve">   equals</t>
  </si>
  <si>
    <t>1992  Stock New Definition</t>
  </si>
  <si>
    <t xml:space="preserve"> Factor to account for buildings</t>
  </si>
  <si>
    <t xml:space="preserve">    on multi-building manufacturing</t>
  </si>
  <si>
    <t xml:space="preserve"> Actual, adjusted for parking garages</t>
  </si>
  <si>
    <t>Adj for Man. Bldgs</t>
  </si>
  <si>
    <t>1960-1986</t>
  </si>
  <si>
    <t xml:space="preserve">     1992 CBECS</t>
  </si>
  <si>
    <t>Adj for Parking Garage</t>
  </si>
  <si>
    <t>As Publish</t>
  </si>
  <si>
    <t>Data for Survival Curve Estimation, 1986 and 1992 CBECS</t>
  </si>
  <si>
    <t>Would not yield a reasonable survival curve!</t>
  </si>
  <si>
    <t>Data for Survival Curve Estimation, 1989 and 1999 CBECS</t>
  </si>
  <si>
    <t>Data for Chart on Worksheet Ann_vs_CBECS</t>
  </si>
  <si>
    <t>Dodge Additions Bridged to CBECS Building Definitions, Million Sq. Ft. (after 1920)</t>
  </si>
  <si>
    <t>Data for Survival Curve Estimation, 1979 and 1983 CBECS</t>
  </si>
  <si>
    <t xml:space="preserve"> Unknown year for demolitions</t>
  </si>
  <si>
    <t>1946-1979</t>
  </si>
  <si>
    <t>1979 CBECS</t>
  </si>
  <si>
    <t xml:space="preserve"> Surviving bldg</t>
  </si>
  <si>
    <t xml:space="preserve"> 1989:1999</t>
  </si>
  <si>
    <t>Note*</t>
  </si>
  <si>
    <t>Hotels/Commercial =</t>
  </si>
  <si>
    <t xml:space="preserve"> 1980-1989</t>
  </si>
  <si>
    <t>Mercantile/Service</t>
  </si>
  <si>
    <t xml:space="preserve"> 1979-1983</t>
  </si>
  <si>
    <t>1999 CBECS</t>
  </si>
  <si>
    <t>1920-45</t>
  </si>
  <si>
    <t xml:space="preserve">  Total</t>
  </si>
  <si>
    <t xml:space="preserve"> Not used</t>
  </si>
  <si>
    <t>Not populated with Merc/Service Data</t>
  </si>
  <si>
    <t>Choose</t>
  </si>
  <si>
    <t xml:space="preserve">  Total (1)</t>
  </si>
  <si>
    <t xml:space="preserve"> Merc/Serv(2)</t>
  </si>
  <si>
    <t>Logistic Parameters</t>
  </si>
  <si>
    <t xml:space="preserve"> Gamma</t>
  </si>
  <si>
    <t xml:space="preserve"> Lifetime</t>
  </si>
  <si>
    <t>Estimate of pre-1920 service floorspace</t>
  </si>
  <si>
    <t>Sum</t>
  </si>
  <si>
    <t>Current Curve</t>
  </si>
  <si>
    <t>Q</t>
  </si>
  <si>
    <t>All Commercial Buildings</t>
  </si>
  <si>
    <t xml:space="preserve"> Education (3)</t>
  </si>
  <si>
    <t>Not populated with Education Data</t>
  </si>
  <si>
    <t xml:space="preserve"> 2002 Curve (M.L.)</t>
  </si>
  <si>
    <t xml:space="preserve"> Thousands of Buildings</t>
  </si>
  <si>
    <t>Bldg/Model</t>
  </si>
  <si>
    <t xml:space="preserve"> M.L. Est (4)</t>
  </si>
  <si>
    <t>User Test</t>
  </si>
  <si>
    <t>Bldg/Model --&gt;</t>
  </si>
  <si>
    <t xml:space="preserve">     </t>
  </si>
  <si>
    <t xml:space="preserve">      Logistic Parameters, All Bldgs</t>
  </si>
  <si>
    <t xml:space="preserve">   Total</t>
  </si>
  <si>
    <t>Ann. Growth</t>
  </si>
  <si>
    <t>Rate, 1989-99</t>
  </si>
  <si>
    <t>Rate, 1979-89</t>
  </si>
  <si>
    <t xml:space="preserve">  Notes:  </t>
  </si>
  <si>
    <t xml:space="preserve">       (1)    Annual estimates based upon inventory model using</t>
  </si>
  <si>
    <t xml:space="preserve">               annual additions (construction) from F.W. Dodge.  Series</t>
  </si>
  <si>
    <t xml:space="preserve">                is benchmarked to the 1989 CBECS.  </t>
  </si>
  <si>
    <t xml:space="preserve">       (2)</t>
  </si>
  <si>
    <t>CBECS floorspace for 1979 through 1992 taken directly</t>
  </si>
  <si>
    <t xml:space="preserve">from EIA web site: </t>
  </si>
  <si>
    <t>http://www.eia.doe.gov/emeu/consumptionbriefs/cbecs/cbecs_trends/buildings_floorspace.html</t>
  </si>
  <si>
    <t xml:space="preserve">       (3)</t>
  </si>
  <si>
    <t>The 1995 and 1999 published estimates of total floorspace</t>
  </si>
  <si>
    <t xml:space="preserve">      </t>
  </si>
  <si>
    <t>are adjusted upward to match the 1989-1992 definition and coverage</t>
  </si>
  <si>
    <t>of the commercial building population.  (Adjustment based upon</t>
  </si>
  <si>
    <t>estimate of 67.876 billion sq. ft. under 1989-1992 definition and</t>
  </si>
  <si>
    <t>64.269 billion sq. ft. under new definition and is applied as</t>
  </si>
  <si>
    <t>a simple multiplicative factor</t>
  </si>
  <si>
    <t xml:space="preserve"> Historical Dodge Data through 1970</t>
  </si>
  <si>
    <t xml:space="preserve">Annual </t>
  </si>
  <si>
    <t>1992 Base</t>
  </si>
  <si>
    <t>1989 Base</t>
  </si>
  <si>
    <t>Ratio of Retail 1946-1959/(1946-1989)</t>
  </si>
  <si>
    <t>From 1992 CBECS</t>
  </si>
  <si>
    <t xml:space="preserve"> 1946-59</t>
  </si>
  <si>
    <t>From 1999 CBECS</t>
  </si>
  <si>
    <t xml:space="preserve"> 2000-2003 Construction as share of 1990-2003 Construction</t>
  </si>
  <si>
    <t xml:space="preserve"> Non-Mall</t>
  </si>
  <si>
    <t>Before 1920</t>
  </si>
  <si>
    <t xml:space="preserve"> Mall-published</t>
  </si>
  <si>
    <t>1970-1979</t>
  </si>
  <si>
    <t>Table B9 - 1999 CBECS</t>
  </si>
  <si>
    <t xml:space="preserve"> Mall-estimated</t>
  </si>
  <si>
    <t>2003 CBECS</t>
  </si>
  <si>
    <t xml:space="preserve"> Mall </t>
  </si>
  <si>
    <t>2000-2003</t>
  </si>
  <si>
    <t>All Non-Mall</t>
  </si>
  <si>
    <t xml:space="preserve"> Total, w/Mall</t>
  </si>
  <si>
    <t xml:space="preserve"> New Def</t>
  </si>
  <si>
    <t xml:space="preserve"> Factor</t>
  </si>
  <si>
    <t xml:space="preserve"> Old Def</t>
  </si>
  <si>
    <t xml:space="preserve">        1900-1919</t>
  </si>
  <si>
    <t>1990-2003</t>
  </si>
  <si>
    <t>Scale Factor'</t>
  </si>
  <si>
    <t>Difference</t>
  </si>
  <si>
    <t xml:space="preserve"> P. Garage</t>
  </si>
  <si>
    <t>Electricity Consumption</t>
  </si>
  <si>
    <t>Intensity</t>
  </si>
  <si>
    <t>Rough Average 1989-1995</t>
  </si>
  <si>
    <t>Consumption</t>
  </si>
  <si>
    <t>"Old Inten"</t>
  </si>
  <si>
    <t>1984-1991</t>
  </si>
  <si>
    <t>Annual (B)</t>
  </si>
  <si>
    <t>Supplier (A)</t>
  </si>
  <si>
    <t>Supplier (B)</t>
  </si>
  <si>
    <t>constant</t>
  </si>
  <si>
    <t>coeff</t>
  </si>
  <si>
    <t>time</t>
  </si>
  <si>
    <t>1993-2001</t>
  </si>
  <si>
    <t xml:space="preserve"> Supplier- based</t>
  </si>
  <si>
    <t>Stock (A)</t>
  </si>
  <si>
    <t xml:space="preserve"> Stock (B)</t>
  </si>
  <si>
    <t xml:space="preserve"> CBECS</t>
  </si>
  <si>
    <t xml:space="preserve"> Trend</t>
  </si>
  <si>
    <t>1984-2004</t>
  </si>
  <si>
    <t>CBECS (Trend)</t>
  </si>
  <si>
    <t>Time Period</t>
  </si>
  <si>
    <t>Electricity</t>
  </si>
  <si>
    <t>as published</t>
  </si>
  <si>
    <t>PC Equip</t>
  </si>
  <si>
    <t>Adj for PC</t>
  </si>
  <si>
    <t>Exclude St. Lights/Municipal</t>
  </si>
  <si>
    <t>Data for Chart</t>
  </si>
  <si>
    <t>All Commercial Sales</t>
  </si>
  <si>
    <t>Exclude PC-Related, &gt;1993</t>
  </si>
  <si>
    <t xml:space="preserve">Total Elec </t>
  </si>
  <si>
    <t xml:space="preserve"> Adjusted</t>
  </si>
  <si>
    <t>Adj. Factor</t>
  </si>
  <si>
    <t>Adjust Total Electricity</t>
  </si>
  <si>
    <t>Adjust with EIA Estimates, alternative defn's of target population</t>
  </si>
  <si>
    <t xml:space="preserve">  Revised</t>
  </si>
  <si>
    <t xml:space="preserve"> EIA Orig (1992)</t>
  </si>
  <si>
    <t>EIA-861 (AER)</t>
  </si>
  <si>
    <t>EIA-861 (Old Comm.)</t>
  </si>
  <si>
    <t>CBECS (published 79 &amp; 83)</t>
  </si>
  <si>
    <t>EIA Published</t>
  </si>
  <si>
    <t>1984-2003</t>
  </si>
  <si>
    <t>1993-2003</t>
  </si>
  <si>
    <t xml:space="preserve">    Supplier-based</t>
  </si>
  <si>
    <t>CBECS (published)</t>
  </si>
  <si>
    <t>CBECS (adjusted)</t>
  </si>
  <si>
    <t>(or use cell s484)</t>
  </si>
  <si>
    <t>Annual - Using Scaled Dodge Additions</t>
  </si>
  <si>
    <t>CBECS (1992 Building Scope)</t>
  </si>
  <si>
    <t xml:space="preserve"> Scaled</t>
  </si>
  <si>
    <t>Park + Man</t>
  </si>
  <si>
    <t>Parking</t>
  </si>
  <si>
    <t>Revised #2</t>
  </si>
  <si>
    <t>Elec Use</t>
  </si>
  <si>
    <t>Revised "old"</t>
  </si>
  <si>
    <t>Published</t>
  </si>
  <si>
    <t>Supply Survey-Based</t>
  </si>
  <si>
    <t>Supply Survey (Adjusted)</t>
  </si>
  <si>
    <t>1985-2005</t>
  </si>
  <si>
    <t>1993-2005</t>
  </si>
  <si>
    <t>1984-2005</t>
  </si>
  <si>
    <t>CBECS (adjusted to 1992 bldg. scope)</t>
  </si>
  <si>
    <t>Compute Intensity (as published)</t>
  </si>
  <si>
    <t xml:space="preserve">   2003 Sq.ft with Elec</t>
  </si>
  <si>
    <t>(Incorrect)</t>
  </si>
  <si>
    <t>Coefficients from Gauss Regression (cbtrends.vr1)</t>
  </si>
  <si>
    <t>Additional Electricity Use from Redefinition, TWh</t>
  </si>
  <si>
    <t>Import from Supply_adjust</t>
  </si>
  <si>
    <t>(Used in intensities report)</t>
  </si>
  <si>
    <t>CBECS (w/special adjustments)</t>
  </si>
  <si>
    <t>% Surviving</t>
  </si>
  <si>
    <t>Value for Footnote, page 4, Section1 of Intensities Report</t>
  </si>
  <si>
    <t xml:space="preserve">Timing Wgts </t>
  </si>
  <si>
    <t xml:space="preserve"> Current Yr</t>
  </si>
  <si>
    <t xml:space="preserve"> Lag Yr</t>
  </si>
  <si>
    <t>"VPIP"-Estimate</t>
  </si>
  <si>
    <t>Benchmark Factor</t>
  </si>
  <si>
    <t>From CO-StatePop2.xls</t>
  </si>
  <si>
    <t>link factor</t>
  </si>
  <si>
    <t>Not Lagged</t>
  </si>
  <si>
    <t>1840-1899</t>
  </si>
  <si>
    <t>Note:  surviving floorspace from 1840-1899 in 1989</t>
  </si>
  <si>
    <t>Reported floorspace in 1989 CBECS</t>
  </si>
  <si>
    <t>Factor is likely understated because floorspace doesn't start until 1840</t>
  </si>
  <si>
    <t>Post-1989 Scaling Factor key-&gt;</t>
  </si>
  <si>
    <t>w/o lags</t>
  </si>
  <si>
    <t>As published</t>
  </si>
  <si>
    <t>Tot_Dodge-&gt;</t>
  </si>
  <si>
    <t>Rate, 1999-2009</t>
  </si>
  <si>
    <t>Headings for Graphed Lines Below</t>
  </si>
  <si>
    <t>Value Put in Place (Dodge Basis)</t>
  </si>
  <si>
    <t>DB Estimates</t>
  </si>
  <si>
    <t>Adjust removals</t>
  </si>
  <si>
    <t>fraction retained</t>
  </si>
  <si>
    <t>pre-adjust</t>
  </si>
  <si>
    <t>post-adjust</t>
  </si>
  <si>
    <t>Old stk retained</t>
  </si>
  <si>
    <t xml:space="preserve">Note:  From cell AS392, add back </t>
  </si>
  <si>
    <t>because of poor economic climate,</t>
  </si>
  <si>
    <t xml:space="preserve">PNNL judgment - actual data on </t>
  </si>
  <si>
    <t>demolitions would be much preferred</t>
  </si>
  <si>
    <t xml:space="preserve">Compare vintages </t>
  </si>
  <si>
    <t>EIA</t>
  </si>
  <si>
    <t>2004-2007</t>
  </si>
  <si>
    <t>2008-2012</t>
  </si>
  <si>
    <t>1.5 billion sf that was not removed</t>
  </si>
  <si>
    <t>*</t>
  </si>
  <si>
    <t>Removal chg?</t>
  </si>
  <si>
    <t xml:space="preserve"> Stk Chg</t>
  </si>
  <si>
    <t>Adds - 2004-2012</t>
  </si>
  <si>
    <t>Floorspace Additions</t>
  </si>
  <si>
    <t>NOT USED</t>
  </si>
  <si>
    <t>1 Y, 0 N</t>
  </si>
  <si>
    <t>Removals</t>
  </si>
  <si>
    <t>Removals/Stock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</si>
</sst>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00"/>
    <numFmt numFmtId="165" formatCode="0.0"/>
    <numFmt numFmtId="166" formatCode="0.0000"/>
    <numFmt numFmtId="167" formatCode="0.00000"/>
    <numFmt numFmtId="168" formatCode="0.0%"/>
    <numFmt numFmtId="169" formatCode="0.0000000"/>
    <numFmt numFmtId="170" formatCode="#,##0.0"/>
  </numFmts>
  <fonts count="16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b/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i/>
      <sz val="10"/>
      <name val="Arial"/>
      <family val="2"/>
    </font>
    <font>
      <sz val="8"/>
      <name val="Arial"/>
      <family val="2"/>
    </font>
    <font>
      <sz val="9"/>
      <name val="Arial"/>
      <family val="2"/>
    </font>
    <font>
      <sz val="10"/>
      <color indexed="4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0"/>
      <color theme="0"/>
      <name val="Arial"/>
      <family val="2"/>
    </font>
    <font>
      <sz val="10"/>
      <color theme="0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indexed="1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96">
    <xf numFmtId="0" fontId="0" fillId="0" borderId="0" xfId="0"/>
    <xf numFmtId="0" fontId="3" fillId="0" borderId="0" xfId="0" applyFont="1"/>
    <xf numFmtId="0" fontId="4" fillId="0" borderId="0" xfId="0" applyFont="1"/>
    <xf numFmtId="0" fontId="4" fillId="2" borderId="0" xfId="0" applyFont="1" applyFill="1"/>
    <xf numFmtId="0" fontId="0" fillId="2" borderId="0" xfId="0" applyFill="1"/>
    <xf numFmtId="165" fontId="0" fillId="0" borderId="0" xfId="0" applyNumberFormat="1"/>
    <xf numFmtId="0" fontId="0" fillId="0" borderId="2" xfId="0" applyBorder="1"/>
    <xf numFmtId="165" fontId="0" fillId="0" borderId="2" xfId="0" applyNumberFormat="1" applyBorder="1"/>
    <xf numFmtId="0" fontId="0" fillId="0" borderId="0" xfId="0" applyFill="1"/>
    <xf numFmtId="9" fontId="0" fillId="0" borderId="0" xfId="0" applyNumberFormat="1"/>
    <xf numFmtId="0" fontId="0" fillId="3" borderId="0" xfId="0" applyFill="1"/>
    <xf numFmtId="0" fontId="0" fillId="3" borderId="2" xfId="0" applyFill="1" applyBorder="1"/>
    <xf numFmtId="0" fontId="0" fillId="3" borderId="3" xfId="0" applyFill="1" applyBorder="1"/>
    <xf numFmtId="0" fontId="0" fillId="3" borderId="0" xfId="0" applyFill="1" applyBorder="1"/>
    <xf numFmtId="0" fontId="0" fillId="4" borderId="2" xfId="0" applyFill="1" applyBorder="1"/>
    <xf numFmtId="0" fontId="0" fillId="5" borderId="0" xfId="0" applyFill="1"/>
    <xf numFmtId="0" fontId="0" fillId="6" borderId="0" xfId="0" applyFill="1"/>
    <xf numFmtId="0" fontId="7" fillId="0" borderId="0" xfId="0" applyFont="1"/>
    <xf numFmtId="164" fontId="0" fillId="0" borderId="0" xfId="0" applyNumberFormat="1"/>
    <xf numFmtId="2" fontId="0" fillId="0" borderId="0" xfId="0" applyNumberFormat="1"/>
    <xf numFmtId="2" fontId="0" fillId="7" borderId="0" xfId="0" applyNumberFormat="1" applyFill="1"/>
    <xf numFmtId="0" fontId="0" fillId="0" borderId="1" xfId="0" applyBorder="1"/>
    <xf numFmtId="0" fontId="0" fillId="8" borderId="0" xfId="0" applyFill="1"/>
    <xf numFmtId="166" fontId="0" fillId="0" borderId="0" xfId="0" applyNumberFormat="1"/>
    <xf numFmtId="2" fontId="0" fillId="0" borderId="0" xfId="0" applyNumberFormat="1" applyFill="1"/>
    <xf numFmtId="164" fontId="0" fillId="0" borderId="1" xfId="0" applyNumberFormat="1" applyBorder="1"/>
    <xf numFmtId="0" fontId="0" fillId="9" borderId="0" xfId="0" applyFill="1"/>
    <xf numFmtId="0" fontId="0" fillId="7" borderId="0" xfId="0" applyFill="1"/>
    <xf numFmtId="0" fontId="0" fillId="10" borderId="0" xfId="0" applyFill="1"/>
    <xf numFmtId="165" fontId="0" fillId="11" borderId="0" xfId="0" applyNumberFormat="1" applyFill="1"/>
    <xf numFmtId="0" fontId="0" fillId="11" borderId="0" xfId="0" applyFill="1"/>
    <xf numFmtId="0" fontId="0" fillId="0" borderId="0" xfId="0" applyAlignment="1">
      <alignment wrapText="1"/>
    </xf>
    <xf numFmtId="164" fontId="0" fillId="11" borderId="0" xfId="0" applyNumberFormat="1" applyFill="1"/>
    <xf numFmtId="165" fontId="0" fillId="12" borderId="0" xfId="0" applyNumberFormat="1" applyFill="1"/>
    <xf numFmtId="0" fontId="0" fillId="12" borderId="0" xfId="0" applyFill="1"/>
    <xf numFmtId="0" fontId="0" fillId="13" borderId="0" xfId="0" applyFill="1"/>
    <xf numFmtId="167" fontId="0" fillId="0" borderId="0" xfId="0" applyNumberFormat="1"/>
    <xf numFmtId="0" fontId="8" fillId="0" borderId="0" xfId="0" applyFont="1"/>
    <xf numFmtId="166" fontId="0" fillId="5" borderId="0" xfId="0" applyNumberFormat="1" applyFill="1"/>
    <xf numFmtId="0" fontId="0" fillId="0" borderId="4" xfId="0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7" fillId="0" borderId="0" xfId="0" applyFont="1" applyBorder="1"/>
    <xf numFmtId="0" fontId="9" fillId="0" borderId="0" xfId="0" applyFont="1" applyBorder="1"/>
    <xf numFmtId="0" fontId="0" fillId="6" borderId="0" xfId="0" applyFill="1" applyBorder="1"/>
    <xf numFmtId="0" fontId="0" fillId="0" borderId="8" xfId="0" applyBorder="1"/>
    <xf numFmtId="0" fontId="0" fillId="0" borderId="9" xfId="0" applyBorder="1"/>
    <xf numFmtId="0" fontId="0" fillId="0" borderId="0" xfId="0" applyFill="1" applyBorder="1"/>
    <xf numFmtId="0" fontId="3" fillId="0" borderId="0" xfId="0" applyFont="1" applyFill="1" applyBorder="1"/>
    <xf numFmtId="0" fontId="3" fillId="0" borderId="0" xfId="0" applyFont="1" applyBorder="1"/>
    <xf numFmtId="0" fontId="0" fillId="14" borderId="0" xfId="0" applyFill="1" applyAlignment="1">
      <alignment horizontal="center"/>
    </xf>
    <xf numFmtId="0" fontId="3" fillId="0" borderId="1" xfId="0" applyFont="1" applyBorder="1"/>
    <xf numFmtId="0" fontId="0" fillId="15" borderId="0" xfId="0" applyFill="1"/>
    <xf numFmtId="0" fontId="10" fillId="0" borderId="0" xfId="0" applyFont="1"/>
    <xf numFmtId="0" fontId="10" fillId="5" borderId="0" xfId="0" applyFont="1" applyFill="1"/>
    <xf numFmtId="0" fontId="0" fillId="10" borderId="0" xfId="0" applyFill="1" applyBorder="1"/>
    <xf numFmtId="0" fontId="0" fillId="10" borderId="7" xfId="0" applyFill="1" applyBorder="1"/>
    <xf numFmtId="0" fontId="0" fillId="16" borderId="0" xfId="0" applyFill="1"/>
    <xf numFmtId="0" fontId="11" fillId="0" borderId="0" xfId="0" applyFont="1"/>
    <xf numFmtId="0" fontId="0" fillId="0" borderId="1" xfId="0" applyBorder="1" applyAlignment="1">
      <alignment horizontal="center"/>
    </xf>
    <xf numFmtId="167" fontId="0" fillId="11" borderId="0" xfId="0" applyNumberFormat="1" applyFill="1"/>
    <xf numFmtId="2" fontId="0" fillId="0" borderId="2" xfId="0" applyNumberFormat="1" applyBorder="1"/>
    <xf numFmtId="2" fontId="0" fillId="0" borderId="0" xfId="0" applyNumberFormat="1" applyAlignment="1">
      <alignment horizontal="center"/>
    </xf>
    <xf numFmtId="164" fontId="0" fillId="5" borderId="0" xfId="0" applyNumberFormat="1" applyFill="1"/>
    <xf numFmtId="166" fontId="0" fillId="7" borderId="0" xfId="0" applyNumberFormat="1" applyFill="1"/>
    <xf numFmtId="2" fontId="0" fillId="0" borderId="0" xfId="0" applyNumberFormat="1" applyBorder="1"/>
    <xf numFmtId="168" fontId="0" fillId="0" borderId="0" xfId="1" applyNumberFormat="1" applyFont="1" applyAlignment="1">
      <alignment horizontal="center"/>
    </xf>
    <xf numFmtId="3" fontId="0" fillId="17" borderId="10" xfId="0" applyNumberFormat="1" applyFill="1" applyBorder="1" applyAlignment="1">
      <alignment wrapText="1"/>
    </xf>
    <xf numFmtId="3" fontId="0" fillId="0" borderId="0" xfId="0" applyNumberFormat="1"/>
    <xf numFmtId="10" fontId="0" fillId="0" borderId="0" xfId="1" applyNumberFormat="1" applyFont="1" applyAlignment="1">
      <alignment horizontal="center"/>
    </xf>
    <xf numFmtId="0" fontId="0" fillId="14" borderId="0" xfId="0" applyFill="1"/>
    <xf numFmtId="0" fontId="0" fillId="18" borderId="0" xfId="0" applyFill="1"/>
    <xf numFmtId="0" fontId="13" fillId="0" borderId="0" xfId="0" applyFont="1"/>
    <xf numFmtId="0" fontId="1" fillId="18" borderId="0" xfId="0" applyFont="1" applyFill="1"/>
    <xf numFmtId="1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4" fillId="19" borderId="0" xfId="0" applyFont="1" applyFill="1"/>
    <xf numFmtId="0" fontId="4" fillId="0" borderId="0" xfId="0" applyFont="1" applyFill="1"/>
    <xf numFmtId="169" fontId="0" fillId="0" borderId="0" xfId="0" applyNumberFormat="1"/>
    <xf numFmtId="0" fontId="1" fillId="0" borderId="0" xfId="0" applyFont="1"/>
    <xf numFmtId="0" fontId="15" fillId="20" borderId="0" xfId="0" applyFont="1" applyFill="1"/>
    <xf numFmtId="166" fontId="1" fillId="0" borderId="0" xfId="0" applyNumberFormat="1" applyFont="1"/>
    <xf numFmtId="0" fontId="15" fillId="0" borderId="0" xfId="0" applyFont="1" applyFill="1"/>
    <xf numFmtId="170" fontId="0" fillId="0" borderId="0" xfId="0" applyNumberFormat="1"/>
    <xf numFmtId="1" fontId="0" fillId="20" borderId="0" xfId="0" applyNumberFormat="1" applyFill="1"/>
    <xf numFmtId="170" fontId="1" fillId="0" borderId="0" xfId="0" applyNumberFormat="1" applyFont="1"/>
    <xf numFmtId="4" fontId="0" fillId="0" borderId="0" xfId="0" applyNumberFormat="1"/>
    <xf numFmtId="164" fontId="0" fillId="0" borderId="0" xfId="0" applyNumberFormat="1" applyFill="1"/>
    <xf numFmtId="2" fontId="1" fillId="0" borderId="0" xfId="0" applyNumberFormat="1" applyFont="1"/>
    <xf numFmtId="170" fontId="0" fillId="21" borderId="0" xfId="0" applyNumberFormat="1" applyFill="1"/>
    <xf numFmtId="0" fontId="0" fillId="14" borderId="0" xfId="0" applyFill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worksheet" Target="worksheets/sheet12.xml"/><Relationship Id="rId18" Type="http://schemas.openxmlformats.org/officeDocument/2006/relationships/styles" Target="styles.xml"/><Relationship Id="rId3" Type="http://schemas.openxmlformats.org/officeDocument/2006/relationships/chartsheet" Target="chartsheets/sheet1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3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5" Type="http://schemas.openxmlformats.org/officeDocument/2006/relationships/worksheet" Target="worksheets/sheet4.xml"/><Relationship Id="rId15" Type="http://schemas.openxmlformats.org/officeDocument/2006/relationships/externalLink" Target="externalLinks/externalLink2.xml"/><Relationship Id="rId10" Type="http://schemas.openxmlformats.org/officeDocument/2006/relationships/worksheet" Target="worksheets/sheet9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externalLink" Target="externalLinks/externalLink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Survival Fractions, 1999/1989 CBECS</a:t>
            </a:r>
          </a:p>
        </c:rich>
      </c:tx>
      <c:layout>
        <c:manualLayout>
          <c:xMode val="edge"/>
          <c:yMode val="edge"/>
          <c:x val="0.19206382535516392"/>
          <c:y val="3.361344537815125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063510763130524"/>
          <c:y val="0.22128912073573381"/>
          <c:w val="0.76984246317346106"/>
          <c:h val="0.6582651059860436"/>
        </c:manualLayout>
      </c:layout>
      <c:lineChart>
        <c:grouping val="standard"/>
        <c:varyColors val="0"/>
        <c:ser>
          <c:idx val="0"/>
          <c:order val="0"/>
          <c:tx>
            <c:strRef>
              <c:f>'NEMS_Logistic (current) '!$AL$422</c:f>
              <c:strCache>
                <c:ptCount val="1"/>
                <c:pt idx="0">
                  <c:v>  Predicted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'NEMS_Logistic (current) '!$AK$423:$AK$426</c:f>
              <c:strCache>
                <c:ptCount val="4"/>
                <c:pt idx="0">
                  <c:v>1960-1989</c:v>
                </c:pt>
                <c:pt idx="1">
                  <c:v>1946-1959</c:v>
                </c:pt>
                <c:pt idx="2">
                  <c:v>1920-45</c:v>
                </c:pt>
                <c:pt idx="3">
                  <c:v>&lt;1920</c:v>
                </c:pt>
              </c:strCache>
            </c:strRef>
          </c:cat>
          <c:val>
            <c:numRef>
              <c:f>'NEMS_Logistic (current) '!$AL$423:$AL$426</c:f>
              <c:numCache>
                <c:formatCode>General</c:formatCode>
                <c:ptCount val="4"/>
                <c:pt idx="0">
                  <c:v>0.98504404699211712</c:v>
                </c:pt>
                <c:pt idx="1">
                  <c:v>0.91762438994391504</c:v>
                </c:pt>
                <c:pt idx="2">
                  <c:v>0.81475502538882449</c:v>
                </c:pt>
                <c:pt idx="3">
                  <c:v>0.7080390303242704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76-44A2-AF05-B516973A8BE6}"/>
            </c:ext>
          </c:extLst>
        </c:ser>
        <c:ser>
          <c:idx val="1"/>
          <c:order val="1"/>
          <c:tx>
            <c:strRef>
              <c:f>'NEMS_Logistic (current) '!$AM$422</c:f>
              <c:strCache>
                <c:ptCount val="1"/>
                <c:pt idx="0">
                  <c:v>Actual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'NEMS_Logistic (current) '!$AK$423:$AK$426</c:f>
              <c:strCache>
                <c:ptCount val="4"/>
                <c:pt idx="0">
                  <c:v>1960-1989</c:v>
                </c:pt>
                <c:pt idx="1">
                  <c:v>1946-1959</c:v>
                </c:pt>
                <c:pt idx="2">
                  <c:v>1920-45</c:v>
                </c:pt>
                <c:pt idx="3">
                  <c:v>&lt;1920</c:v>
                </c:pt>
              </c:strCache>
            </c:strRef>
          </c:cat>
          <c:val>
            <c:numRef>
              <c:f>'NEMS_Logistic (current) '!$AM$423:$AM$426</c:f>
              <c:numCache>
                <c:formatCode>General</c:formatCode>
                <c:ptCount val="4"/>
                <c:pt idx="0">
                  <c:v>0.99477065163136469</c:v>
                </c:pt>
                <c:pt idx="1">
                  <c:v>0.90944698402269375</c:v>
                </c:pt>
                <c:pt idx="2">
                  <c:v>0.82008527837281053</c:v>
                </c:pt>
                <c:pt idx="3">
                  <c:v>0.70464660568015247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76-44A2-AF05-B516973A8B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796480"/>
        <c:axId val="191571648"/>
      </c:lineChart>
      <c:catAx>
        <c:axId val="51796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15716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15716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179648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2857176186310044"/>
          <c:y val="0.59664041994750661"/>
          <c:w val="0.18888922218056073"/>
          <c:h val="0.1372551960416712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4628812858937918E-2"/>
          <c:y val="9.1503559996553296E-2"/>
          <c:w val="0.55095084289798357"/>
          <c:h val="0.74510041711479114"/>
        </c:manualLayout>
      </c:layout>
      <c:lineChart>
        <c:grouping val="standard"/>
        <c:varyColors val="0"/>
        <c:ser>
          <c:idx val="0"/>
          <c:order val="0"/>
          <c:tx>
            <c:strRef>
              <c:f>'NEMS_Logistic (current) '!$CG$349</c:f>
              <c:strCache>
                <c:ptCount val="1"/>
                <c:pt idx="0">
                  <c:v>Supply Survey-Based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'NEMS_Logistic (current) '!$CG$350:$CG$382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E4-4C32-AEA2-7C2B8B731BD4}"/>
            </c:ext>
          </c:extLst>
        </c:ser>
        <c:ser>
          <c:idx val="1"/>
          <c:order val="1"/>
          <c:tx>
            <c:strRef>
              <c:f>'NEMS_Logistic (current) '!$CH$349</c:f>
              <c:strCache>
                <c:ptCount val="1"/>
                <c:pt idx="0">
                  <c:v>Supplier (B)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'NEMS_Logistic (current) '!$CH$350:$CH$382</c:f>
              <c:numCache>
                <c:formatCode>General</c:formatCode>
                <c:ptCount val="33"/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E4-4C32-AEA2-7C2B8B731BD4}"/>
            </c:ext>
          </c:extLst>
        </c:ser>
        <c:ser>
          <c:idx val="2"/>
          <c:order val="2"/>
          <c:tx>
            <c:strRef>
              <c:f>'NEMS_Logistic (current) '!$CI$349</c:f>
              <c:strCache>
                <c:ptCount val="1"/>
                <c:pt idx="0">
                  <c:v>CBECS (adjusted to 1992 bldg. scope)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'NEMS_Logistic (current) '!$CI$350:$CI$382</c:f>
              <c:numCache>
                <c:formatCode>General</c:formatCode>
                <c:ptCount val="33"/>
                <c:pt idx="10">
                  <c:v>12.613087427257739</c:v>
                </c:pt>
                <c:pt idx="13">
                  <c:v>12.395925057992182</c:v>
                </c:pt>
                <c:pt idx="16">
                  <c:v>13.201432880573222</c:v>
                </c:pt>
                <c:pt idx="19">
                  <c:v>11.494237681803023</c:v>
                </c:pt>
                <c:pt idx="22">
                  <c:v>13.281063740703914</c:v>
                </c:pt>
                <c:pt idx="26">
                  <c:v>13.689814267424223</c:v>
                </c:pt>
                <c:pt idx="30">
                  <c:v>14.749092097872971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3E4-4C32-AEA2-7C2B8B731BD4}"/>
            </c:ext>
          </c:extLst>
        </c:ser>
        <c:ser>
          <c:idx val="3"/>
          <c:order val="3"/>
          <c:tx>
            <c:strRef>
              <c:f>'NEMS_Logistic (current) '!$CJ$349</c:f>
              <c:strCache>
                <c:ptCount val="1"/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Ref>
              <c:f>'NEMS_Logistic (current) '!$CJ$350:$CJ$382</c:f>
              <c:numCache>
                <c:formatCode>General</c:formatCode>
                <c:ptCount val="33"/>
                <c:pt idx="8">
                  <c:v>0</c:v>
                </c:pt>
                <c:pt idx="10">
                  <c:v>12.818738476601636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3E4-4C32-AEA2-7C2B8B731BD4}"/>
            </c:ext>
          </c:extLst>
        </c:ser>
        <c:ser>
          <c:idx val="4"/>
          <c:order val="4"/>
          <c:tx>
            <c:strRef>
              <c:f>'NEMS_Logistic (current) '!$CK$349</c:f>
              <c:strCache>
                <c:ptCount val="1"/>
                <c:pt idx="0">
                  <c:v>CBECS (Trend)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val>
            <c:numRef>
              <c:f>'NEMS_Logistic (current) '!$CK$350:$CK$382</c:f>
              <c:numCache>
                <c:formatCode>General</c:formatCode>
                <c:ptCount val="33"/>
                <c:pt idx="10">
                  <c:v>12.091083319307927</c:v>
                </c:pt>
                <c:pt idx="11">
                  <c:v>12.193917712012052</c:v>
                </c:pt>
                <c:pt idx="12">
                  <c:v>12.296752104716177</c:v>
                </c:pt>
                <c:pt idx="13">
                  <c:v>12.399586497420302</c:v>
                </c:pt>
                <c:pt idx="14">
                  <c:v>12.502420890124398</c:v>
                </c:pt>
                <c:pt idx="15">
                  <c:v>12.605255282828523</c:v>
                </c:pt>
                <c:pt idx="16">
                  <c:v>12.708089675532648</c:v>
                </c:pt>
                <c:pt idx="17">
                  <c:v>12.810924068236773</c:v>
                </c:pt>
                <c:pt idx="18">
                  <c:v>12.913758460940898</c:v>
                </c:pt>
                <c:pt idx="19">
                  <c:v>13.016592853644994</c:v>
                </c:pt>
                <c:pt idx="20">
                  <c:v>13.119427246349119</c:v>
                </c:pt>
                <c:pt idx="21">
                  <c:v>13.222261639053244</c:v>
                </c:pt>
                <c:pt idx="22">
                  <c:v>13.325096031757369</c:v>
                </c:pt>
                <c:pt idx="23">
                  <c:v>13.427930424461493</c:v>
                </c:pt>
                <c:pt idx="24">
                  <c:v>13.530764817165618</c:v>
                </c:pt>
                <c:pt idx="25">
                  <c:v>13.633599209869715</c:v>
                </c:pt>
                <c:pt idx="26">
                  <c:v>13.73643360257384</c:v>
                </c:pt>
                <c:pt idx="27">
                  <c:v>13.839267995277964</c:v>
                </c:pt>
                <c:pt idx="28">
                  <c:v>13.942102387982089</c:v>
                </c:pt>
                <c:pt idx="29">
                  <c:v>14.044936780686214</c:v>
                </c:pt>
                <c:pt idx="30">
                  <c:v>14.147771173390339</c:v>
                </c:pt>
                <c:pt idx="31">
                  <c:v>14.250605566094436</c:v>
                </c:pt>
                <c:pt idx="32">
                  <c:v>14.35343995879856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3E4-4C32-AEA2-7C2B8B731B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624832"/>
        <c:axId val="238383040"/>
      </c:lineChart>
      <c:catAx>
        <c:axId val="101624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8383040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2383830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6248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545779445963037"/>
          <c:y val="0.11111145420547922"/>
          <c:w val="0.33160676159003444"/>
          <c:h val="0.7058847546017532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051546391752577"/>
          <c:y val="0.15309470603672454"/>
          <c:w val="0.76288659793814428"/>
          <c:h val="0.5993494874629216"/>
        </c:manualLayout>
      </c:layout>
      <c:lineChart>
        <c:grouping val="standard"/>
        <c:varyColors val="0"/>
        <c:ser>
          <c:idx val="0"/>
          <c:order val="0"/>
          <c:tx>
            <c:strRef>
              <c:f>'NEMS_Logistic (current) '!$BU$246:$BU$247</c:f>
              <c:strCache>
                <c:ptCount val="2"/>
                <c:pt idx="0">
                  <c:v>% Surviving</c:v>
                </c:pt>
                <c:pt idx="1">
                  <c:v>1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'NEMS_Logistic (current) '!$BT$248:$BT$347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'NEMS_Logistic (current) '!$BU$248:$BU$346</c:f>
              <c:numCache>
                <c:formatCode>General</c:formatCode>
                <c:ptCount val="99"/>
                <c:pt idx="0" formatCode="0">
                  <c:v>0.99999995153718368</c:v>
                </c:pt>
                <c:pt idx="1">
                  <c:v>0.99999926501576142</c:v>
                </c:pt>
                <c:pt idx="2">
                  <c:v>0.99999639387101014</c:v>
                </c:pt>
                <c:pt idx="3">
                  <c:v>0.99998885338042343</c:v>
                </c:pt>
                <c:pt idx="4">
                  <c:v>0.99997325198682663</c:v>
                </c:pt>
                <c:pt idx="5">
                  <c:v>0.99994531241476103</c:v>
                </c:pt>
                <c:pt idx="6">
                  <c:v>0.99989988815053987</c:v>
                </c:pt>
                <c:pt idx="7">
                  <c:v>0.99983097759237749</c:v>
                </c:pt>
                <c:pt idx="8">
                  <c:v>0.99973173719832764</c:v>
                </c:pt>
                <c:pt idx="9">
                  <c:v>0.99959449456848715</c:v>
                </c:pt>
                <c:pt idx="10">
                  <c:v>0.99941076222153036</c:v>
                </c:pt>
                <c:pt idx="11">
                  <c:v>0.99917125274301088</c:v>
                </c:pt>
                <c:pt idx="12">
                  <c:v>0.99886589594533581</c:v>
                </c:pt>
                <c:pt idx="13">
                  <c:v>0.9984838586642506</c:v>
                </c:pt>
                <c:pt idx="14">
                  <c:v>0.99801356781208517</c:v>
                </c:pt>
                <c:pt idx="15">
                  <c:v>0.99744273730685318</c:v>
                </c:pt>
                <c:pt idx="16">
                  <c:v>0.99675839949385381</c:v>
                </c:pt>
                <c:pt idx="17">
                  <c:v>0.99594694166920961</c:v>
                </c:pt>
                <c:pt idx="18">
                  <c:v>0.99499414829994903</c:v>
                </c:pt>
                <c:pt idx="19">
                  <c:v>0.99388524951035251</c:v>
                </c:pt>
                <c:pt idx="20">
                  <c:v>0.99260497636709277</c:v>
                </c:pt>
                <c:pt idx="21">
                  <c:v>0.9911376234442244</c:v>
                </c:pt>
                <c:pt idx="22">
                  <c:v>0.98946711908151352</c:v>
                </c:pt>
                <c:pt idx="23">
                  <c:v>0.98757710366441731</c:v>
                </c:pt>
                <c:pt idx="24">
                  <c:v>0.98545101615005803</c:v>
                </c:pt>
                <c:pt idx="25">
                  <c:v>0.98307218894002268</c:v>
                </c:pt>
                <c:pt idx="26">
                  <c:v>0.98042395105756286</c:v>
                </c:pt>
                <c:pt idx="27">
                  <c:v>0.97748973942419259</c:v>
                </c:pt>
                <c:pt idx="28">
                  <c:v>0.9742532178500003</c:v>
                </c:pt>
                <c:pt idx="29">
                  <c:v>0.97069840315522438</c:v>
                </c:pt>
                <c:pt idx="30">
                  <c:v>0.96680979763079788</c:v>
                </c:pt>
                <c:pt idx="31">
                  <c:v>0.96257252682658867</c:v>
                </c:pt>
                <c:pt idx="32">
                  <c:v>0.95797248143291314</c:v>
                </c:pt>
                <c:pt idx="33">
                  <c:v>0.95299646179949982</c:v>
                </c:pt>
                <c:pt idx="34">
                  <c:v>0.94763232342320536</c:v>
                </c:pt>
                <c:pt idx="35">
                  <c:v>0.94186912153892333</c:v>
                </c:pt>
                <c:pt idx="36">
                  <c:v>0.93569725277529137</c:v>
                </c:pt>
                <c:pt idx="37">
                  <c:v>0.92910859169614757</c:v>
                </c:pt>
                <c:pt idx="38">
                  <c:v>0.9220966199483297</c:v>
                </c:pt>
                <c:pt idx="39">
                  <c:v>0.91465654568384147</c:v>
                </c:pt>
                <c:pt idx="40">
                  <c:v>0.90678541092628584</c:v>
                </c:pt>
                <c:pt idx="41">
                  <c:v>0.898482184612997</c:v>
                </c:pt>
                <c:pt idx="42">
                  <c:v>0.88974783916898381</c:v>
                </c:pt>
                <c:pt idx="43">
                  <c:v>0.88058540865796442</c:v>
                </c:pt>
                <c:pt idx="44">
                  <c:v>0.87100002680838728</c:v>
                </c:pt>
                <c:pt idx="45">
                  <c:v>0.86099894352470652</c:v>
                </c:pt>
                <c:pt idx="46">
                  <c:v>0.85059151886006445</c:v>
                </c:pt>
                <c:pt idx="47">
                  <c:v>0.83978919383707895</c:v>
                </c:pt>
                <c:pt idx="48">
                  <c:v>0.82860543794751107</c:v>
                </c:pt>
                <c:pt idx="49">
                  <c:v>0.81705567362617515</c:v>
                </c:pt>
                <c:pt idx="50">
                  <c:v>0.80515717846513635</c:v>
                </c:pt>
                <c:pt idx="51">
                  <c:v>0.79292896639582933</c:v>
                </c:pt>
                <c:pt idx="52">
                  <c:v>0.78039164950404238</c:v>
                </c:pt>
                <c:pt idx="53">
                  <c:v>0.76756728254114526</c:v>
                </c:pt>
                <c:pt idx="54">
                  <c:v>0.75447919254134055</c:v>
                </c:pt>
                <c:pt idx="55">
                  <c:v>0.74115179623788574</c:v>
                </c:pt>
                <c:pt idx="56">
                  <c:v>0.72761040818253109</c:v>
                </c:pt>
                <c:pt idx="57" formatCode="0.00000">
                  <c:v>0.71388104260609375</c:v>
                </c:pt>
                <c:pt idx="58">
                  <c:v>0.69999021211156298</c:v>
                </c:pt>
                <c:pt idx="59">
                  <c:v>0.68596472626493932</c:v>
                </c:pt>
                <c:pt idx="60">
                  <c:v>0.67183149304680811</c:v>
                </c:pt>
                <c:pt idx="61">
                  <c:v>0.65761732595574707</c:v>
                </c:pt>
                <c:pt idx="62">
                  <c:v>0.64334875932177582</c:v>
                </c:pt>
                <c:pt idx="63">
                  <c:v>0.62905187410464158</c:v>
                </c:pt>
                <c:pt idx="64">
                  <c:v>0.61475213612949209</c:v>
                </c:pt>
                <c:pt idx="65">
                  <c:v>0.60047424836370045</c:v>
                </c:pt>
                <c:pt idx="66">
                  <c:v>0.5862420184756324</c:v>
                </c:pt>
                <c:pt idx="67">
                  <c:v>0.57207824255075679</c:v>
                </c:pt>
                <c:pt idx="68">
                  <c:v>0.55800460548357012</c:v>
                </c:pt>
                <c:pt idx="69">
                  <c:v>0.54404159822483755</c:v>
                </c:pt>
                <c:pt idx="70">
                  <c:v>0.53020845175056952</c:v>
                </c:pt>
                <c:pt idx="71">
                  <c:v>0.51652308733816632</c:v>
                </c:pt>
                <c:pt idx="72">
                  <c:v>0.50300208249067324</c:v>
                </c:pt>
                <c:pt idx="73">
                  <c:v>0.48966065164479422</c:v>
                </c:pt>
                <c:pt idx="74">
                  <c:v>0.47651264063325316</c:v>
                </c:pt>
                <c:pt idx="75">
                  <c:v>0.46357053374692569</c:v>
                </c:pt>
                <c:pt idx="76">
                  <c:v>0.45084547215524529</c:v>
                </c:pt>
                <c:pt idx="77">
                  <c:v>0.43834728239217857</c:v>
                </c:pt>
                <c:pt idx="78">
                  <c:v>0.42608451359617938</c:v>
                </c:pt>
                <c:pt idx="79">
                  <c:v>0.4140644822021714</c:v>
                </c:pt>
                <c:pt idx="80">
                  <c:v>0.40229332281762048</c:v>
                </c:pt>
                <c:pt idx="81" formatCode="0.00000">
                  <c:v>0.3907760440689183</c:v>
                </c:pt>
                <c:pt idx="82" formatCode="0.00000">
                  <c:v>0.37951658827444251</c:v>
                </c:pt>
                <c:pt idx="83" formatCode="0.00000">
                  <c:v>0.36851789388284145</c:v>
                </c:pt>
                <c:pt idx="84" formatCode="0.00000">
                  <c:v>0.35778195970560622</c:v>
                </c:pt>
                <c:pt idx="85" formatCode="0.00000">
                  <c:v>0.34730991006859391</c:v>
                </c:pt>
                <c:pt idx="86" formatCode="0.00000">
                  <c:v>0.33710206010490684</c:v>
                </c:pt>
                <c:pt idx="87" formatCode="0.00000">
                  <c:v>0.32715798050899209</c:v>
                </c:pt>
                <c:pt idx="88" formatCode="0.00000">
                  <c:v>0.31747656116694678</c:v>
                </c:pt>
                <c:pt idx="89" formatCode="0.00000">
                  <c:v>0.30805607316916789</c:v>
                </c:pt>
                <c:pt idx="90" formatCode="0.00000">
                  <c:v>0.2988942287974411</c:v>
                </c:pt>
                <c:pt idx="91" formatCode="0.00000">
                  <c:v>0.28998823915841493</c:v>
                </c:pt>
                <c:pt idx="92" formatCode="0.00000">
                  <c:v>0.28133486920856221</c:v>
                </c:pt>
                <c:pt idx="93" formatCode="0.00000">
                  <c:v>0.27293048998188052</c:v>
                </c:pt>
                <c:pt idx="94" formatCode="0.00000">
                  <c:v>0.26477112789060925</c:v>
                </c:pt>
                <c:pt idx="95" formatCode="0.00000">
                  <c:v>0.25685251102122836</c:v>
                </c:pt>
                <c:pt idx="96" formatCode="0.00000">
                  <c:v>0.24917011239319095</c:v>
                </c:pt>
                <c:pt idx="97" formatCode="0.00000">
                  <c:v>0.24171919018653262</c:v>
                </c:pt>
                <c:pt idx="98" formatCode="0.00000">
                  <c:v>0.23449482497713842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9C-4C14-9A27-2DB99AF92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702016"/>
        <c:axId val="238386496"/>
      </c:lineChart>
      <c:catAx>
        <c:axId val="183702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Years</a:t>
                </a:r>
              </a:p>
            </c:rich>
          </c:tx>
          <c:layout>
            <c:manualLayout>
              <c:xMode val="edge"/>
              <c:yMode val="edge"/>
              <c:x val="0.48659793814432989"/>
              <c:y val="0.876222866278522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8386496"/>
        <c:crosses val="autoZero"/>
        <c:auto val="1"/>
        <c:lblAlgn val="ctr"/>
        <c:lblOffset val="100"/>
        <c:tickLblSkip val="10"/>
        <c:tickMarkSkip val="5"/>
        <c:noMultiLvlLbl val="0"/>
      </c:catAx>
      <c:valAx>
        <c:axId val="2383864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 Remaining</a:t>
                </a:r>
              </a:p>
            </c:rich>
          </c:tx>
          <c:layout>
            <c:manualLayout>
              <c:xMode val="edge"/>
              <c:yMode val="edge"/>
              <c:x val="3.0927835051546393E-2"/>
              <c:y val="0.22475604230252977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702016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230030621172354"/>
          <c:y val="9.7222222222222224E-2"/>
          <c:w val="0.81984011373578303"/>
          <c:h val="0.72070209973753285"/>
        </c:manualLayout>
      </c:layout>
      <c:lineChart>
        <c:grouping val="standard"/>
        <c:varyColors val="0"/>
        <c:ser>
          <c:idx val="0"/>
          <c:order val="0"/>
          <c:tx>
            <c:strRef>
              <c:f>'New Floorspace_plot'!$F$3</c:f>
              <c:strCache>
                <c:ptCount val="1"/>
                <c:pt idx="0">
                  <c:v>Floorspace Additions</c:v>
                </c:pt>
              </c:strCache>
            </c:strRef>
          </c:tx>
          <c:spPr>
            <a:ln w="28575" cap="rnd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65000"/>
                  <a:lumOff val="35000"/>
                </a:schemeClr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marker>
          <c:cat>
            <c:numRef>
              <c:f>'New Floorspace_plot'!$E$4:$E$102</c:f>
              <c:numCache>
                <c:formatCode>General</c:formatCode>
                <c:ptCount val="99"/>
                <c:pt idx="0">
                  <c:v>1920</c:v>
                </c:pt>
                <c:pt idx="1">
                  <c:v>1921</c:v>
                </c:pt>
                <c:pt idx="2">
                  <c:v>1922</c:v>
                </c:pt>
                <c:pt idx="3">
                  <c:v>1923</c:v>
                </c:pt>
                <c:pt idx="4">
                  <c:v>1924</c:v>
                </c:pt>
                <c:pt idx="5">
                  <c:v>1925</c:v>
                </c:pt>
                <c:pt idx="6">
                  <c:v>1926</c:v>
                </c:pt>
                <c:pt idx="7">
                  <c:v>1927</c:v>
                </c:pt>
                <c:pt idx="8">
                  <c:v>1928</c:v>
                </c:pt>
                <c:pt idx="9">
                  <c:v>1929</c:v>
                </c:pt>
                <c:pt idx="10">
                  <c:v>1930</c:v>
                </c:pt>
                <c:pt idx="11">
                  <c:v>1931</c:v>
                </c:pt>
                <c:pt idx="12">
                  <c:v>1932</c:v>
                </c:pt>
                <c:pt idx="13">
                  <c:v>1933</c:v>
                </c:pt>
                <c:pt idx="14">
                  <c:v>1934</c:v>
                </c:pt>
                <c:pt idx="15">
                  <c:v>1935</c:v>
                </c:pt>
                <c:pt idx="16">
                  <c:v>1936</c:v>
                </c:pt>
                <c:pt idx="17">
                  <c:v>1937</c:v>
                </c:pt>
                <c:pt idx="18">
                  <c:v>1938</c:v>
                </c:pt>
                <c:pt idx="19">
                  <c:v>1939</c:v>
                </c:pt>
                <c:pt idx="20">
                  <c:v>1940</c:v>
                </c:pt>
                <c:pt idx="21">
                  <c:v>1941</c:v>
                </c:pt>
                <c:pt idx="22">
                  <c:v>1942</c:v>
                </c:pt>
                <c:pt idx="23">
                  <c:v>1943</c:v>
                </c:pt>
                <c:pt idx="24">
                  <c:v>1944</c:v>
                </c:pt>
                <c:pt idx="25">
                  <c:v>1945</c:v>
                </c:pt>
                <c:pt idx="26">
                  <c:v>1946</c:v>
                </c:pt>
                <c:pt idx="27">
                  <c:v>1947</c:v>
                </c:pt>
                <c:pt idx="28">
                  <c:v>1948</c:v>
                </c:pt>
                <c:pt idx="29">
                  <c:v>1949</c:v>
                </c:pt>
                <c:pt idx="30">
                  <c:v>1950</c:v>
                </c:pt>
                <c:pt idx="31">
                  <c:v>1951</c:v>
                </c:pt>
                <c:pt idx="32">
                  <c:v>1952</c:v>
                </c:pt>
                <c:pt idx="33">
                  <c:v>1953</c:v>
                </c:pt>
                <c:pt idx="34">
                  <c:v>1954</c:v>
                </c:pt>
                <c:pt idx="35">
                  <c:v>1955</c:v>
                </c:pt>
                <c:pt idx="36">
                  <c:v>1956</c:v>
                </c:pt>
                <c:pt idx="37">
                  <c:v>1957</c:v>
                </c:pt>
                <c:pt idx="38">
                  <c:v>1958</c:v>
                </c:pt>
                <c:pt idx="39">
                  <c:v>1959</c:v>
                </c:pt>
                <c:pt idx="40">
                  <c:v>1960</c:v>
                </c:pt>
                <c:pt idx="41">
                  <c:v>1961</c:v>
                </c:pt>
                <c:pt idx="42">
                  <c:v>1962</c:v>
                </c:pt>
                <c:pt idx="43">
                  <c:v>1963</c:v>
                </c:pt>
                <c:pt idx="44">
                  <c:v>1964</c:v>
                </c:pt>
                <c:pt idx="45">
                  <c:v>1965</c:v>
                </c:pt>
                <c:pt idx="46">
                  <c:v>1966</c:v>
                </c:pt>
                <c:pt idx="47">
                  <c:v>1967</c:v>
                </c:pt>
                <c:pt idx="48">
                  <c:v>1968</c:v>
                </c:pt>
                <c:pt idx="49">
                  <c:v>1969</c:v>
                </c:pt>
                <c:pt idx="50">
                  <c:v>1970</c:v>
                </c:pt>
                <c:pt idx="51">
                  <c:v>1971</c:v>
                </c:pt>
                <c:pt idx="52">
                  <c:v>1972</c:v>
                </c:pt>
                <c:pt idx="53">
                  <c:v>1973</c:v>
                </c:pt>
                <c:pt idx="54">
                  <c:v>1974</c:v>
                </c:pt>
                <c:pt idx="55">
                  <c:v>1975</c:v>
                </c:pt>
                <c:pt idx="56">
                  <c:v>1976</c:v>
                </c:pt>
                <c:pt idx="57">
                  <c:v>1977</c:v>
                </c:pt>
                <c:pt idx="58">
                  <c:v>1978</c:v>
                </c:pt>
                <c:pt idx="59">
                  <c:v>1979</c:v>
                </c:pt>
                <c:pt idx="60">
                  <c:v>1980</c:v>
                </c:pt>
                <c:pt idx="61">
                  <c:v>1981</c:v>
                </c:pt>
                <c:pt idx="62">
                  <c:v>1982</c:v>
                </c:pt>
                <c:pt idx="63">
                  <c:v>1983</c:v>
                </c:pt>
                <c:pt idx="64">
                  <c:v>1984</c:v>
                </c:pt>
                <c:pt idx="65">
                  <c:v>1985</c:v>
                </c:pt>
                <c:pt idx="66">
                  <c:v>1986</c:v>
                </c:pt>
                <c:pt idx="67">
                  <c:v>1987</c:v>
                </c:pt>
                <c:pt idx="68">
                  <c:v>1988</c:v>
                </c:pt>
                <c:pt idx="69">
                  <c:v>1989</c:v>
                </c:pt>
                <c:pt idx="70">
                  <c:v>1990</c:v>
                </c:pt>
                <c:pt idx="71">
                  <c:v>1991</c:v>
                </c:pt>
                <c:pt idx="72">
                  <c:v>1992</c:v>
                </c:pt>
                <c:pt idx="73">
                  <c:v>1993</c:v>
                </c:pt>
                <c:pt idx="74">
                  <c:v>1994</c:v>
                </c:pt>
                <c:pt idx="75">
                  <c:v>1995</c:v>
                </c:pt>
                <c:pt idx="76">
                  <c:v>1996</c:v>
                </c:pt>
                <c:pt idx="77">
                  <c:v>1997</c:v>
                </c:pt>
                <c:pt idx="78">
                  <c:v>1998</c:v>
                </c:pt>
                <c:pt idx="79">
                  <c:v>1999</c:v>
                </c:pt>
                <c:pt idx="80">
                  <c:v>2000</c:v>
                </c:pt>
                <c:pt idx="81">
                  <c:v>2001</c:v>
                </c:pt>
                <c:pt idx="82">
                  <c:v>2002</c:v>
                </c:pt>
                <c:pt idx="83">
                  <c:v>2003</c:v>
                </c:pt>
                <c:pt idx="84">
                  <c:v>2004</c:v>
                </c:pt>
                <c:pt idx="85">
                  <c:v>2005</c:v>
                </c:pt>
                <c:pt idx="86">
                  <c:v>2006</c:v>
                </c:pt>
                <c:pt idx="87">
                  <c:v>2007</c:v>
                </c:pt>
                <c:pt idx="88">
                  <c:v>2008</c:v>
                </c:pt>
                <c:pt idx="89">
                  <c:v>2009</c:v>
                </c:pt>
                <c:pt idx="90">
                  <c:v>2010</c:v>
                </c:pt>
                <c:pt idx="91">
                  <c:v>2011</c:v>
                </c:pt>
                <c:pt idx="92">
                  <c:v>2012</c:v>
                </c:pt>
                <c:pt idx="93">
                  <c:v>2013</c:v>
                </c:pt>
                <c:pt idx="94">
                  <c:v>2014</c:v>
                </c:pt>
                <c:pt idx="95">
                  <c:v>2015</c:v>
                </c:pt>
                <c:pt idx="96">
                  <c:v>2016</c:v>
                </c:pt>
                <c:pt idx="97">
                  <c:v>2017</c:v>
                </c:pt>
                <c:pt idx="98">
                  <c:v>2018</c:v>
                </c:pt>
              </c:numCache>
            </c:numRef>
          </c:cat>
          <c:val>
            <c:numRef>
              <c:f>'New Floorspace_plot'!$F$4:$F$102</c:f>
              <c:numCache>
                <c:formatCode>#,##0</c:formatCode>
                <c:ptCount val="99"/>
                <c:pt idx="0">
                  <c:v>308.23015382850036</c:v>
                </c:pt>
                <c:pt idx="1">
                  <c:v>288.27867405980146</c:v>
                </c:pt>
                <c:pt idx="2">
                  <c:v>331.65292211700728</c:v>
                </c:pt>
                <c:pt idx="3">
                  <c:v>456.85047185090446</c:v>
                </c:pt>
                <c:pt idx="4">
                  <c:v>490.37160741490482</c:v>
                </c:pt>
                <c:pt idx="5">
                  <c:v>576.75179141721094</c:v>
                </c:pt>
                <c:pt idx="6">
                  <c:v>668.38551200780898</c:v>
                </c:pt>
                <c:pt idx="7">
                  <c:v>650.8970757810273</c:v>
                </c:pt>
                <c:pt idx="8">
                  <c:v>673.41528472471134</c:v>
                </c:pt>
                <c:pt idx="9">
                  <c:v>695.07260913576863</c:v>
                </c:pt>
                <c:pt idx="10">
                  <c:v>621.41084970066311</c:v>
                </c:pt>
                <c:pt idx="11">
                  <c:v>450.8787712094138</c:v>
                </c:pt>
                <c:pt idx="12">
                  <c:v>273.48973563841326</c:v>
                </c:pt>
                <c:pt idx="13">
                  <c:v>149.95416127129226</c:v>
                </c:pt>
                <c:pt idx="14">
                  <c:v>139.87329976831609</c:v>
                </c:pt>
                <c:pt idx="15">
                  <c:v>179.45680540912556</c:v>
                </c:pt>
                <c:pt idx="16">
                  <c:v>257.0416665928787</c:v>
                </c:pt>
                <c:pt idx="17">
                  <c:v>326.2900684795033</c:v>
                </c:pt>
                <c:pt idx="18">
                  <c:v>347.24101361308556</c:v>
                </c:pt>
                <c:pt idx="19">
                  <c:v>350.07814131251132</c:v>
                </c:pt>
                <c:pt idx="20">
                  <c:v>356.27514494817234</c:v>
                </c:pt>
                <c:pt idx="21">
                  <c:v>500.04468915448342</c:v>
                </c:pt>
                <c:pt idx="22">
                  <c:v>778.86062664769895</c:v>
                </c:pt>
                <c:pt idx="23">
                  <c:v>748.87615298899914</c:v>
                </c:pt>
                <c:pt idx="24">
                  <c:v>292.13114514092672</c:v>
                </c:pt>
                <c:pt idx="25">
                  <c:v>259.7614086004366</c:v>
                </c:pt>
                <c:pt idx="26">
                  <c:v>375.21060277194596</c:v>
                </c:pt>
                <c:pt idx="27">
                  <c:v>464.06053605909665</c:v>
                </c:pt>
                <c:pt idx="28">
                  <c:v>525.69278760466784</c:v>
                </c:pt>
                <c:pt idx="29">
                  <c:v>612.33024206940502</c:v>
                </c:pt>
                <c:pt idx="30">
                  <c:v>683.90156474414698</c:v>
                </c:pt>
                <c:pt idx="31">
                  <c:v>750.66672940174408</c:v>
                </c:pt>
                <c:pt idx="32">
                  <c:v>694.76081803935563</c:v>
                </c:pt>
                <c:pt idx="33">
                  <c:v>738.66415609749458</c:v>
                </c:pt>
                <c:pt idx="34">
                  <c:v>850.37496768590995</c:v>
                </c:pt>
                <c:pt idx="35">
                  <c:v>968.13077263885066</c:v>
                </c:pt>
                <c:pt idx="36">
                  <c:v>1067.6377090674123</c:v>
                </c:pt>
                <c:pt idx="37">
                  <c:v>1115.0509545534462</c:v>
                </c:pt>
                <c:pt idx="38">
                  <c:v>1132.3870919778333</c:v>
                </c:pt>
                <c:pt idx="39">
                  <c:v>1164.3201989014206</c:v>
                </c:pt>
                <c:pt idx="40">
                  <c:v>888.84626694577639</c:v>
                </c:pt>
                <c:pt idx="41">
                  <c:v>907.92434385132992</c:v>
                </c:pt>
                <c:pt idx="42">
                  <c:v>936.19544226330299</c:v>
                </c:pt>
                <c:pt idx="43">
                  <c:v>990.21532042638671</c:v>
                </c:pt>
                <c:pt idx="44">
                  <c:v>1038.1314548974144</c:v>
                </c:pt>
                <c:pt idx="45">
                  <c:v>1095.4455751706835</c:v>
                </c:pt>
                <c:pt idx="46">
                  <c:v>1188.4979692849329</c:v>
                </c:pt>
                <c:pt idx="47">
                  <c:v>1217.016888106755</c:v>
                </c:pt>
                <c:pt idx="48">
                  <c:v>1243.6899637318893</c:v>
                </c:pt>
                <c:pt idx="49">
                  <c:v>1345.9159078383691</c:v>
                </c:pt>
                <c:pt idx="50">
                  <c:v>1349.5332017778558</c:v>
                </c:pt>
                <c:pt idx="51">
                  <c:v>1284.8734872119253</c:v>
                </c:pt>
                <c:pt idx="52">
                  <c:v>1351.4285627255788</c:v>
                </c:pt>
                <c:pt idx="53">
                  <c:v>1461.1022107468773</c:v>
                </c:pt>
                <c:pt idx="54">
                  <c:v>1480.3299115257716</c:v>
                </c:pt>
                <c:pt idx="55">
                  <c:v>1261.4786757856546</c:v>
                </c:pt>
                <c:pt idx="56">
                  <c:v>1070.7699701154295</c:v>
                </c:pt>
                <c:pt idx="57">
                  <c:v>1138.5427665783425</c:v>
                </c:pt>
                <c:pt idx="58">
                  <c:v>1322.7752528902301</c:v>
                </c:pt>
                <c:pt idx="59">
                  <c:v>1485.7915585589303</c:v>
                </c:pt>
                <c:pt idx="60">
                  <c:v>1455.153819685552</c:v>
                </c:pt>
                <c:pt idx="61">
                  <c:v>1331.541898323406</c:v>
                </c:pt>
                <c:pt idx="62">
                  <c:v>1260.1503178179917</c:v>
                </c:pt>
                <c:pt idx="63">
                  <c:v>1191.045300389263</c:v>
                </c:pt>
                <c:pt idx="64">
                  <c:v>1368.8890952426084</c:v>
                </c:pt>
                <c:pt idx="65">
                  <c:v>1603.6429044490249</c:v>
                </c:pt>
                <c:pt idx="66">
                  <c:v>1704.5057423872795</c:v>
                </c:pt>
                <c:pt idx="67">
                  <c:v>1660.8069813661716</c:v>
                </c:pt>
                <c:pt idx="68">
                  <c:v>1633.1141618818647</c:v>
                </c:pt>
                <c:pt idx="69">
                  <c:v>1584.8422747073853</c:v>
                </c:pt>
                <c:pt idx="70">
                  <c:v>1409.04</c:v>
                </c:pt>
                <c:pt idx="71">
                  <c:v>1196.6399999999999</c:v>
                </c:pt>
                <c:pt idx="72">
                  <c:v>1038.24</c:v>
                </c:pt>
                <c:pt idx="73">
                  <c:v>1018.08</c:v>
                </c:pt>
                <c:pt idx="74">
                  <c:v>1100.3999999999999</c:v>
                </c:pt>
                <c:pt idx="75">
                  <c:v>1257.3600000000001</c:v>
                </c:pt>
                <c:pt idx="76">
                  <c:v>1353.6</c:v>
                </c:pt>
                <c:pt idx="77">
                  <c:v>1470.9599999999998</c:v>
                </c:pt>
                <c:pt idx="78">
                  <c:v>1754.3999999999999</c:v>
                </c:pt>
                <c:pt idx="79">
                  <c:v>1988.16</c:v>
                </c:pt>
                <c:pt idx="80">
                  <c:v>2065.1999999999998</c:v>
                </c:pt>
                <c:pt idx="81">
                  <c:v>2022</c:v>
                </c:pt>
                <c:pt idx="82">
                  <c:v>1793.04</c:v>
                </c:pt>
                <c:pt idx="83">
                  <c:v>1624.3200000000002</c:v>
                </c:pt>
                <c:pt idx="84">
                  <c:v>1615.44</c:v>
                </c:pt>
                <c:pt idx="85">
                  <c:v>1682.3999999999999</c:v>
                </c:pt>
                <c:pt idx="86">
                  <c:v>1787.28</c:v>
                </c:pt>
                <c:pt idx="87">
                  <c:v>1875.12</c:v>
                </c:pt>
                <c:pt idx="88">
                  <c:v>1758.48</c:v>
                </c:pt>
                <c:pt idx="89">
                  <c:v>1289.76</c:v>
                </c:pt>
                <c:pt idx="90">
                  <c:v>836.63999999999987</c:v>
                </c:pt>
                <c:pt idx="91">
                  <c:v>767.75999999999988</c:v>
                </c:pt>
                <c:pt idx="92">
                  <c:v>813.11999999999989</c:v>
                </c:pt>
                <c:pt idx="93">
                  <c:v>911.7600000000001</c:v>
                </c:pt>
                <c:pt idx="94">
                  <c:v>1038.96</c:v>
                </c:pt>
                <c:pt idx="95">
                  <c:v>1139.76</c:v>
                </c:pt>
                <c:pt idx="96">
                  <c:v>1213.2</c:v>
                </c:pt>
                <c:pt idx="97">
                  <c:v>1303.44</c:v>
                </c:pt>
                <c:pt idx="98">
                  <c:v>1329.12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C7-498B-9F9B-3B0E47871904}"/>
            </c:ext>
          </c:extLst>
        </c:ser>
        <c:ser>
          <c:idx val="1"/>
          <c:order val="1"/>
          <c:tx>
            <c:strRef>
              <c:f>'New Floorspace_plot'!$G$3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'New Floorspace_plot'!$E$4:$E$102</c:f>
              <c:numCache>
                <c:formatCode>General</c:formatCode>
                <c:ptCount val="99"/>
                <c:pt idx="0">
                  <c:v>1920</c:v>
                </c:pt>
                <c:pt idx="1">
                  <c:v>1921</c:v>
                </c:pt>
                <c:pt idx="2">
                  <c:v>1922</c:v>
                </c:pt>
                <c:pt idx="3">
                  <c:v>1923</c:v>
                </c:pt>
                <c:pt idx="4">
                  <c:v>1924</c:v>
                </c:pt>
                <c:pt idx="5">
                  <c:v>1925</c:v>
                </c:pt>
                <c:pt idx="6">
                  <c:v>1926</c:v>
                </c:pt>
                <c:pt idx="7">
                  <c:v>1927</c:v>
                </c:pt>
                <c:pt idx="8">
                  <c:v>1928</c:v>
                </c:pt>
                <c:pt idx="9">
                  <c:v>1929</c:v>
                </c:pt>
                <c:pt idx="10">
                  <c:v>1930</c:v>
                </c:pt>
                <c:pt idx="11">
                  <c:v>1931</c:v>
                </c:pt>
                <c:pt idx="12">
                  <c:v>1932</c:v>
                </c:pt>
                <c:pt idx="13">
                  <c:v>1933</c:v>
                </c:pt>
                <c:pt idx="14">
                  <c:v>1934</c:v>
                </c:pt>
                <c:pt idx="15">
                  <c:v>1935</c:v>
                </c:pt>
                <c:pt idx="16">
                  <c:v>1936</c:v>
                </c:pt>
                <c:pt idx="17">
                  <c:v>1937</c:v>
                </c:pt>
                <c:pt idx="18">
                  <c:v>1938</c:v>
                </c:pt>
                <c:pt idx="19">
                  <c:v>1939</c:v>
                </c:pt>
                <c:pt idx="20">
                  <c:v>1940</c:v>
                </c:pt>
                <c:pt idx="21">
                  <c:v>1941</c:v>
                </c:pt>
                <c:pt idx="22">
                  <c:v>1942</c:v>
                </c:pt>
                <c:pt idx="23">
                  <c:v>1943</c:v>
                </c:pt>
                <c:pt idx="24">
                  <c:v>1944</c:v>
                </c:pt>
                <c:pt idx="25">
                  <c:v>1945</c:v>
                </c:pt>
                <c:pt idx="26">
                  <c:v>1946</c:v>
                </c:pt>
                <c:pt idx="27">
                  <c:v>1947</c:v>
                </c:pt>
                <c:pt idx="28">
                  <c:v>1948</c:v>
                </c:pt>
                <c:pt idx="29">
                  <c:v>1949</c:v>
                </c:pt>
                <c:pt idx="30">
                  <c:v>1950</c:v>
                </c:pt>
                <c:pt idx="31">
                  <c:v>1951</c:v>
                </c:pt>
                <c:pt idx="32">
                  <c:v>1952</c:v>
                </c:pt>
                <c:pt idx="33">
                  <c:v>1953</c:v>
                </c:pt>
                <c:pt idx="34">
                  <c:v>1954</c:v>
                </c:pt>
                <c:pt idx="35">
                  <c:v>1955</c:v>
                </c:pt>
                <c:pt idx="36">
                  <c:v>1956</c:v>
                </c:pt>
                <c:pt idx="37">
                  <c:v>1957</c:v>
                </c:pt>
                <c:pt idx="38">
                  <c:v>1958</c:v>
                </c:pt>
                <c:pt idx="39">
                  <c:v>1959</c:v>
                </c:pt>
                <c:pt idx="40">
                  <c:v>1960</c:v>
                </c:pt>
                <c:pt idx="41">
                  <c:v>1961</c:v>
                </c:pt>
                <c:pt idx="42">
                  <c:v>1962</c:v>
                </c:pt>
                <c:pt idx="43">
                  <c:v>1963</c:v>
                </c:pt>
                <c:pt idx="44">
                  <c:v>1964</c:v>
                </c:pt>
                <c:pt idx="45">
                  <c:v>1965</c:v>
                </c:pt>
                <c:pt idx="46">
                  <c:v>1966</c:v>
                </c:pt>
                <c:pt idx="47">
                  <c:v>1967</c:v>
                </c:pt>
                <c:pt idx="48">
                  <c:v>1968</c:v>
                </c:pt>
                <c:pt idx="49">
                  <c:v>1969</c:v>
                </c:pt>
                <c:pt idx="50">
                  <c:v>1970</c:v>
                </c:pt>
                <c:pt idx="51">
                  <c:v>1971</c:v>
                </c:pt>
                <c:pt idx="52">
                  <c:v>1972</c:v>
                </c:pt>
                <c:pt idx="53">
                  <c:v>1973</c:v>
                </c:pt>
                <c:pt idx="54">
                  <c:v>1974</c:v>
                </c:pt>
                <c:pt idx="55">
                  <c:v>1975</c:v>
                </c:pt>
                <c:pt idx="56">
                  <c:v>1976</c:v>
                </c:pt>
                <c:pt idx="57">
                  <c:v>1977</c:v>
                </c:pt>
                <c:pt idx="58">
                  <c:v>1978</c:v>
                </c:pt>
                <c:pt idx="59">
                  <c:v>1979</c:v>
                </c:pt>
                <c:pt idx="60">
                  <c:v>1980</c:v>
                </c:pt>
                <c:pt idx="61">
                  <c:v>1981</c:v>
                </c:pt>
                <c:pt idx="62">
                  <c:v>1982</c:v>
                </c:pt>
                <c:pt idx="63">
                  <c:v>1983</c:v>
                </c:pt>
                <c:pt idx="64">
                  <c:v>1984</c:v>
                </c:pt>
                <c:pt idx="65">
                  <c:v>1985</c:v>
                </c:pt>
                <c:pt idx="66">
                  <c:v>1986</c:v>
                </c:pt>
                <c:pt idx="67">
                  <c:v>1987</c:v>
                </c:pt>
                <c:pt idx="68">
                  <c:v>1988</c:v>
                </c:pt>
                <c:pt idx="69">
                  <c:v>1989</c:v>
                </c:pt>
                <c:pt idx="70">
                  <c:v>1990</c:v>
                </c:pt>
                <c:pt idx="71">
                  <c:v>1991</c:v>
                </c:pt>
                <c:pt idx="72">
                  <c:v>1992</c:v>
                </c:pt>
                <c:pt idx="73">
                  <c:v>1993</c:v>
                </c:pt>
                <c:pt idx="74">
                  <c:v>1994</c:v>
                </c:pt>
                <c:pt idx="75">
                  <c:v>1995</c:v>
                </c:pt>
                <c:pt idx="76">
                  <c:v>1996</c:v>
                </c:pt>
                <c:pt idx="77">
                  <c:v>1997</c:v>
                </c:pt>
                <c:pt idx="78">
                  <c:v>1998</c:v>
                </c:pt>
                <c:pt idx="79">
                  <c:v>1999</c:v>
                </c:pt>
                <c:pt idx="80">
                  <c:v>2000</c:v>
                </c:pt>
                <c:pt idx="81">
                  <c:v>2001</c:v>
                </c:pt>
                <c:pt idx="82">
                  <c:v>2002</c:v>
                </c:pt>
                <c:pt idx="83">
                  <c:v>2003</c:v>
                </c:pt>
                <c:pt idx="84">
                  <c:v>2004</c:v>
                </c:pt>
                <c:pt idx="85">
                  <c:v>2005</c:v>
                </c:pt>
                <c:pt idx="86">
                  <c:v>2006</c:v>
                </c:pt>
                <c:pt idx="87">
                  <c:v>2007</c:v>
                </c:pt>
                <c:pt idx="88">
                  <c:v>2008</c:v>
                </c:pt>
                <c:pt idx="89">
                  <c:v>2009</c:v>
                </c:pt>
                <c:pt idx="90">
                  <c:v>2010</c:v>
                </c:pt>
                <c:pt idx="91">
                  <c:v>2011</c:v>
                </c:pt>
                <c:pt idx="92">
                  <c:v>2012</c:v>
                </c:pt>
                <c:pt idx="93">
                  <c:v>2013</c:v>
                </c:pt>
                <c:pt idx="94">
                  <c:v>2014</c:v>
                </c:pt>
                <c:pt idx="95">
                  <c:v>2015</c:v>
                </c:pt>
                <c:pt idx="96">
                  <c:v>2016</c:v>
                </c:pt>
                <c:pt idx="97">
                  <c:v>2017</c:v>
                </c:pt>
                <c:pt idx="98">
                  <c:v>2018</c:v>
                </c:pt>
              </c:numCache>
            </c:numRef>
          </c:cat>
          <c:val>
            <c:numRef>
              <c:f>'New Floorspace_plot'!$G$4:$G$102</c:f>
              <c:numCache>
                <c:formatCode>General</c:formatCode>
                <c:ptCount val="9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C7-498B-9F9B-3B0E478719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5566648"/>
        <c:axId val="515569208"/>
      </c:lineChart>
      <c:catAx>
        <c:axId val="515566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569208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515569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 i="0" baseline="0">
                    <a:solidFill>
                      <a:sysClr val="windowText" lastClr="000000"/>
                    </a:solidFill>
                  </a:rPr>
                  <a:t>Million square feet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566648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4350721420643732E-2"/>
          <c:y val="6.3621533442088096E-2"/>
          <c:w val="0.80688124306326303"/>
          <c:h val="0.86623164763458405"/>
        </c:manualLayout>
      </c:layout>
      <c:lineChart>
        <c:grouping val="standard"/>
        <c:varyColors val="0"/>
        <c:ser>
          <c:idx val="0"/>
          <c:order val="0"/>
          <c:tx>
            <c:strRef>
              <c:f>'NEMS_Logistic (current) '!$CA$336</c:f>
              <c:strCache>
                <c:ptCount val="1"/>
                <c:pt idx="0">
                  <c:v>Annual - Using Scaled Dodge Additions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'NEMS_Logistic (current) '!$BZ$337:$BZ$391</c:f>
              <c:numCache>
                <c:formatCode>General</c:formatCode>
                <c:ptCount val="55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</c:numCache>
            </c:numRef>
          </c:cat>
          <c:val>
            <c:numRef>
              <c:f>'NEMS_Logistic (current) '!$CA$337:$CA$395</c:f>
              <c:numCache>
                <c:formatCode>0.0</c:formatCode>
                <c:ptCount val="59"/>
                <c:pt idx="0">
                  <c:v>34.69239659623949</c:v>
                </c:pt>
                <c:pt idx="1">
                  <c:v>35.344195837661651</c:v>
                </c:pt>
                <c:pt idx="2">
                  <c:v>36.019174273443198</c:v>
                </c:pt>
                <c:pt idx="3">
                  <c:v>36.743103932126672</c:v>
                </c:pt>
                <c:pt idx="4">
                  <c:v>37.509906313800414</c:v>
                </c:pt>
                <c:pt idx="5">
                  <c:v>38.329005933125394</c:v>
                </c:pt>
                <c:pt idx="6">
                  <c:v>39.236168078555281</c:v>
                </c:pt>
                <c:pt idx="7">
                  <c:v>40.166885890644082</c:v>
                </c:pt>
                <c:pt idx="8">
                  <c:v>41.119338763690571</c:v>
                </c:pt>
                <c:pt idx="9">
                  <c:v>42.169102376586245</c:v>
                </c:pt>
                <c:pt idx="10">
                  <c:v>43.217587378911084</c:v>
                </c:pt>
                <c:pt idx="11">
                  <c:v>44.196531411053328</c:v>
                </c:pt>
                <c:pt idx="12">
                  <c:v>45.23715809396959</c:v>
                </c:pt>
                <c:pt idx="13">
                  <c:v>46.382587898653007</c:v>
                </c:pt>
                <c:pt idx="14">
                  <c:v>47.542368755172326</c:v>
                </c:pt>
                <c:pt idx="15">
                  <c:v>48.478406456760915</c:v>
                </c:pt>
                <c:pt idx="16">
                  <c:v>49.218818000569165</c:v>
                </c:pt>
                <c:pt idx="17">
                  <c:v>50.022048157018361</c:v>
                </c:pt>
                <c:pt idx="18">
                  <c:v>51.004508012970277</c:v>
                </c:pt>
                <c:pt idx="19">
                  <c:v>52.144920365325937</c:v>
                </c:pt>
                <c:pt idx="20">
                  <c:v>53.249557142872121</c:v>
                </c:pt>
                <c:pt idx="21">
                  <c:v>54.225356492580367</c:v>
                </c:pt>
                <c:pt idx="22">
                  <c:v>55.124436870888367</c:v>
                </c:pt>
                <c:pt idx="23">
                  <c:v>55.948968379792689</c:v>
                </c:pt>
                <c:pt idx="24">
                  <c:v>56.945768657713671</c:v>
                </c:pt>
                <c:pt idx="25">
                  <c:v>58.171601888383009</c:v>
                </c:pt>
                <c:pt idx="26">
                  <c:v>59.492416736089979</c:v>
                </c:pt>
                <c:pt idx="27">
                  <c:v>60.763476770077759</c:v>
                </c:pt>
                <c:pt idx="28">
                  <c:v>62.000598696130474</c:v>
                </c:pt>
                <c:pt idx="29">
                  <c:v>63.183000000000014</c:v>
                </c:pt>
                <c:pt idx="30">
                  <c:v>64.179533191506238</c:v>
                </c:pt>
                <c:pt idx="31">
                  <c:v>64.956802596915423</c:v>
                </c:pt>
                <c:pt idx="32">
                  <c:v>65.56853183679668</c:v>
                </c:pt>
                <c:pt idx="33">
                  <c:v>66.152652187145023</c:v>
                </c:pt>
                <c:pt idx="34">
                  <c:v>66.811294146901758</c:v>
                </c:pt>
                <c:pt idx="35">
                  <c:v>67.618803117271199</c:v>
                </c:pt>
                <c:pt idx="36">
                  <c:v>68.514157016594837</c:v>
                </c:pt>
                <c:pt idx="37">
                  <c:v>69.518180139864583</c:v>
                </c:pt>
                <c:pt idx="38">
                  <c:v>70.79668972332658</c:v>
                </c:pt>
                <c:pt idx="39">
                  <c:v>72.299726123506517</c:v>
                </c:pt>
                <c:pt idx="40">
                  <c:v>73.870248903781942</c:v>
                </c:pt>
                <c:pt idx="41">
                  <c:v>75.387733723424319</c:v>
                </c:pt>
                <c:pt idx="42">
                  <c:v>76.666137428142079</c:v>
                </c:pt>
                <c:pt idx="43">
                  <c:v>77.765478809122598</c:v>
                </c:pt>
                <c:pt idx="44">
                  <c:v>78.845410774692752</c:v>
                </c:pt>
                <c:pt idx="45">
                  <c:v>79.981502570981235</c:v>
                </c:pt>
                <c:pt idx="46">
                  <c:v>81.211409424915445</c:v>
                </c:pt>
                <c:pt idx="47">
                  <c:v>82.517823695937253</c:v>
                </c:pt>
                <c:pt idx="48">
                  <c:v>83.695975468329934</c:v>
                </c:pt>
                <c:pt idx="49">
                  <c:v>84.571181076683075</c:v>
                </c:pt>
                <c:pt idx="50">
                  <c:v>85.045216257885741</c:v>
                </c:pt>
                <c:pt idx="51">
                  <c:v>85.442950396469868</c:v>
                </c:pt>
                <c:pt idx="52">
                  <c:v>85.847015945900836</c:v>
                </c:pt>
                <c:pt idx="53">
                  <c:v>86.341418441060483</c:v>
                </c:pt>
                <c:pt idx="54">
                  <c:v>86.954645671941364</c:v>
                </c:pt>
                <c:pt idx="55">
                  <c:v>87.660198809335796</c:v>
                </c:pt>
                <c:pt idx="56">
                  <c:v>88.396571177269067</c:v>
                </c:pt>
                <c:pt idx="57">
                  <c:v>89.213866754116822</c:v>
                </c:pt>
                <c:pt idx="58">
                  <c:v>90.047396924502976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E1-4F6E-8234-E26CE0645FA5}"/>
            </c:ext>
          </c:extLst>
        </c:ser>
        <c:ser>
          <c:idx val="2"/>
          <c:order val="1"/>
          <c:tx>
            <c:strRef>
              <c:f>'NEMS_Logistic (current) '!$CC$336</c:f>
              <c:strCache>
                <c:ptCount val="1"/>
                <c:pt idx="0">
                  <c:v>CBECS (1992 Building Scope)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numRef>
              <c:f>'NEMS_Logistic (current) '!$BZ$337:$BZ$391</c:f>
              <c:numCache>
                <c:formatCode>General</c:formatCode>
                <c:ptCount val="55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</c:numCache>
            </c:numRef>
          </c:cat>
          <c:val>
            <c:numRef>
              <c:f>'NEMS_Logistic (current) '!$CC$337:$CC$398</c:f>
              <c:numCache>
                <c:formatCode>General</c:formatCode>
                <c:ptCount val="62"/>
                <c:pt idx="19">
                  <c:v>51.088000000000001</c:v>
                </c:pt>
                <c:pt idx="23">
                  <c:v>56.116</c:v>
                </c:pt>
                <c:pt idx="26">
                  <c:v>58.198999999999998</c:v>
                </c:pt>
                <c:pt idx="29">
                  <c:v>63.183999999999997</c:v>
                </c:pt>
                <c:pt idx="32">
                  <c:v>67.876000000000005</c:v>
                </c:pt>
                <c:pt idx="35">
                  <c:v>62.54402843918848</c:v>
                </c:pt>
                <c:pt idx="39">
                  <c:v>71.496480181304321</c:v>
                </c:pt>
                <c:pt idx="43">
                  <c:v>76.285679062717193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E1-4F6E-8234-E26CE0645F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783232"/>
        <c:axId val="244596032"/>
      </c:lineChart>
      <c:catAx>
        <c:axId val="186783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4596032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2445960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(Billion Square Feet)</a:t>
                </a:r>
              </a:p>
            </c:rich>
          </c:tx>
          <c:layout>
            <c:manualLayout>
              <c:xMode val="edge"/>
              <c:yMode val="edge"/>
              <c:x val="2.6637069922308545E-2"/>
              <c:y val="0.37520391517128876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6783232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7402885682574916"/>
          <c:y val="0.57585644371941269"/>
          <c:w val="0.5016648168701443"/>
          <c:h val="0.1337683523654159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Survival Curves for All Commercial Floorspace</a:t>
            </a:r>
          </a:p>
        </c:rich>
      </c:tx>
      <c:layout>
        <c:manualLayout>
          <c:xMode val="edge"/>
          <c:yMode val="edge"/>
          <c:x val="0.236842368388162"/>
          <c:y val="4.487179487179487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7669255743430523E-2"/>
          <c:y val="0.21794940013208675"/>
          <c:w val="0.77694330668383205"/>
          <c:h val="0.62820709449836765"/>
        </c:manualLayout>
      </c:layout>
      <c:lineChart>
        <c:grouping val="standard"/>
        <c:varyColors val="0"/>
        <c:ser>
          <c:idx val="0"/>
          <c:order val="0"/>
          <c:tx>
            <c:strRef>
              <c:f>'NEMS_Logistic (current) '!$BU$9</c:f>
              <c:strCache>
                <c:ptCount val="1"/>
                <c:pt idx="0">
                  <c:v>Current Curve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ot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'NEMS_Logistic (current) '!$BT$167:$BT$327</c:f>
              <c:numCache>
                <c:formatCode>General</c:formatCode>
                <c:ptCount val="161"/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2</c:v>
                </c:pt>
                <c:pt idx="84">
                  <c:v>3</c:v>
                </c:pt>
                <c:pt idx="85">
                  <c:v>4</c:v>
                </c:pt>
                <c:pt idx="86">
                  <c:v>5</c:v>
                </c:pt>
                <c:pt idx="87">
                  <c:v>6</c:v>
                </c:pt>
                <c:pt idx="88">
                  <c:v>7</c:v>
                </c:pt>
                <c:pt idx="89">
                  <c:v>8</c:v>
                </c:pt>
                <c:pt idx="90">
                  <c:v>9</c:v>
                </c:pt>
                <c:pt idx="91">
                  <c:v>10</c:v>
                </c:pt>
                <c:pt idx="92">
                  <c:v>11</c:v>
                </c:pt>
                <c:pt idx="93">
                  <c:v>12</c:v>
                </c:pt>
                <c:pt idx="94">
                  <c:v>13</c:v>
                </c:pt>
                <c:pt idx="95">
                  <c:v>14</c:v>
                </c:pt>
                <c:pt idx="96">
                  <c:v>15</c:v>
                </c:pt>
                <c:pt idx="97">
                  <c:v>16</c:v>
                </c:pt>
                <c:pt idx="98">
                  <c:v>17</c:v>
                </c:pt>
                <c:pt idx="99">
                  <c:v>18</c:v>
                </c:pt>
                <c:pt idx="100">
                  <c:v>19</c:v>
                </c:pt>
                <c:pt idx="101">
                  <c:v>20</c:v>
                </c:pt>
                <c:pt idx="102">
                  <c:v>21</c:v>
                </c:pt>
                <c:pt idx="103">
                  <c:v>22</c:v>
                </c:pt>
                <c:pt idx="104">
                  <c:v>23</c:v>
                </c:pt>
                <c:pt idx="105">
                  <c:v>24</c:v>
                </c:pt>
                <c:pt idx="106">
                  <c:v>25</c:v>
                </c:pt>
                <c:pt idx="107">
                  <c:v>26</c:v>
                </c:pt>
                <c:pt idx="108">
                  <c:v>27</c:v>
                </c:pt>
                <c:pt idx="109">
                  <c:v>28</c:v>
                </c:pt>
                <c:pt idx="110">
                  <c:v>29</c:v>
                </c:pt>
                <c:pt idx="111">
                  <c:v>30</c:v>
                </c:pt>
                <c:pt idx="112">
                  <c:v>31</c:v>
                </c:pt>
                <c:pt idx="113">
                  <c:v>32</c:v>
                </c:pt>
                <c:pt idx="114">
                  <c:v>33</c:v>
                </c:pt>
                <c:pt idx="115">
                  <c:v>34</c:v>
                </c:pt>
                <c:pt idx="116">
                  <c:v>35</c:v>
                </c:pt>
                <c:pt idx="117">
                  <c:v>36</c:v>
                </c:pt>
                <c:pt idx="118">
                  <c:v>37</c:v>
                </c:pt>
                <c:pt idx="119">
                  <c:v>38</c:v>
                </c:pt>
                <c:pt idx="120">
                  <c:v>39</c:v>
                </c:pt>
                <c:pt idx="121">
                  <c:v>40</c:v>
                </c:pt>
                <c:pt idx="122">
                  <c:v>41</c:v>
                </c:pt>
                <c:pt idx="123">
                  <c:v>42</c:v>
                </c:pt>
                <c:pt idx="124">
                  <c:v>43</c:v>
                </c:pt>
                <c:pt idx="125">
                  <c:v>44</c:v>
                </c:pt>
                <c:pt idx="126">
                  <c:v>45</c:v>
                </c:pt>
                <c:pt idx="127">
                  <c:v>46</c:v>
                </c:pt>
                <c:pt idx="128">
                  <c:v>47</c:v>
                </c:pt>
                <c:pt idx="129">
                  <c:v>48</c:v>
                </c:pt>
                <c:pt idx="130">
                  <c:v>49</c:v>
                </c:pt>
                <c:pt idx="131">
                  <c:v>50</c:v>
                </c:pt>
                <c:pt idx="132">
                  <c:v>51</c:v>
                </c:pt>
                <c:pt idx="133">
                  <c:v>52</c:v>
                </c:pt>
                <c:pt idx="134">
                  <c:v>53</c:v>
                </c:pt>
                <c:pt idx="135">
                  <c:v>54</c:v>
                </c:pt>
                <c:pt idx="136">
                  <c:v>55</c:v>
                </c:pt>
                <c:pt idx="137">
                  <c:v>56</c:v>
                </c:pt>
                <c:pt idx="138">
                  <c:v>57</c:v>
                </c:pt>
                <c:pt idx="139">
                  <c:v>58</c:v>
                </c:pt>
                <c:pt idx="140">
                  <c:v>59</c:v>
                </c:pt>
                <c:pt idx="141">
                  <c:v>60</c:v>
                </c:pt>
                <c:pt idx="142">
                  <c:v>61</c:v>
                </c:pt>
                <c:pt idx="143">
                  <c:v>62</c:v>
                </c:pt>
                <c:pt idx="144">
                  <c:v>63</c:v>
                </c:pt>
                <c:pt idx="145">
                  <c:v>64</c:v>
                </c:pt>
                <c:pt idx="146">
                  <c:v>65</c:v>
                </c:pt>
                <c:pt idx="147">
                  <c:v>66</c:v>
                </c:pt>
                <c:pt idx="148">
                  <c:v>67</c:v>
                </c:pt>
                <c:pt idx="149">
                  <c:v>68</c:v>
                </c:pt>
                <c:pt idx="150">
                  <c:v>69</c:v>
                </c:pt>
                <c:pt idx="151">
                  <c:v>70</c:v>
                </c:pt>
                <c:pt idx="152">
                  <c:v>71</c:v>
                </c:pt>
                <c:pt idx="153">
                  <c:v>72</c:v>
                </c:pt>
                <c:pt idx="154">
                  <c:v>73</c:v>
                </c:pt>
                <c:pt idx="155">
                  <c:v>74</c:v>
                </c:pt>
                <c:pt idx="156">
                  <c:v>75</c:v>
                </c:pt>
                <c:pt idx="157">
                  <c:v>76</c:v>
                </c:pt>
                <c:pt idx="158">
                  <c:v>77</c:v>
                </c:pt>
                <c:pt idx="159">
                  <c:v>78</c:v>
                </c:pt>
                <c:pt idx="160">
                  <c:v>79</c:v>
                </c:pt>
              </c:numCache>
            </c:numRef>
          </c:cat>
          <c:val>
            <c:numRef>
              <c:f>'NEMS_Logistic (current) '!$BU$167:$BU$328</c:f>
              <c:numCache>
                <c:formatCode>General</c:formatCode>
                <c:ptCount val="162"/>
                <c:pt idx="79">
                  <c:v>0</c:v>
                </c:pt>
                <c:pt idx="80">
                  <c:v>1</c:v>
                </c:pt>
                <c:pt idx="81" formatCode="0">
                  <c:v>0.99999995153718368</c:v>
                </c:pt>
                <c:pt idx="82">
                  <c:v>0.99999926501576142</c:v>
                </c:pt>
                <c:pt idx="83">
                  <c:v>0.99999639387101014</c:v>
                </c:pt>
                <c:pt idx="84">
                  <c:v>0.99998885338042343</c:v>
                </c:pt>
                <c:pt idx="85">
                  <c:v>0.99997325198682663</c:v>
                </c:pt>
                <c:pt idx="86">
                  <c:v>0.99994531241476103</c:v>
                </c:pt>
                <c:pt idx="87">
                  <c:v>0.99989988815053987</c:v>
                </c:pt>
                <c:pt idx="88">
                  <c:v>0.99983097759237749</c:v>
                </c:pt>
                <c:pt idx="89">
                  <c:v>0.99973173719832764</c:v>
                </c:pt>
                <c:pt idx="90">
                  <c:v>0.99959449456848715</c:v>
                </c:pt>
                <c:pt idx="91">
                  <c:v>0.99941076222153036</c:v>
                </c:pt>
                <c:pt idx="92">
                  <c:v>0.99917125274301088</c:v>
                </c:pt>
                <c:pt idx="93">
                  <c:v>0.99886589594533581</c:v>
                </c:pt>
                <c:pt idx="94">
                  <c:v>0.9984838586642506</c:v>
                </c:pt>
                <c:pt idx="95">
                  <c:v>0.99801356781208517</c:v>
                </c:pt>
                <c:pt idx="96">
                  <c:v>0.99744273730685318</c:v>
                </c:pt>
                <c:pt idx="97">
                  <c:v>0.99675839949385381</c:v>
                </c:pt>
                <c:pt idx="98">
                  <c:v>0.99594694166920961</c:v>
                </c:pt>
                <c:pt idx="99">
                  <c:v>0.99499414829994903</c:v>
                </c:pt>
                <c:pt idx="100">
                  <c:v>0.99388524951035251</c:v>
                </c:pt>
                <c:pt idx="101">
                  <c:v>0.99260497636709277</c:v>
                </c:pt>
                <c:pt idx="102">
                  <c:v>0.9911376234442244</c:v>
                </c:pt>
                <c:pt idx="103">
                  <c:v>0.98946711908151352</c:v>
                </c:pt>
                <c:pt idx="104">
                  <c:v>0.98757710366441731</c:v>
                </c:pt>
                <c:pt idx="105">
                  <c:v>0.98545101615005803</c:v>
                </c:pt>
                <c:pt idx="106">
                  <c:v>0.98307218894002268</c:v>
                </c:pt>
                <c:pt idx="107">
                  <c:v>0.98042395105756286</c:v>
                </c:pt>
                <c:pt idx="108">
                  <c:v>0.97748973942419259</c:v>
                </c:pt>
                <c:pt idx="109">
                  <c:v>0.9742532178500003</c:v>
                </c:pt>
                <c:pt idx="110">
                  <c:v>0.97069840315522438</c:v>
                </c:pt>
                <c:pt idx="111">
                  <c:v>0.96680979763079788</c:v>
                </c:pt>
                <c:pt idx="112">
                  <c:v>0.96257252682658867</c:v>
                </c:pt>
                <c:pt idx="113">
                  <c:v>0.95797248143291314</c:v>
                </c:pt>
                <c:pt idx="114">
                  <c:v>0.95299646179949982</c:v>
                </c:pt>
                <c:pt idx="115">
                  <c:v>0.94763232342320536</c:v>
                </c:pt>
                <c:pt idx="116">
                  <c:v>0.94186912153892333</c:v>
                </c:pt>
                <c:pt idx="117">
                  <c:v>0.93569725277529137</c:v>
                </c:pt>
                <c:pt idx="118">
                  <c:v>0.92910859169614757</c:v>
                </c:pt>
                <c:pt idx="119">
                  <c:v>0.9220966199483297</c:v>
                </c:pt>
                <c:pt idx="120">
                  <c:v>0.91465654568384147</c:v>
                </c:pt>
                <c:pt idx="121">
                  <c:v>0.90678541092628584</c:v>
                </c:pt>
                <c:pt idx="122">
                  <c:v>0.898482184612997</c:v>
                </c:pt>
                <c:pt idx="123">
                  <c:v>0.88974783916898381</c:v>
                </c:pt>
                <c:pt idx="124">
                  <c:v>0.88058540865796442</c:v>
                </c:pt>
                <c:pt idx="125">
                  <c:v>0.87100002680838728</c:v>
                </c:pt>
                <c:pt idx="126">
                  <c:v>0.86099894352470652</c:v>
                </c:pt>
                <c:pt idx="127">
                  <c:v>0.85059151886006445</c:v>
                </c:pt>
                <c:pt idx="128">
                  <c:v>0.83978919383707895</c:v>
                </c:pt>
                <c:pt idx="129">
                  <c:v>0.82860543794751107</c:v>
                </c:pt>
                <c:pt idx="130">
                  <c:v>0.81705567362617515</c:v>
                </c:pt>
                <c:pt idx="131">
                  <c:v>0.80515717846513635</c:v>
                </c:pt>
                <c:pt idx="132">
                  <c:v>0.79292896639582933</c:v>
                </c:pt>
                <c:pt idx="133">
                  <c:v>0.78039164950404238</c:v>
                </c:pt>
                <c:pt idx="134">
                  <c:v>0.76756728254114526</c:v>
                </c:pt>
                <c:pt idx="135">
                  <c:v>0.75447919254134055</c:v>
                </c:pt>
                <c:pt idx="136">
                  <c:v>0.74115179623788574</c:v>
                </c:pt>
                <c:pt idx="137">
                  <c:v>0.72761040818253109</c:v>
                </c:pt>
                <c:pt idx="138" formatCode="0.00000">
                  <c:v>0.71388104260609375</c:v>
                </c:pt>
                <c:pt idx="139">
                  <c:v>0.69999021211156298</c:v>
                </c:pt>
                <c:pt idx="140">
                  <c:v>0.68596472626493932</c:v>
                </c:pt>
                <c:pt idx="141">
                  <c:v>0.67183149304680811</c:v>
                </c:pt>
                <c:pt idx="142">
                  <c:v>0.65761732595574707</c:v>
                </c:pt>
                <c:pt idx="143">
                  <c:v>0.64334875932177582</c:v>
                </c:pt>
                <c:pt idx="144">
                  <c:v>0.62905187410464158</c:v>
                </c:pt>
                <c:pt idx="145">
                  <c:v>0.61475213612949209</c:v>
                </c:pt>
                <c:pt idx="146">
                  <c:v>0.60047424836370045</c:v>
                </c:pt>
                <c:pt idx="147">
                  <c:v>0.5862420184756324</c:v>
                </c:pt>
                <c:pt idx="148">
                  <c:v>0.57207824255075679</c:v>
                </c:pt>
                <c:pt idx="149">
                  <c:v>0.55800460548357012</c:v>
                </c:pt>
                <c:pt idx="150">
                  <c:v>0.54404159822483755</c:v>
                </c:pt>
                <c:pt idx="151">
                  <c:v>0.53020845175056952</c:v>
                </c:pt>
                <c:pt idx="152">
                  <c:v>0.51652308733816632</c:v>
                </c:pt>
                <c:pt idx="153">
                  <c:v>0.50300208249067324</c:v>
                </c:pt>
                <c:pt idx="154">
                  <c:v>0.48966065164479422</c:v>
                </c:pt>
                <c:pt idx="155">
                  <c:v>0.47651264063325316</c:v>
                </c:pt>
                <c:pt idx="156">
                  <c:v>0.46357053374692569</c:v>
                </c:pt>
                <c:pt idx="157">
                  <c:v>0.45084547215524529</c:v>
                </c:pt>
                <c:pt idx="158">
                  <c:v>0.43834728239217857</c:v>
                </c:pt>
                <c:pt idx="159">
                  <c:v>0.42608451359617938</c:v>
                </c:pt>
                <c:pt idx="160">
                  <c:v>0.4140644822021714</c:v>
                </c:pt>
                <c:pt idx="161">
                  <c:v>0.40229332281762048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58-43A4-9CF9-6C533FC2F6EE}"/>
            </c:ext>
          </c:extLst>
        </c:ser>
        <c:ser>
          <c:idx val="1"/>
          <c:order val="1"/>
          <c:tx>
            <c:strRef>
              <c:f>'NEMS_Logistic (current) '!$BV$9</c:f>
              <c:strCache>
                <c:ptCount val="1"/>
                <c:pt idx="0">
                  <c:v> 2002 Curve (M.L.)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dot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'NEMS_Logistic (current) '!$BT$167:$BT$327</c:f>
              <c:numCache>
                <c:formatCode>General</c:formatCode>
                <c:ptCount val="161"/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2</c:v>
                </c:pt>
                <c:pt idx="84">
                  <c:v>3</c:v>
                </c:pt>
                <c:pt idx="85">
                  <c:v>4</c:v>
                </c:pt>
                <c:pt idx="86">
                  <c:v>5</c:v>
                </c:pt>
                <c:pt idx="87">
                  <c:v>6</c:v>
                </c:pt>
                <c:pt idx="88">
                  <c:v>7</c:v>
                </c:pt>
                <c:pt idx="89">
                  <c:v>8</c:v>
                </c:pt>
                <c:pt idx="90">
                  <c:v>9</c:v>
                </c:pt>
                <c:pt idx="91">
                  <c:v>10</c:v>
                </c:pt>
                <c:pt idx="92">
                  <c:v>11</c:v>
                </c:pt>
                <c:pt idx="93">
                  <c:v>12</c:v>
                </c:pt>
                <c:pt idx="94">
                  <c:v>13</c:v>
                </c:pt>
                <c:pt idx="95">
                  <c:v>14</c:v>
                </c:pt>
                <c:pt idx="96">
                  <c:v>15</c:v>
                </c:pt>
                <c:pt idx="97">
                  <c:v>16</c:v>
                </c:pt>
                <c:pt idx="98">
                  <c:v>17</c:v>
                </c:pt>
                <c:pt idx="99">
                  <c:v>18</c:v>
                </c:pt>
                <c:pt idx="100">
                  <c:v>19</c:v>
                </c:pt>
                <c:pt idx="101">
                  <c:v>20</c:v>
                </c:pt>
                <c:pt idx="102">
                  <c:v>21</c:v>
                </c:pt>
                <c:pt idx="103">
                  <c:v>22</c:v>
                </c:pt>
                <c:pt idx="104">
                  <c:v>23</c:v>
                </c:pt>
                <c:pt idx="105">
                  <c:v>24</c:v>
                </c:pt>
                <c:pt idx="106">
                  <c:v>25</c:v>
                </c:pt>
                <c:pt idx="107">
                  <c:v>26</c:v>
                </c:pt>
                <c:pt idx="108">
                  <c:v>27</c:v>
                </c:pt>
                <c:pt idx="109">
                  <c:v>28</c:v>
                </c:pt>
                <c:pt idx="110">
                  <c:v>29</c:v>
                </c:pt>
                <c:pt idx="111">
                  <c:v>30</c:v>
                </c:pt>
                <c:pt idx="112">
                  <c:v>31</c:v>
                </c:pt>
                <c:pt idx="113">
                  <c:v>32</c:v>
                </c:pt>
                <c:pt idx="114">
                  <c:v>33</c:v>
                </c:pt>
                <c:pt idx="115">
                  <c:v>34</c:v>
                </c:pt>
                <c:pt idx="116">
                  <c:v>35</c:v>
                </c:pt>
                <c:pt idx="117">
                  <c:v>36</c:v>
                </c:pt>
                <c:pt idx="118">
                  <c:v>37</c:v>
                </c:pt>
                <c:pt idx="119">
                  <c:v>38</c:v>
                </c:pt>
                <c:pt idx="120">
                  <c:v>39</c:v>
                </c:pt>
                <c:pt idx="121">
                  <c:v>40</c:v>
                </c:pt>
                <c:pt idx="122">
                  <c:v>41</c:v>
                </c:pt>
                <c:pt idx="123">
                  <c:v>42</c:v>
                </c:pt>
                <c:pt idx="124">
                  <c:v>43</c:v>
                </c:pt>
                <c:pt idx="125">
                  <c:v>44</c:v>
                </c:pt>
                <c:pt idx="126">
                  <c:v>45</c:v>
                </c:pt>
                <c:pt idx="127">
                  <c:v>46</c:v>
                </c:pt>
                <c:pt idx="128">
                  <c:v>47</c:v>
                </c:pt>
                <c:pt idx="129">
                  <c:v>48</c:v>
                </c:pt>
                <c:pt idx="130">
                  <c:v>49</c:v>
                </c:pt>
                <c:pt idx="131">
                  <c:v>50</c:v>
                </c:pt>
                <c:pt idx="132">
                  <c:v>51</c:v>
                </c:pt>
                <c:pt idx="133">
                  <c:v>52</c:v>
                </c:pt>
                <c:pt idx="134">
                  <c:v>53</c:v>
                </c:pt>
                <c:pt idx="135">
                  <c:v>54</c:v>
                </c:pt>
                <c:pt idx="136">
                  <c:v>55</c:v>
                </c:pt>
                <c:pt idx="137">
                  <c:v>56</c:v>
                </c:pt>
                <c:pt idx="138">
                  <c:v>57</c:v>
                </c:pt>
                <c:pt idx="139">
                  <c:v>58</c:v>
                </c:pt>
                <c:pt idx="140">
                  <c:v>59</c:v>
                </c:pt>
                <c:pt idx="141">
                  <c:v>60</c:v>
                </c:pt>
                <c:pt idx="142">
                  <c:v>61</c:v>
                </c:pt>
                <c:pt idx="143">
                  <c:v>62</c:v>
                </c:pt>
                <c:pt idx="144">
                  <c:v>63</c:v>
                </c:pt>
                <c:pt idx="145">
                  <c:v>64</c:v>
                </c:pt>
                <c:pt idx="146">
                  <c:v>65</c:v>
                </c:pt>
                <c:pt idx="147">
                  <c:v>66</c:v>
                </c:pt>
                <c:pt idx="148">
                  <c:v>67</c:v>
                </c:pt>
                <c:pt idx="149">
                  <c:v>68</c:v>
                </c:pt>
                <c:pt idx="150">
                  <c:v>69</c:v>
                </c:pt>
                <c:pt idx="151">
                  <c:v>70</c:v>
                </c:pt>
                <c:pt idx="152">
                  <c:v>71</c:v>
                </c:pt>
                <c:pt idx="153">
                  <c:v>72</c:v>
                </c:pt>
                <c:pt idx="154">
                  <c:v>73</c:v>
                </c:pt>
                <c:pt idx="155">
                  <c:v>74</c:v>
                </c:pt>
                <c:pt idx="156">
                  <c:v>75</c:v>
                </c:pt>
                <c:pt idx="157">
                  <c:v>76</c:v>
                </c:pt>
                <c:pt idx="158">
                  <c:v>77</c:v>
                </c:pt>
                <c:pt idx="159">
                  <c:v>78</c:v>
                </c:pt>
                <c:pt idx="160">
                  <c:v>79</c:v>
                </c:pt>
              </c:numCache>
            </c:numRef>
          </c:cat>
          <c:val>
            <c:numRef>
              <c:f>'NEMS_Logistic (current) '!$BV$167:$BV$327</c:f>
              <c:numCache>
                <c:formatCode>General</c:formatCode>
                <c:ptCount val="161"/>
                <c:pt idx="80">
                  <c:v>1</c:v>
                </c:pt>
                <c:pt idx="81">
                  <c:v>0.99575225073431317</c:v>
                </c:pt>
                <c:pt idx="82">
                  <c:v>0.99144372337222697</c:v>
                </c:pt>
                <c:pt idx="83">
                  <c:v>0.98707424801408483</c:v>
                </c:pt>
                <c:pt idx="84">
                  <c:v>0.98264368204742836</c:v>
                </c:pt>
                <c:pt idx="85">
                  <c:v>0.97815191104190236</c:v>
                </c:pt>
                <c:pt idx="86">
                  <c:v>0.97359884963640586</c:v>
                </c:pt>
                <c:pt idx="87">
                  <c:v>0.96898444241651516</c:v>
                </c:pt>
                <c:pt idx="88">
                  <c:v>0.96430866478015798</c:v>
                </c:pt>
                <c:pt idx="89">
                  <c:v>0.95957152378944488</c:v>
                </c:pt>
                <c:pt idx="90">
                  <c:v>0.95477305900651799</c:v>
                </c:pt>
                <c:pt idx="91">
                  <c:v>0.94991334331122446</c:v>
                </c:pt>
                <c:pt idx="92">
                  <c:v>0.94499248369837707</c:v>
                </c:pt>
                <c:pt idx="93">
                  <c:v>0.94001062205232389</c:v>
                </c:pt>
                <c:pt idx="94">
                  <c:v>0.93496793589651828</c:v>
                </c:pt>
                <c:pt idx="95">
                  <c:v>0.92986463911574557</c:v>
                </c:pt>
                <c:pt idx="96">
                  <c:v>0.92470098264864742</c:v>
                </c:pt>
                <c:pt idx="97">
                  <c:v>0.91947725514817313</c:v>
                </c:pt>
                <c:pt idx="98">
                  <c:v>0.9141937836075672</c:v>
                </c:pt>
                <c:pt idx="99">
                  <c:v>0.90885093394952088</c:v>
                </c:pt>
                <c:pt idx="100">
                  <c:v>0.90344911157611096</c:v>
                </c:pt>
                <c:pt idx="101">
                  <c:v>0.89798876187717314</c:v>
                </c:pt>
                <c:pt idx="102">
                  <c:v>0.89247037069478408</c:v>
                </c:pt>
                <c:pt idx="103">
                  <c:v>0.88689446474155798</c:v>
                </c:pt>
                <c:pt idx="104">
                  <c:v>0.88126161197051267</c:v>
                </c:pt>
                <c:pt idx="105">
                  <c:v>0.87557242189431506</c:v>
                </c:pt>
                <c:pt idx="106">
                  <c:v>0.86982754585177513</c:v>
                </c:pt>
                <c:pt idx="107">
                  <c:v>0.86402767721953899</c:v>
                </c:pt>
                <c:pt idx="108">
                  <c:v>0.85817355156701169</c:v>
                </c:pt>
                <c:pt idx="109">
                  <c:v>0.85226594675263601</c:v>
                </c:pt>
                <c:pt idx="110">
                  <c:v>0.84630568295975828</c:v>
                </c:pt>
                <c:pt idx="111">
                  <c:v>0.84029362267042584</c:v>
                </c:pt>
                <c:pt idx="112">
                  <c:v>0.83423067057558564</c:v>
                </c:pt>
                <c:pt idx="113">
                  <c:v>0.8281177734202898</c:v>
                </c:pt>
                <c:pt idx="114">
                  <c:v>0.82195591978264926</c:v>
                </c:pt>
                <c:pt idx="115">
                  <c:v>0.81574613978543808</c:v>
                </c:pt>
                <c:pt idx="116">
                  <c:v>0.80948950473940773</c:v>
                </c:pt>
                <c:pt idx="117">
                  <c:v>0.803187126717536</c:v>
                </c:pt>
                <c:pt idx="118">
                  <c:v>0.79684015805961883</c:v>
                </c:pt>
                <c:pt idx="119">
                  <c:v>0.79044979080679334</c:v>
                </c:pt>
                <c:pt idx="120">
                  <c:v>0.78401725606576822</c:v>
                </c:pt>
                <c:pt idx="121">
                  <c:v>0.77754382330273963</c:v>
                </c:pt>
                <c:pt idx="122">
                  <c:v>0.77103079956716747</c:v>
                </c:pt>
                <c:pt idx="123">
                  <c:v>0.76447952864579205</c:v>
                </c:pt>
                <c:pt idx="124">
                  <c:v>0.75789139014748497</c:v>
                </c:pt>
                <c:pt idx="125">
                  <c:v>0.75126779851973235</c:v>
                </c:pt>
                <c:pt idx="126">
                  <c:v>0.74461020199776884</c:v>
                </c:pt>
                <c:pt idx="127">
                  <c:v>0.73792008148758792</c:v>
                </c:pt>
                <c:pt idx="128">
                  <c:v>0.73119894938427288</c:v>
                </c:pt>
                <c:pt idx="129">
                  <c:v>0.7244483483273032</c:v>
                </c:pt>
                <c:pt idx="130">
                  <c:v>0.7176698498946994</c:v>
                </c:pt>
                <c:pt idx="131">
                  <c:v>0.71086505323807758</c:v>
                </c:pt>
                <c:pt idx="132">
                  <c:v>0.70403558366088814</c:v>
                </c:pt>
                <c:pt idx="133">
                  <c:v>0.69718309114230637</c:v>
                </c:pt>
                <c:pt idx="134">
                  <c:v>0.69030924880943867</c:v>
                </c:pt>
                <c:pt idx="135">
                  <c:v>0.68341575136068322</c:v>
                </c:pt>
                <c:pt idx="136">
                  <c:v>0.67650431344326634</c:v>
                </c:pt>
                <c:pt idx="137">
                  <c:v>0.66957666798813709</c:v>
                </c:pt>
                <c:pt idx="138">
                  <c:v>0.65567976734485744</c:v>
                </c:pt>
                <c:pt idx="139">
                  <c:v>0.64871405392201897</c:v>
                </c:pt>
                <c:pt idx="140">
                  <c:v>0.64173921291873082</c:v>
                </c:pt>
                <c:pt idx="141">
                  <c:v>0.63475704245684916</c:v>
                </c:pt>
                <c:pt idx="142">
                  <c:v>0.62776934825213482</c:v>
                </c:pt>
                <c:pt idx="143">
                  <c:v>0.62077794175130063</c:v>
                </c:pt>
                <c:pt idx="144">
                  <c:v>0.61378463825643337</c:v>
                </c:pt>
                <c:pt idx="145">
                  <c:v>0.60679125504091158</c:v>
                </c:pt>
                <c:pt idx="146">
                  <c:v>0.59979960946097555</c:v>
                </c:pt>
                <c:pt idx="147">
                  <c:v>0.59281151706711099</c:v>
                </c:pt>
                <c:pt idx="148">
                  <c:v>0.58582878971941854</c:v>
                </c:pt>
                <c:pt idx="149">
                  <c:v>0.57885323371112773</c:v>
                </c:pt>
                <c:pt idx="150">
                  <c:v>0.5718866479043696</c:v>
                </c:pt>
                <c:pt idx="151">
                  <c:v>0.56493082188229304</c:v>
                </c:pt>
                <c:pt idx="152">
                  <c:v>0.55798753412153579</c:v>
                </c:pt>
                <c:pt idx="153">
                  <c:v>0.55105855018899041</c:v>
                </c:pt>
                <c:pt idx="154">
                  <c:v>0.54414562096671415</c:v>
                </c:pt>
                <c:pt idx="155">
                  <c:v>0.53725048090872252</c:v>
                </c:pt>
                <c:pt idx="156">
                  <c:v>0.53037484633329601</c:v>
                </c:pt>
                <c:pt idx="157">
                  <c:v>0.52352041375428959</c:v>
                </c:pt>
                <c:pt idx="158">
                  <c:v>0.51668885825479904</c:v>
                </c:pt>
                <c:pt idx="159">
                  <c:v>0.50988183190637992</c:v>
                </c:pt>
                <c:pt idx="160">
                  <c:v>0.50310096223685119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58-43A4-9CF9-6C533FC2F6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125120"/>
        <c:axId val="191573952"/>
      </c:lineChart>
      <c:catAx>
        <c:axId val="69125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1573952"/>
        <c:crosses val="autoZero"/>
        <c:auto val="1"/>
        <c:lblAlgn val="ctr"/>
        <c:lblOffset val="100"/>
        <c:tickLblSkip val="7"/>
        <c:tickMarkSkip val="1"/>
        <c:noMultiLvlLbl val="0"/>
      </c:catAx>
      <c:valAx>
        <c:axId val="1915739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912512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543885961623218"/>
          <c:y val="0.59615586513224317"/>
          <c:w val="0.21553911024279859"/>
          <c:h val="0.1570516185476815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Survival Fractions, 1979 to 1983 CBECS</a:t>
            </a:r>
          </a:p>
        </c:rich>
      </c:tx>
      <c:layout>
        <c:manualLayout>
          <c:xMode val="edge"/>
          <c:yMode val="edge"/>
          <c:x val="0.35450236966824644"/>
          <c:y val="3.84615384615384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2654028436018961E-2"/>
          <c:y val="0.25"/>
          <c:w val="0.842654028436019"/>
          <c:h val="0.57692307692307687"/>
        </c:manualLayout>
      </c:layout>
      <c:lineChart>
        <c:grouping val="standard"/>
        <c:varyColors val="0"/>
        <c:ser>
          <c:idx val="0"/>
          <c:order val="0"/>
          <c:tx>
            <c:strRef>
              <c:f>'NEMS_Logistic (current) '!$AL$474</c:f>
              <c:strCache>
                <c:ptCount val="1"/>
                <c:pt idx="0">
                  <c:v>  Predicted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'NEMS_Logistic (current) '!$AK$475:$AK$477</c:f>
              <c:strCache>
                <c:ptCount val="3"/>
                <c:pt idx="0">
                  <c:v>1946-1979</c:v>
                </c:pt>
                <c:pt idx="1">
                  <c:v>1921-45</c:v>
                </c:pt>
                <c:pt idx="2">
                  <c:v>&lt;1920</c:v>
                </c:pt>
              </c:strCache>
            </c:strRef>
          </c:cat>
          <c:val>
            <c:numRef>
              <c:f>'NEMS_Logistic (current) '!$AL$475:$AL$477</c:f>
              <c:numCache>
                <c:formatCode>General</c:formatCode>
                <c:ptCount val="3"/>
                <c:pt idx="0">
                  <c:v>0.98707360940958655</c:v>
                </c:pt>
                <c:pt idx="1">
                  <c:v>0.92714206487918849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D4-429E-932B-FD26BDE9F2A7}"/>
            </c:ext>
          </c:extLst>
        </c:ser>
        <c:ser>
          <c:idx val="1"/>
          <c:order val="1"/>
          <c:tx>
            <c:strRef>
              <c:f>'NEMS_Logistic (current) '!$AM$474</c:f>
              <c:strCache>
                <c:ptCount val="1"/>
                <c:pt idx="0">
                  <c:v>Actual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'NEMS_Logistic (current) '!$AK$475:$AK$477</c:f>
              <c:strCache>
                <c:ptCount val="3"/>
                <c:pt idx="0">
                  <c:v>1946-1979</c:v>
                </c:pt>
                <c:pt idx="1">
                  <c:v>1921-45</c:v>
                </c:pt>
                <c:pt idx="2">
                  <c:v>&lt;1920</c:v>
                </c:pt>
              </c:strCache>
            </c:strRef>
          </c:cat>
          <c:val>
            <c:numRef>
              <c:f>'NEMS_Logistic (current) '!$AM$475:$AM$477</c:f>
              <c:numCache>
                <c:formatCode>General</c:formatCode>
                <c:ptCount val="3"/>
                <c:pt idx="0">
                  <c:v>0.98016561611667274</c:v>
                </c:pt>
                <c:pt idx="1">
                  <c:v>0.94544613962089685</c:v>
                </c:pt>
                <c:pt idx="2">
                  <c:v>0.95343969806141704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D4-429E-932B-FD26BDE9F2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126144"/>
        <c:axId val="194725568"/>
      </c:lineChart>
      <c:catAx>
        <c:axId val="69126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47255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47255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912614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9573459715639814"/>
          <c:y val="0.45769230769230768"/>
          <c:w val="9.6682464454976302E-2"/>
          <c:h val="0.165384615384615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Merc/Service, 1999/-1989 CBECS</a:t>
            </a:r>
          </a:p>
        </c:rich>
      </c:tx>
      <c:layout>
        <c:manualLayout>
          <c:xMode val="edge"/>
          <c:yMode val="edge"/>
          <c:x val="0.21573057300421716"/>
          <c:y val="3.84615384615384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112370646474111"/>
          <c:y val="0.25"/>
          <c:w val="0.62696698008139495"/>
          <c:h val="0.57692307692307687"/>
        </c:manualLayout>
      </c:layout>
      <c:lineChart>
        <c:grouping val="standard"/>
        <c:varyColors val="0"/>
        <c:ser>
          <c:idx val="0"/>
          <c:order val="0"/>
          <c:tx>
            <c:strRef>
              <c:f>'NEMS_Logistic (current) '!$EA$406</c:f>
              <c:strCache>
                <c:ptCount val="1"/>
                <c:pt idx="0">
                  <c:v>  Predicted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'NEMS_Logistic (current) '!$DZ$407:$DZ$410</c:f>
              <c:strCache>
                <c:ptCount val="4"/>
                <c:pt idx="0">
                  <c:v>1960-1989</c:v>
                </c:pt>
                <c:pt idx="1">
                  <c:v>1946-1959</c:v>
                </c:pt>
                <c:pt idx="2">
                  <c:v>1920-45</c:v>
                </c:pt>
                <c:pt idx="3">
                  <c:v>&lt;1920</c:v>
                </c:pt>
              </c:strCache>
            </c:strRef>
          </c:cat>
          <c:val>
            <c:numRef>
              <c:f>'NEMS_Logistic (current) '!$EA$407:$EA$410</c:f>
              <c:numCache>
                <c:formatCode>General</c:formatCode>
                <c:ptCount val="4"/>
                <c:pt idx="0">
                  <c:v>0.98515081957947293</c:v>
                </c:pt>
                <c:pt idx="1">
                  <c:v>0.91709554675179505</c:v>
                </c:pt>
                <c:pt idx="2">
                  <c:v>0.8063529315477741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02-40DE-A613-55CEBF427732}"/>
            </c:ext>
          </c:extLst>
        </c:ser>
        <c:ser>
          <c:idx val="1"/>
          <c:order val="1"/>
          <c:tx>
            <c:strRef>
              <c:f>'NEMS_Logistic (current) '!$EB$406</c:f>
              <c:strCache>
                <c:ptCount val="1"/>
                <c:pt idx="0">
                  <c:v>Actual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'NEMS_Logistic (current) '!$DZ$407:$DZ$410</c:f>
              <c:strCache>
                <c:ptCount val="4"/>
                <c:pt idx="0">
                  <c:v>1960-1989</c:v>
                </c:pt>
                <c:pt idx="1">
                  <c:v>1946-1959</c:v>
                </c:pt>
                <c:pt idx="2">
                  <c:v>1920-45</c:v>
                </c:pt>
                <c:pt idx="3">
                  <c:v>&lt;1920</c:v>
                </c:pt>
              </c:strCache>
            </c:strRef>
          </c:cat>
          <c:val>
            <c:numRef>
              <c:f>'NEMS_Logistic (current) '!$EB$407:$EB$410</c:f>
              <c:numCache>
                <c:formatCode>General</c:formatCode>
                <c:ptCount val="4"/>
                <c:pt idx="0">
                  <c:v>0.89831113225499548</c:v>
                </c:pt>
                <c:pt idx="1">
                  <c:v>1.1363636363636362</c:v>
                </c:pt>
                <c:pt idx="2">
                  <c:v>0.76399394856278335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02-40DE-A613-55CEBF4277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590912"/>
        <c:axId val="194727872"/>
      </c:lineChart>
      <c:catAx>
        <c:axId val="71590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47278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47278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159091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5280993246630679"/>
          <c:y val="0.45769230769230768"/>
          <c:w val="0.2292137190716329"/>
          <c:h val="0.165384615384615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 Surviving Fraction</a:t>
            </a:r>
          </a:p>
        </c:rich>
      </c:tx>
      <c:layout>
        <c:manualLayout>
          <c:xMode val="edge"/>
          <c:yMode val="edge"/>
          <c:x val="0.25618001120646433"/>
          <c:y val="0.05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112370646474111"/>
          <c:y val="0.24615384615384617"/>
          <c:w val="0.64943891485133742"/>
          <c:h val="0.6"/>
        </c:manualLayout>
      </c:layout>
      <c:lineChart>
        <c:grouping val="standard"/>
        <c:varyColors val="0"/>
        <c:ser>
          <c:idx val="0"/>
          <c:order val="0"/>
          <c:tx>
            <c:strRef>
              <c:f>'NEMS_Logistic (current) '!$BU$9</c:f>
              <c:strCache>
                <c:ptCount val="1"/>
                <c:pt idx="0">
                  <c:v>Current Curve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ot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'NEMS_Logistic (current) '!$BT$167:$BT$347</c:f>
              <c:numCache>
                <c:formatCode>General</c:formatCode>
                <c:ptCount val="181"/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2</c:v>
                </c:pt>
                <c:pt idx="84">
                  <c:v>3</c:v>
                </c:pt>
                <c:pt idx="85">
                  <c:v>4</c:v>
                </c:pt>
                <c:pt idx="86">
                  <c:v>5</c:v>
                </c:pt>
                <c:pt idx="87">
                  <c:v>6</c:v>
                </c:pt>
                <c:pt idx="88">
                  <c:v>7</c:v>
                </c:pt>
                <c:pt idx="89">
                  <c:v>8</c:v>
                </c:pt>
                <c:pt idx="90">
                  <c:v>9</c:v>
                </c:pt>
                <c:pt idx="91">
                  <c:v>10</c:v>
                </c:pt>
                <c:pt idx="92">
                  <c:v>11</c:v>
                </c:pt>
                <c:pt idx="93">
                  <c:v>12</c:v>
                </c:pt>
                <c:pt idx="94">
                  <c:v>13</c:v>
                </c:pt>
                <c:pt idx="95">
                  <c:v>14</c:v>
                </c:pt>
                <c:pt idx="96">
                  <c:v>15</c:v>
                </c:pt>
                <c:pt idx="97">
                  <c:v>16</c:v>
                </c:pt>
                <c:pt idx="98">
                  <c:v>17</c:v>
                </c:pt>
                <c:pt idx="99">
                  <c:v>18</c:v>
                </c:pt>
                <c:pt idx="100">
                  <c:v>19</c:v>
                </c:pt>
                <c:pt idx="101">
                  <c:v>20</c:v>
                </c:pt>
                <c:pt idx="102">
                  <c:v>21</c:v>
                </c:pt>
                <c:pt idx="103">
                  <c:v>22</c:v>
                </c:pt>
                <c:pt idx="104">
                  <c:v>23</c:v>
                </c:pt>
                <c:pt idx="105">
                  <c:v>24</c:v>
                </c:pt>
                <c:pt idx="106">
                  <c:v>25</c:v>
                </c:pt>
                <c:pt idx="107">
                  <c:v>26</c:v>
                </c:pt>
                <c:pt idx="108">
                  <c:v>27</c:v>
                </c:pt>
                <c:pt idx="109">
                  <c:v>28</c:v>
                </c:pt>
                <c:pt idx="110">
                  <c:v>29</c:v>
                </c:pt>
                <c:pt idx="111">
                  <c:v>30</c:v>
                </c:pt>
                <c:pt idx="112">
                  <c:v>31</c:v>
                </c:pt>
                <c:pt idx="113">
                  <c:v>32</c:v>
                </c:pt>
                <c:pt idx="114">
                  <c:v>33</c:v>
                </c:pt>
                <c:pt idx="115">
                  <c:v>34</c:v>
                </c:pt>
                <c:pt idx="116">
                  <c:v>35</c:v>
                </c:pt>
                <c:pt idx="117">
                  <c:v>36</c:v>
                </c:pt>
                <c:pt idx="118">
                  <c:v>37</c:v>
                </c:pt>
                <c:pt idx="119">
                  <c:v>38</c:v>
                </c:pt>
                <c:pt idx="120">
                  <c:v>39</c:v>
                </c:pt>
                <c:pt idx="121">
                  <c:v>40</c:v>
                </c:pt>
                <c:pt idx="122">
                  <c:v>41</c:v>
                </c:pt>
                <c:pt idx="123">
                  <c:v>42</c:v>
                </c:pt>
                <c:pt idx="124">
                  <c:v>43</c:v>
                </c:pt>
                <c:pt idx="125">
                  <c:v>44</c:v>
                </c:pt>
                <c:pt idx="126">
                  <c:v>45</c:v>
                </c:pt>
                <c:pt idx="127">
                  <c:v>46</c:v>
                </c:pt>
                <c:pt idx="128">
                  <c:v>47</c:v>
                </c:pt>
                <c:pt idx="129">
                  <c:v>48</c:v>
                </c:pt>
                <c:pt idx="130">
                  <c:v>49</c:v>
                </c:pt>
                <c:pt idx="131">
                  <c:v>50</c:v>
                </c:pt>
                <c:pt idx="132">
                  <c:v>51</c:v>
                </c:pt>
                <c:pt idx="133">
                  <c:v>52</c:v>
                </c:pt>
                <c:pt idx="134">
                  <c:v>53</c:v>
                </c:pt>
                <c:pt idx="135">
                  <c:v>54</c:v>
                </c:pt>
                <c:pt idx="136">
                  <c:v>55</c:v>
                </c:pt>
                <c:pt idx="137">
                  <c:v>56</c:v>
                </c:pt>
                <c:pt idx="138">
                  <c:v>57</c:v>
                </c:pt>
                <c:pt idx="139">
                  <c:v>58</c:v>
                </c:pt>
                <c:pt idx="140">
                  <c:v>59</c:v>
                </c:pt>
                <c:pt idx="141">
                  <c:v>60</c:v>
                </c:pt>
                <c:pt idx="142">
                  <c:v>61</c:v>
                </c:pt>
                <c:pt idx="143">
                  <c:v>62</c:v>
                </c:pt>
                <c:pt idx="144">
                  <c:v>63</c:v>
                </c:pt>
                <c:pt idx="145">
                  <c:v>64</c:v>
                </c:pt>
                <c:pt idx="146">
                  <c:v>65</c:v>
                </c:pt>
                <c:pt idx="147">
                  <c:v>66</c:v>
                </c:pt>
                <c:pt idx="148">
                  <c:v>67</c:v>
                </c:pt>
                <c:pt idx="149">
                  <c:v>68</c:v>
                </c:pt>
                <c:pt idx="150">
                  <c:v>69</c:v>
                </c:pt>
                <c:pt idx="151">
                  <c:v>70</c:v>
                </c:pt>
                <c:pt idx="152">
                  <c:v>71</c:v>
                </c:pt>
                <c:pt idx="153">
                  <c:v>72</c:v>
                </c:pt>
                <c:pt idx="154">
                  <c:v>73</c:v>
                </c:pt>
                <c:pt idx="155">
                  <c:v>74</c:v>
                </c:pt>
                <c:pt idx="156">
                  <c:v>75</c:v>
                </c:pt>
                <c:pt idx="157">
                  <c:v>76</c:v>
                </c:pt>
                <c:pt idx="158">
                  <c:v>77</c:v>
                </c:pt>
                <c:pt idx="159">
                  <c:v>78</c:v>
                </c:pt>
                <c:pt idx="160">
                  <c:v>79</c:v>
                </c:pt>
                <c:pt idx="161">
                  <c:v>80</c:v>
                </c:pt>
                <c:pt idx="162">
                  <c:v>81</c:v>
                </c:pt>
                <c:pt idx="163">
                  <c:v>82</c:v>
                </c:pt>
                <c:pt idx="164">
                  <c:v>83</c:v>
                </c:pt>
                <c:pt idx="165">
                  <c:v>84</c:v>
                </c:pt>
                <c:pt idx="166">
                  <c:v>85</c:v>
                </c:pt>
                <c:pt idx="167">
                  <c:v>86</c:v>
                </c:pt>
                <c:pt idx="168">
                  <c:v>87</c:v>
                </c:pt>
                <c:pt idx="169">
                  <c:v>88</c:v>
                </c:pt>
                <c:pt idx="170">
                  <c:v>89</c:v>
                </c:pt>
                <c:pt idx="171">
                  <c:v>90</c:v>
                </c:pt>
                <c:pt idx="172">
                  <c:v>91</c:v>
                </c:pt>
                <c:pt idx="173">
                  <c:v>92</c:v>
                </c:pt>
                <c:pt idx="174">
                  <c:v>93</c:v>
                </c:pt>
                <c:pt idx="175">
                  <c:v>94</c:v>
                </c:pt>
                <c:pt idx="176">
                  <c:v>95</c:v>
                </c:pt>
                <c:pt idx="177">
                  <c:v>96</c:v>
                </c:pt>
                <c:pt idx="178">
                  <c:v>97</c:v>
                </c:pt>
                <c:pt idx="179">
                  <c:v>98</c:v>
                </c:pt>
                <c:pt idx="180">
                  <c:v>99</c:v>
                </c:pt>
              </c:numCache>
            </c:numRef>
          </c:cat>
          <c:val>
            <c:numRef>
              <c:f>'NEMS_Logistic (current) '!$BU$167:$BU$346</c:f>
              <c:numCache>
                <c:formatCode>General</c:formatCode>
                <c:ptCount val="180"/>
                <c:pt idx="79">
                  <c:v>0</c:v>
                </c:pt>
                <c:pt idx="80">
                  <c:v>1</c:v>
                </c:pt>
                <c:pt idx="81" formatCode="0">
                  <c:v>0.99999995153718368</c:v>
                </c:pt>
                <c:pt idx="82">
                  <c:v>0.99999926501576142</c:v>
                </c:pt>
                <c:pt idx="83">
                  <c:v>0.99999639387101014</c:v>
                </c:pt>
                <c:pt idx="84">
                  <c:v>0.99998885338042343</c:v>
                </c:pt>
                <c:pt idx="85">
                  <c:v>0.99997325198682663</c:v>
                </c:pt>
                <c:pt idx="86">
                  <c:v>0.99994531241476103</c:v>
                </c:pt>
                <c:pt idx="87">
                  <c:v>0.99989988815053987</c:v>
                </c:pt>
                <c:pt idx="88">
                  <c:v>0.99983097759237749</c:v>
                </c:pt>
                <c:pt idx="89">
                  <c:v>0.99973173719832764</c:v>
                </c:pt>
                <c:pt idx="90">
                  <c:v>0.99959449456848715</c:v>
                </c:pt>
                <c:pt idx="91">
                  <c:v>0.99941076222153036</c:v>
                </c:pt>
                <c:pt idx="92">
                  <c:v>0.99917125274301088</c:v>
                </c:pt>
                <c:pt idx="93">
                  <c:v>0.99886589594533581</c:v>
                </c:pt>
                <c:pt idx="94">
                  <c:v>0.9984838586642506</c:v>
                </c:pt>
                <c:pt idx="95">
                  <c:v>0.99801356781208517</c:v>
                </c:pt>
                <c:pt idx="96">
                  <c:v>0.99744273730685318</c:v>
                </c:pt>
                <c:pt idx="97">
                  <c:v>0.99675839949385381</c:v>
                </c:pt>
                <c:pt idx="98">
                  <c:v>0.99594694166920961</c:v>
                </c:pt>
                <c:pt idx="99">
                  <c:v>0.99499414829994903</c:v>
                </c:pt>
                <c:pt idx="100">
                  <c:v>0.99388524951035251</c:v>
                </c:pt>
                <c:pt idx="101">
                  <c:v>0.99260497636709277</c:v>
                </c:pt>
                <c:pt idx="102">
                  <c:v>0.9911376234442244</c:v>
                </c:pt>
                <c:pt idx="103">
                  <c:v>0.98946711908151352</c:v>
                </c:pt>
                <c:pt idx="104">
                  <c:v>0.98757710366441731</c:v>
                </c:pt>
                <c:pt idx="105">
                  <c:v>0.98545101615005803</c:v>
                </c:pt>
                <c:pt idx="106">
                  <c:v>0.98307218894002268</c:v>
                </c:pt>
                <c:pt idx="107">
                  <c:v>0.98042395105756286</c:v>
                </c:pt>
                <c:pt idx="108">
                  <c:v>0.97748973942419259</c:v>
                </c:pt>
                <c:pt idx="109">
                  <c:v>0.9742532178500003</c:v>
                </c:pt>
                <c:pt idx="110">
                  <c:v>0.97069840315522438</c:v>
                </c:pt>
                <c:pt idx="111">
                  <c:v>0.96680979763079788</c:v>
                </c:pt>
                <c:pt idx="112">
                  <c:v>0.96257252682658867</c:v>
                </c:pt>
                <c:pt idx="113">
                  <c:v>0.95797248143291314</c:v>
                </c:pt>
                <c:pt idx="114">
                  <c:v>0.95299646179949982</c:v>
                </c:pt>
                <c:pt idx="115">
                  <c:v>0.94763232342320536</c:v>
                </c:pt>
                <c:pt idx="116">
                  <c:v>0.94186912153892333</c:v>
                </c:pt>
                <c:pt idx="117">
                  <c:v>0.93569725277529137</c:v>
                </c:pt>
                <c:pt idx="118">
                  <c:v>0.92910859169614757</c:v>
                </c:pt>
                <c:pt idx="119">
                  <c:v>0.9220966199483297</c:v>
                </c:pt>
                <c:pt idx="120">
                  <c:v>0.91465654568384147</c:v>
                </c:pt>
                <c:pt idx="121">
                  <c:v>0.90678541092628584</c:v>
                </c:pt>
                <c:pt idx="122">
                  <c:v>0.898482184612997</c:v>
                </c:pt>
                <c:pt idx="123">
                  <c:v>0.88974783916898381</c:v>
                </c:pt>
                <c:pt idx="124">
                  <c:v>0.88058540865796442</c:v>
                </c:pt>
                <c:pt idx="125">
                  <c:v>0.87100002680838728</c:v>
                </c:pt>
                <c:pt idx="126">
                  <c:v>0.86099894352470652</c:v>
                </c:pt>
                <c:pt idx="127">
                  <c:v>0.85059151886006445</c:v>
                </c:pt>
                <c:pt idx="128">
                  <c:v>0.83978919383707895</c:v>
                </c:pt>
                <c:pt idx="129">
                  <c:v>0.82860543794751107</c:v>
                </c:pt>
                <c:pt idx="130">
                  <c:v>0.81705567362617515</c:v>
                </c:pt>
                <c:pt idx="131">
                  <c:v>0.80515717846513635</c:v>
                </c:pt>
                <c:pt idx="132">
                  <c:v>0.79292896639582933</c:v>
                </c:pt>
                <c:pt idx="133">
                  <c:v>0.78039164950404238</c:v>
                </c:pt>
                <c:pt idx="134">
                  <c:v>0.76756728254114526</c:v>
                </c:pt>
                <c:pt idx="135">
                  <c:v>0.75447919254134055</c:v>
                </c:pt>
                <c:pt idx="136">
                  <c:v>0.74115179623788574</c:v>
                </c:pt>
                <c:pt idx="137">
                  <c:v>0.72761040818253109</c:v>
                </c:pt>
                <c:pt idx="138" formatCode="0.00000">
                  <c:v>0.71388104260609375</c:v>
                </c:pt>
                <c:pt idx="139">
                  <c:v>0.69999021211156298</c:v>
                </c:pt>
                <c:pt idx="140">
                  <c:v>0.68596472626493932</c:v>
                </c:pt>
                <c:pt idx="141">
                  <c:v>0.67183149304680811</c:v>
                </c:pt>
                <c:pt idx="142">
                  <c:v>0.65761732595574707</c:v>
                </c:pt>
                <c:pt idx="143">
                  <c:v>0.64334875932177582</c:v>
                </c:pt>
                <c:pt idx="144">
                  <c:v>0.62905187410464158</c:v>
                </c:pt>
                <c:pt idx="145">
                  <c:v>0.61475213612949209</c:v>
                </c:pt>
                <c:pt idx="146">
                  <c:v>0.60047424836370045</c:v>
                </c:pt>
                <c:pt idx="147">
                  <c:v>0.5862420184756324</c:v>
                </c:pt>
                <c:pt idx="148">
                  <c:v>0.57207824255075679</c:v>
                </c:pt>
                <c:pt idx="149">
                  <c:v>0.55800460548357012</c:v>
                </c:pt>
                <c:pt idx="150">
                  <c:v>0.54404159822483755</c:v>
                </c:pt>
                <c:pt idx="151">
                  <c:v>0.53020845175056952</c:v>
                </c:pt>
                <c:pt idx="152">
                  <c:v>0.51652308733816632</c:v>
                </c:pt>
                <c:pt idx="153">
                  <c:v>0.50300208249067324</c:v>
                </c:pt>
                <c:pt idx="154">
                  <c:v>0.48966065164479422</c:v>
                </c:pt>
                <c:pt idx="155">
                  <c:v>0.47651264063325316</c:v>
                </c:pt>
                <c:pt idx="156">
                  <c:v>0.46357053374692569</c:v>
                </c:pt>
                <c:pt idx="157">
                  <c:v>0.45084547215524529</c:v>
                </c:pt>
                <c:pt idx="158">
                  <c:v>0.43834728239217857</c:v>
                </c:pt>
                <c:pt idx="159">
                  <c:v>0.42608451359617938</c:v>
                </c:pt>
                <c:pt idx="160">
                  <c:v>0.4140644822021714</c:v>
                </c:pt>
                <c:pt idx="161">
                  <c:v>0.40229332281762048</c:v>
                </c:pt>
                <c:pt idx="162" formatCode="0.00000">
                  <c:v>0.3907760440689183</c:v>
                </c:pt>
                <c:pt idx="163" formatCode="0.00000">
                  <c:v>0.37951658827444251</c:v>
                </c:pt>
                <c:pt idx="164" formatCode="0.00000">
                  <c:v>0.36851789388284145</c:v>
                </c:pt>
                <c:pt idx="165" formatCode="0.00000">
                  <c:v>0.35778195970560622</c:v>
                </c:pt>
                <c:pt idx="166" formatCode="0.00000">
                  <c:v>0.34730991006859391</c:v>
                </c:pt>
                <c:pt idx="167" formatCode="0.00000">
                  <c:v>0.33710206010490684</c:v>
                </c:pt>
                <c:pt idx="168" formatCode="0.00000">
                  <c:v>0.32715798050899209</c:v>
                </c:pt>
                <c:pt idx="169" formatCode="0.00000">
                  <c:v>0.31747656116694678</c:v>
                </c:pt>
                <c:pt idx="170" formatCode="0.00000">
                  <c:v>0.30805607316916789</c:v>
                </c:pt>
                <c:pt idx="171" formatCode="0.00000">
                  <c:v>0.2988942287974411</c:v>
                </c:pt>
                <c:pt idx="172" formatCode="0.00000">
                  <c:v>0.28998823915841493</c:v>
                </c:pt>
                <c:pt idx="173" formatCode="0.00000">
                  <c:v>0.28133486920856221</c:v>
                </c:pt>
                <c:pt idx="174" formatCode="0.00000">
                  <c:v>0.27293048998188052</c:v>
                </c:pt>
                <c:pt idx="175" formatCode="0.00000">
                  <c:v>0.26477112789060925</c:v>
                </c:pt>
                <c:pt idx="176" formatCode="0.00000">
                  <c:v>0.25685251102122836</c:v>
                </c:pt>
                <c:pt idx="177" formatCode="0.00000">
                  <c:v>0.24917011239319095</c:v>
                </c:pt>
                <c:pt idx="178" formatCode="0.00000">
                  <c:v>0.24171919018653262</c:v>
                </c:pt>
                <c:pt idx="179" formatCode="0.00000">
                  <c:v>0.23449482497713842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97-4B24-908C-D4E4F6030E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592960"/>
        <c:axId val="194730176"/>
      </c:lineChart>
      <c:catAx>
        <c:axId val="71592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4730176"/>
        <c:crosses val="autoZero"/>
        <c:auto val="1"/>
        <c:lblAlgn val="ctr"/>
        <c:lblOffset val="100"/>
        <c:tickLblSkip val="15"/>
        <c:tickMarkSkip val="1"/>
        <c:noMultiLvlLbl val="0"/>
      </c:catAx>
      <c:valAx>
        <c:axId val="1947301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159296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2134902238343801"/>
          <c:y val="0.50769230769230766"/>
          <c:w val="0.2629215842401722"/>
          <c:h val="8.461538461538464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Education, 1999/1989 CBECS</a:t>
            </a:r>
          </a:p>
        </c:rich>
      </c:tx>
      <c:layout>
        <c:manualLayout>
          <c:xMode val="edge"/>
          <c:yMode val="edge"/>
          <c:x val="0.24269686513904862"/>
          <c:y val="3.84615384615384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112370646474111"/>
          <c:y val="0.25"/>
          <c:w val="0.62696698008139495"/>
          <c:h val="0.57692307692307687"/>
        </c:manualLayout>
      </c:layout>
      <c:lineChart>
        <c:grouping val="standard"/>
        <c:varyColors val="0"/>
        <c:ser>
          <c:idx val="0"/>
          <c:order val="0"/>
          <c:tx>
            <c:strRef>
              <c:f>'NEMS_Logistic (current) '!$ES$406</c:f>
              <c:strCache>
                <c:ptCount val="1"/>
                <c:pt idx="0">
                  <c:v>  Predicted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'NEMS_Logistic (current) '!$ER$407:$ER$410</c:f>
              <c:strCache>
                <c:ptCount val="4"/>
                <c:pt idx="0">
                  <c:v>1960-1989</c:v>
                </c:pt>
                <c:pt idx="1">
                  <c:v>1946-1959</c:v>
                </c:pt>
                <c:pt idx="2">
                  <c:v>1920-45</c:v>
                </c:pt>
                <c:pt idx="3">
                  <c:v>&lt;1920</c:v>
                </c:pt>
              </c:strCache>
            </c:strRef>
          </c:cat>
          <c:val>
            <c:numRef>
              <c:f>'NEMS_Logistic (current) '!$ES$407:$ES$410</c:f>
              <c:numCache>
                <c:formatCode>General</c:formatCode>
                <c:ptCount val="4"/>
                <c:pt idx="0">
                  <c:v>0.9788373536092797</c:v>
                </c:pt>
                <c:pt idx="1">
                  <c:v>0.918597937506208</c:v>
                </c:pt>
                <c:pt idx="2">
                  <c:v>0.80820775852826987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95-4114-BC67-1D47314B200D}"/>
            </c:ext>
          </c:extLst>
        </c:ser>
        <c:ser>
          <c:idx val="1"/>
          <c:order val="1"/>
          <c:tx>
            <c:strRef>
              <c:f>'NEMS_Logistic (current) '!$ET$406</c:f>
              <c:strCache>
                <c:ptCount val="1"/>
                <c:pt idx="0">
                  <c:v>Actual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'NEMS_Logistic (current) '!$ER$407:$ER$410</c:f>
              <c:strCache>
                <c:ptCount val="4"/>
                <c:pt idx="0">
                  <c:v>1960-1989</c:v>
                </c:pt>
                <c:pt idx="1">
                  <c:v>1946-1959</c:v>
                </c:pt>
                <c:pt idx="2">
                  <c:v>1920-45</c:v>
                </c:pt>
                <c:pt idx="3">
                  <c:v>&lt;1920</c:v>
                </c:pt>
              </c:strCache>
            </c:strRef>
          </c:cat>
          <c:val>
            <c:numRef>
              <c:f>'NEMS_Logistic (current) '!$ET$407:$ET$410</c:f>
              <c:numCache>
                <c:formatCode>General</c:formatCode>
                <c:ptCount val="4"/>
                <c:pt idx="0">
                  <c:v>0.99522102747909225</c:v>
                </c:pt>
                <c:pt idx="1">
                  <c:v>0.80767534186149093</c:v>
                </c:pt>
                <c:pt idx="2">
                  <c:v>0.91479099678456555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95-4114-BC67-1D47314B20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593472"/>
        <c:axId val="224485952"/>
      </c:lineChart>
      <c:catAx>
        <c:axId val="71593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44859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244859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159347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5280993246630679"/>
          <c:y val="0.45769230769230768"/>
          <c:w val="0.2292137190716329"/>
          <c:h val="0.165384615384615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 Surviving Fraction</a:t>
            </a:r>
          </a:p>
        </c:rich>
      </c:tx>
      <c:layout>
        <c:manualLayout>
          <c:xMode val="edge"/>
          <c:yMode val="edge"/>
          <c:x val="0.25618001120646433"/>
          <c:y val="0.05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112370646474111"/>
          <c:y val="0.24615384615384617"/>
          <c:w val="0.64943891485133742"/>
          <c:h val="0.6"/>
        </c:manualLayout>
      </c:layout>
      <c:lineChart>
        <c:grouping val="standard"/>
        <c:varyColors val="0"/>
        <c:ser>
          <c:idx val="0"/>
          <c:order val="0"/>
          <c:tx>
            <c:strRef>
              <c:f>'NEMS_Logistic (current) '!$BU$9</c:f>
              <c:strCache>
                <c:ptCount val="1"/>
                <c:pt idx="0">
                  <c:v>Current Curve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ot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'NEMS_Logistic (current) '!$BT$167:$BT$347</c:f>
              <c:numCache>
                <c:formatCode>General</c:formatCode>
                <c:ptCount val="181"/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2</c:v>
                </c:pt>
                <c:pt idx="84">
                  <c:v>3</c:v>
                </c:pt>
                <c:pt idx="85">
                  <c:v>4</c:v>
                </c:pt>
                <c:pt idx="86">
                  <c:v>5</c:v>
                </c:pt>
                <c:pt idx="87">
                  <c:v>6</c:v>
                </c:pt>
                <c:pt idx="88">
                  <c:v>7</c:v>
                </c:pt>
                <c:pt idx="89">
                  <c:v>8</c:v>
                </c:pt>
                <c:pt idx="90">
                  <c:v>9</c:v>
                </c:pt>
                <c:pt idx="91">
                  <c:v>10</c:v>
                </c:pt>
                <c:pt idx="92">
                  <c:v>11</c:v>
                </c:pt>
                <c:pt idx="93">
                  <c:v>12</c:v>
                </c:pt>
                <c:pt idx="94">
                  <c:v>13</c:v>
                </c:pt>
                <c:pt idx="95">
                  <c:v>14</c:v>
                </c:pt>
                <c:pt idx="96">
                  <c:v>15</c:v>
                </c:pt>
                <c:pt idx="97">
                  <c:v>16</c:v>
                </c:pt>
                <c:pt idx="98">
                  <c:v>17</c:v>
                </c:pt>
                <c:pt idx="99">
                  <c:v>18</c:v>
                </c:pt>
                <c:pt idx="100">
                  <c:v>19</c:v>
                </c:pt>
                <c:pt idx="101">
                  <c:v>20</c:v>
                </c:pt>
                <c:pt idx="102">
                  <c:v>21</c:v>
                </c:pt>
                <c:pt idx="103">
                  <c:v>22</c:v>
                </c:pt>
                <c:pt idx="104">
                  <c:v>23</c:v>
                </c:pt>
                <c:pt idx="105">
                  <c:v>24</c:v>
                </c:pt>
                <c:pt idx="106">
                  <c:v>25</c:v>
                </c:pt>
                <c:pt idx="107">
                  <c:v>26</c:v>
                </c:pt>
                <c:pt idx="108">
                  <c:v>27</c:v>
                </c:pt>
                <c:pt idx="109">
                  <c:v>28</c:v>
                </c:pt>
                <c:pt idx="110">
                  <c:v>29</c:v>
                </c:pt>
                <c:pt idx="111">
                  <c:v>30</c:v>
                </c:pt>
                <c:pt idx="112">
                  <c:v>31</c:v>
                </c:pt>
                <c:pt idx="113">
                  <c:v>32</c:v>
                </c:pt>
                <c:pt idx="114">
                  <c:v>33</c:v>
                </c:pt>
                <c:pt idx="115">
                  <c:v>34</c:v>
                </c:pt>
                <c:pt idx="116">
                  <c:v>35</c:v>
                </c:pt>
                <c:pt idx="117">
                  <c:v>36</c:v>
                </c:pt>
                <c:pt idx="118">
                  <c:v>37</c:v>
                </c:pt>
                <c:pt idx="119">
                  <c:v>38</c:v>
                </c:pt>
                <c:pt idx="120">
                  <c:v>39</c:v>
                </c:pt>
                <c:pt idx="121">
                  <c:v>40</c:v>
                </c:pt>
                <c:pt idx="122">
                  <c:v>41</c:v>
                </c:pt>
                <c:pt idx="123">
                  <c:v>42</c:v>
                </c:pt>
                <c:pt idx="124">
                  <c:v>43</c:v>
                </c:pt>
                <c:pt idx="125">
                  <c:v>44</c:v>
                </c:pt>
                <c:pt idx="126">
                  <c:v>45</c:v>
                </c:pt>
                <c:pt idx="127">
                  <c:v>46</c:v>
                </c:pt>
                <c:pt idx="128">
                  <c:v>47</c:v>
                </c:pt>
                <c:pt idx="129">
                  <c:v>48</c:v>
                </c:pt>
                <c:pt idx="130">
                  <c:v>49</c:v>
                </c:pt>
                <c:pt idx="131">
                  <c:v>50</c:v>
                </c:pt>
                <c:pt idx="132">
                  <c:v>51</c:v>
                </c:pt>
                <c:pt idx="133">
                  <c:v>52</c:v>
                </c:pt>
                <c:pt idx="134">
                  <c:v>53</c:v>
                </c:pt>
                <c:pt idx="135">
                  <c:v>54</c:v>
                </c:pt>
                <c:pt idx="136">
                  <c:v>55</c:v>
                </c:pt>
                <c:pt idx="137">
                  <c:v>56</c:v>
                </c:pt>
                <c:pt idx="138">
                  <c:v>57</c:v>
                </c:pt>
                <c:pt idx="139">
                  <c:v>58</c:v>
                </c:pt>
                <c:pt idx="140">
                  <c:v>59</c:v>
                </c:pt>
                <c:pt idx="141">
                  <c:v>60</c:v>
                </c:pt>
                <c:pt idx="142">
                  <c:v>61</c:v>
                </c:pt>
                <c:pt idx="143">
                  <c:v>62</c:v>
                </c:pt>
                <c:pt idx="144">
                  <c:v>63</c:v>
                </c:pt>
                <c:pt idx="145">
                  <c:v>64</c:v>
                </c:pt>
                <c:pt idx="146">
                  <c:v>65</c:v>
                </c:pt>
                <c:pt idx="147">
                  <c:v>66</c:v>
                </c:pt>
                <c:pt idx="148">
                  <c:v>67</c:v>
                </c:pt>
                <c:pt idx="149">
                  <c:v>68</c:v>
                </c:pt>
                <c:pt idx="150">
                  <c:v>69</c:v>
                </c:pt>
                <c:pt idx="151">
                  <c:v>70</c:v>
                </c:pt>
                <c:pt idx="152">
                  <c:v>71</c:v>
                </c:pt>
                <c:pt idx="153">
                  <c:v>72</c:v>
                </c:pt>
                <c:pt idx="154">
                  <c:v>73</c:v>
                </c:pt>
                <c:pt idx="155">
                  <c:v>74</c:v>
                </c:pt>
                <c:pt idx="156">
                  <c:v>75</c:v>
                </c:pt>
                <c:pt idx="157">
                  <c:v>76</c:v>
                </c:pt>
                <c:pt idx="158">
                  <c:v>77</c:v>
                </c:pt>
                <c:pt idx="159">
                  <c:v>78</c:v>
                </c:pt>
                <c:pt idx="160">
                  <c:v>79</c:v>
                </c:pt>
                <c:pt idx="161">
                  <c:v>80</c:v>
                </c:pt>
                <c:pt idx="162">
                  <c:v>81</c:v>
                </c:pt>
                <c:pt idx="163">
                  <c:v>82</c:v>
                </c:pt>
                <c:pt idx="164">
                  <c:v>83</c:v>
                </c:pt>
                <c:pt idx="165">
                  <c:v>84</c:v>
                </c:pt>
                <c:pt idx="166">
                  <c:v>85</c:v>
                </c:pt>
                <c:pt idx="167">
                  <c:v>86</c:v>
                </c:pt>
                <c:pt idx="168">
                  <c:v>87</c:v>
                </c:pt>
                <c:pt idx="169">
                  <c:v>88</c:v>
                </c:pt>
                <c:pt idx="170">
                  <c:v>89</c:v>
                </c:pt>
                <c:pt idx="171">
                  <c:v>90</c:v>
                </c:pt>
                <c:pt idx="172">
                  <c:v>91</c:v>
                </c:pt>
                <c:pt idx="173">
                  <c:v>92</c:v>
                </c:pt>
                <c:pt idx="174">
                  <c:v>93</c:v>
                </c:pt>
                <c:pt idx="175">
                  <c:v>94</c:v>
                </c:pt>
                <c:pt idx="176">
                  <c:v>95</c:v>
                </c:pt>
                <c:pt idx="177">
                  <c:v>96</c:v>
                </c:pt>
                <c:pt idx="178">
                  <c:v>97</c:v>
                </c:pt>
                <c:pt idx="179">
                  <c:v>98</c:v>
                </c:pt>
                <c:pt idx="180">
                  <c:v>99</c:v>
                </c:pt>
              </c:numCache>
            </c:numRef>
          </c:cat>
          <c:val>
            <c:numRef>
              <c:f>'NEMS_Logistic (current) '!$BU$167:$BU$346</c:f>
              <c:numCache>
                <c:formatCode>General</c:formatCode>
                <c:ptCount val="180"/>
                <c:pt idx="79">
                  <c:v>0</c:v>
                </c:pt>
                <c:pt idx="80">
                  <c:v>1</c:v>
                </c:pt>
                <c:pt idx="81" formatCode="0">
                  <c:v>0.99999995153718368</c:v>
                </c:pt>
                <c:pt idx="82">
                  <c:v>0.99999926501576142</c:v>
                </c:pt>
                <c:pt idx="83">
                  <c:v>0.99999639387101014</c:v>
                </c:pt>
                <c:pt idx="84">
                  <c:v>0.99998885338042343</c:v>
                </c:pt>
                <c:pt idx="85">
                  <c:v>0.99997325198682663</c:v>
                </c:pt>
                <c:pt idx="86">
                  <c:v>0.99994531241476103</c:v>
                </c:pt>
                <c:pt idx="87">
                  <c:v>0.99989988815053987</c:v>
                </c:pt>
                <c:pt idx="88">
                  <c:v>0.99983097759237749</c:v>
                </c:pt>
                <c:pt idx="89">
                  <c:v>0.99973173719832764</c:v>
                </c:pt>
                <c:pt idx="90">
                  <c:v>0.99959449456848715</c:v>
                </c:pt>
                <c:pt idx="91">
                  <c:v>0.99941076222153036</c:v>
                </c:pt>
                <c:pt idx="92">
                  <c:v>0.99917125274301088</c:v>
                </c:pt>
                <c:pt idx="93">
                  <c:v>0.99886589594533581</c:v>
                </c:pt>
                <c:pt idx="94">
                  <c:v>0.9984838586642506</c:v>
                </c:pt>
                <c:pt idx="95">
                  <c:v>0.99801356781208517</c:v>
                </c:pt>
                <c:pt idx="96">
                  <c:v>0.99744273730685318</c:v>
                </c:pt>
                <c:pt idx="97">
                  <c:v>0.99675839949385381</c:v>
                </c:pt>
                <c:pt idx="98">
                  <c:v>0.99594694166920961</c:v>
                </c:pt>
                <c:pt idx="99">
                  <c:v>0.99499414829994903</c:v>
                </c:pt>
                <c:pt idx="100">
                  <c:v>0.99388524951035251</c:v>
                </c:pt>
                <c:pt idx="101">
                  <c:v>0.99260497636709277</c:v>
                </c:pt>
                <c:pt idx="102">
                  <c:v>0.9911376234442244</c:v>
                </c:pt>
                <c:pt idx="103">
                  <c:v>0.98946711908151352</c:v>
                </c:pt>
                <c:pt idx="104">
                  <c:v>0.98757710366441731</c:v>
                </c:pt>
                <c:pt idx="105">
                  <c:v>0.98545101615005803</c:v>
                </c:pt>
                <c:pt idx="106">
                  <c:v>0.98307218894002268</c:v>
                </c:pt>
                <c:pt idx="107">
                  <c:v>0.98042395105756286</c:v>
                </c:pt>
                <c:pt idx="108">
                  <c:v>0.97748973942419259</c:v>
                </c:pt>
                <c:pt idx="109">
                  <c:v>0.9742532178500003</c:v>
                </c:pt>
                <c:pt idx="110">
                  <c:v>0.97069840315522438</c:v>
                </c:pt>
                <c:pt idx="111">
                  <c:v>0.96680979763079788</c:v>
                </c:pt>
                <c:pt idx="112">
                  <c:v>0.96257252682658867</c:v>
                </c:pt>
                <c:pt idx="113">
                  <c:v>0.95797248143291314</c:v>
                </c:pt>
                <c:pt idx="114">
                  <c:v>0.95299646179949982</c:v>
                </c:pt>
                <c:pt idx="115">
                  <c:v>0.94763232342320536</c:v>
                </c:pt>
                <c:pt idx="116">
                  <c:v>0.94186912153892333</c:v>
                </c:pt>
                <c:pt idx="117">
                  <c:v>0.93569725277529137</c:v>
                </c:pt>
                <c:pt idx="118">
                  <c:v>0.92910859169614757</c:v>
                </c:pt>
                <c:pt idx="119">
                  <c:v>0.9220966199483297</c:v>
                </c:pt>
                <c:pt idx="120">
                  <c:v>0.91465654568384147</c:v>
                </c:pt>
                <c:pt idx="121">
                  <c:v>0.90678541092628584</c:v>
                </c:pt>
                <c:pt idx="122">
                  <c:v>0.898482184612997</c:v>
                </c:pt>
                <c:pt idx="123">
                  <c:v>0.88974783916898381</c:v>
                </c:pt>
                <c:pt idx="124">
                  <c:v>0.88058540865796442</c:v>
                </c:pt>
                <c:pt idx="125">
                  <c:v>0.87100002680838728</c:v>
                </c:pt>
                <c:pt idx="126">
                  <c:v>0.86099894352470652</c:v>
                </c:pt>
                <c:pt idx="127">
                  <c:v>0.85059151886006445</c:v>
                </c:pt>
                <c:pt idx="128">
                  <c:v>0.83978919383707895</c:v>
                </c:pt>
                <c:pt idx="129">
                  <c:v>0.82860543794751107</c:v>
                </c:pt>
                <c:pt idx="130">
                  <c:v>0.81705567362617515</c:v>
                </c:pt>
                <c:pt idx="131">
                  <c:v>0.80515717846513635</c:v>
                </c:pt>
                <c:pt idx="132">
                  <c:v>0.79292896639582933</c:v>
                </c:pt>
                <c:pt idx="133">
                  <c:v>0.78039164950404238</c:v>
                </c:pt>
                <c:pt idx="134">
                  <c:v>0.76756728254114526</c:v>
                </c:pt>
                <c:pt idx="135">
                  <c:v>0.75447919254134055</c:v>
                </c:pt>
                <c:pt idx="136">
                  <c:v>0.74115179623788574</c:v>
                </c:pt>
                <c:pt idx="137">
                  <c:v>0.72761040818253109</c:v>
                </c:pt>
                <c:pt idx="138" formatCode="0.00000">
                  <c:v>0.71388104260609375</c:v>
                </c:pt>
                <c:pt idx="139">
                  <c:v>0.69999021211156298</c:v>
                </c:pt>
                <c:pt idx="140">
                  <c:v>0.68596472626493932</c:v>
                </c:pt>
                <c:pt idx="141">
                  <c:v>0.67183149304680811</c:v>
                </c:pt>
                <c:pt idx="142">
                  <c:v>0.65761732595574707</c:v>
                </c:pt>
                <c:pt idx="143">
                  <c:v>0.64334875932177582</c:v>
                </c:pt>
                <c:pt idx="144">
                  <c:v>0.62905187410464158</c:v>
                </c:pt>
                <c:pt idx="145">
                  <c:v>0.61475213612949209</c:v>
                </c:pt>
                <c:pt idx="146">
                  <c:v>0.60047424836370045</c:v>
                </c:pt>
                <c:pt idx="147">
                  <c:v>0.5862420184756324</c:v>
                </c:pt>
                <c:pt idx="148">
                  <c:v>0.57207824255075679</c:v>
                </c:pt>
                <c:pt idx="149">
                  <c:v>0.55800460548357012</c:v>
                </c:pt>
                <c:pt idx="150">
                  <c:v>0.54404159822483755</c:v>
                </c:pt>
                <c:pt idx="151">
                  <c:v>0.53020845175056952</c:v>
                </c:pt>
                <c:pt idx="152">
                  <c:v>0.51652308733816632</c:v>
                </c:pt>
                <c:pt idx="153">
                  <c:v>0.50300208249067324</c:v>
                </c:pt>
                <c:pt idx="154">
                  <c:v>0.48966065164479422</c:v>
                </c:pt>
                <c:pt idx="155">
                  <c:v>0.47651264063325316</c:v>
                </c:pt>
                <c:pt idx="156">
                  <c:v>0.46357053374692569</c:v>
                </c:pt>
                <c:pt idx="157">
                  <c:v>0.45084547215524529</c:v>
                </c:pt>
                <c:pt idx="158">
                  <c:v>0.43834728239217857</c:v>
                </c:pt>
                <c:pt idx="159">
                  <c:v>0.42608451359617938</c:v>
                </c:pt>
                <c:pt idx="160">
                  <c:v>0.4140644822021714</c:v>
                </c:pt>
                <c:pt idx="161">
                  <c:v>0.40229332281762048</c:v>
                </c:pt>
                <c:pt idx="162" formatCode="0.00000">
                  <c:v>0.3907760440689183</c:v>
                </c:pt>
                <c:pt idx="163" formatCode="0.00000">
                  <c:v>0.37951658827444251</c:v>
                </c:pt>
                <c:pt idx="164" formatCode="0.00000">
                  <c:v>0.36851789388284145</c:v>
                </c:pt>
                <c:pt idx="165" formatCode="0.00000">
                  <c:v>0.35778195970560622</c:v>
                </c:pt>
                <c:pt idx="166" formatCode="0.00000">
                  <c:v>0.34730991006859391</c:v>
                </c:pt>
                <c:pt idx="167" formatCode="0.00000">
                  <c:v>0.33710206010490684</c:v>
                </c:pt>
                <c:pt idx="168" formatCode="0.00000">
                  <c:v>0.32715798050899209</c:v>
                </c:pt>
                <c:pt idx="169" formatCode="0.00000">
                  <c:v>0.31747656116694678</c:v>
                </c:pt>
                <c:pt idx="170" formatCode="0.00000">
                  <c:v>0.30805607316916789</c:v>
                </c:pt>
                <c:pt idx="171" formatCode="0.00000">
                  <c:v>0.2988942287974411</c:v>
                </c:pt>
                <c:pt idx="172" formatCode="0.00000">
                  <c:v>0.28998823915841493</c:v>
                </c:pt>
                <c:pt idx="173" formatCode="0.00000">
                  <c:v>0.28133486920856221</c:v>
                </c:pt>
                <c:pt idx="174" formatCode="0.00000">
                  <c:v>0.27293048998188052</c:v>
                </c:pt>
                <c:pt idx="175" formatCode="0.00000">
                  <c:v>0.26477112789060925</c:v>
                </c:pt>
                <c:pt idx="176" formatCode="0.00000">
                  <c:v>0.25685251102122836</c:v>
                </c:pt>
                <c:pt idx="177" formatCode="0.00000">
                  <c:v>0.24917011239319095</c:v>
                </c:pt>
                <c:pt idx="178" formatCode="0.00000">
                  <c:v>0.24171919018653262</c:v>
                </c:pt>
                <c:pt idx="179" formatCode="0.00000">
                  <c:v>0.23449482497713842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BE-4C5F-8093-7977744A73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621760"/>
        <c:axId val="224489984"/>
      </c:lineChart>
      <c:catAx>
        <c:axId val="101621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4489984"/>
        <c:crosses val="autoZero"/>
        <c:auto val="1"/>
        <c:lblAlgn val="ctr"/>
        <c:lblOffset val="100"/>
        <c:tickLblSkip val="15"/>
        <c:tickMarkSkip val="1"/>
        <c:noMultiLvlLbl val="0"/>
      </c:catAx>
      <c:valAx>
        <c:axId val="2244899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62176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2134902238343801"/>
          <c:y val="0.5115384615384615"/>
          <c:w val="0.2629215842401722"/>
          <c:h val="8.461538461538464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Annual Estimates vs CBECS, Mercantile and Service</a:t>
            </a:r>
          </a:p>
        </c:rich>
      </c:tx>
      <c:layout>
        <c:manualLayout>
          <c:xMode val="edge"/>
          <c:yMode val="edge"/>
          <c:x val="0.11312240947257157"/>
          <c:y val="3.84615384615384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15855349281663"/>
          <c:y val="0.33076923076923076"/>
          <c:w val="0.60181061957656468"/>
          <c:h val="0.46153846153846156"/>
        </c:manualLayout>
      </c:layout>
      <c:lineChart>
        <c:grouping val="standard"/>
        <c:varyColors val="0"/>
        <c:ser>
          <c:idx val="0"/>
          <c:order val="0"/>
          <c:tx>
            <c:strRef>
              <c:f>'NEMS_Logistic (current) '!$EF$336</c:f>
              <c:strCache>
                <c:ptCount val="1"/>
                <c:pt idx="0">
                  <c:v>Annual 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'NEMS_Logistic (current) '!$EE$337:$EE$378</c:f>
              <c:numCache>
                <c:formatCode>General</c:formatCode>
                <c:ptCount val="42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</c:numCache>
            </c:numRef>
          </c:cat>
          <c:val>
            <c:numRef>
              <c:f>'NEMS_Logistic (current) '!$EF$337:$EF$378</c:f>
              <c:numCache>
                <c:formatCode>0.0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A0-4947-B4ED-7E0E4A0F654F}"/>
            </c:ext>
          </c:extLst>
        </c:ser>
        <c:ser>
          <c:idx val="1"/>
          <c:order val="1"/>
          <c:tx>
            <c:strRef>
              <c:f>'NEMS_Logistic (current) '!$EG$336</c:f>
              <c:strCache>
                <c:ptCount val="1"/>
                <c:pt idx="0">
                  <c:v>CBECS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'NEMS_Logistic (current) '!$EE$337:$EE$378</c:f>
              <c:numCache>
                <c:formatCode>General</c:formatCode>
                <c:ptCount val="42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</c:numCache>
            </c:numRef>
          </c:cat>
          <c:val>
            <c:numRef>
              <c:f>'NEMS_Logistic (current) '!$EG$337:$EG$378</c:f>
              <c:numCache>
                <c:formatCode>General</c:formatCode>
                <c:ptCount val="42"/>
                <c:pt idx="23">
                  <c:v>11182.446860965121</c:v>
                </c:pt>
                <c:pt idx="26">
                  <c:v>12805</c:v>
                </c:pt>
                <c:pt idx="29">
                  <c:v>12365</c:v>
                </c:pt>
                <c:pt idx="32">
                  <c:v>12402</c:v>
                </c:pt>
                <c:pt idx="35">
                  <c:v>12728</c:v>
                </c:pt>
                <c:pt idx="39">
                  <c:v>13786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A0-4947-B4ED-7E0E4A0F65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623296"/>
        <c:axId val="224492864"/>
      </c:lineChart>
      <c:catAx>
        <c:axId val="101623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4492864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2244928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62329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9185615372739038"/>
          <c:y val="0.48076923076923078"/>
          <c:w val="0.19004548639564844"/>
          <c:h val="0.165384615384615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Annual Estimates vs. CBECS, Education</a:t>
            </a:r>
          </a:p>
        </c:rich>
      </c:tx>
      <c:layout>
        <c:manualLayout>
          <c:xMode val="edge"/>
          <c:yMode val="edge"/>
          <c:x val="0.14705906105628197"/>
          <c:y val="3.84615384615384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15855349281663"/>
          <c:y val="0.25"/>
          <c:w val="0.60181061957656468"/>
          <c:h val="0.54230769230769227"/>
        </c:manualLayout>
      </c:layout>
      <c:lineChart>
        <c:grouping val="standard"/>
        <c:varyColors val="0"/>
        <c:ser>
          <c:idx val="0"/>
          <c:order val="0"/>
          <c:tx>
            <c:strRef>
              <c:f>'NEMS_Logistic (current) '!$EX$336</c:f>
              <c:strCache>
                <c:ptCount val="1"/>
                <c:pt idx="0">
                  <c:v>Annual 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'NEMS_Logistic (current) '!$EW$337:$EW$378</c:f>
              <c:numCache>
                <c:formatCode>General</c:formatCode>
                <c:ptCount val="42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</c:numCache>
            </c:numRef>
          </c:cat>
          <c:val>
            <c:numRef>
              <c:f>'NEMS_Logistic (current) '!$EX$337:$EX$378</c:f>
              <c:numCache>
                <c:formatCode>0.0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3D-4E15-869F-63E6D0071F09}"/>
            </c:ext>
          </c:extLst>
        </c:ser>
        <c:ser>
          <c:idx val="1"/>
          <c:order val="1"/>
          <c:tx>
            <c:strRef>
              <c:f>'NEMS_Logistic (current) '!$EY$336</c:f>
              <c:strCache>
                <c:ptCount val="1"/>
                <c:pt idx="0">
                  <c:v>CBECS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'NEMS_Logistic (current) '!$EW$337:$EW$378</c:f>
              <c:numCache>
                <c:formatCode>General</c:formatCode>
                <c:ptCount val="42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</c:numCache>
            </c:numRef>
          </c:cat>
          <c:val>
            <c:numRef>
              <c:f>'NEMS_Logistic (current) '!$EY$337:$EY$378</c:f>
              <c:numCache>
                <c:formatCode>General</c:formatCode>
                <c:ptCount val="42"/>
                <c:pt idx="23">
                  <c:v>6481.8940086000957</c:v>
                </c:pt>
                <c:pt idx="26">
                  <c:v>7321</c:v>
                </c:pt>
                <c:pt idx="29">
                  <c:v>8148</c:v>
                </c:pt>
                <c:pt idx="32">
                  <c:v>8470</c:v>
                </c:pt>
                <c:pt idx="35">
                  <c:v>7740</c:v>
                </c:pt>
                <c:pt idx="39">
                  <c:v>8651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3D-4E15-869F-63E6D0071F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624320"/>
        <c:axId val="238380736"/>
      </c:lineChart>
      <c:catAx>
        <c:axId val="101624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8380736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2383807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62432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9185615372739038"/>
          <c:y val="0.43846153846153846"/>
          <c:w val="0.19004548639564844"/>
          <c:h val="0.1653846153846153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600-000000000000}">
  <sheetPr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75</xdr:col>
      <xdr:colOff>552450</xdr:colOff>
      <xdr:row>268</xdr:row>
      <xdr:rowOff>38100</xdr:rowOff>
    </xdr:from>
    <xdr:to>
      <xdr:col>85</xdr:col>
      <xdr:colOff>257175</xdr:colOff>
      <xdr:row>289</xdr:row>
      <xdr:rowOff>38100</xdr:rowOff>
    </xdr:to>
    <xdr:graphicFrame macro="">
      <xdr:nvGraphicFramePr>
        <xdr:cNvPr id="7312" name="Chart 1">
          <a:extLst>
            <a:ext uri="{FF2B5EF4-FFF2-40B4-BE49-F238E27FC236}">
              <a16:creationId xmlns:a16="http://schemas.microsoft.com/office/drawing/2014/main" id="{00000000-0008-0000-0000-0000901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75</xdr:col>
      <xdr:colOff>200025</xdr:colOff>
      <xdr:row>244</xdr:row>
      <xdr:rowOff>9525</xdr:rowOff>
    </xdr:from>
    <xdr:to>
      <xdr:col>84</xdr:col>
      <xdr:colOff>114300</xdr:colOff>
      <xdr:row>262</xdr:row>
      <xdr:rowOff>60960</xdr:rowOff>
    </xdr:to>
    <xdr:graphicFrame macro="">
      <xdr:nvGraphicFramePr>
        <xdr:cNvPr id="7313" name="Chart 2">
          <a:extLst>
            <a:ext uri="{FF2B5EF4-FFF2-40B4-BE49-F238E27FC236}">
              <a16:creationId xmlns:a16="http://schemas.microsoft.com/office/drawing/2014/main" id="{00000000-0008-0000-0000-0000911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88</xdr:col>
      <xdr:colOff>59055</xdr:colOff>
      <xdr:row>263</xdr:row>
      <xdr:rowOff>154305</xdr:rowOff>
    </xdr:from>
    <xdr:to>
      <xdr:col>96</xdr:col>
      <xdr:colOff>137160</xdr:colOff>
      <xdr:row>282</xdr:row>
      <xdr:rowOff>152400</xdr:rowOff>
    </xdr:to>
    <xdr:graphicFrame macro="">
      <xdr:nvGraphicFramePr>
        <xdr:cNvPr id="7314" name="Chart 17">
          <a:extLst>
            <a:ext uri="{FF2B5EF4-FFF2-40B4-BE49-F238E27FC236}">
              <a16:creationId xmlns:a16="http://schemas.microsoft.com/office/drawing/2014/main" id="{00000000-0008-0000-0000-0000921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135</xdr:col>
      <xdr:colOff>371475</xdr:colOff>
      <xdr:row>402</xdr:row>
      <xdr:rowOff>38100</xdr:rowOff>
    </xdr:from>
    <xdr:to>
      <xdr:col>142</xdr:col>
      <xdr:colOff>342900</xdr:colOff>
      <xdr:row>417</xdr:row>
      <xdr:rowOff>66675</xdr:rowOff>
    </xdr:to>
    <xdr:graphicFrame macro="">
      <xdr:nvGraphicFramePr>
        <xdr:cNvPr id="7315" name="Chart 22">
          <a:extLst>
            <a:ext uri="{FF2B5EF4-FFF2-40B4-BE49-F238E27FC236}">
              <a16:creationId xmlns:a16="http://schemas.microsoft.com/office/drawing/2014/main" id="{00000000-0008-0000-0000-0000931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135</xdr:col>
      <xdr:colOff>352425</xdr:colOff>
      <xdr:row>381</xdr:row>
      <xdr:rowOff>0</xdr:rowOff>
    </xdr:from>
    <xdr:to>
      <xdr:col>142</xdr:col>
      <xdr:colOff>323850</xdr:colOff>
      <xdr:row>396</xdr:row>
      <xdr:rowOff>47625</xdr:rowOff>
    </xdr:to>
    <xdr:graphicFrame macro="">
      <xdr:nvGraphicFramePr>
        <xdr:cNvPr id="7316" name="Chart 23">
          <a:extLst>
            <a:ext uri="{FF2B5EF4-FFF2-40B4-BE49-F238E27FC236}">
              <a16:creationId xmlns:a16="http://schemas.microsoft.com/office/drawing/2014/main" id="{00000000-0008-0000-0000-0000941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153</xdr:col>
      <xdr:colOff>371475</xdr:colOff>
      <xdr:row>402</xdr:row>
      <xdr:rowOff>38100</xdr:rowOff>
    </xdr:from>
    <xdr:to>
      <xdr:col>160</xdr:col>
      <xdr:colOff>342900</xdr:colOff>
      <xdr:row>417</xdr:row>
      <xdr:rowOff>66675</xdr:rowOff>
    </xdr:to>
    <xdr:graphicFrame macro="">
      <xdr:nvGraphicFramePr>
        <xdr:cNvPr id="7317" name="Chart 25">
          <a:extLst>
            <a:ext uri="{FF2B5EF4-FFF2-40B4-BE49-F238E27FC236}">
              <a16:creationId xmlns:a16="http://schemas.microsoft.com/office/drawing/2014/main" id="{00000000-0008-0000-0000-0000951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153</xdr:col>
      <xdr:colOff>352425</xdr:colOff>
      <xdr:row>381</xdr:row>
      <xdr:rowOff>0</xdr:rowOff>
    </xdr:from>
    <xdr:to>
      <xdr:col>160</xdr:col>
      <xdr:colOff>323850</xdr:colOff>
      <xdr:row>396</xdr:row>
      <xdr:rowOff>47625</xdr:rowOff>
    </xdr:to>
    <xdr:graphicFrame macro="">
      <xdr:nvGraphicFramePr>
        <xdr:cNvPr id="7318" name="Chart 26">
          <a:extLst>
            <a:ext uri="{FF2B5EF4-FFF2-40B4-BE49-F238E27FC236}">
              <a16:creationId xmlns:a16="http://schemas.microsoft.com/office/drawing/2014/main" id="{00000000-0008-0000-0000-0000961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137</xdr:col>
      <xdr:colOff>19050</xdr:colOff>
      <xdr:row>343</xdr:row>
      <xdr:rowOff>0</xdr:rowOff>
    </xdr:from>
    <xdr:to>
      <xdr:col>143</xdr:col>
      <xdr:colOff>571500</xdr:colOff>
      <xdr:row>358</xdr:row>
      <xdr:rowOff>47625</xdr:rowOff>
    </xdr:to>
    <xdr:graphicFrame macro="">
      <xdr:nvGraphicFramePr>
        <xdr:cNvPr id="7319" name="Chart 28">
          <a:extLst>
            <a:ext uri="{FF2B5EF4-FFF2-40B4-BE49-F238E27FC236}">
              <a16:creationId xmlns:a16="http://schemas.microsoft.com/office/drawing/2014/main" id="{00000000-0008-0000-0000-0000971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155</xdr:col>
      <xdr:colOff>428625</xdr:colOff>
      <xdr:row>336</xdr:row>
      <xdr:rowOff>142875</xdr:rowOff>
    </xdr:from>
    <xdr:to>
      <xdr:col>162</xdr:col>
      <xdr:colOff>371475</xdr:colOff>
      <xdr:row>352</xdr:row>
      <xdr:rowOff>28575</xdr:rowOff>
    </xdr:to>
    <xdr:graphicFrame macro="">
      <xdr:nvGraphicFramePr>
        <xdr:cNvPr id="7320" name="Chart 30">
          <a:extLst>
            <a:ext uri="{FF2B5EF4-FFF2-40B4-BE49-F238E27FC236}">
              <a16:creationId xmlns:a16="http://schemas.microsoft.com/office/drawing/2014/main" id="{00000000-0008-0000-0000-0000981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87</xdr:col>
      <xdr:colOff>180975</xdr:colOff>
      <xdr:row>321</xdr:row>
      <xdr:rowOff>0</xdr:rowOff>
    </xdr:from>
    <xdr:to>
      <xdr:col>96</xdr:col>
      <xdr:colOff>209550</xdr:colOff>
      <xdr:row>339</xdr:row>
      <xdr:rowOff>0</xdr:rowOff>
    </xdr:to>
    <xdr:graphicFrame macro="">
      <xdr:nvGraphicFramePr>
        <xdr:cNvPr id="7321" name="Chart 40">
          <a:extLst>
            <a:ext uri="{FF2B5EF4-FFF2-40B4-BE49-F238E27FC236}">
              <a16:creationId xmlns:a16="http://schemas.microsoft.com/office/drawing/2014/main" id="{00000000-0008-0000-0000-0000991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50</xdr:col>
      <xdr:colOff>323850</xdr:colOff>
      <xdr:row>370</xdr:row>
      <xdr:rowOff>114300</xdr:rowOff>
    </xdr:from>
    <xdr:to>
      <xdr:col>75</xdr:col>
      <xdr:colOff>276225</xdr:colOff>
      <xdr:row>388</xdr:row>
      <xdr:rowOff>123825</xdr:rowOff>
    </xdr:to>
    <xdr:graphicFrame macro="">
      <xdr:nvGraphicFramePr>
        <xdr:cNvPr id="7322" name="Chart 42">
          <a:extLst>
            <a:ext uri="{FF2B5EF4-FFF2-40B4-BE49-F238E27FC236}">
              <a16:creationId xmlns:a16="http://schemas.microsoft.com/office/drawing/2014/main" id="{00000000-0008-0000-0000-00009A1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400050</xdr:colOff>
      <xdr:row>65</xdr:row>
      <xdr:rowOff>14287</xdr:rowOff>
    </xdr:from>
    <xdr:to>
      <xdr:col>15</xdr:col>
      <xdr:colOff>95250</xdr:colOff>
      <xdr:row>82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3555C9-FF9B-4677-9518-F938803A3B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Comm_Electricity\Supply_adjust_073107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Comm_Electricity\Supply_adjust_050507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Comm_Electricity\Supply_adjust_110906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b0201c"/>
      <sheetName val="stb0809"/>
      <sheetName val="Cell Tower"/>
      <sheetName val="Water treatment"/>
      <sheetName val="CBECS_Adjust"/>
      <sheetName val="Parking"/>
      <sheetName val="Parking-historical (not used)"/>
      <sheetName val="Parking_historical (2)"/>
      <sheetName val="Parking_Deflator"/>
      <sheetName val="Traffic_signals"/>
      <sheetName val="Street_Lighting"/>
      <sheetName val="Building_type Intensities"/>
      <sheetName val="Compare CBECS"/>
      <sheetName val="Irrigation"/>
      <sheetName val="CBECS_Classification"/>
      <sheetName val="Summary_adjust"/>
      <sheetName val="Chart1"/>
      <sheetName val="Comm_ind_chart"/>
      <sheetName val="Agg_Elec"/>
      <sheetName val="Chart_reclass"/>
      <sheetName val="Supply_reclass_chart"/>
      <sheetName val="Agg_Elec_reclass"/>
      <sheetName val="Final_Elec_Compar (Fig 2)"/>
      <sheetName val="Final_Elec_Compar (Fig 2) (2)"/>
      <sheetName val="Sheet1"/>
      <sheetName val="Figure2a"/>
      <sheetName val="Data from Hist. FloorSpace .xls"/>
      <sheetName val="Elec_Inten_chart4 (Fig 1)"/>
      <sheetName val="Elec_inten_chart3 (Fig. 1-Old)"/>
      <sheetName val="Adjusted Intensities_2 (Fig. 3)"/>
      <sheetName val="Ann_vs_CBECS (3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/>
      <sheetData sheetId="13"/>
      <sheetData sheetId="14"/>
      <sheetData sheetId="15">
        <row r="5">
          <cell r="N5">
            <v>548.63939093913439</v>
          </cell>
        </row>
        <row r="6">
          <cell r="N6">
            <v>597.84010839388247</v>
          </cell>
        </row>
        <row r="7">
          <cell r="N7">
            <v>622.69625956232744</v>
          </cell>
        </row>
        <row r="8">
          <cell r="N8">
            <v>647.63474523853404</v>
          </cell>
        </row>
        <row r="9">
          <cell r="N9">
            <v>677.00198422483527</v>
          </cell>
        </row>
        <row r="10">
          <cell r="N10">
            <v>717.13627156983114</v>
          </cell>
        </row>
        <row r="11">
          <cell r="N11">
            <v>743.43887604942984</v>
          </cell>
        </row>
        <row r="12">
          <cell r="N12">
            <v>770.13668411758317</v>
          </cell>
        </row>
        <row r="13">
          <cell r="N13">
            <v>786.35245722733282</v>
          </cell>
        </row>
        <row r="14">
          <cell r="N14">
            <v>785.6963961892551</v>
          </cell>
        </row>
        <row r="15">
          <cell r="N15">
            <v>815.10325998561893</v>
          </cell>
        </row>
        <row r="16">
          <cell r="N16">
            <v>841.46690167784357</v>
          </cell>
        </row>
        <row r="17">
          <cell r="N17">
            <v>868.97366420085382</v>
          </cell>
        </row>
        <row r="18">
          <cell r="N18">
            <v>896.09929059565582</v>
          </cell>
        </row>
        <row r="19">
          <cell r="N19">
            <v>921.08073949714117</v>
          </cell>
        </row>
        <row r="20">
          <cell r="N20">
            <v>971.36471133854423</v>
          </cell>
        </row>
        <row r="21">
          <cell r="N21">
            <v>994.92010020383748</v>
          </cell>
        </row>
        <row r="22">
          <cell r="N22">
            <v>1040.081389249433</v>
          </cell>
        </row>
        <row r="23">
          <cell r="N23">
            <v>1066.6973470813246</v>
          </cell>
        </row>
        <row r="24">
          <cell r="N24">
            <v>1084.1605648525533</v>
          </cell>
        </row>
        <row r="25">
          <cell r="N25">
            <v>1087.7998328297374</v>
          </cell>
        </row>
        <row r="26">
          <cell r="N26">
            <v>1120.9276188644394</v>
          </cell>
        </row>
        <row r="27">
          <cell r="N27">
            <v>1157.6557590930604</v>
          </cell>
        </row>
      </sheetData>
      <sheetData sheetId="16" refreshError="1"/>
      <sheetData sheetId="17" refreshError="1"/>
      <sheetData sheetId="18"/>
      <sheetData sheetId="19" refreshError="1"/>
      <sheetData sheetId="20" refreshError="1"/>
      <sheetData sheetId="21"/>
      <sheetData sheetId="22" refreshError="1"/>
      <sheetData sheetId="23" refreshError="1"/>
      <sheetData sheetId="24"/>
      <sheetData sheetId="25" refreshError="1"/>
      <sheetData sheetId="26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b0201c"/>
      <sheetName val="stb0809"/>
      <sheetName val="Cell Tower"/>
      <sheetName val="Water treatment"/>
      <sheetName val="CBECS_Adjust"/>
      <sheetName val="Parking"/>
      <sheetName val="Parking-historical (not used)"/>
      <sheetName val="Parking_historical (2)"/>
      <sheetName val="Parking_Deflator"/>
      <sheetName val="Traffic_signals"/>
      <sheetName val="Street_Lighting"/>
      <sheetName val="Building_type Intensities"/>
      <sheetName val="Compare CBECS"/>
      <sheetName val="Irrigation"/>
      <sheetName val="CBECS_Classification"/>
      <sheetName val="Summary_adjust"/>
      <sheetName val="Chart1"/>
      <sheetName val="Comm_ind_chart"/>
      <sheetName val="Agg_Elec"/>
      <sheetName val="Chart_reclass"/>
      <sheetName val="Supply_reclass_chart"/>
      <sheetName val="Agg_Elec_reclass"/>
      <sheetName val="Final_Elec_Compar (Fig 2)"/>
      <sheetName val="Sheet1"/>
      <sheetName val="Figure2a"/>
      <sheetName val="Data from Hist. FloorSpace .xls"/>
      <sheetName val="Elec_Inten_chart4 (Fig 1)"/>
      <sheetName val="Elec_inten_chart3 (Fig. 1-Old)"/>
      <sheetName val="Adjusted Intensities_2 (Fig. 3)"/>
      <sheetName val="Ann_vs_CBECS (3)"/>
    </sheetNames>
    <sheetDataSet>
      <sheetData sheetId="0" refreshError="1"/>
      <sheetData sheetId="1" refreshError="1"/>
      <sheetData sheetId="2" refreshError="1"/>
      <sheetData sheetId="3" refreshError="1"/>
      <sheetData sheetId="4">
        <row r="11">
          <cell r="M11">
            <v>41.617819460726849</v>
          </cell>
        </row>
        <row r="12">
          <cell r="M12">
            <v>42.834555183389817</v>
          </cell>
        </row>
        <row r="13">
          <cell r="M13">
            <v>47.053150543099633</v>
          </cell>
        </row>
        <row r="14">
          <cell r="M14">
            <v>57.283009216610267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b0201c"/>
      <sheetName val="stb0809"/>
      <sheetName val="Cell Tower"/>
      <sheetName val="Water treatment"/>
      <sheetName val="CBECS_Adjust"/>
      <sheetName val="Parking"/>
      <sheetName val="Parking-historical (not used)"/>
      <sheetName val="Parking_historical (2)"/>
      <sheetName val="Parking_Deflator"/>
      <sheetName val="Traffic_signals"/>
      <sheetName val="Street_Lighting"/>
      <sheetName val="Building_type Intensities"/>
      <sheetName val="Compare CBECS"/>
      <sheetName val="Irrigation"/>
      <sheetName val="CBECS_Classification"/>
      <sheetName val="Summary_adjust"/>
      <sheetName val="Chart1"/>
      <sheetName val="Comm_ind_chart"/>
      <sheetName val="Agg_Elec"/>
      <sheetName val="Chart_reclass"/>
      <sheetName val="Supply_reclass_chart"/>
      <sheetName val="Agg_Elec_reclass"/>
      <sheetName val="Final_Elec_Compar (Fig 2)"/>
      <sheetName val="Sheet1"/>
      <sheetName val="Figure2a"/>
      <sheetName val="Data from Hist. FloorSpace .xls"/>
      <sheetName val="Elec_inten_chart3 (Fig. 1)"/>
      <sheetName val="Adjusted Intensities_2 (Fig. 3)"/>
      <sheetName val="Ann_vs_CBECS (3)"/>
    </sheetNames>
    <sheetDataSet>
      <sheetData sheetId="0" refreshError="1"/>
      <sheetData sheetId="1" refreshError="1"/>
      <sheetData sheetId="2" refreshError="1"/>
      <sheetData sheetId="3" refreshError="1"/>
      <sheetData sheetId="4">
        <row r="12">
          <cell r="E12">
            <v>62.54402843918848</v>
          </cell>
          <cell r="M12">
            <v>42.982636590385368</v>
          </cell>
          <cell r="W12">
            <v>13.281063740703914</v>
          </cell>
        </row>
        <row r="13">
          <cell r="E13">
            <v>71.496480181304321</v>
          </cell>
          <cell r="M13">
            <v>47.789869560674155</v>
          </cell>
          <cell r="W13">
            <v>13.689814267424223</v>
          </cell>
        </row>
        <row r="14">
          <cell r="E14">
            <v>76.285679062717193</v>
          </cell>
          <cell r="M14">
            <v>59.490737793439685</v>
          </cell>
          <cell r="W14">
            <v>14.749092097872971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Y533"/>
  <sheetViews>
    <sheetView tabSelected="1" topLeftCell="A364" workbookViewId="0">
      <pane xSplit="1" topLeftCell="AG1" activePane="topRight" state="frozen"/>
      <selection pane="topRight" activeCell="AT337" sqref="AT337:AT395"/>
    </sheetView>
  </sheetViews>
  <sheetFormatPr defaultRowHeight="12.75" x14ac:dyDescent="0.2"/>
  <cols>
    <col min="1" max="1" width="10.140625" customWidth="1"/>
    <col min="3" max="3" width="9.85546875" customWidth="1"/>
    <col min="4" max="4" width="12.7109375" customWidth="1"/>
    <col min="5" max="5" width="9.42578125" customWidth="1"/>
    <col min="6" max="6" width="11.42578125" customWidth="1"/>
    <col min="7" max="7" width="12.42578125" customWidth="1"/>
    <col min="8" max="8" width="11.42578125" customWidth="1"/>
    <col min="9" max="9" width="10.7109375" customWidth="1"/>
    <col min="10" max="10" width="11.140625" customWidth="1"/>
    <col min="11" max="12" width="10.5703125" bestFit="1" customWidth="1"/>
    <col min="13" max="14" width="11.140625" customWidth="1"/>
    <col min="15" max="15" width="10.140625" customWidth="1"/>
    <col min="16" max="16" width="10.5703125" customWidth="1"/>
    <col min="17" max="17" width="11.140625" customWidth="1"/>
    <col min="18" max="18" width="9.85546875" customWidth="1"/>
    <col min="19" max="19" width="11.7109375" customWidth="1"/>
    <col min="20" max="21" width="10.5703125" customWidth="1"/>
    <col min="28" max="28" width="9.5703125" bestFit="1" customWidth="1"/>
    <col min="29" max="29" width="9.5703125" customWidth="1"/>
    <col min="38" max="38" width="11.42578125" customWidth="1"/>
    <col min="40" max="40" width="12.85546875" customWidth="1"/>
    <col min="41" max="41" width="10.85546875" customWidth="1"/>
    <col min="42" max="47" width="11" customWidth="1"/>
    <col min="48" max="48" width="9.5703125" bestFit="1" customWidth="1"/>
    <col min="51" max="51" width="5.5703125" customWidth="1"/>
    <col min="52" max="68" width="0" hidden="1" customWidth="1"/>
    <col min="73" max="73" width="9.5703125" bestFit="1" customWidth="1"/>
    <col min="78" max="78" width="10.28515625" customWidth="1"/>
    <col min="79" max="80" width="9.85546875" customWidth="1"/>
    <col min="85" max="86" width="9.5703125" bestFit="1" customWidth="1"/>
    <col min="103" max="103" width="14" customWidth="1"/>
    <col min="108" max="108" width="12.28515625" bestFit="1" customWidth="1"/>
    <col min="133" max="133" width="11.140625" customWidth="1"/>
  </cols>
  <sheetData>
    <row r="1" spans="1:150" ht="13.5" thickBot="1" x14ac:dyDescent="0.25">
      <c r="D1" s="21" t="s">
        <v>318</v>
      </c>
      <c r="E1" s="62">
        <v>1</v>
      </c>
      <c r="F1" s="62">
        <v>2</v>
      </c>
      <c r="G1" s="62">
        <v>3</v>
      </c>
      <c r="H1" s="62">
        <v>4</v>
      </c>
      <c r="I1" s="62">
        <v>5</v>
      </c>
      <c r="DW1" s="57"/>
      <c r="EO1" s="15"/>
    </row>
    <row r="2" spans="1:150" x14ac:dyDescent="0.2">
      <c r="A2" s="1" t="s">
        <v>300</v>
      </c>
      <c r="B2" s="17" t="s">
        <v>167</v>
      </c>
      <c r="C2" s="17"/>
      <c r="D2" s="17"/>
      <c r="E2" t="s">
        <v>301</v>
      </c>
      <c r="F2" t="s">
        <v>302</v>
      </c>
      <c r="G2" s="1" t="s">
        <v>311</v>
      </c>
      <c r="H2" t="s">
        <v>316</v>
      </c>
      <c r="I2" t="s">
        <v>317</v>
      </c>
      <c r="DW2" s="57"/>
      <c r="EO2" s="15"/>
    </row>
    <row r="3" spans="1:150" x14ac:dyDescent="0.2">
      <c r="A3" s="1" t="s">
        <v>315</v>
      </c>
      <c r="B3" t="s">
        <v>244</v>
      </c>
      <c r="C3">
        <v>3.9227641501562127</v>
      </c>
      <c r="E3">
        <f>BY6</f>
        <v>4.5</v>
      </c>
      <c r="F3">
        <f>ED406</f>
        <v>2.5</v>
      </c>
      <c r="G3">
        <f>EV406</f>
        <v>4</v>
      </c>
      <c r="H3">
        <v>1.7</v>
      </c>
      <c r="I3" s="28">
        <v>5.4</v>
      </c>
      <c r="BY3" t="s">
        <v>320</v>
      </c>
      <c r="DW3" s="57"/>
      <c r="EO3" s="15"/>
    </row>
    <row r="4" spans="1:150" x14ac:dyDescent="0.2">
      <c r="A4" s="28">
        <v>1</v>
      </c>
      <c r="B4" t="s">
        <v>245</v>
      </c>
      <c r="C4">
        <v>73.223812016884864</v>
      </c>
      <c r="E4">
        <f>BY7</f>
        <v>75</v>
      </c>
      <c r="F4">
        <f>EE406</f>
        <v>80</v>
      </c>
      <c r="G4">
        <f>EW406</f>
        <v>70</v>
      </c>
      <c r="H4">
        <v>81.5</v>
      </c>
      <c r="I4" s="28">
        <v>59</v>
      </c>
      <c r="BZ4" t="s">
        <v>319</v>
      </c>
      <c r="DW4" s="57"/>
      <c r="EO4" s="15"/>
    </row>
    <row r="5" spans="1:150" ht="15.75" x14ac:dyDescent="0.25">
      <c r="AD5" s="2" t="s">
        <v>156</v>
      </c>
      <c r="AW5" s="35"/>
      <c r="BP5" s="61" t="s">
        <v>310</v>
      </c>
      <c r="BZ5" t="s">
        <v>289</v>
      </c>
      <c r="CA5" t="s">
        <v>294</v>
      </c>
      <c r="DW5" s="57"/>
      <c r="DX5" s="61" t="s">
        <v>293</v>
      </c>
      <c r="EO5" s="15"/>
      <c r="EP5" s="61" t="s">
        <v>139</v>
      </c>
    </row>
    <row r="6" spans="1:150" x14ac:dyDescent="0.2">
      <c r="C6">
        <v>3.9227641501562127</v>
      </c>
      <c r="G6" s="94" t="s">
        <v>283</v>
      </c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78"/>
      <c r="T6" s="53"/>
      <c r="U6" s="53"/>
      <c r="AD6" s="2" t="s">
        <v>165</v>
      </c>
      <c r="AH6" s="2" t="s">
        <v>166</v>
      </c>
      <c r="AI6" s="2"/>
      <c r="AL6" s="2" t="s">
        <v>256</v>
      </c>
      <c r="AW6" s="35"/>
      <c r="AX6" t="s">
        <v>239</v>
      </c>
      <c r="BA6" t="s">
        <v>165</v>
      </c>
      <c r="BE6" t="s">
        <v>166</v>
      </c>
      <c r="BI6" t="s">
        <v>256</v>
      </c>
      <c r="BX6" t="s">
        <v>244</v>
      </c>
      <c r="BY6" s="28">
        <v>4.5</v>
      </c>
      <c r="BZ6">
        <v>4.5</v>
      </c>
      <c r="CA6">
        <v>7</v>
      </c>
      <c r="DW6" s="57"/>
      <c r="EA6" s="2" t="s">
        <v>256</v>
      </c>
      <c r="EO6" s="15"/>
      <c r="ES6" s="2" t="s">
        <v>256</v>
      </c>
    </row>
    <row r="7" spans="1:150" x14ac:dyDescent="0.2">
      <c r="C7">
        <v>73.223812016884864</v>
      </c>
      <c r="AA7" t="s">
        <v>366</v>
      </c>
      <c r="AC7" t="s">
        <v>447</v>
      </c>
      <c r="AD7" t="s">
        <v>253</v>
      </c>
      <c r="AH7" t="s">
        <v>247</v>
      </c>
      <c r="AL7" t="s">
        <v>247</v>
      </c>
      <c r="AW7" s="35"/>
      <c r="BX7" t="s">
        <v>245</v>
      </c>
      <c r="BY7" s="28">
        <v>75</v>
      </c>
      <c r="BZ7">
        <v>75</v>
      </c>
      <c r="CA7">
        <v>80</v>
      </c>
      <c r="DW7" s="57"/>
      <c r="EA7" t="s">
        <v>247</v>
      </c>
      <c r="EO7" s="15"/>
      <c r="ES7" t="s">
        <v>247</v>
      </c>
    </row>
    <row r="8" spans="1:150" x14ac:dyDescent="0.2">
      <c r="G8" s="60" t="str">
        <f>Dodge_to_CBECS!C15</f>
        <v xml:space="preserve"> Office</v>
      </c>
      <c r="H8" s="60" t="str">
        <f>Dodge_to_CBECS!D15</f>
        <v xml:space="preserve"> Merc/Serv</v>
      </c>
      <c r="I8" s="60" t="str">
        <f>Dodge_to_CBECS!E15</f>
        <v xml:space="preserve"> Food Sales</v>
      </c>
      <c r="J8" s="60" t="str">
        <f>Dodge_to_CBECS!F15</f>
        <v>Food Serv.</v>
      </c>
      <c r="K8" s="60" t="str">
        <f>Dodge_to_CBECS!G15</f>
        <v>Warehouse</v>
      </c>
      <c r="L8" s="60" t="str">
        <f>Dodge_to_CBECS!H15</f>
        <v>Education</v>
      </c>
      <c r="M8" s="60" t="str">
        <f>Dodge_to_CBECS!I15</f>
        <v>Health</v>
      </c>
      <c r="N8" s="60" t="str">
        <f>Dodge_to_CBECS!J15</f>
        <v>Lodging</v>
      </c>
      <c r="O8" s="60" t="str">
        <f>Dodge_to_CBECS!K15</f>
        <v>Religious</v>
      </c>
      <c r="P8" s="60" t="str">
        <f>Dodge_to_CBECS!L15</f>
        <v xml:space="preserve"> Assembly</v>
      </c>
      <c r="Q8" s="60" t="str">
        <f>Dodge_to_CBECS!M15</f>
        <v>Other</v>
      </c>
      <c r="R8" s="60"/>
      <c r="S8" s="60"/>
      <c r="AD8" t="s">
        <v>254</v>
      </c>
      <c r="AH8" t="s">
        <v>161</v>
      </c>
      <c r="AL8" t="s">
        <v>164</v>
      </c>
      <c r="AO8" s="83" t="s">
        <v>481</v>
      </c>
      <c r="AP8" s="83" t="s">
        <v>482</v>
      </c>
      <c r="AW8" s="35"/>
      <c r="BA8" t="s">
        <v>156</v>
      </c>
      <c r="BE8" t="s">
        <v>161</v>
      </c>
      <c r="BI8" t="s">
        <v>164</v>
      </c>
      <c r="BL8" t="s">
        <v>162</v>
      </c>
      <c r="BM8" t="s">
        <v>163</v>
      </c>
      <c r="BU8" s="1" t="s">
        <v>457</v>
      </c>
      <c r="DW8" s="57"/>
      <c r="EA8" t="s">
        <v>164</v>
      </c>
      <c r="EO8" s="15"/>
      <c r="ES8" t="s">
        <v>164</v>
      </c>
    </row>
    <row r="9" spans="1:150" ht="13.5" thickBot="1" x14ac:dyDescent="0.25">
      <c r="A9" s="21" t="s">
        <v>257</v>
      </c>
      <c r="C9" t="s">
        <v>105</v>
      </c>
      <c r="D9" t="s">
        <v>246</v>
      </c>
      <c r="E9" t="s">
        <v>108</v>
      </c>
      <c r="F9" t="s">
        <v>168</v>
      </c>
      <c r="G9" t="s">
        <v>66</v>
      </c>
      <c r="H9" t="s">
        <v>65</v>
      </c>
      <c r="I9" t="s">
        <v>148</v>
      </c>
      <c r="J9" t="s">
        <v>149</v>
      </c>
      <c r="K9" t="s">
        <v>136</v>
      </c>
      <c r="L9" t="s">
        <v>150</v>
      </c>
      <c r="M9" t="s">
        <v>139</v>
      </c>
      <c r="N9" t="s">
        <v>157</v>
      </c>
      <c r="O9" t="s">
        <v>154</v>
      </c>
      <c r="P9" t="s">
        <v>80</v>
      </c>
      <c r="Q9" t="s">
        <v>96</v>
      </c>
      <c r="R9" t="s">
        <v>155</v>
      </c>
      <c r="T9" t="s">
        <v>92</v>
      </c>
      <c r="AD9" t="s">
        <v>255</v>
      </c>
      <c r="AW9" s="35"/>
      <c r="AX9" t="s">
        <v>92</v>
      </c>
      <c r="BU9" t="s">
        <v>308</v>
      </c>
      <c r="BV9" t="s">
        <v>313</v>
      </c>
      <c r="DW9" s="57"/>
      <c r="EO9" s="15"/>
    </row>
    <row r="10" spans="1:150" x14ac:dyDescent="0.2">
      <c r="DW10" s="57"/>
      <c r="EA10">
        <f>$H$434*H247</f>
        <v>111.07451709166814</v>
      </c>
      <c r="EB10">
        <f>EA10</f>
        <v>111.07451709166814</v>
      </c>
      <c r="EO10" s="15"/>
      <c r="ES10">
        <f>$L$434*L247</f>
        <v>53.296902043985135</v>
      </c>
      <c r="ET10">
        <f>ES10</f>
        <v>53.296902043985135</v>
      </c>
    </row>
    <row r="11" spans="1:150" x14ac:dyDescent="0.2">
      <c r="DW11" s="57"/>
      <c r="EO11" s="15"/>
    </row>
    <row r="12" spans="1:150" x14ac:dyDescent="0.2">
      <c r="DW12" s="57"/>
      <c r="EO12" s="15"/>
    </row>
    <row r="13" spans="1:150" x14ac:dyDescent="0.2">
      <c r="DW13" s="57"/>
      <c r="EO13" s="15"/>
    </row>
    <row r="14" spans="1:150" x14ac:dyDescent="0.2">
      <c r="DW14" s="57"/>
      <c r="EO14" s="15"/>
    </row>
    <row r="15" spans="1:150" x14ac:dyDescent="0.2">
      <c r="DW15" s="57"/>
      <c r="EO15" s="15"/>
    </row>
    <row r="16" spans="1:150" x14ac:dyDescent="0.2">
      <c r="DW16" s="57"/>
      <c r="EO16" s="15"/>
    </row>
    <row r="17" spans="1:145" hidden="1" x14ac:dyDescent="0.2">
      <c r="A17">
        <f>F17</f>
        <v>1640</v>
      </c>
      <c r="F17">
        <v>1640</v>
      </c>
      <c r="DW17" s="57"/>
      <c r="EO17" s="15"/>
    </row>
    <row r="18" spans="1:145" hidden="1" x14ac:dyDescent="0.2">
      <c r="A18">
        <f t="shared" ref="A18:A81" si="0">F18</f>
        <v>1641</v>
      </c>
      <c r="F18">
        <f>F17+1</f>
        <v>1641</v>
      </c>
      <c r="DW18" s="57"/>
      <c r="EO18" s="15"/>
    </row>
    <row r="19" spans="1:145" hidden="1" x14ac:dyDescent="0.2">
      <c r="A19">
        <f t="shared" si="0"/>
        <v>1642</v>
      </c>
      <c r="F19">
        <f t="shared" ref="F19:F66" si="1">F18+1</f>
        <v>1642</v>
      </c>
      <c r="DW19" s="57"/>
      <c r="EO19" s="15"/>
    </row>
    <row r="20" spans="1:145" hidden="1" x14ac:dyDescent="0.2">
      <c r="A20">
        <f t="shared" si="0"/>
        <v>1643</v>
      </c>
      <c r="F20">
        <f t="shared" si="1"/>
        <v>1643</v>
      </c>
      <c r="DW20" s="57"/>
      <c r="EO20" s="15"/>
    </row>
    <row r="21" spans="1:145" hidden="1" x14ac:dyDescent="0.2">
      <c r="A21">
        <f t="shared" si="0"/>
        <v>1644</v>
      </c>
      <c r="F21">
        <f t="shared" si="1"/>
        <v>1644</v>
      </c>
      <c r="DW21" s="57"/>
      <c r="EO21" s="15"/>
    </row>
    <row r="22" spans="1:145" hidden="1" x14ac:dyDescent="0.2">
      <c r="A22">
        <f t="shared" si="0"/>
        <v>1645</v>
      </c>
      <c r="F22">
        <f t="shared" si="1"/>
        <v>1645</v>
      </c>
      <c r="DW22" s="57"/>
      <c r="EO22" s="15"/>
    </row>
    <row r="23" spans="1:145" hidden="1" x14ac:dyDescent="0.2">
      <c r="A23">
        <f t="shared" si="0"/>
        <v>1646</v>
      </c>
      <c r="F23">
        <f t="shared" si="1"/>
        <v>1646</v>
      </c>
      <c r="DW23" s="57"/>
      <c r="EO23" s="15"/>
    </row>
    <row r="24" spans="1:145" hidden="1" x14ac:dyDescent="0.2">
      <c r="A24">
        <f t="shared" si="0"/>
        <v>1647</v>
      </c>
      <c r="F24">
        <f t="shared" si="1"/>
        <v>1647</v>
      </c>
      <c r="DW24" s="57"/>
      <c r="EO24" s="15"/>
    </row>
    <row r="25" spans="1:145" hidden="1" x14ac:dyDescent="0.2">
      <c r="A25">
        <f t="shared" si="0"/>
        <v>1648</v>
      </c>
      <c r="F25">
        <f t="shared" si="1"/>
        <v>1648</v>
      </c>
      <c r="DW25" s="57"/>
      <c r="EO25" s="15"/>
    </row>
    <row r="26" spans="1:145" hidden="1" x14ac:dyDescent="0.2">
      <c r="A26">
        <f t="shared" si="0"/>
        <v>1649</v>
      </c>
      <c r="F26">
        <f t="shared" si="1"/>
        <v>1649</v>
      </c>
      <c r="DW26" s="57"/>
      <c r="EO26" s="15"/>
    </row>
    <row r="27" spans="1:145" hidden="1" x14ac:dyDescent="0.2">
      <c r="A27">
        <f t="shared" si="0"/>
        <v>1650</v>
      </c>
      <c r="F27">
        <f t="shared" si="1"/>
        <v>1650</v>
      </c>
      <c r="DW27" s="57"/>
      <c r="EO27" s="15"/>
    </row>
    <row r="28" spans="1:145" hidden="1" x14ac:dyDescent="0.2">
      <c r="A28">
        <f t="shared" si="0"/>
        <v>1651</v>
      </c>
      <c r="F28">
        <f t="shared" si="1"/>
        <v>1651</v>
      </c>
      <c r="DW28" s="57"/>
      <c r="EO28" s="15"/>
    </row>
    <row r="29" spans="1:145" hidden="1" x14ac:dyDescent="0.2">
      <c r="A29">
        <f t="shared" si="0"/>
        <v>1652</v>
      </c>
      <c r="F29">
        <f t="shared" si="1"/>
        <v>1652</v>
      </c>
      <c r="DW29" s="57"/>
      <c r="EO29" s="15"/>
    </row>
    <row r="30" spans="1:145" hidden="1" x14ac:dyDescent="0.2">
      <c r="A30">
        <f t="shared" si="0"/>
        <v>1653</v>
      </c>
      <c r="F30">
        <f t="shared" si="1"/>
        <v>1653</v>
      </c>
      <c r="DW30" s="57"/>
      <c r="EO30" s="15"/>
    </row>
    <row r="31" spans="1:145" hidden="1" x14ac:dyDescent="0.2">
      <c r="A31">
        <f t="shared" si="0"/>
        <v>1654</v>
      </c>
      <c r="F31">
        <f t="shared" si="1"/>
        <v>1654</v>
      </c>
      <c r="DW31" s="57"/>
      <c r="EO31" s="15"/>
    </row>
    <row r="32" spans="1:145" hidden="1" x14ac:dyDescent="0.2">
      <c r="A32">
        <f t="shared" si="0"/>
        <v>1655</v>
      </c>
      <c r="F32">
        <f t="shared" si="1"/>
        <v>1655</v>
      </c>
      <c r="DW32" s="57"/>
      <c r="EO32" s="15"/>
    </row>
    <row r="33" spans="1:145" hidden="1" x14ac:dyDescent="0.2">
      <c r="A33">
        <f t="shared" si="0"/>
        <v>1656</v>
      </c>
      <c r="F33">
        <f t="shared" si="1"/>
        <v>1656</v>
      </c>
      <c r="DW33" s="57"/>
      <c r="EO33" s="15"/>
    </row>
    <row r="34" spans="1:145" hidden="1" x14ac:dyDescent="0.2">
      <c r="A34">
        <f t="shared" si="0"/>
        <v>1657</v>
      </c>
      <c r="F34">
        <f t="shared" si="1"/>
        <v>1657</v>
      </c>
      <c r="DW34" s="57"/>
      <c r="EO34" s="15"/>
    </row>
    <row r="35" spans="1:145" hidden="1" x14ac:dyDescent="0.2">
      <c r="A35">
        <f t="shared" si="0"/>
        <v>1658</v>
      </c>
      <c r="F35">
        <f t="shared" si="1"/>
        <v>1658</v>
      </c>
      <c r="DW35" s="57"/>
      <c r="EO35" s="15"/>
    </row>
    <row r="36" spans="1:145" hidden="1" x14ac:dyDescent="0.2">
      <c r="A36">
        <f t="shared" si="0"/>
        <v>1659</v>
      </c>
      <c r="F36">
        <f t="shared" si="1"/>
        <v>1659</v>
      </c>
      <c r="DW36" s="57"/>
      <c r="EO36" s="15"/>
    </row>
    <row r="37" spans="1:145" hidden="1" x14ac:dyDescent="0.2">
      <c r="A37">
        <f t="shared" si="0"/>
        <v>1660</v>
      </c>
      <c r="F37">
        <f t="shared" si="1"/>
        <v>1660</v>
      </c>
      <c r="DW37" s="57"/>
      <c r="EO37" s="15"/>
    </row>
    <row r="38" spans="1:145" hidden="1" x14ac:dyDescent="0.2">
      <c r="A38">
        <f t="shared" si="0"/>
        <v>1661</v>
      </c>
      <c r="F38">
        <f t="shared" si="1"/>
        <v>1661</v>
      </c>
      <c r="DW38" s="57"/>
      <c r="EO38" s="15"/>
    </row>
    <row r="39" spans="1:145" hidden="1" x14ac:dyDescent="0.2">
      <c r="A39">
        <f t="shared" si="0"/>
        <v>1662</v>
      </c>
      <c r="F39">
        <f t="shared" si="1"/>
        <v>1662</v>
      </c>
      <c r="DW39" s="57"/>
      <c r="EO39" s="15"/>
    </row>
    <row r="40" spans="1:145" hidden="1" x14ac:dyDescent="0.2">
      <c r="A40">
        <f t="shared" si="0"/>
        <v>1663</v>
      </c>
      <c r="F40">
        <f t="shared" si="1"/>
        <v>1663</v>
      </c>
      <c r="DW40" s="57"/>
      <c r="EO40" s="15"/>
    </row>
    <row r="41" spans="1:145" hidden="1" x14ac:dyDescent="0.2">
      <c r="A41">
        <f t="shared" si="0"/>
        <v>1664</v>
      </c>
      <c r="F41">
        <f t="shared" si="1"/>
        <v>1664</v>
      </c>
      <c r="DW41" s="57"/>
      <c r="EO41" s="15"/>
    </row>
    <row r="42" spans="1:145" hidden="1" x14ac:dyDescent="0.2">
      <c r="A42">
        <f t="shared" si="0"/>
        <v>1665</v>
      </c>
      <c r="F42">
        <f t="shared" si="1"/>
        <v>1665</v>
      </c>
      <c r="DW42" s="57"/>
      <c r="EO42" s="15"/>
    </row>
    <row r="43" spans="1:145" hidden="1" x14ac:dyDescent="0.2">
      <c r="A43">
        <f t="shared" si="0"/>
        <v>1666</v>
      </c>
      <c r="F43">
        <f t="shared" si="1"/>
        <v>1666</v>
      </c>
      <c r="DW43" s="57"/>
      <c r="EO43" s="15"/>
    </row>
    <row r="44" spans="1:145" hidden="1" x14ac:dyDescent="0.2">
      <c r="A44">
        <f t="shared" si="0"/>
        <v>1667</v>
      </c>
      <c r="F44">
        <f t="shared" si="1"/>
        <v>1667</v>
      </c>
      <c r="DW44" s="57"/>
      <c r="EO44" s="15"/>
    </row>
    <row r="45" spans="1:145" hidden="1" x14ac:dyDescent="0.2">
      <c r="A45">
        <f t="shared" si="0"/>
        <v>1668</v>
      </c>
      <c r="F45">
        <f t="shared" si="1"/>
        <v>1668</v>
      </c>
      <c r="DW45" s="57"/>
      <c r="EO45" s="15"/>
    </row>
    <row r="46" spans="1:145" hidden="1" x14ac:dyDescent="0.2">
      <c r="A46">
        <f t="shared" si="0"/>
        <v>1669</v>
      </c>
      <c r="F46">
        <f t="shared" si="1"/>
        <v>1669</v>
      </c>
      <c r="DW46" s="57"/>
      <c r="EO46" s="15"/>
    </row>
    <row r="47" spans="1:145" hidden="1" x14ac:dyDescent="0.2">
      <c r="A47">
        <f t="shared" si="0"/>
        <v>1670</v>
      </c>
      <c r="F47">
        <f t="shared" si="1"/>
        <v>1670</v>
      </c>
      <c r="DW47" s="57"/>
      <c r="EO47" s="15"/>
    </row>
    <row r="48" spans="1:145" hidden="1" x14ac:dyDescent="0.2">
      <c r="A48">
        <f t="shared" si="0"/>
        <v>1671</v>
      </c>
      <c r="F48">
        <f t="shared" si="1"/>
        <v>1671</v>
      </c>
      <c r="DW48" s="57"/>
      <c r="EO48" s="15"/>
    </row>
    <row r="49" spans="1:145" hidden="1" x14ac:dyDescent="0.2">
      <c r="A49">
        <f t="shared" si="0"/>
        <v>1672</v>
      </c>
      <c r="F49">
        <f t="shared" si="1"/>
        <v>1672</v>
      </c>
      <c r="DW49" s="57"/>
      <c r="EO49" s="15"/>
    </row>
    <row r="50" spans="1:145" hidden="1" x14ac:dyDescent="0.2">
      <c r="A50">
        <f t="shared" si="0"/>
        <v>1673</v>
      </c>
      <c r="F50">
        <f t="shared" si="1"/>
        <v>1673</v>
      </c>
      <c r="DW50" s="57"/>
      <c r="EO50" s="15"/>
    </row>
    <row r="51" spans="1:145" hidden="1" x14ac:dyDescent="0.2">
      <c r="A51">
        <f t="shared" si="0"/>
        <v>1674</v>
      </c>
      <c r="F51">
        <f t="shared" si="1"/>
        <v>1674</v>
      </c>
      <c r="DW51" s="57"/>
      <c r="EO51" s="15"/>
    </row>
    <row r="52" spans="1:145" hidden="1" x14ac:dyDescent="0.2">
      <c r="A52">
        <f t="shared" si="0"/>
        <v>1675</v>
      </c>
      <c r="F52">
        <f t="shared" si="1"/>
        <v>1675</v>
      </c>
      <c r="DW52" s="57"/>
      <c r="EO52" s="15"/>
    </row>
    <row r="53" spans="1:145" hidden="1" x14ac:dyDescent="0.2">
      <c r="A53">
        <f t="shared" si="0"/>
        <v>1676</v>
      </c>
      <c r="F53">
        <f t="shared" si="1"/>
        <v>1676</v>
      </c>
      <c r="DW53" s="57"/>
      <c r="EO53" s="15"/>
    </row>
    <row r="54" spans="1:145" hidden="1" x14ac:dyDescent="0.2">
      <c r="A54">
        <f t="shared" si="0"/>
        <v>1677</v>
      </c>
      <c r="F54">
        <f t="shared" si="1"/>
        <v>1677</v>
      </c>
      <c r="DW54" s="57"/>
      <c r="EO54" s="15"/>
    </row>
    <row r="55" spans="1:145" hidden="1" x14ac:dyDescent="0.2">
      <c r="A55">
        <f t="shared" si="0"/>
        <v>1678</v>
      </c>
      <c r="F55">
        <f t="shared" si="1"/>
        <v>1678</v>
      </c>
      <c r="DW55" s="57"/>
      <c r="EO55" s="15"/>
    </row>
    <row r="56" spans="1:145" hidden="1" x14ac:dyDescent="0.2">
      <c r="A56">
        <f t="shared" si="0"/>
        <v>1679</v>
      </c>
      <c r="F56">
        <f t="shared" si="1"/>
        <v>1679</v>
      </c>
      <c r="DW56" s="57"/>
      <c r="EO56" s="15"/>
    </row>
    <row r="57" spans="1:145" hidden="1" x14ac:dyDescent="0.2">
      <c r="A57">
        <f t="shared" si="0"/>
        <v>1680</v>
      </c>
      <c r="F57">
        <f t="shared" si="1"/>
        <v>1680</v>
      </c>
      <c r="DW57" s="57"/>
      <c r="EO57" s="15"/>
    </row>
    <row r="58" spans="1:145" hidden="1" x14ac:dyDescent="0.2">
      <c r="A58">
        <f t="shared" si="0"/>
        <v>1681</v>
      </c>
      <c r="F58">
        <f t="shared" si="1"/>
        <v>1681</v>
      </c>
      <c r="DW58" s="57"/>
      <c r="EO58" s="15"/>
    </row>
    <row r="59" spans="1:145" hidden="1" x14ac:dyDescent="0.2">
      <c r="A59">
        <f t="shared" si="0"/>
        <v>1682</v>
      </c>
      <c r="F59">
        <f t="shared" si="1"/>
        <v>1682</v>
      </c>
      <c r="DW59" s="57"/>
      <c r="EO59" s="15"/>
    </row>
    <row r="60" spans="1:145" hidden="1" x14ac:dyDescent="0.2">
      <c r="A60">
        <f t="shared" si="0"/>
        <v>1683</v>
      </c>
      <c r="F60">
        <f t="shared" si="1"/>
        <v>1683</v>
      </c>
      <c r="DW60" s="57"/>
      <c r="EO60" s="15"/>
    </row>
    <row r="61" spans="1:145" hidden="1" x14ac:dyDescent="0.2">
      <c r="A61">
        <f t="shared" si="0"/>
        <v>1684</v>
      </c>
      <c r="F61">
        <f t="shared" si="1"/>
        <v>1684</v>
      </c>
      <c r="DW61" s="57"/>
      <c r="EO61" s="15"/>
    </row>
    <row r="62" spans="1:145" hidden="1" x14ac:dyDescent="0.2">
      <c r="A62">
        <f t="shared" si="0"/>
        <v>1685</v>
      </c>
      <c r="F62">
        <f t="shared" si="1"/>
        <v>1685</v>
      </c>
      <c r="DW62" s="57"/>
      <c r="EO62" s="15"/>
    </row>
    <row r="63" spans="1:145" hidden="1" x14ac:dyDescent="0.2">
      <c r="A63">
        <f t="shared" si="0"/>
        <v>1686</v>
      </c>
      <c r="F63">
        <f t="shared" si="1"/>
        <v>1686</v>
      </c>
      <c r="DW63" s="57"/>
      <c r="EO63" s="15"/>
    </row>
    <row r="64" spans="1:145" hidden="1" x14ac:dyDescent="0.2">
      <c r="A64">
        <f t="shared" si="0"/>
        <v>1687</v>
      </c>
      <c r="F64">
        <f t="shared" si="1"/>
        <v>1687</v>
      </c>
      <c r="DW64" s="57"/>
      <c r="EO64" s="15"/>
    </row>
    <row r="65" spans="1:145" hidden="1" x14ac:dyDescent="0.2">
      <c r="A65">
        <f t="shared" si="0"/>
        <v>1688</v>
      </c>
      <c r="F65">
        <f t="shared" si="1"/>
        <v>1688</v>
      </c>
      <c r="DW65" s="57"/>
      <c r="EO65" s="15"/>
    </row>
    <row r="66" spans="1:145" hidden="1" x14ac:dyDescent="0.2">
      <c r="A66">
        <f t="shared" si="0"/>
        <v>1689</v>
      </c>
      <c r="F66">
        <f t="shared" si="1"/>
        <v>1689</v>
      </c>
      <c r="DW66" s="57"/>
      <c r="EO66" s="15"/>
    </row>
    <row r="67" spans="1:145" hidden="1" x14ac:dyDescent="0.2">
      <c r="A67">
        <f t="shared" si="0"/>
        <v>1690</v>
      </c>
      <c r="F67">
        <v>1690</v>
      </c>
      <c r="DW67" s="57"/>
      <c r="EO67" s="15"/>
    </row>
    <row r="68" spans="1:145" hidden="1" x14ac:dyDescent="0.2">
      <c r="A68">
        <f t="shared" si="0"/>
        <v>1691</v>
      </c>
      <c r="F68">
        <f>F67+1</f>
        <v>1691</v>
      </c>
      <c r="DW68" s="57"/>
      <c r="EO68" s="15"/>
    </row>
    <row r="69" spans="1:145" hidden="1" x14ac:dyDescent="0.2">
      <c r="A69">
        <f t="shared" si="0"/>
        <v>1692</v>
      </c>
      <c r="F69">
        <f t="shared" ref="F69:F132" si="2">F68+1</f>
        <v>1692</v>
      </c>
      <c r="DW69" s="57"/>
      <c r="EO69" s="15"/>
    </row>
    <row r="70" spans="1:145" hidden="1" x14ac:dyDescent="0.2">
      <c r="A70">
        <f t="shared" si="0"/>
        <v>1693</v>
      </c>
      <c r="F70">
        <f t="shared" si="2"/>
        <v>1693</v>
      </c>
      <c r="DW70" s="57"/>
      <c r="EO70" s="15"/>
    </row>
    <row r="71" spans="1:145" hidden="1" x14ac:dyDescent="0.2">
      <c r="A71">
        <f t="shared" si="0"/>
        <v>1694</v>
      </c>
      <c r="F71">
        <f t="shared" si="2"/>
        <v>1694</v>
      </c>
      <c r="DW71" s="57"/>
      <c r="EO71" s="15"/>
    </row>
    <row r="72" spans="1:145" hidden="1" x14ac:dyDescent="0.2">
      <c r="A72">
        <f t="shared" si="0"/>
        <v>1695</v>
      </c>
      <c r="F72">
        <f t="shared" si="2"/>
        <v>1695</v>
      </c>
      <c r="DW72" s="57"/>
      <c r="EO72" s="15"/>
    </row>
    <row r="73" spans="1:145" hidden="1" x14ac:dyDescent="0.2">
      <c r="A73">
        <f t="shared" si="0"/>
        <v>1696</v>
      </c>
      <c r="F73">
        <f t="shared" si="2"/>
        <v>1696</v>
      </c>
      <c r="DW73" s="57"/>
      <c r="EO73" s="15"/>
    </row>
    <row r="74" spans="1:145" hidden="1" x14ac:dyDescent="0.2">
      <c r="A74">
        <f t="shared" si="0"/>
        <v>1697</v>
      </c>
      <c r="F74">
        <f t="shared" si="2"/>
        <v>1697</v>
      </c>
      <c r="DW74" s="57"/>
      <c r="EO74" s="15"/>
    </row>
    <row r="75" spans="1:145" hidden="1" x14ac:dyDescent="0.2">
      <c r="A75">
        <f t="shared" si="0"/>
        <v>1698</v>
      </c>
      <c r="F75">
        <f t="shared" si="2"/>
        <v>1698</v>
      </c>
      <c r="DW75" s="57"/>
      <c r="EO75" s="15"/>
    </row>
    <row r="76" spans="1:145" hidden="1" x14ac:dyDescent="0.2">
      <c r="A76">
        <f t="shared" si="0"/>
        <v>1699</v>
      </c>
      <c r="F76">
        <f t="shared" si="2"/>
        <v>1699</v>
      </c>
      <c r="DW76" s="57"/>
      <c r="EO76" s="15"/>
    </row>
    <row r="77" spans="1:145" hidden="1" x14ac:dyDescent="0.2">
      <c r="A77">
        <f t="shared" si="0"/>
        <v>1700</v>
      </c>
      <c r="F77">
        <f t="shared" si="2"/>
        <v>1700</v>
      </c>
      <c r="DW77" s="57"/>
      <c r="EO77" s="15"/>
    </row>
    <row r="78" spans="1:145" hidden="1" x14ac:dyDescent="0.2">
      <c r="A78">
        <f t="shared" si="0"/>
        <v>1701</v>
      </c>
      <c r="F78">
        <f t="shared" si="2"/>
        <v>1701</v>
      </c>
      <c r="DW78" s="57"/>
      <c r="EO78" s="15"/>
    </row>
    <row r="79" spans="1:145" hidden="1" x14ac:dyDescent="0.2">
      <c r="A79">
        <f t="shared" si="0"/>
        <v>1702</v>
      </c>
      <c r="F79">
        <f t="shared" si="2"/>
        <v>1702</v>
      </c>
      <c r="DW79" s="57"/>
      <c r="EO79" s="15"/>
    </row>
    <row r="80" spans="1:145" hidden="1" x14ac:dyDescent="0.2">
      <c r="A80">
        <f t="shared" si="0"/>
        <v>1703</v>
      </c>
      <c r="F80">
        <f t="shared" si="2"/>
        <v>1703</v>
      </c>
      <c r="DW80" s="57"/>
      <c r="EO80" s="15"/>
    </row>
    <row r="81" spans="1:145" hidden="1" x14ac:dyDescent="0.2">
      <c r="A81">
        <f t="shared" si="0"/>
        <v>1704</v>
      </c>
      <c r="F81">
        <f t="shared" si="2"/>
        <v>1704</v>
      </c>
      <c r="DW81" s="57"/>
      <c r="EO81" s="15"/>
    </row>
    <row r="82" spans="1:145" hidden="1" x14ac:dyDescent="0.2">
      <c r="A82">
        <f t="shared" ref="A82:A145" si="3">F82</f>
        <v>1705</v>
      </c>
      <c r="F82">
        <f t="shared" si="2"/>
        <v>1705</v>
      </c>
      <c r="DW82" s="57"/>
      <c r="EO82" s="15"/>
    </row>
    <row r="83" spans="1:145" hidden="1" x14ac:dyDescent="0.2">
      <c r="A83">
        <f t="shared" si="3"/>
        <v>1706</v>
      </c>
      <c r="F83">
        <f t="shared" si="2"/>
        <v>1706</v>
      </c>
      <c r="DW83" s="57"/>
      <c r="EO83" s="15"/>
    </row>
    <row r="84" spans="1:145" hidden="1" x14ac:dyDescent="0.2">
      <c r="A84">
        <f t="shared" si="3"/>
        <v>1707</v>
      </c>
      <c r="F84">
        <f t="shared" si="2"/>
        <v>1707</v>
      </c>
      <c r="DW84" s="57"/>
      <c r="EO84" s="15"/>
    </row>
    <row r="85" spans="1:145" hidden="1" x14ac:dyDescent="0.2">
      <c r="A85">
        <f t="shared" si="3"/>
        <v>1708</v>
      </c>
      <c r="F85">
        <f t="shared" si="2"/>
        <v>1708</v>
      </c>
      <c r="DW85" s="57"/>
      <c r="EO85" s="15"/>
    </row>
    <row r="86" spans="1:145" hidden="1" x14ac:dyDescent="0.2">
      <c r="A86">
        <f t="shared" si="3"/>
        <v>1709</v>
      </c>
      <c r="F86">
        <f t="shared" si="2"/>
        <v>1709</v>
      </c>
      <c r="DW86" s="57"/>
      <c r="EO86" s="15"/>
    </row>
    <row r="87" spans="1:145" hidden="1" x14ac:dyDescent="0.2">
      <c r="A87">
        <f t="shared" si="3"/>
        <v>1710</v>
      </c>
      <c r="F87">
        <f t="shared" si="2"/>
        <v>1710</v>
      </c>
      <c r="DW87" s="57"/>
      <c r="EO87" s="15"/>
    </row>
    <row r="88" spans="1:145" hidden="1" x14ac:dyDescent="0.2">
      <c r="A88">
        <f t="shared" si="3"/>
        <v>1711</v>
      </c>
      <c r="F88">
        <f t="shared" si="2"/>
        <v>1711</v>
      </c>
      <c r="DW88" s="57"/>
      <c r="EO88" s="15"/>
    </row>
    <row r="89" spans="1:145" hidden="1" x14ac:dyDescent="0.2">
      <c r="A89">
        <f t="shared" si="3"/>
        <v>1712</v>
      </c>
      <c r="F89">
        <f t="shared" si="2"/>
        <v>1712</v>
      </c>
      <c r="DW89" s="57"/>
      <c r="EO89" s="15"/>
    </row>
    <row r="90" spans="1:145" hidden="1" x14ac:dyDescent="0.2">
      <c r="A90">
        <f t="shared" si="3"/>
        <v>1713</v>
      </c>
      <c r="F90">
        <f t="shared" si="2"/>
        <v>1713</v>
      </c>
      <c r="DW90" s="57"/>
      <c r="EO90" s="15"/>
    </row>
    <row r="91" spans="1:145" hidden="1" x14ac:dyDescent="0.2">
      <c r="A91">
        <f t="shared" si="3"/>
        <v>1714</v>
      </c>
      <c r="F91">
        <f t="shared" si="2"/>
        <v>1714</v>
      </c>
      <c r="DW91" s="57"/>
      <c r="EO91" s="15"/>
    </row>
    <row r="92" spans="1:145" hidden="1" x14ac:dyDescent="0.2">
      <c r="A92">
        <f t="shared" si="3"/>
        <v>1715</v>
      </c>
      <c r="F92">
        <f t="shared" si="2"/>
        <v>1715</v>
      </c>
      <c r="DW92" s="57"/>
      <c r="EO92" s="15"/>
    </row>
    <row r="93" spans="1:145" hidden="1" x14ac:dyDescent="0.2">
      <c r="A93">
        <f t="shared" si="3"/>
        <v>1716</v>
      </c>
      <c r="F93">
        <f t="shared" si="2"/>
        <v>1716</v>
      </c>
      <c r="DW93" s="57"/>
      <c r="EO93" s="15"/>
    </row>
    <row r="94" spans="1:145" hidden="1" x14ac:dyDescent="0.2">
      <c r="A94">
        <f t="shared" si="3"/>
        <v>1717</v>
      </c>
      <c r="F94">
        <f t="shared" si="2"/>
        <v>1717</v>
      </c>
      <c r="DW94" s="57"/>
      <c r="EO94" s="15"/>
    </row>
    <row r="95" spans="1:145" hidden="1" x14ac:dyDescent="0.2">
      <c r="A95">
        <f t="shared" si="3"/>
        <v>1718</v>
      </c>
      <c r="F95">
        <f t="shared" si="2"/>
        <v>1718</v>
      </c>
      <c r="DW95" s="57"/>
      <c r="EO95" s="15"/>
    </row>
    <row r="96" spans="1:145" hidden="1" x14ac:dyDescent="0.2">
      <c r="A96">
        <f t="shared" si="3"/>
        <v>1719</v>
      </c>
      <c r="F96">
        <f t="shared" si="2"/>
        <v>1719</v>
      </c>
      <c r="DW96" s="57"/>
      <c r="EO96" s="15"/>
    </row>
    <row r="97" spans="1:145" hidden="1" x14ac:dyDescent="0.2">
      <c r="A97">
        <f t="shared" si="3"/>
        <v>1720</v>
      </c>
      <c r="F97">
        <f t="shared" si="2"/>
        <v>1720</v>
      </c>
      <c r="DW97" s="57"/>
      <c r="EO97" s="15"/>
    </row>
    <row r="98" spans="1:145" hidden="1" x14ac:dyDescent="0.2">
      <c r="A98">
        <f t="shared" si="3"/>
        <v>1721</v>
      </c>
      <c r="F98">
        <f t="shared" si="2"/>
        <v>1721</v>
      </c>
      <c r="DW98" s="57"/>
      <c r="EO98" s="15"/>
    </row>
    <row r="99" spans="1:145" hidden="1" x14ac:dyDescent="0.2">
      <c r="A99">
        <f t="shared" si="3"/>
        <v>1722</v>
      </c>
      <c r="F99">
        <f t="shared" si="2"/>
        <v>1722</v>
      </c>
      <c r="DW99" s="57"/>
      <c r="EO99" s="15"/>
    </row>
    <row r="100" spans="1:145" hidden="1" x14ac:dyDescent="0.2">
      <c r="A100">
        <f t="shared" si="3"/>
        <v>1723</v>
      </c>
      <c r="F100">
        <f t="shared" si="2"/>
        <v>1723</v>
      </c>
      <c r="DW100" s="57"/>
      <c r="EO100" s="15"/>
    </row>
    <row r="101" spans="1:145" hidden="1" x14ac:dyDescent="0.2">
      <c r="A101">
        <f t="shared" si="3"/>
        <v>1724</v>
      </c>
      <c r="F101">
        <f t="shared" si="2"/>
        <v>1724</v>
      </c>
      <c r="DW101" s="57"/>
      <c r="EO101" s="15"/>
    </row>
    <row r="102" spans="1:145" hidden="1" x14ac:dyDescent="0.2">
      <c r="A102">
        <f t="shared" si="3"/>
        <v>1725</v>
      </c>
      <c r="F102">
        <f t="shared" si="2"/>
        <v>1725</v>
      </c>
      <c r="DW102" s="57"/>
      <c r="EO102" s="15"/>
    </row>
    <row r="103" spans="1:145" hidden="1" x14ac:dyDescent="0.2">
      <c r="A103">
        <f t="shared" si="3"/>
        <v>1726</v>
      </c>
      <c r="F103">
        <f t="shared" si="2"/>
        <v>1726</v>
      </c>
      <c r="DW103" s="57"/>
      <c r="EO103" s="15"/>
    </row>
    <row r="104" spans="1:145" hidden="1" x14ac:dyDescent="0.2">
      <c r="A104">
        <f t="shared" si="3"/>
        <v>1727</v>
      </c>
      <c r="F104">
        <f t="shared" si="2"/>
        <v>1727</v>
      </c>
      <c r="DW104" s="57"/>
      <c r="EO104" s="15"/>
    </row>
    <row r="105" spans="1:145" hidden="1" x14ac:dyDescent="0.2">
      <c r="A105">
        <f t="shared" si="3"/>
        <v>1728</v>
      </c>
      <c r="F105">
        <f t="shared" si="2"/>
        <v>1728</v>
      </c>
      <c r="DW105" s="57"/>
      <c r="EO105" s="15"/>
    </row>
    <row r="106" spans="1:145" hidden="1" x14ac:dyDescent="0.2">
      <c r="A106">
        <f t="shared" si="3"/>
        <v>1729</v>
      </c>
      <c r="F106">
        <f t="shared" si="2"/>
        <v>1729</v>
      </c>
      <c r="DW106" s="57"/>
      <c r="EO106" s="15"/>
    </row>
    <row r="107" spans="1:145" hidden="1" x14ac:dyDescent="0.2">
      <c r="A107">
        <f t="shared" si="3"/>
        <v>1730</v>
      </c>
      <c r="F107">
        <f t="shared" si="2"/>
        <v>1730</v>
      </c>
      <c r="DW107" s="57"/>
      <c r="EO107" s="15"/>
    </row>
    <row r="108" spans="1:145" hidden="1" x14ac:dyDescent="0.2">
      <c r="A108">
        <f t="shared" si="3"/>
        <v>1731</v>
      </c>
      <c r="F108">
        <f t="shared" si="2"/>
        <v>1731</v>
      </c>
      <c r="DW108" s="57"/>
      <c r="EO108" s="15"/>
    </row>
    <row r="109" spans="1:145" hidden="1" x14ac:dyDescent="0.2">
      <c r="A109">
        <f t="shared" si="3"/>
        <v>1732</v>
      </c>
      <c r="F109">
        <f t="shared" si="2"/>
        <v>1732</v>
      </c>
      <c r="DW109" s="57"/>
      <c r="EO109" s="15"/>
    </row>
    <row r="110" spans="1:145" hidden="1" x14ac:dyDescent="0.2">
      <c r="A110">
        <f t="shared" si="3"/>
        <v>1733</v>
      </c>
      <c r="F110">
        <f t="shared" si="2"/>
        <v>1733</v>
      </c>
      <c r="DW110" s="57"/>
      <c r="EO110" s="15"/>
    </row>
    <row r="111" spans="1:145" hidden="1" x14ac:dyDescent="0.2">
      <c r="A111">
        <f t="shared" si="3"/>
        <v>1734</v>
      </c>
      <c r="F111">
        <f t="shared" si="2"/>
        <v>1734</v>
      </c>
      <c r="DW111" s="57"/>
      <c r="EO111" s="15"/>
    </row>
    <row r="112" spans="1:145" hidden="1" x14ac:dyDescent="0.2">
      <c r="A112">
        <f t="shared" si="3"/>
        <v>1735</v>
      </c>
      <c r="F112">
        <f t="shared" si="2"/>
        <v>1735</v>
      </c>
      <c r="DW112" s="57"/>
      <c r="EO112" s="15"/>
    </row>
    <row r="113" spans="1:145" hidden="1" x14ac:dyDescent="0.2">
      <c r="A113">
        <f t="shared" si="3"/>
        <v>1736</v>
      </c>
      <c r="F113">
        <f t="shared" si="2"/>
        <v>1736</v>
      </c>
      <c r="DW113" s="57"/>
      <c r="EO113" s="15"/>
    </row>
    <row r="114" spans="1:145" hidden="1" x14ac:dyDescent="0.2">
      <c r="A114">
        <f t="shared" si="3"/>
        <v>1737</v>
      </c>
      <c r="F114">
        <f t="shared" si="2"/>
        <v>1737</v>
      </c>
      <c r="DW114" s="57"/>
      <c r="EO114" s="15"/>
    </row>
    <row r="115" spans="1:145" hidden="1" x14ac:dyDescent="0.2">
      <c r="A115">
        <f t="shared" si="3"/>
        <v>1738</v>
      </c>
      <c r="F115">
        <f t="shared" si="2"/>
        <v>1738</v>
      </c>
      <c r="DW115" s="57"/>
      <c r="EO115" s="15"/>
    </row>
    <row r="116" spans="1:145" hidden="1" x14ac:dyDescent="0.2">
      <c r="A116">
        <f t="shared" si="3"/>
        <v>1739</v>
      </c>
      <c r="F116">
        <f t="shared" si="2"/>
        <v>1739</v>
      </c>
      <c r="DW116" s="57"/>
      <c r="EO116" s="15"/>
    </row>
    <row r="117" spans="1:145" hidden="1" x14ac:dyDescent="0.2">
      <c r="A117">
        <f t="shared" si="3"/>
        <v>1740</v>
      </c>
      <c r="F117">
        <f t="shared" si="2"/>
        <v>1740</v>
      </c>
      <c r="DW117" s="57"/>
      <c r="EO117" s="15"/>
    </row>
    <row r="118" spans="1:145" hidden="1" x14ac:dyDescent="0.2">
      <c r="A118">
        <f t="shared" si="3"/>
        <v>1741</v>
      </c>
      <c r="F118">
        <f t="shared" si="2"/>
        <v>1741</v>
      </c>
      <c r="DW118" s="57"/>
      <c r="EO118" s="15"/>
    </row>
    <row r="119" spans="1:145" hidden="1" x14ac:dyDescent="0.2">
      <c r="A119">
        <f t="shared" si="3"/>
        <v>1742</v>
      </c>
      <c r="F119">
        <f t="shared" si="2"/>
        <v>1742</v>
      </c>
      <c r="DW119" s="57"/>
      <c r="EO119" s="15"/>
    </row>
    <row r="120" spans="1:145" hidden="1" x14ac:dyDescent="0.2">
      <c r="A120">
        <f t="shared" si="3"/>
        <v>1743</v>
      </c>
      <c r="F120">
        <f t="shared" si="2"/>
        <v>1743</v>
      </c>
      <c r="DW120" s="57"/>
      <c r="EO120" s="15"/>
    </row>
    <row r="121" spans="1:145" hidden="1" x14ac:dyDescent="0.2">
      <c r="A121">
        <f t="shared" si="3"/>
        <v>1744</v>
      </c>
      <c r="F121">
        <f t="shared" si="2"/>
        <v>1744</v>
      </c>
      <c r="DW121" s="57"/>
      <c r="EO121" s="15"/>
    </row>
    <row r="122" spans="1:145" hidden="1" x14ac:dyDescent="0.2">
      <c r="A122">
        <f t="shared" si="3"/>
        <v>1745</v>
      </c>
      <c r="F122">
        <f t="shared" si="2"/>
        <v>1745</v>
      </c>
      <c r="DW122" s="57"/>
      <c r="EO122" s="15"/>
    </row>
    <row r="123" spans="1:145" hidden="1" x14ac:dyDescent="0.2">
      <c r="A123">
        <f t="shared" si="3"/>
        <v>1746</v>
      </c>
      <c r="F123">
        <f t="shared" si="2"/>
        <v>1746</v>
      </c>
      <c r="DW123" s="57"/>
      <c r="EO123" s="15"/>
    </row>
    <row r="124" spans="1:145" hidden="1" x14ac:dyDescent="0.2">
      <c r="A124">
        <f t="shared" si="3"/>
        <v>1747</v>
      </c>
      <c r="F124">
        <f t="shared" si="2"/>
        <v>1747</v>
      </c>
      <c r="DW124" s="57"/>
      <c r="EO124" s="15"/>
    </row>
    <row r="125" spans="1:145" hidden="1" x14ac:dyDescent="0.2">
      <c r="A125">
        <f t="shared" si="3"/>
        <v>1748</v>
      </c>
      <c r="F125">
        <f t="shared" si="2"/>
        <v>1748</v>
      </c>
      <c r="DW125" s="57"/>
      <c r="EO125" s="15"/>
    </row>
    <row r="126" spans="1:145" hidden="1" x14ac:dyDescent="0.2">
      <c r="A126">
        <f t="shared" si="3"/>
        <v>1749</v>
      </c>
      <c r="F126">
        <f t="shared" si="2"/>
        <v>1749</v>
      </c>
      <c r="DW126" s="57"/>
      <c r="EO126" s="15"/>
    </row>
    <row r="127" spans="1:145" hidden="1" x14ac:dyDescent="0.2">
      <c r="A127">
        <f t="shared" si="3"/>
        <v>1750</v>
      </c>
      <c r="F127">
        <f t="shared" si="2"/>
        <v>1750</v>
      </c>
      <c r="DW127" s="57"/>
      <c r="EO127" s="15"/>
    </row>
    <row r="128" spans="1:145" hidden="1" x14ac:dyDescent="0.2">
      <c r="A128">
        <f t="shared" si="3"/>
        <v>1751</v>
      </c>
      <c r="F128">
        <f t="shared" si="2"/>
        <v>1751</v>
      </c>
      <c r="DW128" s="57"/>
      <c r="EO128" s="15"/>
    </row>
    <row r="129" spans="1:145" hidden="1" x14ac:dyDescent="0.2">
      <c r="A129">
        <f t="shared" si="3"/>
        <v>1752</v>
      </c>
      <c r="F129">
        <f t="shared" si="2"/>
        <v>1752</v>
      </c>
      <c r="DW129" s="57"/>
      <c r="EO129" s="15"/>
    </row>
    <row r="130" spans="1:145" hidden="1" x14ac:dyDescent="0.2">
      <c r="A130">
        <f t="shared" si="3"/>
        <v>1753</v>
      </c>
      <c r="F130">
        <f t="shared" si="2"/>
        <v>1753</v>
      </c>
      <c r="DW130" s="57"/>
      <c r="EO130" s="15"/>
    </row>
    <row r="131" spans="1:145" hidden="1" x14ac:dyDescent="0.2">
      <c r="A131">
        <f t="shared" si="3"/>
        <v>1754</v>
      </c>
      <c r="F131">
        <f t="shared" si="2"/>
        <v>1754</v>
      </c>
      <c r="DW131" s="57"/>
      <c r="EO131" s="15"/>
    </row>
    <row r="132" spans="1:145" hidden="1" x14ac:dyDescent="0.2">
      <c r="A132">
        <f t="shared" si="3"/>
        <v>1755</v>
      </c>
      <c r="F132">
        <f t="shared" si="2"/>
        <v>1755</v>
      </c>
      <c r="DW132" s="57"/>
      <c r="EO132" s="15"/>
    </row>
    <row r="133" spans="1:145" hidden="1" x14ac:dyDescent="0.2">
      <c r="A133">
        <f t="shared" si="3"/>
        <v>1756</v>
      </c>
      <c r="F133">
        <f t="shared" ref="F133:F166" si="4">F132+1</f>
        <v>1756</v>
      </c>
      <c r="DW133" s="57"/>
      <c r="EO133" s="15"/>
    </row>
    <row r="134" spans="1:145" hidden="1" x14ac:dyDescent="0.2">
      <c r="A134">
        <f t="shared" si="3"/>
        <v>1757</v>
      </c>
      <c r="F134">
        <f t="shared" si="4"/>
        <v>1757</v>
      </c>
      <c r="DW134" s="57"/>
      <c r="EO134" s="15"/>
    </row>
    <row r="135" spans="1:145" hidden="1" x14ac:dyDescent="0.2">
      <c r="A135">
        <f t="shared" si="3"/>
        <v>1758</v>
      </c>
      <c r="F135">
        <f t="shared" si="4"/>
        <v>1758</v>
      </c>
      <c r="DW135" s="57"/>
      <c r="EO135" s="15"/>
    </row>
    <row r="136" spans="1:145" hidden="1" x14ac:dyDescent="0.2">
      <c r="A136">
        <f t="shared" si="3"/>
        <v>1759</v>
      </c>
      <c r="F136">
        <f t="shared" si="4"/>
        <v>1759</v>
      </c>
      <c r="DW136" s="57"/>
      <c r="EO136" s="15"/>
    </row>
    <row r="137" spans="1:145" hidden="1" x14ac:dyDescent="0.2">
      <c r="A137">
        <f t="shared" si="3"/>
        <v>1760</v>
      </c>
      <c r="F137">
        <f t="shared" si="4"/>
        <v>1760</v>
      </c>
      <c r="DW137" s="57"/>
      <c r="EO137" s="15"/>
    </row>
    <row r="138" spans="1:145" hidden="1" x14ac:dyDescent="0.2">
      <c r="A138">
        <f t="shared" si="3"/>
        <v>1761</v>
      </c>
      <c r="F138">
        <f t="shared" si="4"/>
        <v>1761</v>
      </c>
      <c r="DW138" s="57"/>
      <c r="EO138" s="15"/>
    </row>
    <row r="139" spans="1:145" hidden="1" x14ac:dyDescent="0.2">
      <c r="A139">
        <f t="shared" si="3"/>
        <v>1762</v>
      </c>
      <c r="F139">
        <f t="shared" si="4"/>
        <v>1762</v>
      </c>
      <c r="DW139" s="57"/>
      <c r="EO139" s="15"/>
    </row>
    <row r="140" spans="1:145" hidden="1" x14ac:dyDescent="0.2">
      <c r="A140">
        <f t="shared" si="3"/>
        <v>1763</v>
      </c>
      <c r="F140">
        <f t="shared" si="4"/>
        <v>1763</v>
      </c>
      <c r="DW140" s="57"/>
      <c r="EO140" s="15"/>
    </row>
    <row r="141" spans="1:145" hidden="1" x14ac:dyDescent="0.2">
      <c r="A141">
        <f t="shared" si="3"/>
        <v>1764</v>
      </c>
      <c r="F141">
        <f t="shared" si="4"/>
        <v>1764</v>
      </c>
      <c r="DW141" s="57"/>
      <c r="EO141" s="15"/>
    </row>
    <row r="142" spans="1:145" hidden="1" x14ac:dyDescent="0.2">
      <c r="A142">
        <f t="shared" si="3"/>
        <v>1765</v>
      </c>
      <c r="F142">
        <f t="shared" si="4"/>
        <v>1765</v>
      </c>
      <c r="DW142" s="57"/>
      <c r="EO142" s="15"/>
    </row>
    <row r="143" spans="1:145" hidden="1" x14ac:dyDescent="0.2">
      <c r="A143">
        <f t="shared" si="3"/>
        <v>1766</v>
      </c>
      <c r="F143">
        <f t="shared" si="4"/>
        <v>1766</v>
      </c>
      <c r="DW143" s="57"/>
      <c r="EO143" s="15"/>
    </row>
    <row r="144" spans="1:145" hidden="1" x14ac:dyDescent="0.2">
      <c r="A144">
        <f t="shared" si="3"/>
        <v>1767</v>
      </c>
      <c r="F144">
        <f t="shared" si="4"/>
        <v>1767</v>
      </c>
      <c r="DW144" s="57"/>
      <c r="EO144" s="15"/>
    </row>
    <row r="145" spans="1:145" hidden="1" x14ac:dyDescent="0.2">
      <c r="A145">
        <f t="shared" si="3"/>
        <v>1768</v>
      </c>
      <c r="F145">
        <f t="shared" si="4"/>
        <v>1768</v>
      </c>
      <c r="DW145" s="57"/>
      <c r="EO145" s="15"/>
    </row>
    <row r="146" spans="1:145" hidden="1" x14ac:dyDescent="0.2">
      <c r="A146">
        <f t="shared" ref="A146:A166" si="5">F146</f>
        <v>1769</v>
      </c>
      <c r="F146">
        <f t="shared" si="4"/>
        <v>1769</v>
      </c>
      <c r="DW146" s="57"/>
      <c r="EO146" s="15"/>
    </row>
    <row r="147" spans="1:145" hidden="1" x14ac:dyDescent="0.2">
      <c r="A147">
        <f t="shared" si="5"/>
        <v>1770</v>
      </c>
      <c r="F147">
        <f t="shared" si="4"/>
        <v>1770</v>
      </c>
      <c r="DW147" s="57"/>
      <c r="EO147" s="15"/>
    </row>
    <row r="148" spans="1:145" hidden="1" x14ac:dyDescent="0.2">
      <c r="A148">
        <f t="shared" si="5"/>
        <v>1771</v>
      </c>
      <c r="F148">
        <f t="shared" si="4"/>
        <v>1771</v>
      </c>
      <c r="DW148" s="57"/>
      <c r="EO148" s="15"/>
    </row>
    <row r="149" spans="1:145" hidden="1" x14ac:dyDescent="0.2">
      <c r="A149">
        <f t="shared" si="5"/>
        <v>1772</v>
      </c>
      <c r="F149">
        <f t="shared" si="4"/>
        <v>1772</v>
      </c>
      <c r="DW149" s="57"/>
      <c r="EO149" s="15"/>
    </row>
    <row r="150" spans="1:145" hidden="1" x14ac:dyDescent="0.2">
      <c r="A150">
        <f t="shared" si="5"/>
        <v>1773</v>
      </c>
      <c r="F150">
        <f t="shared" si="4"/>
        <v>1773</v>
      </c>
      <c r="DW150" s="57"/>
      <c r="EO150" s="15"/>
    </row>
    <row r="151" spans="1:145" hidden="1" x14ac:dyDescent="0.2">
      <c r="A151">
        <f t="shared" si="5"/>
        <v>1774</v>
      </c>
      <c r="F151">
        <f t="shared" si="4"/>
        <v>1774</v>
      </c>
      <c r="DW151" s="57"/>
      <c r="EO151" s="15"/>
    </row>
    <row r="152" spans="1:145" hidden="1" x14ac:dyDescent="0.2">
      <c r="A152">
        <f t="shared" si="5"/>
        <v>1775</v>
      </c>
      <c r="F152">
        <f t="shared" si="4"/>
        <v>1775</v>
      </c>
      <c r="DW152" s="57"/>
      <c r="EO152" s="15"/>
    </row>
    <row r="153" spans="1:145" hidden="1" x14ac:dyDescent="0.2">
      <c r="A153">
        <f t="shared" si="5"/>
        <v>1776</v>
      </c>
      <c r="F153">
        <f t="shared" si="4"/>
        <v>1776</v>
      </c>
      <c r="DW153" s="57"/>
      <c r="EO153" s="15"/>
    </row>
    <row r="154" spans="1:145" hidden="1" x14ac:dyDescent="0.2">
      <c r="A154">
        <f t="shared" si="5"/>
        <v>1777</v>
      </c>
      <c r="F154">
        <f t="shared" si="4"/>
        <v>1777</v>
      </c>
      <c r="DW154" s="57"/>
      <c r="EO154" s="15"/>
    </row>
    <row r="155" spans="1:145" hidden="1" x14ac:dyDescent="0.2">
      <c r="A155">
        <f t="shared" si="5"/>
        <v>1778</v>
      </c>
      <c r="F155">
        <f t="shared" si="4"/>
        <v>1778</v>
      </c>
      <c r="DW155" s="57"/>
      <c r="EO155" s="15"/>
    </row>
    <row r="156" spans="1:145" hidden="1" x14ac:dyDescent="0.2">
      <c r="A156">
        <f t="shared" si="5"/>
        <v>1779</v>
      </c>
      <c r="F156">
        <f t="shared" si="4"/>
        <v>1779</v>
      </c>
      <c r="DW156" s="57"/>
      <c r="EO156" s="15"/>
    </row>
    <row r="157" spans="1:145" hidden="1" x14ac:dyDescent="0.2">
      <c r="A157">
        <f t="shared" si="5"/>
        <v>1780</v>
      </c>
      <c r="F157">
        <f t="shared" si="4"/>
        <v>1780</v>
      </c>
      <c r="DW157" s="57"/>
      <c r="EO157" s="15"/>
    </row>
    <row r="158" spans="1:145" hidden="1" x14ac:dyDescent="0.2">
      <c r="A158">
        <f t="shared" si="5"/>
        <v>1781</v>
      </c>
      <c r="F158">
        <f t="shared" si="4"/>
        <v>1781</v>
      </c>
      <c r="DW158" s="57"/>
      <c r="EO158" s="15"/>
    </row>
    <row r="159" spans="1:145" hidden="1" x14ac:dyDescent="0.2">
      <c r="A159">
        <f t="shared" si="5"/>
        <v>1782</v>
      </c>
      <c r="F159">
        <f t="shared" si="4"/>
        <v>1782</v>
      </c>
      <c r="DW159" s="57"/>
      <c r="EO159" s="15"/>
    </row>
    <row r="160" spans="1:145" hidden="1" x14ac:dyDescent="0.2">
      <c r="A160">
        <f t="shared" si="5"/>
        <v>1783</v>
      </c>
      <c r="F160">
        <f t="shared" si="4"/>
        <v>1783</v>
      </c>
      <c r="DW160" s="57"/>
      <c r="EO160" s="15"/>
    </row>
    <row r="161" spans="1:145" hidden="1" x14ac:dyDescent="0.2">
      <c r="A161">
        <f t="shared" si="5"/>
        <v>1784</v>
      </c>
      <c r="F161">
        <f t="shared" si="4"/>
        <v>1784</v>
      </c>
      <c r="DW161" s="57"/>
      <c r="EO161" s="15"/>
    </row>
    <row r="162" spans="1:145" hidden="1" x14ac:dyDescent="0.2">
      <c r="A162">
        <f t="shared" si="5"/>
        <v>1785</v>
      </c>
      <c r="F162">
        <f t="shared" si="4"/>
        <v>1785</v>
      </c>
      <c r="DW162" s="57"/>
      <c r="EO162" s="15"/>
    </row>
    <row r="163" spans="1:145" hidden="1" x14ac:dyDescent="0.2">
      <c r="A163">
        <f t="shared" si="5"/>
        <v>1786</v>
      </c>
      <c r="F163">
        <f t="shared" si="4"/>
        <v>1786</v>
      </c>
      <c r="DW163" s="57"/>
      <c r="EO163" s="15"/>
    </row>
    <row r="164" spans="1:145" hidden="1" x14ac:dyDescent="0.2">
      <c r="A164">
        <f t="shared" si="5"/>
        <v>1787</v>
      </c>
      <c r="F164">
        <f t="shared" si="4"/>
        <v>1787</v>
      </c>
      <c r="DW164" s="57"/>
      <c r="EO164" s="15"/>
    </row>
    <row r="165" spans="1:145" hidden="1" x14ac:dyDescent="0.2">
      <c r="A165">
        <f t="shared" si="5"/>
        <v>1788</v>
      </c>
      <c r="F165">
        <f t="shared" si="4"/>
        <v>1788</v>
      </c>
      <c r="DW165" s="57"/>
      <c r="EO165" s="15"/>
    </row>
    <row r="166" spans="1:145" hidden="1" x14ac:dyDescent="0.2">
      <c r="A166">
        <f t="shared" si="5"/>
        <v>1789</v>
      </c>
      <c r="F166">
        <f t="shared" si="4"/>
        <v>1789</v>
      </c>
      <c r="DW166" s="57"/>
      <c r="EO166" s="15"/>
    </row>
    <row r="167" spans="1:145" x14ac:dyDescent="0.2">
      <c r="A167">
        <f>F167</f>
        <v>1790</v>
      </c>
      <c r="D167" s="63"/>
      <c r="E167" s="18"/>
      <c r="F167">
        <v>1790</v>
      </c>
      <c r="AB167">
        <f>F167</f>
        <v>1790</v>
      </c>
      <c r="AD167">
        <f t="shared" ref="AD167:AD198" si="6">$U$415*U167</f>
        <v>0</v>
      </c>
      <c r="AL167">
        <v>1</v>
      </c>
      <c r="AM167">
        <f>SUMPRODUCT($D247:$D$397,AL17:AL167)</f>
        <v>1</v>
      </c>
      <c r="AW167" s="35"/>
      <c r="DW167" s="57"/>
      <c r="EO167" s="15"/>
    </row>
    <row r="168" spans="1:145" x14ac:dyDescent="0.2">
      <c r="A168">
        <f t="shared" ref="A168:A231" si="7">F168</f>
        <v>1791</v>
      </c>
      <c r="D168" s="63"/>
      <c r="E168" s="18"/>
      <c r="F168">
        <v>1791</v>
      </c>
      <c r="AB168">
        <f t="shared" ref="AB168:AB215" si="8">F168</f>
        <v>1791</v>
      </c>
      <c r="AD168">
        <f t="shared" si="6"/>
        <v>0</v>
      </c>
      <c r="AW168" s="35"/>
      <c r="DW168" s="57"/>
      <c r="EO168" s="15"/>
    </row>
    <row r="169" spans="1:145" x14ac:dyDescent="0.2">
      <c r="A169">
        <f t="shared" si="7"/>
        <v>1792</v>
      </c>
      <c r="D169" s="63"/>
      <c r="E169" s="18"/>
      <c r="F169">
        <v>1792</v>
      </c>
      <c r="AB169">
        <f t="shared" si="8"/>
        <v>1792</v>
      </c>
      <c r="AD169">
        <f t="shared" si="6"/>
        <v>0</v>
      </c>
      <c r="AW169" s="35"/>
      <c r="DW169" s="57"/>
      <c r="EO169" s="15"/>
    </row>
    <row r="170" spans="1:145" x14ac:dyDescent="0.2">
      <c r="A170">
        <f t="shared" si="7"/>
        <v>1793</v>
      </c>
      <c r="D170" s="63"/>
      <c r="E170" s="18"/>
      <c r="F170">
        <v>1793</v>
      </c>
      <c r="AB170">
        <f t="shared" si="8"/>
        <v>1793</v>
      </c>
      <c r="AD170">
        <f t="shared" si="6"/>
        <v>0</v>
      </c>
      <c r="AW170" s="35"/>
      <c r="DW170" s="57"/>
      <c r="EO170" s="15"/>
    </row>
    <row r="171" spans="1:145" x14ac:dyDescent="0.2">
      <c r="A171">
        <f t="shared" si="7"/>
        <v>1794</v>
      </c>
      <c r="D171" s="63"/>
      <c r="E171" s="18"/>
      <c r="F171">
        <v>1794</v>
      </c>
      <c r="AB171">
        <f t="shared" si="8"/>
        <v>1794</v>
      </c>
      <c r="AD171">
        <f t="shared" si="6"/>
        <v>0</v>
      </c>
      <c r="AW171" s="35"/>
      <c r="DW171" s="57"/>
      <c r="EO171" s="15"/>
    </row>
    <row r="172" spans="1:145" x14ac:dyDescent="0.2">
      <c r="A172">
        <f t="shared" si="7"/>
        <v>1795</v>
      </c>
      <c r="D172" s="63"/>
      <c r="E172" s="18"/>
      <c r="F172">
        <v>1795</v>
      </c>
      <c r="AB172">
        <f t="shared" si="8"/>
        <v>1795</v>
      </c>
      <c r="AD172">
        <f t="shared" si="6"/>
        <v>0</v>
      </c>
      <c r="AW172" s="35"/>
      <c r="DW172" s="57"/>
      <c r="EO172" s="15"/>
    </row>
    <row r="173" spans="1:145" x14ac:dyDescent="0.2">
      <c r="A173">
        <f t="shared" si="7"/>
        <v>1796</v>
      </c>
      <c r="D173" s="63"/>
      <c r="E173" s="18"/>
      <c r="F173">
        <v>1796</v>
      </c>
      <c r="AB173">
        <f t="shared" si="8"/>
        <v>1796</v>
      </c>
      <c r="AD173">
        <f t="shared" si="6"/>
        <v>0</v>
      </c>
      <c r="AW173" s="35"/>
      <c r="DW173" s="57"/>
      <c r="EO173" s="15"/>
    </row>
    <row r="174" spans="1:145" x14ac:dyDescent="0.2">
      <c r="A174">
        <f t="shared" si="7"/>
        <v>1797</v>
      </c>
      <c r="D174" s="63"/>
      <c r="E174" s="18"/>
      <c r="F174">
        <v>1797</v>
      </c>
      <c r="AB174">
        <f t="shared" si="8"/>
        <v>1797</v>
      </c>
      <c r="AD174">
        <f t="shared" si="6"/>
        <v>0</v>
      </c>
      <c r="AW174" s="35"/>
      <c r="DW174" s="57"/>
      <c r="EO174" s="15"/>
    </row>
    <row r="175" spans="1:145" x14ac:dyDescent="0.2">
      <c r="A175">
        <f t="shared" si="7"/>
        <v>1798</v>
      </c>
      <c r="D175" s="63"/>
      <c r="E175" s="18"/>
      <c r="F175">
        <v>1798</v>
      </c>
      <c r="AB175">
        <f t="shared" si="8"/>
        <v>1798</v>
      </c>
      <c r="AD175">
        <f t="shared" si="6"/>
        <v>0</v>
      </c>
      <c r="AW175" s="35"/>
      <c r="DW175" s="57"/>
      <c r="EO175" s="15"/>
    </row>
    <row r="176" spans="1:145" x14ac:dyDescent="0.2">
      <c r="A176">
        <f t="shared" si="7"/>
        <v>1799</v>
      </c>
      <c r="D176" s="63"/>
      <c r="E176" s="18"/>
      <c r="F176">
        <v>1799</v>
      </c>
      <c r="AB176">
        <f t="shared" si="8"/>
        <v>1799</v>
      </c>
      <c r="AD176">
        <f t="shared" si="6"/>
        <v>0</v>
      </c>
      <c r="AW176" s="35"/>
      <c r="DW176" s="57"/>
      <c r="EO176" s="15"/>
    </row>
    <row r="177" spans="1:145" x14ac:dyDescent="0.2">
      <c r="A177">
        <f t="shared" si="7"/>
        <v>1800</v>
      </c>
      <c r="D177" s="63"/>
      <c r="E177" s="18"/>
      <c r="F177">
        <f>1800</f>
        <v>1800</v>
      </c>
      <c r="AB177">
        <f t="shared" si="8"/>
        <v>1800</v>
      </c>
      <c r="AD177">
        <f t="shared" si="6"/>
        <v>0</v>
      </c>
      <c r="AW177" s="35"/>
      <c r="DW177" s="57"/>
      <c r="EO177" s="15"/>
    </row>
    <row r="178" spans="1:145" x14ac:dyDescent="0.2">
      <c r="A178">
        <f t="shared" si="7"/>
        <v>1801</v>
      </c>
      <c r="D178" s="63"/>
      <c r="E178" s="18"/>
      <c r="F178">
        <f>F177+1</f>
        <v>1801</v>
      </c>
      <c r="AB178">
        <f t="shared" si="8"/>
        <v>1801</v>
      </c>
      <c r="AD178">
        <f t="shared" si="6"/>
        <v>0</v>
      </c>
      <c r="AW178" s="35"/>
      <c r="DW178" s="57"/>
      <c r="EO178" s="15"/>
    </row>
    <row r="179" spans="1:145" x14ac:dyDescent="0.2">
      <c r="A179">
        <f t="shared" si="7"/>
        <v>1802</v>
      </c>
      <c r="D179" s="63"/>
      <c r="E179" s="18"/>
      <c r="F179">
        <f t="shared" ref="F179:F242" si="9">F178+1</f>
        <v>1802</v>
      </c>
      <c r="AB179">
        <f t="shared" si="8"/>
        <v>1802</v>
      </c>
      <c r="AD179">
        <f t="shared" si="6"/>
        <v>0</v>
      </c>
      <c r="AW179" s="35"/>
      <c r="DW179" s="57"/>
      <c r="EO179" s="15"/>
    </row>
    <row r="180" spans="1:145" x14ac:dyDescent="0.2">
      <c r="A180">
        <f t="shared" si="7"/>
        <v>1803</v>
      </c>
      <c r="D180" s="63"/>
      <c r="E180" s="18"/>
      <c r="F180">
        <f t="shared" si="9"/>
        <v>1803</v>
      </c>
      <c r="AB180">
        <f t="shared" si="8"/>
        <v>1803</v>
      </c>
      <c r="AD180">
        <f t="shared" si="6"/>
        <v>0</v>
      </c>
      <c r="AW180" s="35"/>
      <c r="DW180" s="57"/>
      <c r="EO180" s="15"/>
    </row>
    <row r="181" spans="1:145" x14ac:dyDescent="0.2">
      <c r="A181">
        <f t="shared" si="7"/>
        <v>1804</v>
      </c>
      <c r="D181" s="63"/>
      <c r="E181" s="18"/>
      <c r="F181">
        <f t="shared" si="9"/>
        <v>1804</v>
      </c>
      <c r="AB181">
        <f t="shared" si="8"/>
        <v>1804</v>
      </c>
      <c r="AD181">
        <f t="shared" si="6"/>
        <v>0</v>
      </c>
      <c r="AW181" s="35"/>
      <c r="DW181" s="57"/>
      <c r="EO181" s="15"/>
    </row>
    <row r="182" spans="1:145" x14ac:dyDescent="0.2">
      <c r="A182">
        <f t="shared" si="7"/>
        <v>1805</v>
      </c>
      <c r="D182" s="63"/>
      <c r="E182" s="18"/>
      <c r="F182">
        <f t="shared" si="9"/>
        <v>1805</v>
      </c>
      <c r="AB182">
        <f t="shared" si="8"/>
        <v>1805</v>
      </c>
      <c r="AD182">
        <f t="shared" si="6"/>
        <v>0</v>
      </c>
      <c r="AW182" s="35"/>
      <c r="DW182" s="57"/>
      <c r="EO182" s="15"/>
    </row>
    <row r="183" spans="1:145" x14ac:dyDescent="0.2">
      <c r="A183">
        <f t="shared" si="7"/>
        <v>1806</v>
      </c>
      <c r="D183" s="63"/>
      <c r="E183" s="18"/>
      <c r="F183">
        <f t="shared" si="9"/>
        <v>1806</v>
      </c>
      <c r="AB183">
        <f t="shared" si="8"/>
        <v>1806</v>
      </c>
      <c r="AD183">
        <f t="shared" si="6"/>
        <v>0</v>
      </c>
      <c r="AW183" s="35"/>
      <c r="DW183" s="57"/>
      <c r="EO183" s="15"/>
    </row>
    <row r="184" spans="1:145" x14ac:dyDescent="0.2">
      <c r="A184">
        <f t="shared" si="7"/>
        <v>1807</v>
      </c>
      <c r="D184" s="63"/>
      <c r="E184" s="18"/>
      <c r="F184">
        <f t="shared" si="9"/>
        <v>1807</v>
      </c>
      <c r="AB184">
        <f t="shared" si="8"/>
        <v>1807</v>
      </c>
      <c r="AD184">
        <f t="shared" si="6"/>
        <v>0</v>
      </c>
      <c r="AW184" s="35"/>
      <c r="DW184" s="57"/>
      <c r="EO184" s="15"/>
    </row>
    <row r="185" spans="1:145" x14ac:dyDescent="0.2">
      <c r="A185">
        <f t="shared" si="7"/>
        <v>1808</v>
      </c>
      <c r="D185" s="63"/>
      <c r="E185" s="18"/>
      <c r="F185">
        <f t="shared" si="9"/>
        <v>1808</v>
      </c>
      <c r="AB185">
        <f t="shared" si="8"/>
        <v>1808</v>
      </c>
      <c r="AD185">
        <f t="shared" si="6"/>
        <v>0</v>
      </c>
      <c r="AW185" s="35"/>
      <c r="DW185" s="57"/>
      <c r="EO185" s="15"/>
    </row>
    <row r="186" spans="1:145" x14ac:dyDescent="0.2">
      <c r="A186">
        <f t="shared" si="7"/>
        <v>1809</v>
      </c>
      <c r="D186" s="63"/>
      <c r="E186" s="18"/>
      <c r="F186">
        <f t="shared" si="9"/>
        <v>1809</v>
      </c>
      <c r="AB186">
        <f t="shared" si="8"/>
        <v>1809</v>
      </c>
      <c r="AD186">
        <f t="shared" si="6"/>
        <v>0</v>
      </c>
      <c r="AW186" s="35"/>
      <c r="DW186" s="57"/>
      <c r="EO186" s="15"/>
    </row>
    <row r="187" spans="1:145" x14ac:dyDescent="0.2">
      <c r="A187">
        <f t="shared" si="7"/>
        <v>1810</v>
      </c>
      <c r="D187" s="63"/>
      <c r="E187" s="18"/>
      <c r="F187">
        <f t="shared" si="9"/>
        <v>1810</v>
      </c>
      <c r="AB187">
        <f t="shared" si="8"/>
        <v>1810</v>
      </c>
      <c r="AD187">
        <f t="shared" si="6"/>
        <v>0</v>
      </c>
      <c r="AW187" s="35"/>
      <c r="DW187" s="57"/>
      <c r="EO187" s="15"/>
    </row>
    <row r="188" spans="1:145" x14ac:dyDescent="0.2">
      <c r="A188">
        <f t="shared" si="7"/>
        <v>1811</v>
      </c>
      <c r="D188" s="63"/>
      <c r="E188" s="18"/>
      <c r="F188">
        <f t="shared" si="9"/>
        <v>1811</v>
      </c>
      <c r="AB188">
        <f t="shared" si="8"/>
        <v>1811</v>
      </c>
      <c r="AD188">
        <f t="shared" si="6"/>
        <v>0</v>
      </c>
      <c r="AW188" s="35"/>
      <c r="DW188" s="57"/>
      <c r="EO188" s="15"/>
    </row>
    <row r="189" spans="1:145" x14ac:dyDescent="0.2">
      <c r="A189">
        <f t="shared" si="7"/>
        <v>1812</v>
      </c>
      <c r="D189" s="63"/>
      <c r="E189" s="18"/>
      <c r="F189">
        <f t="shared" si="9"/>
        <v>1812</v>
      </c>
      <c r="AB189">
        <f t="shared" si="8"/>
        <v>1812</v>
      </c>
      <c r="AD189">
        <f t="shared" si="6"/>
        <v>0</v>
      </c>
      <c r="AW189" s="35"/>
      <c r="DW189" s="57"/>
      <c r="EO189" s="15"/>
    </row>
    <row r="190" spans="1:145" x14ac:dyDescent="0.2">
      <c r="A190">
        <f t="shared" si="7"/>
        <v>1813</v>
      </c>
      <c r="D190" s="63"/>
      <c r="E190" s="18"/>
      <c r="F190">
        <f t="shared" si="9"/>
        <v>1813</v>
      </c>
      <c r="AB190">
        <f t="shared" si="8"/>
        <v>1813</v>
      </c>
      <c r="AD190">
        <f t="shared" si="6"/>
        <v>0</v>
      </c>
      <c r="AW190" s="35"/>
      <c r="DW190" s="57"/>
      <c r="EO190" s="15"/>
    </row>
    <row r="191" spans="1:145" x14ac:dyDescent="0.2">
      <c r="A191">
        <f t="shared" si="7"/>
        <v>1814</v>
      </c>
      <c r="D191" s="63"/>
      <c r="E191" s="18"/>
      <c r="F191">
        <f t="shared" si="9"/>
        <v>1814</v>
      </c>
      <c r="AB191">
        <f t="shared" si="8"/>
        <v>1814</v>
      </c>
      <c r="AD191">
        <f t="shared" si="6"/>
        <v>0</v>
      </c>
      <c r="AW191" s="35"/>
      <c r="DW191" s="57"/>
      <c r="EO191" s="15"/>
    </row>
    <row r="192" spans="1:145" x14ac:dyDescent="0.2">
      <c r="A192">
        <f t="shared" si="7"/>
        <v>1815</v>
      </c>
      <c r="D192" s="63"/>
      <c r="E192" s="18"/>
      <c r="F192">
        <f t="shared" si="9"/>
        <v>1815</v>
      </c>
      <c r="AB192">
        <f t="shared" si="8"/>
        <v>1815</v>
      </c>
      <c r="AD192">
        <f t="shared" si="6"/>
        <v>0</v>
      </c>
      <c r="AW192" s="35"/>
      <c r="DW192" s="57"/>
      <c r="EO192" s="15"/>
    </row>
    <row r="193" spans="1:145" x14ac:dyDescent="0.2">
      <c r="A193">
        <f t="shared" si="7"/>
        <v>1816</v>
      </c>
      <c r="D193" s="63"/>
      <c r="E193" s="18"/>
      <c r="F193">
        <f t="shared" si="9"/>
        <v>1816</v>
      </c>
      <c r="AB193">
        <f t="shared" si="8"/>
        <v>1816</v>
      </c>
      <c r="AD193">
        <f t="shared" si="6"/>
        <v>0</v>
      </c>
      <c r="AW193" s="35"/>
      <c r="DW193" s="57"/>
      <c r="EO193" s="15"/>
    </row>
    <row r="194" spans="1:145" x14ac:dyDescent="0.2">
      <c r="A194">
        <f t="shared" si="7"/>
        <v>1817</v>
      </c>
      <c r="D194" s="63"/>
      <c r="E194" s="18"/>
      <c r="F194">
        <f t="shared" si="9"/>
        <v>1817</v>
      </c>
      <c r="AB194">
        <f t="shared" si="8"/>
        <v>1817</v>
      </c>
      <c r="AD194">
        <f t="shared" si="6"/>
        <v>0</v>
      </c>
      <c r="AW194" s="35"/>
      <c r="DW194" s="57"/>
      <c r="EO194" s="15"/>
    </row>
    <row r="195" spans="1:145" x14ac:dyDescent="0.2">
      <c r="A195">
        <f t="shared" si="7"/>
        <v>1818</v>
      </c>
      <c r="D195" s="63"/>
      <c r="E195" s="18"/>
      <c r="F195">
        <f t="shared" si="9"/>
        <v>1818</v>
      </c>
      <c r="AB195">
        <f t="shared" si="8"/>
        <v>1818</v>
      </c>
      <c r="AD195">
        <f t="shared" si="6"/>
        <v>0</v>
      </c>
      <c r="AW195" s="35"/>
      <c r="DW195" s="57"/>
      <c r="EO195" s="15"/>
    </row>
    <row r="196" spans="1:145" x14ac:dyDescent="0.2">
      <c r="A196">
        <f t="shared" si="7"/>
        <v>1819</v>
      </c>
      <c r="D196" s="63"/>
      <c r="E196" s="18"/>
      <c r="F196">
        <f t="shared" si="9"/>
        <v>1819</v>
      </c>
      <c r="AB196">
        <f t="shared" si="8"/>
        <v>1819</v>
      </c>
      <c r="AD196">
        <f t="shared" si="6"/>
        <v>0</v>
      </c>
      <c r="AW196" s="35"/>
      <c r="DW196" s="57"/>
      <c r="EO196" s="15"/>
    </row>
    <row r="197" spans="1:145" x14ac:dyDescent="0.2">
      <c r="A197">
        <f t="shared" si="7"/>
        <v>1820</v>
      </c>
      <c r="D197" s="63"/>
      <c r="E197" s="18"/>
      <c r="F197">
        <f t="shared" si="9"/>
        <v>1820</v>
      </c>
      <c r="AB197">
        <f t="shared" si="8"/>
        <v>1820</v>
      </c>
      <c r="AD197">
        <f t="shared" si="6"/>
        <v>0</v>
      </c>
      <c r="AW197" s="35"/>
      <c r="DW197" s="57"/>
      <c r="EO197" s="15"/>
    </row>
    <row r="198" spans="1:145" x14ac:dyDescent="0.2">
      <c r="A198">
        <f t="shared" si="7"/>
        <v>1821</v>
      </c>
      <c r="D198" s="63"/>
      <c r="E198" s="18"/>
      <c r="F198">
        <f t="shared" si="9"/>
        <v>1821</v>
      </c>
      <c r="AB198">
        <f t="shared" si="8"/>
        <v>1821</v>
      </c>
      <c r="AD198">
        <f t="shared" si="6"/>
        <v>0</v>
      </c>
      <c r="AW198" s="35"/>
      <c r="DW198" s="57"/>
      <c r="EO198" s="15"/>
    </row>
    <row r="199" spans="1:145" x14ac:dyDescent="0.2">
      <c r="A199">
        <f t="shared" si="7"/>
        <v>1822</v>
      </c>
      <c r="D199" s="63"/>
      <c r="E199" s="18"/>
      <c r="F199">
        <f t="shared" si="9"/>
        <v>1822</v>
      </c>
      <c r="AB199">
        <f t="shared" si="8"/>
        <v>1822</v>
      </c>
      <c r="AD199">
        <f t="shared" ref="AD199:AD230" si="10">$U$415*U199</f>
        <v>0</v>
      </c>
      <c r="AW199" s="35"/>
      <c r="DW199" s="57"/>
      <c r="EO199" s="15"/>
    </row>
    <row r="200" spans="1:145" x14ac:dyDescent="0.2">
      <c r="A200">
        <f t="shared" si="7"/>
        <v>1823</v>
      </c>
      <c r="D200" s="63"/>
      <c r="E200" s="18"/>
      <c r="F200">
        <f t="shared" si="9"/>
        <v>1823</v>
      </c>
      <c r="AB200">
        <f t="shared" si="8"/>
        <v>1823</v>
      </c>
      <c r="AD200">
        <f t="shared" si="10"/>
        <v>0</v>
      </c>
      <c r="AW200" s="35"/>
      <c r="DW200" s="57"/>
      <c r="EO200" s="15"/>
    </row>
    <row r="201" spans="1:145" x14ac:dyDescent="0.2">
      <c r="A201">
        <f t="shared" si="7"/>
        <v>1824</v>
      </c>
      <c r="D201" s="63"/>
      <c r="E201" s="18"/>
      <c r="F201">
        <f t="shared" si="9"/>
        <v>1824</v>
      </c>
      <c r="AB201">
        <f t="shared" si="8"/>
        <v>1824</v>
      </c>
      <c r="AD201">
        <f t="shared" si="10"/>
        <v>0</v>
      </c>
      <c r="AW201" s="35"/>
      <c r="DW201" s="57"/>
      <c r="EO201" s="15"/>
    </row>
    <row r="202" spans="1:145" x14ac:dyDescent="0.2">
      <c r="A202">
        <f t="shared" si="7"/>
        <v>1825</v>
      </c>
      <c r="D202" s="63"/>
      <c r="E202" s="18"/>
      <c r="F202">
        <f t="shared" si="9"/>
        <v>1825</v>
      </c>
      <c r="AB202">
        <f t="shared" si="8"/>
        <v>1825</v>
      </c>
      <c r="AD202">
        <f t="shared" si="10"/>
        <v>0</v>
      </c>
      <c r="AW202" s="35"/>
      <c r="DW202" s="57"/>
      <c r="EO202" s="15"/>
    </row>
    <row r="203" spans="1:145" x14ac:dyDescent="0.2">
      <c r="A203">
        <f t="shared" si="7"/>
        <v>1826</v>
      </c>
      <c r="D203" s="63"/>
      <c r="E203" s="18"/>
      <c r="F203">
        <f t="shared" si="9"/>
        <v>1826</v>
      </c>
      <c r="AB203">
        <f t="shared" si="8"/>
        <v>1826</v>
      </c>
      <c r="AD203">
        <f t="shared" si="10"/>
        <v>0</v>
      </c>
      <c r="AW203" s="35"/>
      <c r="DW203" s="57"/>
      <c r="EO203" s="15"/>
    </row>
    <row r="204" spans="1:145" x14ac:dyDescent="0.2">
      <c r="A204">
        <f t="shared" si="7"/>
        <v>1827</v>
      </c>
      <c r="D204" s="63"/>
      <c r="E204" s="18"/>
      <c r="F204">
        <f t="shared" si="9"/>
        <v>1827</v>
      </c>
      <c r="AB204">
        <f t="shared" si="8"/>
        <v>1827</v>
      </c>
      <c r="AD204">
        <f t="shared" si="10"/>
        <v>0</v>
      </c>
      <c r="AW204" s="35"/>
      <c r="DW204" s="57"/>
      <c r="EO204" s="15"/>
    </row>
    <row r="205" spans="1:145" x14ac:dyDescent="0.2">
      <c r="A205">
        <f t="shared" si="7"/>
        <v>1828</v>
      </c>
      <c r="D205" s="63"/>
      <c r="E205" s="18"/>
      <c r="F205">
        <f t="shared" si="9"/>
        <v>1828</v>
      </c>
      <c r="AB205">
        <f t="shared" si="8"/>
        <v>1828</v>
      </c>
      <c r="AD205">
        <f t="shared" si="10"/>
        <v>0</v>
      </c>
      <c r="AW205" s="35"/>
      <c r="DW205" s="57"/>
      <c r="EO205" s="15"/>
    </row>
    <row r="206" spans="1:145" x14ac:dyDescent="0.2">
      <c r="A206">
        <f t="shared" si="7"/>
        <v>1829</v>
      </c>
      <c r="D206" s="63"/>
      <c r="E206" s="18"/>
      <c r="F206">
        <f t="shared" si="9"/>
        <v>1829</v>
      </c>
      <c r="AB206">
        <f t="shared" si="8"/>
        <v>1829</v>
      </c>
      <c r="AD206">
        <f t="shared" si="10"/>
        <v>0</v>
      </c>
      <c r="AW206" s="35"/>
      <c r="DW206" s="57"/>
      <c r="EO206" s="15"/>
    </row>
    <row r="207" spans="1:145" x14ac:dyDescent="0.2">
      <c r="A207">
        <f t="shared" si="7"/>
        <v>1830</v>
      </c>
      <c r="D207" s="63"/>
      <c r="E207" s="18"/>
      <c r="F207">
        <f t="shared" si="9"/>
        <v>1830</v>
      </c>
      <c r="AB207">
        <f t="shared" si="8"/>
        <v>1830</v>
      </c>
      <c r="AD207">
        <f t="shared" si="10"/>
        <v>0</v>
      </c>
      <c r="AW207" s="35"/>
      <c r="DW207" s="57"/>
      <c r="EO207" s="15"/>
    </row>
    <row r="208" spans="1:145" x14ac:dyDescent="0.2">
      <c r="A208">
        <f t="shared" si="7"/>
        <v>1831</v>
      </c>
      <c r="D208" s="63"/>
      <c r="E208" s="18"/>
      <c r="F208">
        <f t="shared" si="9"/>
        <v>1831</v>
      </c>
      <c r="AB208">
        <f t="shared" si="8"/>
        <v>1831</v>
      </c>
      <c r="AD208">
        <f t="shared" si="10"/>
        <v>0</v>
      </c>
      <c r="AW208" s="35"/>
      <c r="DW208" s="57"/>
      <c r="EO208" s="15"/>
    </row>
    <row r="209" spans="1:145" x14ac:dyDescent="0.2">
      <c r="A209">
        <f t="shared" si="7"/>
        <v>1832</v>
      </c>
      <c r="D209" s="63"/>
      <c r="E209" s="18"/>
      <c r="F209">
        <f t="shared" si="9"/>
        <v>1832</v>
      </c>
      <c r="AB209">
        <f t="shared" si="8"/>
        <v>1832</v>
      </c>
      <c r="AD209">
        <f t="shared" si="10"/>
        <v>0</v>
      </c>
      <c r="AW209" s="35"/>
      <c r="DW209" s="57"/>
      <c r="EO209" s="15"/>
    </row>
    <row r="210" spans="1:145" x14ac:dyDescent="0.2">
      <c r="A210">
        <f t="shared" si="7"/>
        <v>1833</v>
      </c>
      <c r="B210" s="83" t="s">
        <v>474</v>
      </c>
      <c r="D210" s="63"/>
      <c r="E210" s="18"/>
      <c r="F210">
        <f t="shared" si="9"/>
        <v>1833</v>
      </c>
      <c r="U210" t="s">
        <v>440</v>
      </c>
      <c r="V210" t="s">
        <v>441</v>
      </c>
      <c r="W210">
        <v>0.4</v>
      </c>
      <c r="AB210">
        <f t="shared" si="8"/>
        <v>1833</v>
      </c>
      <c r="AD210" t="e">
        <f t="shared" si="10"/>
        <v>#VALUE!</v>
      </c>
      <c r="AW210" s="35"/>
      <c r="DW210" s="57"/>
      <c r="EO210" s="15"/>
    </row>
    <row r="211" spans="1:145" x14ac:dyDescent="0.2">
      <c r="A211">
        <f t="shared" si="7"/>
        <v>1834</v>
      </c>
      <c r="D211" s="63"/>
      <c r="E211" s="18"/>
      <c r="F211">
        <f t="shared" si="9"/>
        <v>1834</v>
      </c>
      <c r="V211" t="s">
        <v>442</v>
      </c>
      <c r="W211">
        <v>0.6</v>
      </c>
      <c r="AB211">
        <f t="shared" si="8"/>
        <v>1834</v>
      </c>
      <c r="AD211">
        <f t="shared" si="10"/>
        <v>0</v>
      </c>
      <c r="AW211" s="35"/>
      <c r="DW211" s="57"/>
      <c r="EO211" s="15"/>
    </row>
    <row r="212" spans="1:145" x14ac:dyDescent="0.2">
      <c r="A212">
        <f t="shared" si="7"/>
        <v>1835</v>
      </c>
      <c r="D212" s="63"/>
      <c r="E212" s="18"/>
      <c r="F212">
        <f t="shared" si="9"/>
        <v>1835</v>
      </c>
      <c r="U212" t="s">
        <v>444</v>
      </c>
      <c r="W212">
        <v>1</v>
      </c>
      <c r="X212">
        <f>63182/63502</f>
        <v>0.99496078863657833</v>
      </c>
      <c r="AB212">
        <f t="shared" si="8"/>
        <v>1835</v>
      </c>
      <c r="AD212" t="e">
        <f t="shared" si="10"/>
        <v>#VALUE!</v>
      </c>
      <c r="AW212" s="35"/>
      <c r="DW212" s="57"/>
      <c r="EO212" s="15"/>
    </row>
    <row r="213" spans="1:145" x14ac:dyDescent="0.2">
      <c r="A213">
        <f t="shared" si="7"/>
        <v>1836</v>
      </c>
      <c r="D213" s="63"/>
      <c r="E213" s="18"/>
      <c r="F213">
        <f t="shared" si="9"/>
        <v>1836</v>
      </c>
      <c r="S213" t="s">
        <v>445</v>
      </c>
      <c r="U213" s="83" t="s">
        <v>458</v>
      </c>
      <c r="AB213">
        <f t="shared" si="8"/>
        <v>1836</v>
      </c>
      <c r="AD213" t="e">
        <f t="shared" si="10"/>
        <v>#VALUE!</v>
      </c>
      <c r="AW213" s="35"/>
      <c r="DW213" s="57"/>
      <c r="EO213" s="15"/>
    </row>
    <row r="214" spans="1:145" x14ac:dyDescent="0.2">
      <c r="A214">
        <f t="shared" si="7"/>
        <v>1837</v>
      </c>
      <c r="D214" s="63"/>
      <c r="E214" s="18"/>
      <c r="F214">
        <f t="shared" si="9"/>
        <v>1837</v>
      </c>
      <c r="S214" t="s">
        <v>446</v>
      </c>
      <c r="T214">
        <f>0.1</f>
        <v>0.1</v>
      </c>
      <c r="U214" t="s">
        <v>443</v>
      </c>
      <c r="AB214">
        <f t="shared" si="8"/>
        <v>1837</v>
      </c>
      <c r="AD214" t="e">
        <f t="shared" si="10"/>
        <v>#VALUE!</v>
      </c>
      <c r="AW214" s="35"/>
      <c r="DW214" s="57"/>
      <c r="EO214" s="15"/>
    </row>
    <row r="215" spans="1:145" x14ac:dyDescent="0.2">
      <c r="A215">
        <f t="shared" si="7"/>
        <v>1838</v>
      </c>
      <c r="D215" s="63"/>
      <c r="E215" s="18"/>
      <c r="F215">
        <f t="shared" si="9"/>
        <v>1838</v>
      </c>
      <c r="S215" s="10">
        <v>400</v>
      </c>
      <c r="T215">
        <v>40</v>
      </c>
      <c r="U215">
        <v>40</v>
      </c>
      <c r="AB215">
        <f t="shared" si="8"/>
        <v>1838</v>
      </c>
      <c r="AD215">
        <f t="shared" si="10"/>
        <v>61.327577915651489</v>
      </c>
      <c r="AW215" s="35"/>
      <c r="DW215" s="57"/>
      <c r="EO215" s="15"/>
    </row>
    <row r="216" spans="1:145" x14ac:dyDescent="0.2">
      <c r="A216">
        <f t="shared" si="7"/>
        <v>1839</v>
      </c>
      <c r="D216" s="63"/>
      <c r="E216" s="18"/>
      <c r="F216">
        <f t="shared" si="9"/>
        <v>1839</v>
      </c>
      <c r="G216">
        <v>1</v>
      </c>
      <c r="H216">
        <v>1</v>
      </c>
      <c r="I216">
        <v>1</v>
      </c>
      <c r="J216">
        <v>1</v>
      </c>
      <c r="K216">
        <v>1</v>
      </c>
      <c r="L216">
        <v>1</v>
      </c>
      <c r="M216">
        <v>1</v>
      </c>
      <c r="N216">
        <v>1</v>
      </c>
      <c r="O216">
        <v>1</v>
      </c>
      <c r="P216">
        <v>1</v>
      </c>
      <c r="Q216">
        <v>1</v>
      </c>
      <c r="S216" s="10">
        <v>403.46626589247319</v>
      </c>
      <c r="T216">
        <f>S216*T$214</f>
        <v>40.346626589247322</v>
      </c>
      <c r="U216">
        <f>($W$210*T216+$W$211*T215)*$W$212</f>
        <v>40.13865063569893</v>
      </c>
      <c r="AB216">
        <f>F216</f>
        <v>1839</v>
      </c>
      <c r="AD216">
        <f t="shared" si="10"/>
        <v>61.540155607248508</v>
      </c>
      <c r="AH216">
        <f>AD216</f>
        <v>61.540155607248508</v>
      </c>
      <c r="AI216">
        <f t="shared" ref="AI216:AI247" si="11">SUMPRODUCT($D$247:$D$397,AH66:AH216)</f>
        <v>61.540155607248508</v>
      </c>
      <c r="AL216" s="87">
        <f>AD216</f>
        <v>61.540155607248508</v>
      </c>
      <c r="AM216" s="87">
        <f t="shared" ref="AM216:AM247" si="12">SUMPRODUCT($D$247:$D$397,AL66:AL216)</f>
        <v>62.368761045196017</v>
      </c>
      <c r="AW216" s="35"/>
      <c r="DW216" s="57"/>
      <c r="EO216" s="15"/>
    </row>
    <row r="217" spans="1:145" x14ac:dyDescent="0.2">
      <c r="A217">
        <f t="shared" si="7"/>
        <v>1840</v>
      </c>
      <c r="D217" s="63"/>
      <c r="E217" s="18"/>
      <c r="F217">
        <f t="shared" si="9"/>
        <v>1840</v>
      </c>
      <c r="G217">
        <v>1</v>
      </c>
      <c r="H217">
        <v>1</v>
      </c>
      <c r="I217">
        <v>1</v>
      </c>
      <c r="J217">
        <v>1</v>
      </c>
      <c r="K217">
        <v>1</v>
      </c>
      <c r="L217">
        <v>1</v>
      </c>
      <c r="M217">
        <v>1</v>
      </c>
      <c r="N217">
        <v>1</v>
      </c>
      <c r="O217">
        <v>1</v>
      </c>
      <c r="P217">
        <v>1</v>
      </c>
      <c r="Q217">
        <v>1</v>
      </c>
      <c r="S217" s="10">
        <v>412.85795774207821</v>
      </c>
      <c r="T217">
        <f t="shared" ref="T217:T280" si="13">S217*T$214</f>
        <v>41.285795774207827</v>
      </c>
      <c r="U217">
        <f t="shared" ref="U217:U280" si="14">($W$210*T217+$W$211*T216)*$W$212</f>
        <v>40.722294263231518</v>
      </c>
      <c r="AB217">
        <f t="shared" ref="AB217:AB246" si="15">F217</f>
        <v>1840</v>
      </c>
      <c r="AD217">
        <f t="shared" si="10"/>
        <v>62.434991858310468</v>
      </c>
      <c r="AH217">
        <f t="shared" ref="AH217:AH246" si="16">AD217</f>
        <v>62.434991858310468</v>
      </c>
      <c r="AI217">
        <f t="shared" si="11"/>
        <v>123.97514448314972</v>
      </c>
      <c r="AL217" s="87">
        <f t="shared" ref="AL217:AL276" si="17">AD217</f>
        <v>62.434991858310468</v>
      </c>
      <c r="AM217" s="87">
        <f t="shared" si="12"/>
        <v>124.79220015677589</v>
      </c>
      <c r="AW217" s="35"/>
      <c r="DW217" s="57"/>
      <c r="EO217" s="15"/>
    </row>
    <row r="218" spans="1:145" x14ac:dyDescent="0.2">
      <c r="A218">
        <f t="shared" si="7"/>
        <v>1841</v>
      </c>
      <c r="D218" s="63"/>
      <c r="E218" s="18"/>
      <c r="F218">
        <f t="shared" si="9"/>
        <v>1841</v>
      </c>
      <c r="G218">
        <v>1</v>
      </c>
      <c r="H218">
        <v>1</v>
      </c>
      <c r="I218">
        <v>1</v>
      </c>
      <c r="J218">
        <v>1</v>
      </c>
      <c r="K218">
        <v>1</v>
      </c>
      <c r="L218">
        <v>1</v>
      </c>
      <c r="M218">
        <v>1</v>
      </c>
      <c r="N218">
        <v>1</v>
      </c>
      <c r="O218">
        <v>1</v>
      </c>
      <c r="P218">
        <v>1</v>
      </c>
      <c r="Q218">
        <v>1</v>
      </c>
      <c r="S218" s="10">
        <v>422.85568332318957</v>
      </c>
      <c r="T218">
        <f t="shared" si="13"/>
        <v>42.28556833231896</v>
      </c>
      <c r="U218">
        <f t="shared" si="14"/>
        <v>41.685704797452281</v>
      </c>
      <c r="AB218">
        <f t="shared" si="15"/>
        <v>1841</v>
      </c>
      <c r="AD218">
        <f t="shared" si="10"/>
        <v>63.912082723365053</v>
      </c>
      <c r="AH218">
        <f t="shared" si="16"/>
        <v>63.912082723365053</v>
      </c>
      <c r="AI218">
        <f t="shared" si="11"/>
        <v>187.88718193210408</v>
      </c>
      <c r="AL218" s="87">
        <f t="shared" si="17"/>
        <v>63.912082723365053</v>
      </c>
      <c r="AM218" s="87">
        <f t="shared" si="12"/>
        <v>188.69233911056921</v>
      </c>
      <c r="AW218" s="35"/>
      <c r="DW218" s="57"/>
      <c r="EO218" s="15"/>
    </row>
    <row r="219" spans="1:145" x14ac:dyDescent="0.2">
      <c r="A219">
        <f t="shared" si="7"/>
        <v>1842</v>
      </c>
      <c r="D219" s="63"/>
      <c r="E219" s="18"/>
      <c r="F219">
        <f t="shared" si="9"/>
        <v>1842</v>
      </c>
      <c r="G219">
        <v>1</v>
      </c>
      <c r="H219">
        <v>1</v>
      </c>
      <c r="I219">
        <v>1</v>
      </c>
      <c r="J219">
        <v>1</v>
      </c>
      <c r="K219">
        <v>1</v>
      </c>
      <c r="L219">
        <v>1</v>
      </c>
      <c r="M219">
        <v>1</v>
      </c>
      <c r="N219">
        <v>1</v>
      </c>
      <c r="O219">
        <v>1</v>
      </c>
      <c r="P219">
        <v>1</v>
      </c>
      <c r="Q219">
        <v>1</v>
      </c>
      <c r="S219" s="10">
        <v>447.88168709680173</v>
      </c>
      <c r="T219">
        <f t="shared" si="13"/>
        <v>44.788168709680178</v>
      </c>
      <c r="U219">
        <f t="shared" si="14"/>
        <v>43.28660848326345</v>
      </c>
      <c r="AB219">
        <f t="shared" si="15"/>
        <v>1842</v>
      </c>
      <c r="AD219">
        <f t="shared" si="10"/>
        <v>66.366571361541006</v>
      </c>
      <c r="AH219">
        <f t="shared" si="16"/>
        <v>66.366571361541006</v>
      </c>
      <c r="AI219">
        <f t="shared" si="11"/>
        <v>254.2535306426314</v>
      </c>
      <c r="AL219" s="87">
        <f t="shared" si="17"/>
        <v>66.366571361541006</v>
      </c>
      <c r="AM219" s="87">
        <f t="shared" si="12"/>
        <v>255.04645960902718</v>
      </c>
      <c r="AW219" s="35"/>
      <c r="DW219" s="57"/>
      <c r="EO219" s="15"/>
    </row>
    <row r="220" spans="1:145" x14ac:dyDescent="0.2">
      <c r="A220">
        <f t="shared" si="7"/>
        <v>1843</v>
      </c>
      <c r="D220" s="63"/>
      <c r="E220" s="18"/>
      <c r="F220">
        <f t="shared" si="9"/>
        <v>1843</v>
      </c>
      <c r="G220">
        <v>1</v>
      </c>
      <c r="H220">
        <v>1</v>
      </c>
      <c r="I220">
        <v>1</v>
      </c>
      <c r="J220">
        <v>1</v>
      </c>
      <c r="K220">
        <v>1</v>
      </c>
      <c r="L220">
        <v>1</v>
      </c>
      <c r="M220">
        <v>1</v>
      </c>
      <c r="N220">
        <v>1</v>
      </c>
      <c r="O220">
        <v>1</v>
      </c>
      <c r="P220">
        <v>1</v>
      </c>
      <c r="Q220">
        <v>1</v>
      </c>
      <c r="S220" s="10">
        <v>475.79563475756044</v>
      </c>
      <c r="T220">
        <f t="shared" si="13"/>
        <v>47.579563475756046</v>
      </c>
      <c r="U220">
        <f t="shared" si="14"/>
        <v>45.904726616110523</v>
      </c>
      <c r="AB220">
        <f t="shared" si="15"/>
        <v>1843</v>
      </c>
      <c r="AD220">
        <f t="shared" si="10"/>
        <v>70.380642456154973</v>
      </c>
      <c r="AH220">
        <f t="shared" si="16"/>
        <v>70.380642456154973</v>
      </c>
      <c r="AI220">
        <f t="shared" si="11"/>
        <v>324.63348270259826</v>
      </c>
      <c r="AL220" s="87">
        <f t="shared" si="17"/>
        <v>70.380642456154973</v>
      </c>
      <c r="AM220" s="87">
        <f t="shared" si="12"/>
        <v>325.41387435210225</v>
      </c>
      <c r="AW220" s="35"/>
      <c r="DW220" s="57"/>
      <c r="EO220" s="15"/>
    </row>
    <row r="221" spans="1:145" x14ac:dyDescent="0.2">
      <c r="A221">
        <f t="shared" si="7"/>
        <v>1844</v>
      </c>
      <c r="D221" s="63"/>
      <c r="E221" s="18"/>
      <c r="F221">
        <f t="shared" si="9"/>
        <v>1844</v>
      </c>
      <c r="G221">
        <v>1</v>
      </c>
      <c r="H221">
        <v>1</v>
      </c>
      <c r="I221">
        <v>1</v>
      </c>
      <c r="J221">
        <v>1</v>
      </c>
      <c r="K221">
        <v>1</v>
      </c>
      <c r="L221">
        <v>1</v>
      </c>
      <c r="M221">
        <v>1</v>
      </c>
      <c r="N221">
        <v>1</v>
      </c>
      <c r="O221">
        <v>1</v>
      </c>
      <c r="P221">
        <v>1</v>
      </c>
      <c r="Q221">
        <v>1</v>
      </c>
      <c r="S221" s="10">
        <v>506.74005585184921</v>
      </c>
      <c r="T221">
        <f t="shared" si="13"/>
        <v>50.674005585184922</v>
      </c>
      <c r="U221">
        <f t="shared" si="14"/>
        <v>48.817340319527602</v>
      </c>
      <c r="AB221">
        <f t="shared" si="15"/>
        <v>1844</v>
      </c>
      <c r="AD221">
        <f t="shared" si="10"/>
        <v>74.8462310520176</v>
      </c>
      <c r="AH221">
        <f t="shared" si="16"/>
        <v>74.8462310520176</v>
      </c>
      <c r="AI221">
        <f t="shared" si="11"/>
        <v>399.4780503781999</v>
      </c>
      <c r="AL221" s="87">
        <f t="shared" si="17"/>
        <v>74.8462310520176</v>
      </c>
      <c r="AM221" s="87">
        <f t="shared" si="12"/>
        <v>400.245617660741</v>
      </c>
      <c r="AW221" s="35"/>
      <c r="DW221" s="57"/>
      <c r="EO221" s="15"/>
    </row>
    <row r="222" spans="1:145" x14ac:dyDescent="0.2">
      <c r="A222">
        <f t="shared" si="7"/>
        <v>1845</v>
      </c>
      <c r="D222" s="63"/>
      <c r="E222" s="18"/>
      <c r="F222">
        <f t="shared" si="9"/>
        <v>1845</v>
      </c>
      <c r="G222">
        <v>1</v>
      </c>
      <c r="H222">
        <v>1</v>
      </c>
      <c r="I222">
        <v>1</v>
      </c>
      <c r="J222">
        <v>1</v>
      </c>
      <c r="K222">
        <v>1</v>
      </c>
      <c r="L222">
        <v>1</v>
      </c>
      <c r="M222">
        <v>1</v>
      </c>
      <c r="N222">
        <v>1</v>
      </c>
      <c r="O222">
        <v>1</v>
      </c>
      <c r="P222">
        <v>1</v>
      </c>
      <c r="Q222">
        <v>1</v>
      </c>
      <c r="S222" s="10">
        <v>540.86352529395901</v>
      </c>
      <c r="T222">
        <f t="shared" si="13"/>
        <v>54.086352529395903</v>
      </c>
      <c r="U222">
        <f t="shared" si="14"/>
        <v>52.038944362869316</v>
      </c>
      <c r="AB222">
        <f t="shared" si="15"/>
        <v>1845</v>
      </c>
      <c r="AD222">
        <f t="shared" si="10"/>
        <v>79.785560376553022</v>
      </c>
      <c r="AH222">
        <f t="shared" si="16"/>
        <v>79.785560376553022</v>
      </c>
      <c r="AI222">
        <f t="shared" si="11"/>
        <v>479.26019285468908</v>
      </c>
      <c r="AL222" s="87">
        <f t="shared" si="17"/>
        <v>79.785560376553022</v>
      </c>
      <c r="AM222" s="87">
        <f t="shared" si="12"/>
        <v>480.01467204723042</v>
      </c>
      <c r="AW222" s="35"/>
      <c r="DW222" s="57"/>
      <c r="EO222" s="15"/>
    </row>
    <row r="223" spans="1:145" x14ac:dyDescent="0.2">
      <c r="A223">
        <f t="shared" si="7"/>
        <v>1846</v>
      </c>
      <c r="D223" s="63"/>
      <c r="E223" s="18"/>
      <c r="F223">
        <f t="shared" si="9"/>
        <v>1846</v>
      </c>
      <c r="G223">
        <v>1</v>
      </c>
      <c r="H223">
        <v>1</v>
      </c>
      <c r="I223">
        <v>1</v>
      </c>
      <c r="J223">
        <v>1</v>
      </c>
      <c r="K223">
        <v>1</v>
      </c>
      <c r="L223">
        <v>1</v>
      </c>
      <c r="M223">
        <v>1</v>
      </c>
      <c r="N223">
        <v>1</v>
      </c>
      <c r="O223">
        <v>1</v>
      </c>
      <c r="P223">
        <v>1</v>
      </c>
      <c r="Q223">
        <v>1</v>
      </c>
      <c r="S223" s="10">
        <v>574.67605011287776</v>
      </c>
      <c r="T223">
        <f t="shared" si="13"/>
        <v>57.46760501128778</v>
      </c>
      <c r="U223">
        <f t="shared" si="14"/>
        <v>55.438853522152655</v>
      </c>
      <c r="AB223">
        <f t="shared" si="15"/>
        <v>1846</v>
      </c>
      <c r="AD223">
        <f t="shared" si="10"/>
        <v>84.998265223355176</v>
      </c>
      <c r="AH223">
        <f t="shared" si="16"/>
        <v>84.998265223355176</v>
      </c>
      <c r="AI223">
        <f t="shared" si="11"/>
        <v>564.25216337755035</v>
      </c>
      <c r="AL223" s="87">
        <f t="shared" si="17"/>
        <v>84.998265223355176</v>
      </c>
      <c r="AM223" s="87">
        <f t="shared" si="12"/>
        <v>564.99331517378823</v>
      </c>
      <c r="AW223" s="35"/>
      <c r="DW223" s="57"/>
      <c r="EO223" s="15"/>
    </row>
    <row r="224" spans="1:145" x14ac:dyDescent="0.2">
      <c r="A224">
        <f t="shared" si="7"/>
        <v>1847</v>
      </c>
      <c r="D224" s="63"/>
      <c r="E224" s="18"/>
      <c r="F224">
        <f t="shared" si="9"/>
        <v>1847</v>
      </c>
      <c r="G224">
        <v>1</v>
      </c>
      <c r="H224">
        <v>1</v>
      </c>
      <c r="I224">
        <v>1</v>
      </c>
      <c r="J224">
        <v>1</v>
      </c>
      <c r="K224">
        <v>1</v>
      </c>
      <c r="L224">
        <v>1</v>
      </c>
      <c r="M224">
        <v>1</v>
      </c>
      <c r="N224">
        <v>1</v>
      </c>
      <c r="O224">
        <v>1</v>
      </c>
      <c r="P224">
        <v>1</v>
      </c>
      <c r="Q224">
        <v>1</v>
      </c>
      <c r="S224" s="10">
        <v>602.6598066911439</v>
      </c>
      <c r="T224">
        <f t="shared" si="13"/>
        <v>60.265980669114391</v>
      </c>
      <c r="U224">
        <f t="shared" si="14"/>
        <v>58.586955274418429</v>
      </c>
      <c r="AB224">
        <f t="shared" si="15"/>
        <v>1847</v>
      </c>
      <c r="AD224">
        <f t="shared" si="10"/>
        <v>89.824901610817136</v>
      </c>
      <c r="AH224">
        <f t="shared" si="16"/>
        <v>89.824901610817136</v>
      </c>
      <c r="AI224">
        <f t="shared" si="11"/>
        <v>654.06636257839875</v>
      </c>
      <c r="AL224" s="87">
        <f t="shared" si="17"/>
        <v>89.824901610817136</v>
      </c>
      <c r="AM224" s="87">
        <f t="shared" si="12"/>
        <v>654.79397298658125</v>
      </c>
      <c r="AW224" s="35"/>
      <c r="DW224" s="57"/>
      <c r="EO224" s="15"/>
    </row>
    <row r="225" spans="1:145" x14ac:dyDescent="0.2">
      <c r="A225">
        <f t="shared" si="7"/>
        <v>1848</v>
      </c>
      <c r="D225" s="63"/>
      <c r="E225" s="18"/>
      <c r="F225">
        <f t="shared" si="9"/>
        <v>1848</v>
      </c>
      <c r="G225">
        <v>1</v>
      </c>
      <c r="H225">
        <v>1</v>
      </c>
      <c r="I225">
        <v>1</v>
      </c>
      <c r="J225">
        <v>1</v>
      </c>
      <c r="K225">
        <v>1</v>
      </c>
      <c r="L225">
        <v>1</v>
      </c>
      <c r="M225">
        <v>1</v>
      </c>
      <c r="N225">
        <v>1</v>
      </c>
      <c r="O225">
        <v>1</v>
      </c>
      <c r="P225">
        <v>1</v>
      </c>
      <c r="Q225">
        <v>1</v>
      </c>
      <c r="S225" s="10">
        <v>637.20109087218759</v>
      </c>
      <c r="T225">
        <f t="shared" si="13"/>
        <v>63.720109087218759</v>
      </c>
      <c r="U225">
        <f t="shared" si="14"/>
        <v>61.647632036356136</v>
      </c>
      <c r="AB225">
        <f t="shared" si="15"/>
        <v>1848</v>
      </c>
      <c r="AD225">
        <f t="shared" si="10"/>
        <v>94.5174989256261</v>
      </c>
      <c r="AH225">
        <f t="shared" si="16"/>
        <v>94.5174989256261</v>
      </c>
      <c r="AI225">
        <f t="shared" si="11"/>
        <v>748.56674019606305</v>
      </c>
      <c r="AL225" s="87">
        <f t="shared" si="17"/>
        <v>94.5174989256261</v>
      </c>
      <c r="AM225" s="87">
        <f t="shared" si="12"/>
        <v>749.28062123866914</v>
      </c>
      <c r="AW225" s="35"/>
      <c r="DW225" s="57"/>
      <c r="EO225" s="15"/>
    </row>
    <row r="226" spans="1:145" x14ac:dyDescent="0.2">
      <c r="A226">
        <f t="shared" si="7"/>
        <v>1849</v>
      </c>
      <c r="D226" s="63"/>
      <c r="E226" s="18"/>
      <c r="F226">
        <f t="shared" si="9"/>
        <v>1849</v>
      </c>
      <c r="G226">
        <v>1</v>
      </c>
      <c r="H226">
        <v>1</v>
      </c>
      <c r="I226">
        <v>1</v>
      </c>
      <c r="J226">
        <v>1</v>
      </c>
      <c r="K226">
        <v>1</v>
      </c>
      <c r="L226">
        <v>1</v>
      </c>
      <c r="M226">
        <v>1</v>
      </c>
      <c r="N226">
        <v>1</v>
      </c>
      <c r="O226">
        <v>1</v>
      </c>
      <c r="P226">
        <v>1</v>
      </c>
      <c r="Q226">
        <v>1</v>
      </c>
      <c r="S226" s="10">
        <v>671.36489666344437</v>
      </c>
      <c r="T226">
        <f t="shared" si="13"/>
        <v>67.136489666344445</v>
      </c>
      <c r="U226">
        <f t="shared" si="14"/>
        <v>65.086661318869034</v>
      </c>
      <c r="AB226">
        <f t="shared" si="15"/>
        <v>1849</v>
      </c>
      <c r="AD226">
        <f t="shared" si="10"/>
        <v>99.790182332564015</v>
      </c>
      <c r="AH226">
        <f t="shared" si="16"/>
        <v>99.790182332564015</v>
      </c>
      <c r="AI226">
        <f t="shared" si="11"/>
        <v>848.33081563023404</v>
      </c>
      <c r="AL226" s="87">
        <f t="shared" si="17"/>
        <v>99.790182332564015</v>
      </c>
      <c r="AM226" s="87">
        <f t="shared" si="12"/>
        <v>849.03080584234567</v>
      </c>
      <c r="AW226" s="35"/>
      <c r="DW226" s="57"/>
      <c r="EO226" s="15"/>
    </row>
    <row r="227" spans="1:145" x14ac:dyDescent="0.2">
      <c r="A227">
        <f t="shared" si="7"/>
        <v>1850</v>
      </c>
      <c r="D227" s="63"/>
      <c r="E227" s="18"/>
      <c r="F227">
        <f t="shared" si="9"/>
        <v>1850</v>
      </c>
      <c r="G227">
        <v>1</v>
      </c>
      <c r="H227">
        <v>1</v>
      </c>
      <c r="I227">
        <v>1</v>
      </c>
      <c r="J227">
        <v>1</v>
      </c>
      <c r="K227">
        <v>1</v>
      </c>
      <c r="L227">
        <v>1</v>
      </c>
      <c r="M227">
        <v>1</v>
      </c>
      <c r="N227">
        <v>1</v>
      </c>
      <c r="O227">
        <v>1</v>
      </c>
      <c r="P227">
        <v>1</v>
      </c>
      <c r="Q227">
        <v>1</v>
      </c>
      <c r="S227" s="10">
        <v>705.09757269836416</v>
      </c>
      <c r="T227">
        <f t="shared" si="13"/>
        <v>70.509757269836413</v>
      </c>
      <c r="U227">
        <f t="shared" si="14"/>
        <v>68.48579670774123</v>
      </c>
      <c r="AB227">
        <f t="shared" si="15"/>
        <v>1850</v>
      </c>
      <c r="AD227">
        <f t="shared" si="10"/>
        <v>105.00170084273672</v>
      </c>
      <c r="AH227">
        <f t="shared" si="16"/>
        <v>105.00170084273672</v>
      </c>
      <c r="AI227">
        <f t="shared" si="11"/>
        <v>953.29422331571186</v>
      </c>
      <c r="AL227" s="87">
        <f t="shared" si="17"/>
        <v>105.00170084273672</v>
      </c>
      <c r="AM227" s="87">
        <f t="shared" si="12"/>
        <v>953.98018804197682</v>
      </c>
      <c r="AW227" s="35"/>
      <c r="DW227" s="57"/>
      <c r="EO227" s="15"/>
    </row>
    <row r="228" spans="1:145" x14ac:dyDescent="0.2">
      <c r="A228">
        <f t="shared" si="7"/>
        <v>1851</v>
      </c>
      <c r="D228" s="63"/>
      <c r="E228" s="18"/>
      <c r="F228">
        <f t="shared" si="9"/>
        <v>1851</v>
      </c>
      <c r="G228">
        <v>1</v>
      </c>
      <c r="H228">
        <v>1</v>
      </c>
      <c r="I228">
        <v>1</v>
      </c>
      <c r="J228">
        <v>1</v>
      </c>
      <c r="K228">
        <v>1</v>
      </c>
      <c r="L228">
        <v>1</v>
      </c>
      <c r="M228">
        <v>1</v>
      </c>
      <c r="N228">
        <v>1</v>
      </c>
      <c r="O228">
        <v>1</v>
      </c>
      <c r="P228">
        <v>1</v>
      </c>
      <c r="Q228">
        <v>1</v>
      </c>
      <c r="S228" s="10">
        <v>738.34307293354607</v>
      </c>
      <c r="T228">
        <f t="shared" si="13"/>
        <v>73.834307293354613</v>
      </c>
      <c r="U228">
        <f t="shared" si="14"/>
        <v>71.839577279243684</v>
      </c>
      <c r="AB228">
        <f t="shared" si="15"/>
        <v>1851</v>
      </c>
      <c r="AD228">
        <f t="shared" si="10"/>
        <v>110.14368182550709</v>
      </c>
      <c r="AH228">
        <f t="shared" si="16"/>
        <v>110.14368182550709</v>
      </c>
      <c r="AI228">
        <f t="shared" si="11"/>
        <v>1063.3835092918921</v>
      </c>
      <c r="AL228" s="87">
        <f t="shared" si="17"/>
        <v>110.14368182550709</v>
      </c>
      <c r="AM228" s="87">
        <f t="shared" si="12"/>
        <v>1064.0553407849388</v>
      </c>
      <c r="AW228" s="35"/>
      <c r="DW228" s="57"/>
      <c r="EO228" s="15"/>
    </row>
    <row r="229" spans="1:145" x14ac:dyDescent="0.2">
      <c r="A229">
        <f t="shared" si="7"/>
        <v>1852</v>
      </c>
      <c r="D229" s="63"/>
      <c r="E229" s="18"/>
      <c r="F229">
        <f t="shared" si="9"/>
        <v>1852</v>
      </c>
      <c r="G229">
        <v>1</v>
      </c>
      <c r="H229">
        <v>1</v>
      </c>
      <c r="I229">
        <v>1</v>
      </c>
      <c r="J229">
        <v>1</v>
      </c>
      <c r="K229">
        <v>1</v>
      </c>
      <c r="L229">
        <v>1</v>
      </c>
      <c r="M229">
        <v>1</v>
      </c>
      <c r="N229">
        <v>1</v>
      </c>
      <c r="O229">
        <v>1</v>
      </c>
      <c r="P229">
        <v>1</v>
      </c>
      <c r="Q229">
        <v>1</v>
      </c>
      <c r="S229" s="10">
        <v>753.39119261820542</v>
      </c>
      <c r="T229">
        <f t="shared" si="13"/>
        <v>75.339119261820542</v>
      </c>
      <c r="U229">
        <f t="shared" si="14"/>
        <v>74.436232080740979</v>
      </c>
      <c r="AB229">
        <f t="shared" si="15"/>
        <v>1852</v>
      </c>
      <c r="AD229">
        <f t="shared" si="10"/>
        <v>114.12484556697899</v>
      </c>
      <c r="AH229">
        <f t="shared" si="16"/>
        <v>114.12484556697899</v>
      </c>
      <c r="AI229">
        <f t="shared" si="11"/>
        <v>1177.4331389903555</v>
      </c>
      <c r="AL229" s="87">
        <f t="shared" si="17"/>
        <v>114.12484556697899</v>
      </c>
      <c r="AM229" s="87">
        <f t="shared" si="12"/>
        <v>1178.0907563163112</v>
      </c>
      <c r="AW229" s="35"/>
      <c r="DW229" s="57"/>
      <c r="EO229" s="15"/>
    </row>
    <row r="230" spans="1:145" x14ac:dyDescent="0.2">
      <c r="A230">
        <f t="shared" si="7"/>
        <v>1853</v>
      </c>
      <c r="D230" s="63"/>
      <c r="E230" s="18"/>
      <c r="F230">
        <f t="shared" si="9"/>
        <v>1853</v>
      </c>
      <c r="G230">
        <v>1</v>
      </c>
      <c r="H230">
        <v>1</v>
      </c>
      <c r="I230">
        <v>1</v>
      </c>
      <c r="J230">
        <v>1</v>
      </c>
      <c r="K230">
        <v>1</v>
      </c>
      <c r="L230">
        <v>1</v>
      </c>
      <c r="M230">
        <v>1</v>
      </c>
      <c r="N230">
        <v>1</v>
      </c>
      <c r="O230">
        <v>1</v>
      </c>
      <c r="P230">
        <v>1</v>
      </c>
      <c r="Q230">
        <v>1</v>
      </c>
      <c r="S230" s="10">
        <v>767.11428902224611</v>
      </c>
      <c r="T230">
        <f t="shared" si="13"/>
        <v>76.711428902224611</v>
      </c>
      <c r="U230">
        <f t="shared" si="14"/>
        <v>75.888043117982164</v>
      </c>
      <c r="AB230">
        <f t="shared" si="15"/>
        <v>1853</v>
      </c>
      <c r="AD230">
        <f t="shared" si="10"/>
        <v>116.35074692960929</v>
      </c>
      <c r="AH230">
        <f t="shared" si="16"/>
        <v>116.35074692960929</v>
      </c>
      <c r="AI230">
        <f t="shared" si="11"/>
        <v>1293.6822436936266</v>
      </c>
      <c r="AL230" s="87">
        <f t="shared" si="17"/>
        <v>116.35074692960929</v>
      </c>
      <c r="AM230" s="87">
        <f t="shared" si="12"/>
        <v>1294.3255924529483</v>
      </c>
      <c r="AW230" s="35"/>
      <c r="DW230" s="57"/>
      <c r="EO230" s="15"/>
    </row>
    <row r="231" spans="1:145" x14ac:dyDescent="0.2">
      <c r="A231">
        <f t="shared" si="7"/>
        <v>1854</v>
      </c>
      <c r="D231" s="63"/>
      <c r="E231" s="18"/>
      <c r="F231">
        <f t="shared" si="9"/>
        <v>1854</v>
      </c>
      <c r="G231">
        <v>1</v>
      </c>
      <c r="H231">
        <v>1</v>
      </c>
      <c r="I231">
        <v>1</v>
      </c>
      <c r="J231">
        <v>1</v>
      </c>
      <c r="K231">
        <v>1</v>
      </c>
      <c r="L231">
        <v>1</v>
      </c>
      <c r="M231">
        <v>1</v>
      </c>
      <c r="N231">
        <v>1</v>
      </c>
      <c r="O231">
        <v>1</v>
      </c>
      <c r="P231">
        <v>1</v>
      </c>
      <c r="Q231">
        <v>1</v>
      </c>
      <c r="S231" s="10">
        <v>779.41576109039829</v>
      </c>
      <c r="T231">
        <f t="shared" si="13"/>
        <v>77.941576109039829</v>
      </c>
      <c r="U231">
        <f t="shared" si="14"/>
        <v>77.20348778495071</v>
      </c>
      <c r="AB231">
        <f t="shared" si="15"/>
        <v>1854</v>
      </c>
      <c r="AD231">
        <f t="shared" ref="AD231:AD262" si="18">$U$415*U231</f>
        <v>118.36757281229032</v>
      </c>
      <c r="AH231">
        <f t="shared" si="16"/>
        <v>118.36757281229032</v>
      </c>
      <c r="AI231">
        <f t="shared" si="11"/>
        <v>1411.9151624397202</v>
      </c>
      <c r="AL231" s="87">
        <f t="shared" si="17"/>
        <v>118.36757281229032</v>
      </c>
      <c r="AM231" s="87">
        <f t="shared" si="12"/>
        <v>1412.5442143138248</v>
      </c>
      <c r="AW231" s="35"/>
      <c r="DW231" s="57"/>
      <c r="EO231" s="15"/>
    </row>
    <row r="232" spans="1:145" x14ac:dyDescent="0.2">
      <c r="A232">
        <f t="shared" ref="A232:A246" si="19">F232</f>
        <v>1855</v>
      </c>
      <c r="D232" s="63"/>
      <c r="E232" s="18"/>
      <c r="F232">
        <f t="shared" si="9"/>
        <v>1855</v>
      </c>
      <c r="G232">
        <v>1</v>
      </c>
      <c r="H232">
        <v>1</v>
      </c>
      <c r="I232">
        <v>1</v>
      </c>
      <c r="J232">
        <v>1</v>
      </c>
      <c r="K232">
        <v>1</v>
      </c>
      <c r="L232">
        <v>1</v>
      </c>
      <c r="M232">
        <v>1</v>
      </c>
      <c r="N232">
        <v>1</v>
      </c>
      <c r="O232">
        <v>1</v>
      </c>
      <c r="P232">
        <v>1</v>
      </c>
      <c r="Q232">
        <v>1</v>
      </c>
      <c r="S232" s="10">
        <v>790.19476562799036</v>
      </c>
      <c r="T232">
        <f t="shared" si="13"/>
        <v>79.019476562799042</v>
      </c>
      <c r="U232">
        <f t="shared" si="14"/>
        <v>78.372736290543514</v>
      </c>
      <c r="AB232">
        <f t="shared" si="15"/>
        <v>1855</v>
      </c>
      <c r="AD232">
        <f t="shared" si="18"/>
        <v>120.16025228302787</v>
      </c>
      <c r="AH232">
        <f t="shared" si="16"/>
        <v>120.16025228302787</v>
      </c>
      <c r="AI232">
        <f t="shared" si="11"/>
        <v>1531.9000937311016</v>
      </c>
      <c r="AL232" s="87">
        <f t="shared" si="17"/>
        <v>120.16025228302787</v>
      </c>
      <c r="AM232" s="87">
        <f t="shared" si="12"/>
        <v>1532.5148458672311</v>
      </c>
      <c r="AW232" s="35"/>
      <c r="DW232" s="57"/>
      <c r="EO232" s="15"/>
    </row>
    <row r="233" spans="1:145" x14ac:dyDescent="0.2">
      <c r="A233">
        <f t="shared" si="19"/>
        <v>1856</v>
      </c>
      <c r="D233" s="63"/>
      <c r="E233" s="18"/>
      <c r="F233">
        <f t="shared" si="9"/>
        <v>1856</v>
      </c>
      <c r="G233">
        <v>1</v>
      </c>
      <c r="H233">
        <v>1</v>
      </c>
      <c r="I233">
        <v>1</v>
      </c>
      <c r="J233">
        <v>1</v>
      </c>
      <c r="K233">
        <v>1</v>
      </c>
      <c r="L233">
        <v>1</v>
      </c>
      <c r="M233">
        <v>1</v>
      </c>
      <c r="N233">
        <v>1</v>
      </c>
      <c r="O233">
        <v>1</v>
      </c>
      <c r="P233">
        <v>1</v>
      </c>
      <c r="Q233">
        <v>1</v>
      </c>
      <c r="S233" s="10">
        <v>802.30656807102287</v>
      </c>
      <c r="T233">
        <f t="shared" si="13"/>
        <v>80.230656807102292</v>
      </c>
      <c r="U233">
        <f t="shared" si="14"/>
        <v>79.503948660520336</v>
      </c>
      <c r="AB233">
        <f t="shared" si="15"/>
        <v>1856</v>
      </c>
      <c r="AD233">
        <f t="shared" si="18"/>
        <v>121.89461515200043</v>
      </c>
      <c r="AH233">
        <f t="shared" si="16"/>
        <v>121.89461515200043</v>
      </c>
      <c r="AI233">
        <f t="shared" si="11"/>
        <v>1653.5699066865445</v>
      </c>
      <c r="AL233" s="87">
        <f t="shared" si="17"/>
        <v>121.89461515200043</v>
      </c>
      <c r="AM233" s="87">
        <f t="shared" si="12"/>
        <v>1654.1703809349083</v>
      </c>
      <c r="AW233" s="35"/>
      <c r="DW233" s="57"/>
      <c r="EO233" s="15"/>
    </row>
    <row r="234" spans="1:145" x14ac:dyDescent="0.2">
      <c r="A234">
        <f t="shared" si="19"/>
        <v>1857</v>
      </c>
      <c r="D234" s="63"/>
      <c r="E234" s="18"/>
      <c r="F234">
        <f t="shared" si="9"/>
        <v>1857</v>
      </c>
      <c r="G234">
        <v>1</v>
      </c>
      <c r="H234">
        <v>1</v>
      </c>
      <c r="I234">
        <v>1</v>
      </c>
      <c r="J234">
        <v>1</v>
      </c>
      <c r="K234">
        <v>1</v>
      </c>
      <c r="L234">
        <v>1</v>
      </c>
      <c r="M234">
        <v>1</v>
      </c>
      <c r="N234">
        <v>1</v>
      </c>
      <c r="O234">
        <v>1</v>
      </c>
      <c r="P234">
        <v>1</v>
      </c>
      <c r="Q234">
        <v>1</v>
      </c>
      <c r="S234" s="10">
        <v>820.2639095255455</v>
      </c>
      <c r="T234">
        <f t="shared" si="13"/>
        <v>82.02639095255455</v>
      </c>
      <c r="U234">
        <f t="shared" si="14"/>
        <v>80.94895046528319</v>
      </c>
      <c r="AB234">
        <f t="shared" si="15"/>
        <v>1857</v>
      </c>
      <c r="AD234">
        <f t="shared" si="18"/>
        <v>124.1100766712467</v>
      </c>
      <c r="AH234">
        <f t="shared" si="16"/>
        <v>124.1100766712467</v>
      </c>
      <c r="AI234">
        <f t="shared" si="11"/>
        <v>1777.3956383221171</v>
      </c>
      <c r="AL234" s="87">
        <f t="shared" si="17"/>
        <v>124.1100766712467</v>
      </c>
      <c r="AM234" s="87">
        <f t="shared" si="12"/>
        <v>1777.9818803405929</v>
      </c>
      <c r="AW234" s="35"/>
      <c r="DW234" s="57"/>
      <c r="EO234" s="15"/>
    </row>
    <row r="235" spans="1:145" x14ac:dyDescent="0.2">
      <c r="A235">
        <f t="shared" si="19"/>
        <v>1858</v>
      </c>
      <c r="D235" s="63"/>
      <c r="E235" s="18"/>
      <c r="F235">
        <f t="shared" si="9"/>
        <v>1858</v>
      </c>
      <c r="G235">
        <v>1</v>
      </c>
      <c r="H235">
        <v>1</v>
      </c>
      <c r="I235">
        <v>1</v>
      </c>
      <c r="J235">
        <v>1</v>
      </c>
      <c r="K235">
        <v>1</v>
      </c>
      <c r="L235">
        <v>1</v>
      </c>
      <c r="M235">
        <v>1</v>
      </c>
      <c r="N235">
        <v>1</v>
      </c>
      <c r="O235">
        <v>1</v>
      </c>
      <c r="P235">
        <v>1</v>
      </c>
      <c r="Q235">
        <v>1</v>
      </c>
      <c r="S235" s="10">
        <v>834.05313415918772</v>
      </c>
      <c r="T235">
        <f t="shared" si="13"/>
        <v>83.405313415918783</v>
      </c>
      <c r="U235">
        <f t="shared" si="14"/>
        <v>82.577959937900246</v>
      </c>
      <c r="AB235">
        <f t="shared" si="15"/>
        <v>1858</v>
      </c>
      <c r="AD235">
        <f t="shared" si="18"/>
        <v>126.60765680517812</v>
      </c>
      <c r="AH235">
        <f t="shared" si="16"/>
        <v>126.60765680517812</v>
      </c>
      <c r="AI235">
        <f t="shared" si="11"/>
        <v>1903.6480120308931</v>
      </c>
      <c r="AL235" s="87">
        <f t="shared" si="17"/>
        <v>126.60765680517812</v>
      </c>
      <c r="AM235" s="87">
        <f t="shared" si="12"/>
        <v>1904.2200902734437</v>
      </c>
      <c r="AW235" s="35"/>
      <c r="DW235" s="57"/>
      <c r="EO235" s="15"/>
    </row>
    <row r="236" spans="1:145" x14ac:dyDescent="0.2">
      <c r="A236">
        <f t="shared" si="19"/>
        <v>1859</v>
      </c>
      <c r="D236" s="63"/>
      <c r="E236" s="18"/>
      <c r="F236">
        <f t="shared" si="9"/>
        <v>1859</v>
      </c>
      <c r="G236">
        <v>1</v>
      </c>
      <c r="H236">
        <v>1</v>
      </c>
      <c r="I236">
        <v>1</v>
      </c>
      <c r="J236">
        <v>1</v>
      </c>
      <c r="K236">
        <v>1</v>
      </c>
      <c r="L236">
        <v>1</v>
      </c>
      <c r="M236">
        <v>1</v>
      </c>
      <c r="N236">
        <v>1</v>
      </c>
      <c r="O236">
        <v>1</v>
      </c>
      <c r="P236">
        <v>1</v>
      </c>
      <c r="Q236">
        <v>1</v>
      </c>
      <c r="S236" s="10">
        <v>849.32337962814381</v>
      </c>
      <c r="T236">
        <f t="shared" si="13"/>
        <v>84.932337962814387</v>
      </c>
      <c r="U236">
        <f t="shared" si="14"/>
        <v>84.016123234677025</v>
      </c>
      <c r="AB236">
        <f t="shared" si="15"/>
        <v>1859</v>
      </c>
      <c r="AD236">
        <f t="shared" si="18"/>
        <v>128.81263359614081</v>
      </c>
      <c r="AH236">
        <f t="shared" si="16"/>
        <v>128.81263359614081</v>
      </c>
      <c r="AI236">
        <f t="shared" si="11"/>
        <v>2032.0216116029917</v>
      </c>
      <c r="AL236" s="87">
        <f t="shared" si="17"/>
        <v>128.81263359614081</v>
      </c>
      <c r="AM236" s="87">
        <f t="shared" si="12"/>
        <v>2032.579616208475</v>
      </c>
      <c r="AW236" s="35"/>
      <c r="DW236" s="57"/>
      <c r="EO236" s="15"/>
    </row>
    <row r="237" spans="1:145" x14ac:dyDescent="0.2">
      <c r="A237">
        <f t="shared" si="19"/>
        <v>1860</v>
      </c>
      <c r="D237" s="63"/>
      <c r="E237" s="18"/>
      <c r="F237">
        <f t="shared" si="9"/>
        <v>1860</v>
      </c>
      <c r="G237">
        <v>1</v>
      </c>
      <c r="H237">
        <v>1</v>
      </c>
      <c r="I237">
        <v>1</v>
      </c>
      <c r="J237">
        <v>1</v>
      </c>
      <c r="K237">
        <v>1</v>
      </c>
      <c r="L237">
        <v>1</v>
      </c>
      <c r="M237">
        <v>1</v>
      </c>
      <c r="N237">
        <v>1</v>
      </c>
      <c r="O237">
        <v>1</v>
      </c>
      <c r="P237">
        <v>1</v>
      </c>
      <c r="Q237">
        <v>1</v>
      </c>
      <c r="S237" s="10">
        <v>866.15391023150335</v>
      </c>
      <c r="T237">
        <f t="shared" si="13"/>
        <v>86.615391023150337</v>
      </c>
      <c r="U237">
        <f t="shared" si="14"/>
        <v>85.605559186948767</v>
      </c>
      <c r="AB237">
        <f t="shared" si="15"/>
        <v>1860</v>
      </c>
      <c r="AD237">
        <f t="shared" si="18"/>
        <v>131.24954002626291</v>
      </c>
      <c r="AH237">
        <f t="shared" si="16"/>
        <v>131.24954002626291</v>
      </c>
      <c r="AI237">
        <f t="shared" si="11"/>
        <v>2162.7340544966705</v>
      </c>
      <c r="AL237" s="87">
        <f t="shared" si="17"/>
        <v>131.24954002626291</v>
      </c>
      <c r="AM237" s="87">
        <f t="shared" si="12"/>
        <v>2163.2780960948953</v>
      </c>
      <c r="AW237" s="35"/>
      <c r="DW237" s="57"/>
      <c r="EO237" s="15"/>
    </row>
    <row r="238" spans="1:145" x14ac:dyDescent="0.2">
      <c r="A238">
        <f t="shared" si="19"/>
        <v>1861</v>
      </c>
      <c r="D238" s="63"/>
      <c r="E238" s="18"/>
      <c r="F238">
        <f t="shared" si="9"/>
        <v>1861</v>
      </c>
      <c r="G238">
        <v>1</v>
      </c>
      <c r="H238">
        <v>1</v>
      </c>
      <c r="I238">
        <v>1</v>
      </c>
      <c r="J238">
        <v>1</v>
      </c>
      <c r="K238">
        <v>1</v>
      </c>
      <c r="L238">
        <v>1</v>
      </c>
      <c r="M238">
        <v>1</v>
      </c>
      <c r="N238">
        <v>1</v>
      </c>
      <c r="O238">
        <v>1</v>
      </c>
      <c r="P238">
        <v>1</v>
      </c>
      <c r="Q238">
        <v>1</v>
      </c>
      <c r="S238" s="10">
        <v>884.62776201143924</v>
      </c>
      <c r="T238">
        <f t="shared" si="13"/>
        <v>88.462776201143924</v>
      </c>
      <c r="U238">
        <f t="shared" si="14"/>
        <v>87.354345094347764</v>
      </c>
      <c r="AB238">
        <f t="shared" si="15"/>
        <v>1861</v>
      </c>
      <c r="AD238">
        <f t="shared" si="18"/>
        <v>133.93076012610803</v>
      </c>
      <c r="AH238">
        <f t="shared" si="16"/>
        <v>133.93076012610803</v>
      </c>
      <c r="AI238">
        <f t="shared" si="11"/>
        <v>2296.0137642360896</v>
      </c>
      <c r="AL238" s="87">
        <f t="shared" si="17"/>
        <v>133.93076012610803</v>
      </c>
      <c r="AM238" s="87">
        <f t="shared" si="12"/>
        <v>2296.5439726878403</v>
      </c>
      <c r="AW238" s="35"/>
      <c r="DW238" s="57"/>
      <c r="EO238" s="15"/>
    </row>
    <row r="239" spans="1:145" x14ac:dyDescent="0.2">
      <c r="A239">
        <f t="shared" si="19"/>
        <v>1862</v>
      </c>
      <c r="D239" s="63"/>
      <c r="E239" s="18"/>
      <c r="F239">
        <f t="shared" si="9"/>
        <v>1862</v>
      </c>
      <c r="G239">
        <v>1</v>
      </c>
      <c r="H239">
        <v>1</v>
      </c>
      <c r="I239">
        <v>1</v>
      </c>
      <c r="J239">
        <v>1</v>
      </c>
      <c r="K239">
        <v>1</v>
      </c>
      <c r="L239">
        <v>1</v>
      </c>
      <c r="M239">
        <v>1</v>
      </c>
      <c r="N239">
        <v>1</v>
      </c>
      <c r="O239">
        <v>1</v>
      </c>
      <c r="P239">
        <v>1</v>
      </c>
      <c r="Q239">
        <v>1</v>
      </c>
      <c r="S239" s="10">
        <v>888.73696186569964</v>
      </c>
      <c r="T239">
        <f t="shared" si="13"/>
        <v>88.873696186569973</v>
      </c>
      <c r="U239">
        <f t="shared" si="14"/>
        <v>88.627144195314344</v>
      </c>
      <c r="AB239">
        <f t="shared" si="15"/>
        <v>1862</v>
      </c>
      <c r="AD239">
        <f t="shared" si="18"/>
        <v>135.88220227699551</v>
      </c>
      <c r="AH239">
        <f t="shared" si="16"/>
        <v>135.88220227699551</v>
      </c>
      <c r="AI239">
        <f t="shared" si="11"/>
        <v>2431.1134198093346</v>
      </c>
      <c r="AL239" s="87">
        <f t="shared" si="17"/>
        <v>135.88220227699551</v>
      </c>
      <c r="AM239" s="87">
        <f t="shared" si="12"/>
        <v>2431.6299428966731</v>
      </c>
      <c r="AW239" s="35"/>
      <c r="DW239" s="57"/>
      <c r="EO239" s="15"/>
    </row>
    <row r="240" spans="1:145" x14ac:dyDescent="0.2">
      <c r="A240">
        <f t="shared" si="19"/>
        <v>1863</v>
      </c>
      <c r="D240" s="63"/>
      <c r="E240" s="18"/>
      <c r="F240">
        <f t="shared" si="9"/>
        <v>1863</v>
      </c>
      <c r="G240">
        <v>1</v>
      </c>
      <c r="H240">
        <v>1</v>
      </c>
      <c r="I240">
        <v>1</v>
      </c>
      <c r="J240">
        <v>1</v>
      </c>
      <c r="K240">
        <v>1</v>
      </c>
      <c r="L240">
        <v>1</v>
      </c>
      <c r="M240">
        <v>1</v>
      </c>
      <c r="N240">
        <v>1</v>
      </c>
      <c r="O240">
        <v>1</v>
      </c>
      <c r="P240">
        <v>1</v>
      </c>
      <c r="Q240">
        <v>1</v>
      </c>
      <c r="S240" s="10">
        <v>889.31869333796158</v>
      </c>
      <c r="T240">
        <f t="shared" si="13"/>
        <v>88.931869333796158</v>
      </c>
      <c r="U240">
        <f t="shared" si="14"/>
        <v>88.896965445460438</v>
      </c>
      <c r="AB240">
        <f t="shared" si="15"/>
        <v>1863</v>
      </c>
      <c r="AD240">
        <f t="shared" si="18"/>
        <v>136.29588937053634</v>
      </c>
      <c r="AH240">
        <f t="shared" si="16"/>
        <v>136.29588937053634</v>
      </c>
      <c r="AI240">
        <f t="shared" si="11"/>
        <v>2566.4759994735723</v>
      </c>
      <c r="AL240" s="87">
        <f t="shared" si="17"/>
        <v>136.29588937053634</v>
      </c>
      <c r="AM240" s="87">
        <f t="shared" si="12"/>
        <v>2566.9790015560634</v>
      </c>
      <c r="AW240" s="35"/>
      <c r="DW240" s="57"/>
      <c r="EO240" s="15"/>
    </row>
    <row r="241" spans="1:150" x14ac:dyDescent="0.2">
      <c r="A241">
        <f t="shared" si="19"/>
        <v>1864</v>
      </c>
      <c r="D241" s="63"/>
      <c r="E241" s="18"/>
      <c r="F241">
        <f t="shared" si="9"/>
        <v>1864</v>
      </c>
      <c r="G241">
        <v>1</v>
      </c>
      <c r="H241">
        <v>1</v>
      </c>
      <c r="I241">
        <v>1</v>
      </c>
      <c r="J241">
        <v>1</v>
      </c>
      <c r="K241">
        <v>1</v>
      </c>
      <c r="L241">
        <v>1</v>
      </c>
      <c r="M241">
        <v>1</v>
      </c>
      <c r="N241">
        <v>1</v>
      </c>
      <c r="O241">
        <v>1</v>
      </c>
      <c r="P241">
        <v>1</v>
      </c>
      <c r="Q241">
        <v>1</v>
      </c>
      <c r="S241" s="10">
        <v>886.19810868721106</v>
      </c>
      <c r="T241">
        <f t="shared" si="13"/>
        <v>88.619810868721117</v>
      </c>
      <c r="U241">
        <f t="shared" si="14"/>
        <v>88.807045947766142</v>
      </c>
      <c r="AB241">
        <f t="shared" si="15"/>
        <v>1864</v>
      </c>
      <c r="AD241">
        <f t="shared" si="18"/>
        <v>136.15802574551176</v>
      </c>
      <c r="AH241">
        <f t="shared" si="16"/>
        <v>136.15802574551176</v>
      </c>
      <c r="AI241">
        <f t="shared" si="11"/>
        <v>2701.5288968508694</v>
      </c>
      <c r="AL241" s="87">
        <f t="shared" si="17"/>
        <v>136.15802574551176</v>
      </c>
      <c r="AM241" s="87">
        <f t="shared" si="12"/>
        <v>2702.0185575025143</v>
      </c>
      <c r="AW241" s="35"/>
      <c r="DW241" s="57"/>
      <c r="EO241" s="15"/>
    </row>
    <row r="242" spans="1:150" x14ac:dyDescent="0.2">
      <c r="A242">
        <f t="shared" si="19"/>
        <v>1865</v>
      </c>
      <c r="D242" s="63"/>
      <c r="E242" s="18"/>
      <c r="F242">
        <f t="shared" si="9"/>
        <v>1865</v>
      </c>
      <c r="G242">
        <v>1</v>
      </c>
      <c r="H242">
        <v>1</v>
      </c>
      <c r="I242">
        <v>1</v>
      </c>
      <c r="J242">
        <v>1</v>
      </c>
      <c r="K242">
        <v>1</v>
      </c>
      <c r="L242">
        <v>1</v>
      </c>
      <c r="M242">
        <v>1</v>
      </c>
      <c r="N242">
        <v>1</v>
      </c>
      <c r="O242">
        <v>1</v>
      </c>
      <c r="P242">
        <v>1</v>
      </c>
      <c r="Q242">
        <v>1</v>
      </c>
      <c r="S242" s="10">
        <v>879.19398499042859</v>
      </c>
      <c r="T242">
        <f t="shared" si="13"/>
        <v>87.91939849904287</v>
      </c>
      <c r="U242">
        <f t="shared" si="14"/>
        <v>88.339645920849819</v>
      </c>
      <c r="AB242">
        <f t="shared" si="15"/>
        <v>1865</v>
      </c>
      <c r="AD242">
        <f t="shared" si="18"/>
        <v>135.44141295629953</v>
      </c>
      <c r="AH242">
        <f t="shared" si="16"/>
        <v>135.44141295629953</v>
      </c>
      <c r="AI242">
        <f t="shared" si="11"/>
        <v>2835.670460054976</v>
      </c>
      <c r="AL242" s="87">
        <f t="shared" si="17"/>
        <v>135.44141295629953</v>
      </c>
      <c r="AM242" s="87">
        <f t="shared" si="12"/>
        <v>2836.1469726956093</v>
      </c>
      <c r="AW242" s="35"/>
      <c r="DW242" s="57"/>
      <c r="EO242" s="15"/>
    </row>
    <row r="243" spans="1:150" x14ac:dyDescent="0.2">
      <c r="A243">
        <f t="shared" si="19"/>
        <v>1866</v>
      </c>
      <c r="D243" s="63"/>
      <c r="E243" s="18"/>
      <c r="F243">
        <f>F242+1</f>
        <v>1866</v>
      </c>
      <c r="G243">
        <v>1</v>
      </c>
      <c r="H243">
        <v>1</v>
      </c>
      <c r="I243">
        <v>1</v>
      </c>
      <c r="J243">
        <v>1</v>
      </c>
      <c r="K243">
        <v>1</v>
      </c>
      <c r="L243">
        <v>1</v>
      </c>
      <c r="M243">
        <v>1</v>
      </c>
      <c r="N243">
        <v>1</v>
      </c>
      <c r="O243">
        <v>1</v>
      </c>
      <c r="P243">
        <v>1</v>
      </c>
      <c r="Q243">
        <v>1</v>
      </c>
      <c r="S243" s="10">
        <v>874.40874906977376</v>
      </c>
      <c r="T243">
        <f t="shared" si="13"/>
        <v>87.440874906977385</v>
      </c>
      <c r="U243">
        <f t="shared" si="14"/>
        <v>87.727989062216679</v>
      </c>
      <c r="AB243">
        <f t="shared" si="15"/>
        <v>1866</v>
      </c>
      <c r="AD243">
        <f t="shared" si="18"/>
        <v>134.50362711491289</v>
      </c>
      <c r="AH243">
        <f t="shared" si="16"/>
        <v>134.50362711491289</v>
      </c>
      <c r="AI243">
        <f t="shared" si="11"/>
        <v>2968.6547172000169</v>
      </c>
      <c r="AL243" s="87">
        <f t="shared" si="17"/>
        <v>134.50362711491289</v>
      </c>
      <c r="AM243" s="87">
        <f t="shared" si="12"/>
        <v>2969.1182877337637</v>
      </c>
      <c r="AW243" s="35"/>
      <c r="DW243" s="57"/>
      <c r="EO243" s="15"/>
    </row>
    <row r="244" spans="1:150" x14ac:dyDescent="0.2">
      <c r="A244">
        <f t="shared" si="19"/>
        <v>1867</v>
      </c>
      <c r="D244" s="63"/>
      <c r="E244" s="18"/>
      <c r="F244">
        <f>F243+1</f>
        <v>1867</v>
      </c>
      <c r="G244">
        <v>1</v>
      </c>
      <c r="H244">
        <v>1</v>
      </c>
      <c r="I244">
        <v>1</v>
      </c>
      <c r="J244">
        <v>1</v>
      </c>
      <c r="K244">
        <v>1</v>
      </c>
      <c r="L244">
        <v>1</v>
      </c>
      <c r="M244">
        <v>1</v>
      </c>
      <c r="N244">
        <v>1</v>
      </c>
      <c r="O244">
        <v>1</v>
      </c>
      <c r="P244">
        <v>1</v>
      </c>
      <c r="Q244">
        <v>1</v>
      </c>
      <c r="S244" s="10">
        <v>881.39362604272696</v>
      </c>
      <c r="T244">
        <f t="shared" si="13"/>
        <v>88.139362604272705</v>
      </c>
      <c r="U244">
        <f t="shared" si="14"/>
        <v>87.720269985895513</v>
      </c>
      <c r="AB244">
        <f t="shared" si="15"/>
        <v>1867</v>
      </c>
      <c r="AD244">
        <f t="shared" si="18"/>
        <v>134.4917923085498</v>
      </c>
      <c r="AH244">
        <f t="shared" si="16"/>
        <v>134.4917923085498</v>
      </c>
      <c r="AI244">
        <f t="shared" si="11"/>
        <v>3101.3808857077197</v>
      </c>
      <c r="AL244" s="87">
        <f t="shared" si="17"/>
        <v>134.4917923085498</v>
      </c>
      <c r="AM244" s="87">
        <f t="shared" si="12"/>
        <v>3101.8317311798742</v>
      </c>
      <c r="AW244" s="35"/>
      <c r="DW244" s="57"/>
      <c r="EO244" s="15"/>
    </row>
    <row r="245" spans="1:150" x14ac:dyDescent="0.2">
      <c r="A245">
        <f t="shared" si="19"/>
        <v>1868</v>
      </c>
      <c r="D245" s="63"/>
      <c r="E245" s="18"/>
      <c r="F245">
        <f>F244+1</f>
        <v>1868</v>
      </c>
      <c r="G245">
        <v>1</v>
      </c>
      <c r="H245">
        <v>1</v>
      </c>
      <c r="I245">
        <v>1</v>
      </c>
      <c r="J245">
        <v>1</v>
      </c>
      <c r="K245">
        <v>1</v>
      </c>
      <c r="L245">
        <v>1</v>
      </c>
      <c r="M245">
        <v>1</v>
      </c>
      <c r="N245">
        <v>1</v>
      </c>
      <c r="O245">
        <v>1</v>
      </c>
      <c r="P245">
        <v>1</v>
      </c>
      <c r="Q245">
        <v>1</v>
      </c>
      <c r="S245" s="10">
        <v>878.71867644482973</v>
      </c>
      <c r="T245">
        <f t="shared" si="13"/>
        <v>87.871867644482975</v>
      </c>
      <c r="U245">
        <f t="shared" si="14"/>
        <v>88.032364620356816</v>
      </c>
      <c r="AB245">
        <f t="shared" si="15"/>
        <v>1868</v>
      </c>
      <c r="AD245">
        <f t="shared" si="18"/>
        <v>134.97029250884935</v>
      </c>
      <c r="AH245">
        <f t="shared" si="16"/>
        <v>134.97029250884935</v>
      </c>
      <c r="AI245">
        <f t="shared" si="11"/>
        <v>3234.3106050088622</v>
      </c>
      <c r="AL245" s="87">
        <f t="shared" si="17"/>
        <v>134.97029250884935</v>
      </c>
      <c r="AM245" s="87">
        <f t="shared" si="12"/>
        <v>3234.7489522912542</v>
      </c>
      <c r="AR245" s="2" t="s">
        <v>460</v>
      </c>
      <c r="AS245" s="2"/>
      <c r="AW245" s="35"/>
      <c r="DW245" s="57"/>
      <c r="EO245" s="15"/>
    </row>
    <row r="246" spans="1:150" x14ac:dyDescent="0.2">
      <c r="A246">
        <f t="shared" si="19"/>
        <v>1869</v>
      </c>
      <c r="D246" s="63"/>
      <c r="E246" s="18"/>
      <c r="F246">
        <f>F245+1</f>
        <v>1869</v>
      </c>
      <c r="G246">
        <v>1</v>
      </c>
      <c r="H246">
        <v>1</v>
      </c>
      <c r="I246">
        <v>1</v>
      </c>
      <c r="J246">
        <v>1</v>
      </c>
      <c r="K246">
        <v>1</v>
      </c>
      <c r="L246">
        <v>1</v>
      </c>
      <c r="M246">
        <v>1</v>
      </c>
      <c r="N246">
        <v>1</v>
      </c>
      <c r="O246">
        <v>1</v>
      </c>
      <c r="P246">
        <v>1</v>
      </c>
      <c r="Q246">
        <v>1</v>
      </c>
      <c r="S246" s="10">
        <v>878.48545881749453</v>
      </c>
      <c r="T246">
        <f t="shared" si="13"/>
        <v>87.848545881749459</v>
      </c>
      <c r="U246">
        <f t="shared" si="14"/>
        <v>87.862538939389566</v>
      </c>
      <c r="AB246">
        <f t="shared" si="15"/>
        <v>1869</v>
      </c>
      <c r="AD246">
        <f t="shared" si="18"/>
        <v>134.70991756680942</v>
      </c>
      <c r="AH246">
        <f t="shared" si="16"/>
        <v>134.70991756680942</v>
      </c>
      <c r="AI246">
        <f t="shared" si="11"/>
        <v>3366.6743271295491</v>
      </c>
      <c r="AL246" s="87">
        <f t="shared" si="17"/>
        <v>134.70991756680942</v>
      </c>
      <c r="AM246" s="87">
        <f t="shared" si="12"/>
        <v>3367.1004116431459</v>
      </c>
      <c r="AW246" s="35"/>
      <c r="BU246" t="s">
        <v>438</v>
      </c>
      <c r="DW246" s="57"/>
      <c r="EO246" s="15"/>
    </row>
    <row r="247" spans="1:150" x14ac:dyDescent="0.2">
      <c r="A247">
        <f>F247</f>
        <v>1870</v>
      </c>
      <c r="C247">
        <v>150</v>
      </c>
      <c r="D247" s="63">
        <f>PRODUCT(1/(1+(C247/$C$4)^$C$3))</f>
        <v>5.6621888089316952E-2</v>
      </c>
      <c r="E247" s="18">
        <f>1/D247</f>
        <v>17.661014737314517</v>
      </c>
      <c r="F247">
        <v>1870</v>
      </c>
      <c r="G247">
        <v>1</v>
      </c>
      <c r="H247">
        <v>1</v>
      </c>
      <c r="I247">
        <v>1</v>
      </c>
      <c r="J247">
        <v>1</v>
      </c>
      <c r="K247">
        <v>1</v>
      </c>
      <c r="L247">
        <v>1</v>
      </c>
      <c r="M247">
        <v>1</v>
      </c>
      <c r="N247">
        <v>1</v>
      </c>
      <c r="O247">
        <v>1</v>
      </c>
      <c r="P247">
        <v>1</v>
      </c>
      <c r="Q247">
        <v>1</v>
      </c>
      <c r="S247" s="10">
        <v>880.81812453235602</v>
      </c>
      <c r="T247">
        <f t="shared" si="13"/>
        <v>88.081812453235614</v>
      </c>
      <c r="U247">
        <f t="shared" si="14"/>
        <v>87.941852510343921</v>
      </c>
      <c r="AB247">
        <f>F247</f>
        <v>1870</v>
      </c>
      <c r="AD247">
        <f t="shared" si="18"/>
        <v>134.83152029687122</v>
      </c>
      <c r="AE247">
        <f>AD247</f>
        <v>134.83152029687122</v>
      </c>
      <c r="AH247">
        <f>AD247</f>
        <v>134.83152029687122</v>
      </c>
      <c r="AI247">
        <f t="shared" si="11"/>
        <v>3498.8213764341053</v>
      </c>
      <c r="AL247" s="87">
        <f t="shared" si="17"/>
        <v>134.83152029687122</v>
      </c>
      <c r="AM247" s="87">
        <f t="shared" si="12"/>
        <v>3499.2354409163077</v>
      </c>
      <c r="AW247" s="35"/>
      <c r="AX247">
        <v>11</v>
      </c>
      <c r="AZ247">
        <v>1870</v>
      </c>
      <c r="BA247">
        <v>281.19636341949229</v>
      </c>
      <c r="BB247">
        <v>281.19636341949229</v>
      </c>
      <c r="BE247">
        <v>281.19636341949229</v>
      </c>
      <c r="BF247">
        <v>281.19636341949229</v>
      </c>
      <c r="BI247">
        <v>281.19636341949229</v>
      </c>
      <c r="BJ247">
        <v>281.19636341949229</v>
      </c>
      <c r="BT247">
        <v>0</v>
      </c>
      <c r="BU247">
        <f>D397</f>
        <v>1</v>
      </c>
      <c r="BV247">
        <v>1</v>
      </c>
      <c r="DW247" s="57"/>
      <c r="EO247" s="15"/>
    </row>
    <row r="248" spans="1:150" x14ac:dyDescent="0.2">
      <c r="A248">
        <f t="shared" ref="A248:A278" si="20">F248</f>
        <v>1871</v>
      </c>
      <c r="C248">
        <f>C247-1</f>
        <v>149</v>
      </c>
      <c r="D248" s="63">
        <f t="shared" ref="D248:D278" si="21">PRODUCT(1/(1+(C248/$C$4)^$C$3))</f>
        <v>5.8039899527596077E-2</v>
      </c>
      <c r="E248" s="18">
        <f t="shared" ref="E248:E278" si="22">1/D248</f>
        <v>17.22952672453426</v>
      </c>
      <c r="F248">
        <f>F247+1</f>
        <v>1871</v>
      </c>
      <c r="G248">
        <v>1</v>
      </c>
      <c r="H248">
        <v>1</v>
      </c>
      <c r="I248">
        <v>1</v>
      </c>
      <c r="J248">
        <v>1</v>
      </c>
      <c r="K248">
        <v>1</v>
      </c>
      <c r="L248">
        <v>1</v>
      </c>
      <c r="M248">
        <v>1</v>
      </c>
      <c r="N248">
        <v>1</v>
      </c>
      <c r="O248">
        <v>1</v>
      </c>
      <c r="P248">
        <v>1</v>
      </c>
      <c r="Q248">
        <v>1</v>
      </c>
      <c r="S248" s="10">
        <v>885.84539811933553</v>
      </c>
      <c r="T248">
        <f t="shared" si="13"/>
        <v>88.584539811933553</v>
      </c>
      <c r="U248">
        <f t="shared" si="14"/>
        <v>88.282903396714786</v>
      </c>
      <c r="AB248">
        <f t="shared" ref="AB248:AB278" si="23">F248</f>
        <v>1871</v>
      </c>
      <c r="AD248">
        <f t="shared" si="18"/>
        <v>135.35441591704898</v>
      </c>
      <c r="AH248">
        <f t="shared" ref="AH248:AH278" si="24">AD248</f>
        <v>135.35441591704898</v>
      </c>
      <c r="AI248">
        <f t="shared" ref="AI248:AI279" si="25">SUMPRODUCT($D$247:$D$397,AH98:AH248)</f>
        <v>3631.118421784101</v>
      </c>
      <c r="AL248" s="87">
        <f t="shared" si="17"/>
        <v>135.35441591704898</v>
      </c>
      <c r="AM248" s="87">
        <f t="shared" ref="AM248:AM279" si="26">SUMPRODUCT($D$247:$D$397,AL98:AL248)</f>
        <v>3631.520715106918</v>
      </c>
      <c r="AO248" s="19">
        <f>AM248-AM247-AL248</f>
        <v>-3.0691417264386018</v>
      </c>
      <c r="AP248" s="23">
        <f t="shared" ref="AP248:AP279" si="27">(-AO248/AM248)</f>
        <v>8.4513953443006624E-4</v>
      </c>
      <c r="AQ248" s="23"/>
      <c r="AR248" s="23"/>
      <c r="AS248" s="23"/>
      <c r="AT248" s="23"/>
      <c r="AU248" s="23"/>
      <c r="AW248" s="35"/>
      <c r="AX248">
        <v>11</v>
      </c>
      <c r="AZ248">
        <v>1871</v>
      </c>
      <c r="BA248">
        <v>281.19636341949229</v>
      </c>
      <c r="BB248">
        <v>561.19827519275555</v>
      </c>
      <c r="BE248">
        <v>281.19636341949229</v>
      </c>
      <c r="BF248">
        <v>561.19827519275555</v>
      </c>
      <c r="BI248">
        <v>281.19636341949229</v>
      </c>
      <c r="BJ248">
        <v>561.19827519275555</v>
      </c>
      <c r="BL248">
        <v>-1.1944516462290267</v>
      </c>
      <c r="BM248">
        <v>2.1283950771565836E-3</v>
      </c>
      <c r="BT248">
        <f>BT247</f>
        <v>0</v>
      </c>
      <c r="BU248" s="77">
        <f>D396</f>
        <v>0.99999995153718368</v>
      </c>
      <c r="BV248">
        <v>0.99575225073431317</v>
      </c>
      <c r="DW248" s="57"/>
      <c r="EA248">
        <f t="shared" ref="EA248:EA279" si="28">$H$434*H248</f>
        <v>111.07451709166814</v>
      </c>
      <c r="EB248" t="e">
        <f>SUMPRODUCT($D396:$D$397,EA$10:EA248)</f>
        <v>#VALUE!</v>
      </c>
      <c r="EO248" s="15"/>
      <c r="ES248">
        <f t="shared" ref="ES248:ES279" si="29">$L$434*L248</f>
        <v>53.296902043985135</v>
      </c>
      <c r="ET248" t="e">
        <f>SUMPRODUCT($D396:$D$397,ES$10:ES248)</f>
        <v>#VALUE!</v>
      </c>
    </row>
    <row r="249" spans="1:150" x14ac:dyDescent="0.2">
      <c r="A249">
        <f t="shared" si="20"/>
        <v>1872</v>
      </c>
      <c r="C249">
        <f t="shared" ref="C249:C279" si="30">C248-1</f>
        <v>148</v>
      </c>
      <c r="D249" s="63">
        <f t="shared" si="21"/>
        <v>5.9501070835165246E-2</v>
      </c>
      <c r="E249" s="18">
        <f t="shared" si="22"/>
        <v>16.806420220071033</v>
      </c>
      <c r="F249">
        <f t="shared" ref="F249:F279" si="31">F248+1</f>
        <v>1872</v>
      </c>
      <c r="G249">
        <v>1</v>
      </c>
      <c r="H249">
        <v>1</v>
      </c>
      <c r="I249">
        <v>1</v>
      </c>
      <c r="J249">
        <v>1</v>
      </c>
      <c r="K249">
        <v>1</v>
      </c>
      <c r="L249">
        <v>1</v>
      </c>
      <c r="M249">
        <v>1</v>
      </c>
      <c r="N249">
        <v>1</v>
      </c>
      <c r="O249">
        <v>1</v>
      </c>
      <c r="P249">
        <v>1</v>
      </c>
      <c r="Q249">
        <v>1</v>
      </c>
      <c r="S249" s="10">
        <v>927.01637236997203</v>
      </c>
      <c r="T249">
        <f t="shared" si="13"/>
        <v>92.701637236997215</v>
      </c>
      <c r="U249">
        <f t="shared" si="14"/>
        <v>90.231378781959023</v>
      </c>
      <c r="AB249">
        <f t="shared" si="23"/>
        <v>1872</v>
      </c>
      <c r="AD249">
        <f t="shared" si="18"/>
        <v>138.34179781718137</v>
      </c>
      <c r="AH249">
        <f t="shared" si="24"/>
        <v>138.34179781718137</v>
      </c>
      <c r="AI249">
        <f t="shared" si="25"/>
        <v>3765.9933782749949</v>
      </c>
      <c r="AL249" s="87">
        <f t="shared" si="17"/>
        <v>138.34179781718137</v>
      </c>
      <c r="AM249" s="87">
        <f t="shared" si="26"/>
        <v>3766.3841543190638</v>
      </c>
      <c r="AO249" s="19">
        <f t="shared" ref="AO249:AO279" si="32">AM249-AM248-AL249</f>
        <v>-3.4783586050356234</v>
      </c>
      <c r="AP249" s="23">
        <f t="shared" si="27"/>
        <v>9.2352730431038217E-4</v>
      </c>
      <c r="AQ249" s="23"/>
      <c r="AR249" s="23"/>
      <c r="AS249" s="23"/>
      <c r="AT249" s="23"/>
      <c r="AU249" s="23"/>
      <c r="AW249" s="35"/>
      <c r="AX249">
        <v>11</v>
      </c>
      <c r="AZ249">
        <v>1872</v>
      </c>
      <c r="BA249">
        <v>281.19636341949229</v>
      </c>
      <c r="BB249">
        <v>839.98864474010679</v>
      </c>
      <c r="BE249">
        <v>281.19636341949229</v>
      </c>
      <c r="BF249">
        <v>839.98864474010679</v>
      </c>
      <c r="BI249">
        <v>281.19636341949229</v>
      </c>
      <c r="BJ249">
        <v>839.98864474010679</v>
      </c>
      <c r="BL249">
        <v>-2.405993872141039</v>
      </c>
      <c r="BM249">
        <v>2.864317139531637E-3</v>
      </c>
      <c r="BT249">
        <f t="shared" ref="BT249:BT279" si="33">BT248+1</f>
        <v>1</v>
      </c>
      <c r="BU249">
        <f>D395</f>
        <v>0.99999926501576142</v>
      </c>
      <c r="BV249">
        <v>0.99144372337222697</v>
      </c>
      <c r="DW249" s="57"/>
      <c r="EA249">
        <f t="shared" si="28"/>
        <v>111.07451709166814</v>
      </c>
      <c r="EB249" t="e">
        <f>SUMPRODUCT($D395:$D$397,EA$10:EA249)</f>
        <v>#VALUE!</v>
      </c>
      <c r="EO249" s="15"/>
      <c r="ES249">
        <f t="shared" si="29"/>
        <v>53.296902043985135</v>
      </c>
      <c r="ET249" t="e">
        <f>SUMPRODUCT($D395:$D$397,ES$10:ES249)</f>
        <v>#VALUE!</v>
      </c>
    </row>
    <row r="250" spans="1:150" x14ac:dyDescent="0.2">
      <c r="A250">
        <f t="shared" si="20"/>
        <v>1873</v>
      </c>
      <c r="C250">
        <f t="shared" si="30"/>
        <v>147</v>
      </c>
      <c r="D250" s="63">
        <f t="shared" si="21"/>
        <v>6.1006904062836577E-2</v>
      </c>
      <c r="E250" s="18">
        <f t="shared" si="22"/>
        <v>16.391587400829401</v>
      </c>
      <c r="F250">
        <f t="shared" si="31"/>
        <v>1873</v>
      </c>
      <c r="G250">
        <v>1</v>
      </c>
      <c r="H250">
        <v>1</v>
      </c>
      <c r="I250">
        <v>1</v>
      </c>
      <c r="J250">
        <v>1</v>
      </c>
      <c r="K250">
        <v>1</v>
      </c>
      <c r="L250">
        <v>1</v>
      </c>
      <c r="M250">
        <v>1</v>
      </c>
      <c r="N250">
        <v>1</v>
      </c>
      <c r="O250">
        <v>1</v>
      </c>
      <c r="P250">
        <v>1</v>
      </c>
      <c r="Q250">
        <v>1</v>
      </c>
      <c r="S250" s="10">
        <v>972.57930568816016</v>
      </c>
      <c r="T250">
        <f t="shared" si="13"/>
        <v>97.257930568816022</v>
      </c>
      <c r="U250">
        <f t="shared" si="14"/>
        <v>94.524154569724743</v>
      </c>
      <c r="AB250">
        <f t="shared" si="23"/>
        <v>1873</v>
      </c>
      <c r="AD250">
        <f t="shared" si="18"/>
        <v>144.92343635714698</v>
      </c>
      <c r="AH250">
        <f t="shared" si="24"/>
        <v>144.92343635714698</v>
      </c>
      <c r="AI250">
        <f t="shared" si="25"/>
        <v>3907.0020217482011</v>
      </c>
      <c r="AL250" s="87">
        <f t="shared" si="17"/>
        <v>144.92343635714698</v>
      </c>
      <c r="AM250" s="87">
        <f t="shared" si="26"/>
        <v>3907.3815383364758</v>
      </c>
      <c r="AO250" s="19">
        <f t="shared" si="32"/>
        <v>-3.9260523397349232</v>
      </c>
      <c r="AP250" s="23">
        <f t="shared" si="27"/>
        <v>1.0047783409977405E-3</v>
      </c>
      <c r="AQ250" s="23"/>
      <c r="AR250" s="23"/>
      <c r="AS250" s="23"/>
      <c r="AT250" s="23"/>
      <c r="AU250" s="23"/>
      <c r="AW250" s="35"/>
      <c r="AX250">
        <v>11</v>
      </c>
      <c r="AZ250">
        <v>1873</v>
      </c>
      <c r="BA250">
        <v>281.19636341949229</v>
      </c>
      <c r="BB250">
        <v>1117.5503337066975</v>
      </c>
      <c r="BE250">
        <v>281.19636341949229</v>
      </c>
      <c r="BF250">
        <v>1117.5503337066975</v>
      </c>
      <c r="BI250">
        <v>281.19636341949229</v>
      </c>
      <c r="BJ250">
        <v>1117.5503337066975</v>
      </c>
      <c r="BL250">
        <v>-3.6346744529015496</v>
      </c>
      <c r="BM250">
        <v>3.2523586126506176E-3</v>
      </c>
      <c r="BT250">
        <f t="shared" si="33"/>
        <v>2</v>
      </c>
      <c r="BU250">
        <f>D394</f>
        <v>0.99999639387101014</v>
      </c>
      <c r="BV250">
        <v>0.98707424801408483</v>
      </c>
      <c r="DW250" s="57"/>
      <c r="EA250">
        <f t="shared" si="28"/>
        <v>111.07451709166814</v>
      </c>
      <c r="EB250" t="e">
        <f>SUMPRODUCT($D394:$D$397,EA$10:EA250)</f>
        <v>#VALUE!</v>
      </c>
      <c r="EO250" s="15"/>
      <c r="ES250">
        <f t="shared" si="29"/>
        <v>53.296902043985135</v>
      </c>
      <c r="ET250" t="e">
        <f>SUMPRODUCT($D394:$D$397,ES$10:ES250)</f>
        <v>#VALUE!</v>
      </c>
    </row>
    <row r="251" spans="1:150" x14ac:dyDescent="0.2">
      <c r="A251">
        <f t="shared" si="20"/>
        <v>1874</v>
      </c>
      <c r="C251">
        <f t="shared" si="30"/>
        <v>146</v>
      </c>
      <c r="D251" s="63">
        <f t="shared" si="21"/>
        <v>6.2558957462166317E-2</v>
      </c>
      <c r="E251" s="18">
        <f t="shared" si="22"/>
        <v>15.984921113891138</v>
      </c>
      <c r="F251">
        <f t="shared" si="31"/>
        <v>1874</v>
      </c>
      <c r="G251">
        <v>1</v>
      </c>
      <c r="H251">
        <v>1</v>
      </c>
      <c r="I251">
        <v>1</v>
      </c>
      <c r="J251">
        <v>1</v>
      </c>
      <c r="K251">
        <v>1</v>
      </c>
      <c r="L251">
        <v>1</v>
      </c>
      <c r="M251">
        <v>1</v>
      </c>
      <c r="N251">
        <v>1</v>
      </c>
      <c r="O251">
        <v>1</v>
      </c>
      <c r="P251">
        <v>1</v>
      </c>
      <c r="Q251">
        <v>1</v>
      </c>
      <c r="S251" s="10">
        <v>1022.7218068344846</v>
      </c>
      <c r="T251">
        <f t="shared" si="13"/>
        <v>102.27218068344847</v>
      </c>
      <c r="U251">
        <f t="shared" si="14"/>
        <v>99.263630614668998</v>
      </c>
      <c r="AB251">
        <f t="shared" si="23"/>
        <v>1874</v>
      </c>
      <c r="AD251">
        <f t="shared" si="18"/>
        <v>152.18995101778904</v>
      </c>
      <c r="AH251">
        <f t="shared" si="24"/>
        <v>152.18995101778904</v>
      </c>
      <c r="AI251">
        <f t="shared" si="25"/>
        <v>4054.7888884133868</v>
      </c>
      <c r="AL251" s="87">
        <f t="shared" si="17"/>
        <v>152.18995101778904</v>
      </c>
      <c r="AM251" s="87">
        <f t="shared" si="26"/>
        <v>4055.1574063072699</v>
      </c>
      <c r="AO251" s="19">
        <f t="shared" si="32"/>
        <v>-4.4140830469950174</v>
      </c>
      <c r="AP251" s="23">
        <f t="shared" si="27"/>
        <v>1.0885109022228054E-3</v>
      </c>
      <c r="AQ251" s="23"/>
      <c r="AR251" s="23"/>
      <c r="AS251" s="23"/>
      <c r="AT251" s="23"/>
      <c r="AU251" s="23"/>
      <c r="AW251" s="35"/>
      <c r="AX251">
        <v>11</v>
      </c>
      <c r="AZ251">
        <v>1874</v>
      </c>
      <c r="BA251">
        <v>281.19636341949229</v>
      </c>
      <c r="BB251">
        <v>1393.8661636355741</v>
      </c>
      <c r="BE251">
        <v>281.19636341949229</v>
      </c>
      <c r="BF251">
        <v>1393.8661636355741</v>
      </c>
      <c r="BI251">
        <v>281.19636341949229</v>
      </c>
      <c r="BJ251">
        <v>1393.8661636355741</v>
      </c>
      <c r="BL251">
        <v>-4.8805334906156759</v>
      </c>
      <c r="BM251">
        <v>3.5014362339393797E-3</v>
      </c>
      <c r="BT251">
        <f t="shared" si="33"/>
        <v>3</v>
      </c>
      <c r="BU251">
        <f>D393</f>
        <v>0.99998885338042343</v>
      </c>
      <c r="BV251">
        <v>0.98264368204742836</v>
      </c>
      <c r="DW251" s="57"/>
      <c r="EA251">
        <f t="shared" si="28"/>
        <v>111.07451709166814</v>
      </c>
      <c r="EB251" t="e">
        <f>SUMPRODUCT($D393:$D$397,EA$10:EA251)</f>
        <v>#VALUE!</v>
      </c>
      <c r="EO251" s="15"/>
      <c r="ES251">
        <f t="shared" si="29"/>
        <v>53.296902043985135</v>
      </c>
      <c r="ET251" t="e">
        <f>SUMPRODUCT($D393:$D$397,ES$10:ES251)</f>
        <v>#VALUE!</v>
      </c>
    </row>
    <row r="252" spans="1:150" x14ac:dyDescent="0.2">
      <c r="A252">
        <f t="shared" si="20"/>
        <v>1875</v>
      </c>
      <c r="C252">
        <f t="shared" si="30"/>
        <v>145</v>
      </c>
      <c r="D252" s="63">
        <f t="shared" si="21"/>
        <v>6.4158847546717926E-2</v>
      </c>
      <c r="E252" s="18">
        <f t="shared" si="22"/>
        <v>15.586314876866199</v>
      </c>
      <c r="F252">
        <f t="shared" si="31"/>
        <v>1875</v>
      </c>
      <c r="G252">
        <v>1</v>
      </c>
      <c r="H252">
        <v>1</v>
      </c>
      <c r="I252">
        <v>1</v>
      </c>
      <c r="J252">
        <v>1</v>
      </c>
      <c r="K252">
        <v>1</v>
      </c>
      <c r="L252">
        <v>1</v>
      </c>
      <c r="M252">
        <v>1</v>
      </c>
      <c r="N252">
        <v>1</v>
      </c>
      <c r="O252">
        <v>1</v>
      </c>
      <c r="P252">
        <v>1</v>
      </c>
      <c r="Q252">
        <v>1</v>
      </c>
      <c r="S252" s="10">
        <v>1077.637795333799</v>
      </c>
      <c r="T252">
        <f t="shared" si="13"/>
        <v>107.7637795333799</v>
      </c>
      <c r="U252">
        <f t="shared" si="14"/>
        <v>104.46882022342105</v>
      </c>
      <c r="AB252">
        <f t="shared" si="23"/>
        <v>1875</v>
      </c>
      <c r="AD252">
        <f t="shared" si="18"/>
        <v>160.17049280020106</v>
      </c>
      <c r="AH252">
        <f t="shared" si="24"/>
        <v>160.17049280020106</v>
      </c>
      <c r="AI252">
        <f t="shared" si="25"/>
        <v>4210.0258674365214</v>
      </c>
      <c r="AL252" s="87">
        <f t="shared" si="17"/>
        <v>160.17049280020106</v>
      </c>
      <c r="AM252" s="87">
        <f t="shared" si="26"/>
        <v>4210.3836493962272</v>
      </c>
      <c r="AO252" s="19">
        <f t="shared" si="32"/>
        <v>-4.9442497112437707</v>
      </c>
      <c r="AP252" s="23">
        <f t="shared" si="27"/>
        <v>1.1742990955118261E-3</v>
      </c>
      <c r="AQ252" s="23"/>
      <c r="AR252" s="23"/>
      <c r="AS252" s="23"/>
      <c r="AT252" s="23"/>
      <c r="AU252" s="23"/>
      <c r="AW252" s="35"/>
      <c r="AX252">
        <v>11</v>
      </c>
      <c r="AZ252">
        <v>1875</v>
      </c>
      <c r="BA252">
        <v>281.19636341949229</v>
      </c>
      <c r="BB252">
        <v>1668.9189238923839</v>
      </c>
      <c r="BE252">
        <v>281.19636341949229</v>
      </c>
      <c r="BF252">
        <v>1668.9189238923839</v>
      </c>
      <c r="BI252">
        <v>281.19636341949229</v>
      </c>
      <c r="BJ252">
        <v>1668.9189238923839</v>
      </c>
      <c r="BL252">
        <v>-6.1436031626825525</v>
      </c>
      <c r="BM252">
        <v>3.6811873091797402E-3</v>
      </c>
      <c r="BT252">
        <f t="shared" si="33"/>
        <v>4</v>
      </c>
      <c r="BU252">
        <f>D392</f>
        <v>0.99997325198682663</v>
      </c>
      <c r="BV252">
        <v>0.97815191104190236</v>
      </c>
      <c r="DW252" s="57"/>
      <c r="EA252">
        <f t="shared" si="28"/>
        <v>111.07451709166814</v>
      </c>
      <c r="EB252" t="e">
        <f>SUMPRODUCT($D392:$D$397,EA$10:EA252)</f>
        <v>#VALUE!</v>
      </c>
      <c r="EO252" s="15"/>
      <c r="ES252">
        <f t="shared" si="29"/>
        <v>53.296902043985135</v>
      </c>
      <c r="ET252" t="e">
        <f>SUMPRODUCT($D392:$D$397,ES$10:ES252)</f>
        <v>#VALUE!</v>
      </c>
    </row>
    <row r="253" spans="1:150" x14ac:dyDescent="0.2">
      <c r="A253">
        <f t="shared" si="20"/>
        <v>1876</v>
      </c>
      <c r="C253">
        <f t="shared" si="30"/>
        <v>144</v>
      </c>
      <c r="D253" s="63">
        <f t="shared" si="21"/>
        <v>6.5808251210387622E-2</v>
      </c>
      <c r="E253" s="18">
        <f t="shared" si="22"/>
        <v>15.195662878246386</v>
      </c>
      <c r="F253">
        <f t="shared" si="31"/>
        <v>1876</v>
      </c>
      <c r="G253">
        <v>1</v>
      </c>
      <c r="H253">
        <v>1</v>
      </c>
      <c r="I253">
        <v>1</v>
      </c>
      <c r="J253">
        <v>1</v>
      </c>
      <c r="K253">
        <v>1</v>
      </c>
      <c r="L253">
        <v>1</v>
      </c>
      <c r="M253">
        <v>1</v>
      </c>
      <c r="N253">
        <v>1</v>
      </c>
      <c r="O253">
        <v>1</v>
      </c>
      <c r="P253">
        <v>1</v>
      </c>
      <c r="Q253">
        <v>1</v>
      </c>
      <c r="S253" s="10">
        <v>1131.6033874129962</v>
      </c>
      <c r="T253">
        <f t="shared" si="13"/>
        <v>113.16033874129963</v>
      </c>
      <c r="U253">
        <f t="shared" si="14"/>
        <v>109.92240321654779</v>
      </c>
      <c r="AB253">
        <f t="shared" si="23"/>
        <v>1876</v>
      </c>
      <c r="AD253">
        <f t="shared" si="18"/>
        <v>168.53186869846238</v>
      </c>
      <c r="AH253">
        <f t="shared" si="24"/>
        <v>168.53186869846238</v>
      </c>
      <c r="AI253">
        <f t="shared" si="25"/>
        <v>4373.0499270478194</v>
      </c>
      <c r="AL253" s="87">
        <f t="shared" si="17"/>
        <v>168.53186869846238</v>
      </c>
      <c r="AM253" s="87">
        <f t="shared" si="26"/>
        <v>4373.3972369578878</v>
      </c>
      <c r="AO253" s="19">
        <f t="shared" si="32"/>
        <v>-5.5182811368017326</v>
      </c>
      <c r="AP253" s="23">
        <f t="shared" si="27"/>
        <v>1.2617836518871129E-3</v>
      </c>
      <c r="AQ253" s="23"/>
      <c r="AR253" s="23"/>
      <c r="AS253" s="23"/>
      <c r="AT253" s="23"/>
      <c r="AU253" s="23"/>
      <c r="AW253" s="35"/>
      <c r="AX253">
        <v>11</v>
      </c>
      <c r="AZ253">
        <v>1876</v>
      </c>
      <c r="BA253">
        <v>281.19636341949229</v>
      </c>
      <c r="BB253">
        <v>1942.6913798395422</v>
      </c>
      <c r="BE253">
        <v>281.19636341949229</v>
      </c>
      <c r="BF253">
        <v>1942.6913798395422</v>
      </c>
      <c r="BI253">
        <v>281.19636341949229</v>
      </c>
      <c r="BJ253">
        <v>1942.6913798395422</v>
      </c>
      <c r="BL253">
        <v>-7.4239074723340082</v>
      </c>
      <c r="BM253">
        <v>3.8214548895291801E-3</v>
      </c>
      <c r="BT253">
        <f t="shared" si="33"/>
        <v>5</v>
      </c>
      <c r="BU253">
        <f>D391</f>
        <v>0.99994531241476103</v>
      </c>
      <c r="BV253">
        <v>0.97359884963640586</v>
      </c>
      <c r="DW253" s="57"/>
      <c r="EA253">
        <f t="shared" si="28"/>
        <v>111.07451709166814</v>
      </c>
      <c r="EB253" t="e">
        <f>SUMPRODUCT($D391:$D$397,EA$10:EA253)</f>
        <v>#VALUE!</v>
      </c>
      <c r="EO253" s="15"/>
      <c r="ES253">
        <f t="shared" si="29"/>
        <v>53.296902043985135</v>
      </c>
      <c r="ET253" t="e">
        <f>SUMPRODUCT($D391:$D$397,ES$10:ES253)</f>
        <v>#VALUE!</v>
      </c>
    </row>
    <row r="254" spans="1:150" x14ac:dyDescent="0.2">
      <c r="A254">
        <f t="shared" si="20"/>
        <v>1877</v>
      </c>
      <c r="C254">
        <f t="shared" si="30"/>
        <v>143</v>
      </c>
      <c r="D254" s="63">
        <f t="shared" si="21"/>
        <v>6.7508907901735193E-2</v>
      </c>
      <c r="E254" s="18">
        <f t="shared" si="22"/>
        <v>14.812859977761494</v>
      </c>
      <c r="F254">
        <f t="shared" si="31"/>
        <v>1877</v>
      </c>
      <c r="G254">
        <v>1</v>
      </c>
      <c r="H254">
        <v>1</v>
      </c>
      <c r="I254">
        <v>1</v>
      </c>
      <c r="J254">
        <v>1</v>
      </c>
      <c r="K254">
        <v>1</v>
      </c>
      <c r="L254">
        <v>1</v>
      </c>
      <c r="M254">
        <v>1</v>
      </c>
      <c r="N254">
        <v>1</v>
      </c>
      <c r="O254">
        <v>1</v>
      </c>
      <c r="P254">
        <v>1</v>
      </c>
      <c r="Q254">
        <v>1</v>
      </c>
      <c r="S254" s="10">
        <v>1175.6571029796228</v>
      </c>
      <c r="T254">
        <f t="shared" si="13"/>
        <v>117.56571029796228</v>
      </c>
      <c r="U254">
        <f t="shared" si="14"/>
        <v>114.92248736396468</v>
      </c>
      <c r="AB254">
        <f t="shared" si="23"/>
        <v>1877</v>
      </c>
      <c r="AD254">
        <f t="shared" si="18"/>
        <v>176.19794495185045</v>
      </c>
      <c r="AH254">
        <f t="shared" si="24"/>
        <v>176.19794495185045</v>
      </c>
      <c r="AI254">
        <f t="shared" si="25"/>
        <v>4543.1202525781218</v>
      </c>
      <c r="AL254" s="87">
        <f t="shared" si="17"/>
        <v>176.19794495185045</v>
      </c>
      <c r="AM254" s="87">
        <f t="shared" si="26"/>
        <v>4543.4573546382271</v>
      </c>
      <c r="AO254" s="19">
        <f t="shared" si="32"/>
        <v>-6.1378272715111279</v>
      </c>
      <c r="AP254" s="23">
        <f t="shared" si="27"/>
        <v>1.3509155676888383E-3</v>
      </c>
      <c r="AQ254" s="23"/>
      <c r="AR254" s="23"/>
      <c r="AS254" s="23"/>
      <c r="AT254" s="23"/>
      <c r="AU254" s="23"/>
      <c r="AW254" s="35"/>
      <c r="AX254">
        <v>11</v>
      </c>
      <c r="AZ254">
        <v>1877</v>
      </c>
      <c r="BA254">
        <v>281.19636341949229</v>
      </c>
      <c r="BB254">
        <v>2215.1662812571308</v>
      </c>
      <c r="BE254">
        <v>281.19636341949229</v>
      </c>
      <c r="BF254">
        <v>2215.1662812571308</v>
      </c>
      <c r="BI254">
        <v>281.19636341949229</v>
      </c>
      <c r="BJ254">
        <v>2215.1662812571308</v>
      </c>
      <c r="BL254">
        <v>-8.7214620019036602</v>
      </c>
      <c r="BM254">
        <v>3.9371590637223572E-3</v>
      </c>
      <c r="BT254">
        <f t="shared" si="33"/>
        <v>6</v>
      </c>
      <c r="BU254">
        <f>D390</f>
        <v>0.99989988815053987</v>
      </c>
      <c r="BV254">
        <v>0.96898444241651516</v>
      </c>
      <c r="DW254" s="57"/>
      <c r="EA254">
        <f t="shared" si="28"/>
        <v>111.07451709166814</v>
      </c>
      <c r="EB254" t="e">
        <f>SUMPRODUCT($D390:$D$397,EA$10:EA254)</f>
        <v>#VALUE!</v>
      </c>
      <c r="EO254" s="15"/>
      <c r="ES254">
        <f t="shared" si="29"/>
        <v>53.296902043985135</v>
      </c>
      <c r="ET254" t="e">
        <f>SUMPRODUCT($D390:$D$397,ES$10:ES254)</f>
        <v>#VALUE!</v>
      </c>
    </row>
    <row r="255" spans="1:150" x14ac:dyDescent="0.2">
      <c r="A255">
        <f t="shared" si="20"/>
        <v>1878</v>
      </c>
      <c r="C255">
        <f t="shared" si="30"/>
        <v>142</v>
      </c>
      <c r="D255" s="63">
        <f t="shared" si="21"/>
        <v>6.9262621852832829E-2</v>
      </c>
      <c r="E255" s="18">
        <f t="shared" si="22"/>
        <v>14.437801706738311</v>
      </c>
      <c r="F255">
        <f t="shared" si="31"/>
        <v>1878</v>
      </c>
      <c r="G255">
        <v>1</v>
      </c>
      <c r="H255">
        <v>1</v>
      </c>
      <c r="I255">
        <v>1</v>
      </c>
      <c r="J255">
        <v>1</v>
      </c>
      <c r="K255">
        <v>1</v>
      </c>
      <c r="L255">
        <v>1</v>
      </c>
      <c r="M255">
        <v>1</v>
      </c>
      <c r="N255">
        <v>1</v>
      </c>
      <c r="O255">
        <v>1</v>
      </c>
      <c r="P255">
        <v>1</v>
      </c>
      <c r="Q255">
        <v>1</v>
      </c>
      <c r="S255" s="10">
        <v>1230.0326255459242</v>
      </c>
      <c r="T255">
        <f t="shared" si="13"/>
        <v>123.00326255459242</v>
      </c>
      <c r="U255">
        <f t="shared" si="14"/>
        <v>119.74073120061433</v>
      </c>
      <c r="AB255">
        <f t="shared" si="23"/>
        <v>1878</v>
      </c>
      <c r="AD255">
        <f t="shared" si="18"/>
        <v>183.58522555956893</v>
      </c>
      <c r="AH255">
        <f t="shared" si="24"/>
        <v>183.58522555956893</v>
      </c>
      <c r="AI255">
        <f t="shared" si="25"/>
        <v>4719.9109713763846</v>
      </c>
      <c r="AL255" s="87">
        <f t="shared" si="17"/>
        <v>183.58522555956893</v>
      </c>
      <c r="AM255" s="87">
        <f t="shared" si="26"/>
        <v>4720.2381293568933</v>
      </c>
      <c r="AO255" s="19">
        <f t="shared" si="32"/>
        <v>-6.8044508409027458</v>
      </c>
      <c r="AP255" s="23">
        <f t="shared" si="27"/>
        <v>1.4415482131258101E-3</v>
      </c>
      <c r="AQ255" s="23"/>
      <c r="AR255" s="23"/>
      <c r="AS255" s="23"/>
      <c r="AT255" s="23"/>
      <c r="AU255" s="23"/>
      <c r="AW255" s="35"/>
      <c r="AX255">
        <v>11</v>
      </c>
      <c r="AZ255">
        <v>1878</v>
      </c>
      <c r="BA255">
        <v>281.19636341949229</v>
      </c>
      <c r="BB255">
        <v>2486.3263710072174</v>
      </c>
      <c r="BE255">
        <v>281.19636341949229</v>
      </c>
      <c r="BF255">
        <v>2486.3263710072174</v>
      </c>
      <c r="BI255">
        <v>281.19636341949229</v>
      </c>
      <c r="BJ255">
        <v>2486.3263710072174</v>
      </c>
      <c r="BL255">
        <v>-10.036273669405659</v>
      </c>
      <c r="BM255">
        <v>4.0365873870934887E-3</v>
      </c>
      <c r="BT255">
        <f t="shared" si="33"/>
        <v>7</v>
      </c>
      <c r="BU255">
        <f>D389</f>
        <v>0.99983097759237749</v>
      </c>
      <c r="BV255">
        <v>0.96430866478015798</v>
      </c>
      <c r="DW255" s="57"/>
      <c r="EA255">
        <f t="shared" si="28"/>
        <v>111.07451709166814</v>
      </c>
      <c r="EB255" t="e">
        <f>SUMPRODUCT($D389:$D$397,EA$10:EA255)</f>
        <v>#VALUE!</v>
      </c>
      <c r="EO255" s="15"/>
      <c r="ES255">
        <f t="shared" si="29"/>
        <v>53.296902043985135</v>
      </c>
      <c r="ET255" t="e">
        <f>SUMPRODUCT($D389:$D$397,ES$10:ES255)</f>
        <v>#VALUE!</v>
      </c>
    </row>
    <row r="256" spans="1:150" x14ac:dyDescent="0.2">
      <c r="A256">
        <f t="shared" si="20"/>
        <v>1879</v>
      </c>
      <c r="C256">
        <f t="shared" si="30"/>
        <v>141</v>
      </c>
      <c r="D256" s="63">
        <f t="shared" si="21"/>
        <v>7.1071264360664382E-2</v>
      </c>
      <c r="E256" s="18">
        <f t="shared" si="22"/>
        <v>14.070384268462055</v>
      </c>
      <c r="F256">
        <f t="shared" si="31"/>
        <v>1879</v>
      </c>
      <c r="G256">
        <v>1</v>
      </c>
      <c r="H256">
        <v>1</v>
      </c>
      <c r="I256">
        <v>1</v>
      </c>
      <c r="J256">
        <v>1</v>
      </c>
      <c r="K256">
        <v>1</v>
      </c>
      <c r="L256">
        <v>1</v>
      </c>
      <c r="M256">
        <v>1</v>
      </c>
      <c r="N256">
        <v>1</v>
      </c>
      <c r="O256">
        <v>1</v>
      </c>
      <c r="P256">
        <v>1</v>
      </c>
      <c r="Q256">
        <v>1</v>
      </c>
      <c r="S256" s="10">
        <v>1283.3489839897738</v>
      </c>
      <c r="T256">
        <f t="shared" si="13"/>
        <v>128.3348983989774</v>
      </c>
      <c r="U256">
        <f t="shared" si="14"/>
        <v>125.13591689234642</v>
      </c>
      <c r="AB256">
        <f t="shared" si="23"/>
        <v>1879</v>
      </c>
      <c r="AD256">
        <f t="shared" si="18"/>
        <v>191.8570673315466</v>
      </c>
      <c r="AH256">
        <f t="shared" si="24"/>
        <v>191.8570673315466</v>
      </c>
      <c r="AI256">
        <f t="shared" si="25"/>
        <v>4904.2581012677965</v>
      </c>
      <c r="AL256" s="87">
        <f t="shared" si="17"/>
        <v>191.8570673315466</v>
      </c>
      <c r="AM256" s="87">
        <f t="shared" si="26"/>
        <v>4904.5755778289631</v>
      </c>
      <c r="AO256" s="19">
        <f t="shared" si="32"/>
        <v>-7.5196188594767932</v>
      </c>
      <c r="AP256" s="23">
        <f t="shared" si="27"/>
        <v>1.5331844193550777E-3</v>
      </c>
      <c r="AQ256" s="23"/>
      <c r="AR256" s="23"/>
      <c r="AS256" s="23"/>
      <c r="AT256" s="23"/>
      <c r="AU256" s="23"/>
      <c r="AW256" s="35"/>
      <c r="AX256">
        <v>11</v>
      </c>
      <c r="AZ256">
        <v>1879</v>
      </c>
      <c r="BA256">
        <v>281.19636341949229</v>
      </c>
      <c r="BB256">
        <v>2756.1543939377102</v>
      </c>
      <c r="BE256">
        <v>281.19636341949229</v>
      </c>
      <c r="BF256">
        <v>2756.1543939377102</v>
      </c>
      <c r="BI256">
        <v>281.19636341949229</v>
      </c>
      <c r="BJ256">
        <v>2756.1543939377102</v>
      </c>
      <c r="BL256">
        <v>-11.368340488999479</v>
      </c>
      <c r="BM256">
        <v>4.1247110517482885E-3</v>
      </c>
      <c r="BT256">
        <f t="shared" si="33"/>
        <v>8</v>
      </c>
      <c r="BU256">
        <f>D388</f>
        <v>0.99973173719832764</v>
      </c>
      <c r="BV256">
        <v>0.95957152378944488</v>
      </c>
      <c r="DW256" s="57"/>
      <c r="EA256">
        <f t="shared" si="28"/>
        <v>111.07451709166814</v>
      </c>
      <c r="EB256" t="e">
        <f>SUMPRODUCT($D388:$D$397,EA$10:EA256)</f>
        <v>#VALUE!</v>
      </c>
      <c r="EO256" s="15"/>
      <c r="ES256">
        <f t="shared" si="29"/>
        <v>53.296902043985135</v>
      </c>
      <c r="ET256" t="e">
        <f>SUMPRODUCT($D388:$D$397,ES$10:ES256)</f>
        <v>#VALUE!</v>
      </c>
    </row>
    <row r="257" spans="1:150" x14ac:dyDescent="0.2">
      <c r="A257">
        <f t="shared" si="20"/>
        <v>1880</v>
      </c>
      <c r="C257">
        <f t="shared" si="30"/>
        <v>140</v>
      </c>
      <c r="D257" s="63">
        <f t="shared" si="21"/>
        <v>7.2936776118556312E-2</v>
      </c>
      <c r="E257" s="18">
        <f t="shared" si="22"/>
        <v>13.710504538540793</v>
      </c>
      <c r="F257">
        <f t="shared" si="31"/>
        <v>1880</v>
      </c>
      <c r="G257">
        <v>1</v>
      </c>
      <c r="H257">
        <v>1</v>
      </c>
      <c r="I257">
        <v>1</v>
      </c>
      <c r="J257">
        <v>1</v>
      </c>
      <c r="K257">
        <v>1</v>
      </c>
      <c r="L257">
        <v>1</v>
      </c>
      <c r="M257">
        <v>1</v>
      </c>
      <c r="N257">
        <v>1</v>
      </c>
      <c r="O257">
        <v>1</v>
      </c>
      <c r="P257">
        <v>1</v>
      </c>
      <c r="Q257">
        <v>1</v>
      </c>
      <c r="S257" s="10">
        <v>1335.5258825951266</v>
      </c>
      <c r="T257">
        <f t="shared" si="13"/>
        <v>133.55258825951267</v>
      </c>
      <c r="U257">
        <f t="shared" si="14"/>
        <v>130.42197434319149</v>
      </c>
      <c r="AB257">
        <f t="shared" si="23"/>
        <v>1880</v>
      </c>
      <c r="AD257">
        <f t="shared" si="18"/>
        <v>199.96159483612939</v>
      </c>
      <c r="AH257">
        <f t="shared" si="24"/>
        <v>199.96159483612939</v>
      </c>
      <c r="AI257">
        <f t="shared" si="25"/>
        <v>5095.9444225456182</v>
      </c>
      <c r="AL257" s="87">
        <f t="shared" si="17"/>
        <v>199.96159483612939</v>
      </c>
      <c r="AM257" s="87">
        <f t="shared" si="26"/>
        <v>5096.2524786187878</v>
      </c>
      <c r="AO257" s="19">
        <f t="shared" si="32"/>
        <v>-8.2846940463047076</v>
      </c>
      <c r="AP257" s="23">
        <f t="shared" si="27"/>
        <v>1.6256443496594712E-3</v>
      </c>
      <c r="AQ257" s="23"/>
      <c r="AR257" s="23"/>
      <c r="AS257" s="23"/>
      <c r="AT257" s="23"/>
      <c r="AU257" s="23"/>
      <c r="AW257" s="35"/>
      <c r="AX257">
        <v>11</v>
      </c>
      <c r="AZ257">
        <v>1880</v>
      </c>
      <c r="BA257">
        <v>281.19636341949229</v>
      </c>
      <c r="BB257">
        <v>3024.6331060212474</v>
      </c>
      <c r="BE257">
        <v>281.19636341949229</v>
      </c>
      <c r="BF257">
        <v>3024.6331060212474</v>
      </c>
      <c r="BI257">
        <v>281.19636341949229</v>
      </c>
      <c r="BJ257">
        <v>3024.6331060212474</v>
      </c>
      <c r="BL257">
        <v>-12.717651335955111</v>
      </c>
      <c r="BM257">
        <v>4.2046922354442321E-3</v>
      </c>
      <c r="BT257">
        <f t="shared" si="33"/>
        <v>9</v>
      </c>
      <c r="BU257">
        <f>D387</f>
        <v>0.99959449456848715</v>
      </c>
      <c r="BV257">
        <v>0.95477305900651799</v>
      </c>
      <c r="DW257" s="57"/>
      <c r="EA257">
        <f t="shared" si="28"/>
        <v>111.07451709166814</v>
      </c>
      <c r="EB257" t="e">
        <f>SUMPRODUCT($D387:$D$397,EA$10:EA257)</f>
        <v>#VALUE!</v>
      </c>
      <c r="EO257" s="15"/>
      <c r="ES257">
        <f t="shared" si="29"/>
        <v>53.296902043985135</v>
      </c>
      <c r="ET257" t="e">
        <f>SUMPRODUCT($D387:$D$397,ES$10:ES257)</f>
        <v>#VALUE!</v>
      </c>
    </row>
    <row r="258" spans="1:150" x14ac:dyDescent="0.2">
      <c r="A258">
        <f t="shared" si="20"/>
        <v>1881</v>
      </c>
      <c r="C258">
        <f t="shared" si="30"/>
        <v>139</v>
      </c>
      <c r="D258" s="63">
        <f t="shared" si="21"/>
        <v>7.4861169594508808E-2</v>
      </c>
      <c r="E258" s="18">
        <f t="shared" si="22"/>
        <v>13.3580600652725</v>
      </c>
      <c r="F258">
        <f t="shared" si="31"/>
        <v>1881</v>
      </c>
      <c r="G258">
        <v>1</v>
      </c>
      <c r="H258">
        <v>1</v>
      </c>
      <c r="I258">
        <v>1</v>
      </c>
      <c r="J258">
        <v>1</v>
      </c>
      <c r="K258">
        <v>1</v>
      </c>
      <c r="L258">
        <v>1</v>
      </c>
      <c r="M258">
        <v>1</v>
      </c>
      <c r="N258">
        <v>1</v>
      </c>
      <c r="O258">
        <v>1</v>
      </c>
      <c r="P258">
        <v>1</v>
      </c>
      <c r="Q258">
        <v>1</v>
      </c>
      <c r="S258" s="10">
        <v>1386.4796626078721</v>
      </c>
      <c r="T258">
        <f t="shared" si="13"/>
        <v>138.64796626078723</v>
      </c>
      <c r="U258">
        <f t="shared" si="14"/>
        <v>135.59073946002249</v>
      </c>
      <c r="AB258">
        <f t="shared" si="23"/>
        <v>1881</v>
      </c>
      <c r="AD258">
        <f t="shared" si="18"/>
        <v>207.88629097188326</v>
      </c>
      <c r="AH258">
        <f t="shared" si="24"/>
        <v>207.88629097188326</v>
      </c>
      <c r="AI258">
        <f t="shared" si="25"/>
        <v>5294.7389482848566</v>
      </c>
      <c r="AL258" s="87">
        <f t="shared" si="17"/>
        <v>207.88629097188326</v>
      </c>
      <c r="AM258" s="87">
        <f t="shared" si="26"/>
        <v>5295.0378425136541</v>
      </c>
      <c r="AO258" s="19">
        <f t="shared" si="32"/>
        <v>-9.1009270770169053</v>
      </c>
      <c r="AP258" s="23">
        <f t="shared" si="27"/>
        <v>1.7187652567741657E-3</v>
      </c>
      <c r="AQ258" s="23"/>
      <c r="AR258" s="23"/>
      <c r="AS258" s="23"/>
      <c r="AT258" s="23"/>
      <c r="AU258" s="23"/>
      <c r="AW258" s="35"/>
      <c r="AX258">
        <v>11</v>
      </c>
      <c r="AZ258">
        <v>1881</v>
      </c>
      <c r="BA258">
        <v>281.19636341949229</v>
      </c>
      <c r="BB258">
        <v>3291.7452837240157</v>
      </c>
      <c r="BE258">
        <v>281.19636341949229</v>
      </c>
      <c r="BF258">
        <v>3291.7452837240157</v>
      </c>
      <c r="BI258">
        <v>281.19636341949229</v>
      </c>
      <c r="BJ258">
        <v>3291.7452837240157</v>
      </c>
      <c r="BL258">
        <v>-14.084185716723937</v>
      </c>
      <c r="BM258">
        <v>4.2786377750316761E-3</v>
      </c>
      <c r="BT258">
        <f t="shared" si="33"/>
        <v>10</v>
      </c>
      <c r="BU258">
        <f>D386</f>
        <v>0.99941076222153036</v>
      </c>
      <c r="BV258">
        <v>0.94991334331122446</v>
      </c>
      <c r="DW258" s="57"/>
      <c r="EA258">
        <f t="shared" si="28"/>
        <v>111.07451709166814</v>
      </c>
      <c r="EB258" t="e">
        <f>SUMPRODUCT($D386:$D$397,EA$10:EA258)</f>
        <v>#VALUE!</v>
      </c>
      <c r="EO258" s="15"/>
      <c r="ES258">
        <f t="shared" si="29"/>
        <v>53.296902043985135</v>
      </c>
      <c r="ET258" t="e">
        <f>SUMPRODUCT($D386:$D$397,ES$10:ES258)</f>
        <v>#VALUE!</v>
      </c>
    </row>
    <row r="259" spans="1:150" x14ac:dyDescent="0.2">
      <c r="A259">
        <f t="shared" si="20"/>
        <v>1882</v>
      </c>
      <c r="C259">
        <f t="shared" si="30"/>
        <v>138</v>
      </c>
      <c r="D259" s="63">
        <f t="shared" si="21"/>
        <v>7.6846531452601091E-2</v>
      </c>
      <c r="E259" s="18">
        <f t="shared" si="22"/>
        <v>13.012949070014951</v>
      </c>
      <c r="F259">
        <f t="shared" si="31"/>
        <v>1882</v>
      </c>
      <c r="G259">
        <v>1</v>
      </c>
      <c r="H259">
        <v>1</v>
      </c>
      <c r="I259">
        <v>1</v>
      </c>
      <c r="J259">
        <v>1</v>
      </c>
      <c r="K259">
        <v>1</v>
      </c>
      <c r="L259">
        <v>1</v>
      </c>
      <c r="M259">
        <v>1</v>
      </c>
      <c r="N259">
        <v>1</v>
      </c>
      <c r="O259">
        <v>1</v>
      </c>
      <c r="P259">
        <v>1</v>
      </c>
      <c r="Q259">
        <v>1</v>
      </c>
      <c r="S259" s="10">
        <v>1408.6759087983514</v>
      </c>
      <c r="T259">
        <f t="shared" si="13"/>
        <v>140.86759087983515</v>
      </c>
      <c r="U259">
        <f t="shared" si="14"/>
        <v>139.53581610840638</v>
      </c>
      <c r="AB259">
        <f t="shared" si="23"/>
        <v>1882</v>
      </c>
      <c r="AD259">
        <f t="shared" si="18"/>
        <v>213.93484086030776</v>
      </c>
      <c r="AH259">
        <f t="shared" si="24"/>
        <v>213.93484086030776</v>
      </c>
      <c r="AI259">
        <f t="shared" si="25"/>
        <v>5498.7132452610167</v>
      </c>
      <c r="AL259" s="87">
        <f t="shared" si="17"/>
        <v>213.93484086030776</v>
      </c>
      <c r="AM259" s="87">
        <f t="shared" si="26"/>
        <v>5499.0032335001761</v>
      </c>
      <c r="AO259" s="19">
        <f t="shared" si="32"/>
        <v>-9.9694498737858339</v>
      </c>
      <c r="AP259" s="23">
        <f t="shared" si="27"/>
        <v>1.8129558122554821E-3</v>
      </c>
      <c r="AQ259" s="23"/>
      <c r="AR259" s="23"/>
      <c r="AS259" s="23"/>
      <c r="AT259" s="23"/>
      <c r="AU259" s="23"/>
      <c r="AW259" s="35"/>
      <c r="AX259">
        <v>11</v>
      </c>
      <c r="AZ259">
        <v>1882</v>
      </c>
      <c r="BA259">
        <v>281.19636341949229</v>
      </c>
      <c r="BB259">
        <v>3557.4737335987529</v>
      </c>
      <c r="BE259">
        <v>281.19636341949229</v>
      </c>
      <c r="BF259">
        <v>3557.4737335987529</v>
      </c>
      <c r="BI259">
        <v>281.19636341949229</v>
      </c>
      <c r="BJ259">
        <v>3557.4737335987529</v>
      </c>
      <c r="BL259">
        <v>-15.467913544755106</v>
      </c>
      <c r="BM259">
        <v>4.3480049897958659E-3</v>
      </c>
      <c r="BT259">
        <f t="shared" si="33"/>
        <v>11</v>
      </c>
      <c r="BU259">
        <f>D385</f>
        <v>0.99917125274301088</v>
      </c>
      <c r="BV259">
        <v>0.94499248369837707</v>
      </c>
      <c r="DW259" s="57"/>
      <c r="EA259">
        <f t="shared" si="28"/>
        <v>111.07451709166814</v>
      </c>
      <c r="EB259" t="e">
        <f>SUMPRODUCT($D385:$D$397,EA$10:EA259)</f>
        <v>#VALUE!</v>
      </c>
      <c r="EO259" s="15"/>
      <c r="ES259">
        <f t="shared" si="29"/>
        <v>53.296902043985135</v>
      </c>
      <c r="ET259" t="e">
        <f>SUMPRODUCT($D385:$D$397,ES$10:ES259)</f>
        <v>#VALUE!</v>
      </c>
    </row>
    <row r="260" spans="1:150" x14ac:dyDescent="0.2">
      <c r="A260">
        <f t="shared" si="20"/>
        <v>1883</v>
      </c>
      <c r="C260">
        <f t="shared" si="30"/>
        <v>137</v>
      </c>
      <c r="D260" s="63">
        <f t="shared" si="21"/>
        <v>7.8895025012868977E-2</v>
      </c>
      <c r="E260" s="18">
        <f t="shared" si="22"/>
        <v>12.675070447558447</v>
      </c>
      <c r="F260">
        <f t="shared" si="31"/>
        <v>1883</v>
      </c>
      <c r="G260">
        <v>1</v>
      </c>
      <c r="H260">
        <v>1</v>
      </c>
      <c r="I260">
        <v>1</v>
      </c>
      <c r="J260">
        <v>1</v>
      </c>
      <c r="K260">
        <v>1</v>
      </c>
      <c r="L260">
        <v>1</v>
      </c>
      <c r="M260">
        <v>1</v>
      </c>
      <c r="N260">
        <v>1</v>
      </c>
      <c r="O260">
        <v>1</v>
      </c>
      <c r="P260">
        <v>1</v>
      </c>
      <c r="Q260">
        <v>1</v>
      </c>
      <c r="S260" s="10">
        <v>1428.8603101532478</v>
      </c>
      <c r="T260">
        <f t="shared" si="13"/>
        <v>142.88603101532479</v>
      </c>
      <c r="U260">
        <f t="shared" si="14"/>
        <v>141.674966934031</v>
      </c>
      <c r="AB260">
        <f t="shared" si="23"/>
        <v>1883</v>
      </c>
      <c r="AD260">
        <f t="shared" si="18"/>
        <v>217.21456433360339</v>
      </c>
      <c r="AH260">
        <f t="shared" si="24"/>
        <v>217.21456433360339</v>
      </c>
      <c r="AI260">
        <f t="shared" si="25"/>
        <v>5705.0451933653849</v>
      </c>
      <c r="AL260" s="87">
        <f t="shared" si="17"/>
        <v>217.21456433360339</v>
      </c>
      <c r="AM260" s="87">
        <f t="shared" si="26"/>
        <v>5705.3265282345919</v>
      </c>
      <c r="AO260" s="19">
        <f t="shared" si="32"/>
        <v>-10.891269599187524</v>
      </c>
      <c r="AP260" s="23">
        <f t="shared" si="27"/>
        <v>1.9089651653220322E-3</v>
      </c>
      <c r="AQ260" s="23"/>
      <c r="AR260" s="23"/>
      <c r="AS260" s="23"/>
      <c r="AT260" s="23"/>
      <c r="AU260" s="23"/>
      <c r="AW260" s="35"/>
      <c r="AX260">
        <v>11</v>
      </c>
      <c r="AZ260">
        <v>1883</v>
      </c>
      <c r="BA260">
        <v>281.19636341949229</v>
      </c>
      <c r="BB260">
        <v>3821.8013020955609</v>
      </c>
      <c r="BE260">
        <v>281.19636341949229</v>
      </c>
      <c r="BF260">
        <v>3821.8013020955609</v>
      </c>
      <c r="BI260">
        <v>281.19636341949229</v>
      </c>
      <c r="BJ260">
        <v>3821.8013020955609</v>
      </c>
      <c r="BL260">
        <v>-16.868794922684287</v>
      </c>
      <c r="BM260">
        <v>4.4138335798448837E-3</v>
      </c>
      <c r="BT260">
        <f t="shared" si="33"/>
        <v>12</v>
      </c>
      <c r="BU260">
        <f>D384</f>
        <v>0.99886589594533581</v>
      </c>
      <c r="BV260">
        <v>0.94001062205232389</v>
      </c>
      <c r="DW260" s="57"/>
      <c r="EA260">
        <f t="shared" si="28"/>
        <v>111.07451709166814</v>
      </c>
      <c r="EB260" t="e">
        <f>SUMPRODUCT($D384:$D$397,EA$10:EA260)</f>
        <v>#VALUE!</v>
      </c>
      <c r="EO260" s="15"/>
      <c r="ES260">
        <f t="shared" si="29"/>
        <v>53.296902043985135</v>
      </c>
      <c r="ET260" t="e">
        <f>SUMPRODUCT($D384:$D$397,ES$10:ES260)</f>
        <v>#VALUE!</v>
      </c>
    </row>
    <row r="261" spans="1:150" x14ac:dyDescent="0.2">
      <c r="A261">
        <f t="shared" si="20"/>
        <v>1884</v>
      </c>
      <c r="C261">
        <f t="shared" si="30"/>
        <v>136</v>
      </c>
      <c r="D261" s="63">
        <f t="shared" si="21"/>
        <v>8.1008892744183422E-2</v>
      </c>
      <c r="E261" s="18">
        <f t="shared" si="22"/>
        <v>12.344323766501569</v>
      </c>
      <c r="F261">
        <f t="shared" si="31"/>
        <v>1884</v>
      </c>
      <c r="G261">
        <v>1</v>
      </c>
      <c r="H261">
        <v>1</v>
      </c>
      <c r="I261">
        <v>1</v>
      </c>
      <c r="J261">
        <v>1</v>
      </c>
      <c r="K261">
        <v>1</v>
      </c>
      <c r="L261">
        <v>1</v>
      </c>
      <c r="M261">
        <v>1</v>
      </c>
      <c r="N261">
        <v>1</v>
      </c>
      <c r="O261">
        <v>1</v>
      </c>
      <c r="P261">
        <v>1</v>
      </c>
      <c r="Q261">
        <v>1</v>
      </c>
      <c r="S261" s="10">
        <v>1446.9184470908858</v>
      </c>
      <c r="T261">
        <f t="shared" si="13"/>
        <v>144.6918447090886</v>
      </c>
      <c r="U261">
        <f t="shared" si="14"/>
        <v>143.6083564928303</v>
      </c>
      <c r="AB261">
        <f t="shared" si="23"/>
        <v>1884</v>
      </c>
      <c r="AD261">
        <f t="shared" si="18"/>
        <v>220.17881680381765</v>
      </c>
      <c r="AH261">
        <f t="shared" si="24"/>
        <v>220.17881680381765</v>
      </c>
      <c r="AI261">
        <f t="shared" si="25"/>
        <v>5913.3651518941442</v>
      </c>
      <c r="AL261" s="87">
        <f t="shared" si="17"/>
        <v>220.17881680381765</v>
      </c>
      <c r="AM261" s="87">
        <f t="shared" si="26"/>
        <v>5913.6380823841264</v>
      </c>
      <c r="AO261" s="19">
        <f t="shared" si="32"/>
        <v>-11.867262654283195</v>
      </c>
      <c r="AP261" s="23">
        <f t="shared" si="27"/>
        <v>2.0067617410734107E-3</v>
      </c>
      <c r="AQ261" s="23"/>
      <c r="AR261" s="23"/>
      <c r="AS261" s="23"/>
      <c r="AT261" s="23"/>
      <c r="AU261" s="23"/>
      <c r="AW261" s="35"/>
      <c r="AX261">
        <v>11</v>
      </c>
      <c r="AZ261">
        <v>1884</v>
      </c>
      <c r="BA261">
        <v>281.19636341949229</v>
      </c>
      <c r="BB261">
        <v>4084.7108855834908</v>
      </c>
      <c r="BE261">
        <v>281.19636341949229</v>
      </c>
      <c r="BF261">
        <v>4084.7108855834908</v>
      </c>
      <c r="BI261">
        <v>281.19636341949229</v>
      </c>
      <c r="BJ261">
        <v>4084.7108855834908</v>
      </c>
      <c r="BL261">
        <v>-18.286779931562364</v>
      </c>
      <c r="BM261">
        <v>4.4768847646239575E-3</v>
      </c>
      <c r="BT261">
        <f t="shared" si="33"/>
        <v>13</v>
      </c>
      <c r="BU261">
        <f>D383</f>
        <v>0.9984838586642506</v>
      </c>
      <c r="BV261">
        <v>0.93496793589651828</v>
      </c>
      <c r="DW261" s="57"/>
      <c r="EA261">
        <f t="shared" si="28"/>
        <v>111.07451709166814</v>
      </c>
      <c r="EB261" t="e">
        <f>SUMPRODUCT($D383:$D$397,EA$10:EA261)</f>
        <v>#VALUE!</v>
      </c>
      <c r="EO261" s="15"/>
      <c r="ES261">
        <f t="shared" si="29"/>
        <v>53.296902043985135</v>
      </c>
      <c r="ET261" t="e">
        <f>SUMPRODUCT($D383:$D$397,ES$10:ES261)</f>
        <v>#VALUE!</v>
      </c>
    </row>
    <row r="262" spans="1:150" x14ac:dyDescent="0.2">
      <c r="A262">
        <f t="shared" si="20"/>
        <v>1885</v>
      </c>
      <c r="C262">
        <f t="shared" si="30"/>
        <v>135</v>
      </c>
      <c r="D262" s="63">
        <f t="shared" si="21"/>
        <v>8.3190458783692578E-2</v>
      </c>
      <c r="E262" s="18">
        <f t="shared" si="22"/>
        <v>12.02060926962967</v>
      </c>
      <c r="F262">
        <f t="shared" si="31"/>
        <v>1885</v>
      </c>
      <c r="G262">
        <v>1</v>
      </c>
      <c r="H262">
        <v>1</v>
      </c>
      <c r="I262">
        <v>1</v>
      </c>
      <c r="J262">
        <v>1</v>
      </c>
      <c r="K262">
        <v>1</v>
      </c>
      <c r="L262">
        <v>1</v>
      </c>
      <c r="M262">
        <v>1</v>
      </c>
      <c r="N262">
        <v>1</v>
      </c>
      <c r="O262">
        <v>1</v>
      </c>
      <c r="P262">
        <v>1</v>
      </c>
      <c r="Q262">
        <v>1</v>
      </c>
      <c r="S262" s="10">
        <v>1462.7312643990974</v>
      </c>
      <c r="T262">
        <f t="shared" si="13"/>
        <v>146.27312643990976</v>
      </c>
      <c r="U262">
        <f t="shared" si="14"/>
        <v>145.32435740141705</v>
      </c>
      <c r="AB262">
        <f t="shared" si="23"/>
        <v>1885</v>
      </c>
      <c r="AD262">
        <f t="shared" si="18"/>
        <v>222.80977128943471</v>
      </c>
      <c r="AH262">
        <f t="shared" si="24"/>
        <v>222.80977128943471</v>
      </c>
      <c r="AI262">
        <f t="shared" si="25"/>
        <v>6123.2849146972076</v>
      </c>
      <c r="AL262" s="87">
        <f t="shared" si="17"/>
        <v>222.80977128943471</v>
      </c>
      <c r="AM262" s="87">
        <f>SUMPRODUCT($D$247:$D$397,AL112:AL262)</f>
        <v>6123.5496858250981</v>
      </c>
      <c r="AO262" s="19">
        <f t="shared" si="32"/>
        <v>-12.898167848463004</v>
      </c>
      <c r="AP262" s="23">
        <f t="shared" si="27"/>
        <v>2.1063220697498239E-3</v>
      </c>
      <c r="AQ262" s="23"/>
      <c r="AR262" s="23"/>
      <c r="AS262" s="23"/>
      <c r="AT262" s="23"/>
      <c r="AU262" s="23"/>
      <c r="AW262" s="35"/>
      <c r="AX262">
        <v>11</v>
      </c>
      <c r="AZ262">
        <v>1885</v>
      </c>
      <c r="BA262">
        <v>281.19636341949229</v>
      </c>
      <c r="BB262">
        <v>4346.1854405752174</v>
      </c>
      <c r="BE262">
        <v>281.19636341949229</v>
      </c>
      <c r="BF262">
        <v>4346.1854405752174</v>
      </c>
      <c r="BI262">
        <v>281.19636341949229</v>
      </c>
      <c r="BJ262">
        <v>4346.1854405752174</v>
      </c>
      <c r="BL262">
        <v>-19.721808427765723</v>
      </c>
      <c r="BM262">
        <v>4.5377282440934091E-3</v>
      </c>
      <c r="BT262">
        <f t="shared" si="33"/>
        <v>14</v>
      </c>
      <c r="BU262">
        <f>D382</f>
        <v>0.99801356781208517</v>
      </c>
      <c r="BV262">
        <v>0.92986463911574557</v>
      </c>
      <c r="DW262" s="57"/>
      <c r="EA262">
        <f t="shared" si="28"/>
        <v>111.07451709166814</v>
      </c>
      <c r="EB262" t="e">
        <f>SUMPRODUCT($D382:$D$397,EA$10:EA262)</f>
        <v>#VALUE!</v>
      </c>
      <c r="EO262" s="15"/>
      <c r="ES262">
        <f t="shared" si="29"/>
        <v>53.296902043985135</v>
      </c>
      <c r="ET262" t="e">
        <f>SUMPRODUCT($D382:$D$397,ES$10:ES262)</f>
        <v>#VALUE!</v>
      </c>
    </row>
    <row r="263" spans="1:150" x14ac:dyDescent="0.2">
      <c r="A263">
        <f t="shared" si="20"/>
        <v>1886</v>
      </c>
      <c r="C263">
        <f t="shared" si="30"/>
        <v>134</v>
      </c>
      <c r="D263" s="63">
        <f t="shared" si="21"/>
        <v>8.5442131475306202E-2</v>
      </c>
      <c r="E263" s="18">
        <f t="shared" si="22"/>
        <v>11.703827874296557</v>
      </c>
      <c r="F263">
        <f t="shared" si="31"/>
        <v>1886</v>
      </c>
      <c r="G263">
        <v>1</v>
      </c>
      <c r="H263">
        <v>1</v>
      </c>
      <c r="I263">
        <v>1</v>
      </c>
      <c r="J263">
        <v>1</v>
      </c>
      <c r="K263">
        <v>1</v>
      </c>
      <c r="L263">
        <v>1</v>
      </c>
      <c r="M263">
        <v>1</v>
      </c>
      <c r="N263">
        <v>1</v>
      </c>
      <c r="O263">
        <v>1</v>
      </c>
      <c r="P263">
        <v>1</v>
      </c>
      <c r="Q263">
        <v>1</v>
      </c>
      <c r="S263" s="10">
        <v>1480.6316424321988</v>
      </c>
      <c r="T263">
        <f t="shared" si="13"/>
        <v>148.06316424321989</v>
      </c>
      <c r="U263">
        <f t="shared" si="14"/>
        <v>146.98914156123382</v>
      </c>
      <c r="AB263">
        <f t="shared" si="23"/>
        <v>1886</v>
      </c>
      <c r="AD263">
        <f t="shared" ref="AD263:AD276" si="34">$U$415*U263</f>
        <v>225.36220079628237</v>
      </c>
      <c r="AH263">
        <f t="shared" si="24"/>
        <v>225.36220079628237</v>
      </c>
      <c r="AI263">
        <f t="shared" si="25"/>
        <v>6334.6704543332689</v>
      </c>
      <c r="AL263" s="87">
        <f t="shared" si="17"/>
        <v>225.36220079628237</v>
      </c>
      <c r="AM263" s="87">
        <f t="shared" si="26"/>
        <v>6334.9273068442908</v>
      </c>
      <c r="AO263" s="19">
        <f t="shared" si="32"/>
        <v>-13.984579777089664</v>
      </c>
      <c r="AP263" s="23">
        <f t="shared" si="27"/>
        <v>2.2075359510409292E-3</v>
      </c>
      <c r="AQ263" s="23"/>
      <c r="AR263" s="23"/>
      <c r="AS263" s="23"/>
      <c r="AT263" s="23"/>
      <c r="AU263" s="23"/>
      <c r="AW263" s="35"/>
      <c r="AX263">
        <v>11</v>
      </c>
      <c r="AZ263">
        <v>1886</v>
      </c>
      <c r="BA263">
        <v>281.19636341949229</v>
      </c>
      <c r="BB263">
        <v>4606.207994146449</v>
      </c>
      <c r="BE263">
        <v>281.19636341949229</v>
      </c>
      <c r="BF263">
        <v>4606.207994146449</v>
      </c>
      <c r="BI263">
        <v>281.19636341949229</v>
      </c>
      <c r="BJ263">
        <v>4606.207994146449</v>
      </c>
      <c r="BL263">
        <v>-21.173809848260703</v>
      </c>
      <c r="BM263">
        <v>4.5967984674526851E-3</v>
      </c>
      <c r="BT263">
        <f t="shared" si="33"/>
        <v>15</v>
      </c>
      <c r="BU263">
        <f>D381</f>
        <v>0.99744273730685318</v>
      </c>
      <c r="BV263">
        <v>0.92470098264864742</v>
      </c>
      <c r="DW263" s="57"/>
      <c r="EA263">
        <f t="shared" si="28"/>
        <v>111.07451709166814</v>
      </c>
      <c r="EB263" t="e">
        <f>SUMPRODUCT($D381:$D$397,EA$10:EA263)</f>
        <v>#VALUE!</v>
      </c>
      <c r="EO263" s="15"/>
      <c r="ES263">
        <f t="shared" si="29"/>
        <v>53.296902043985135</v>
      </c>
      <c r="ET263" t="e">
        <f>SUMPRODUCT($D381:$D$397,ES$10:ES263)</f>
        <v>#VALUE!</v>
      </c>
    </row>
    <row r="264" spans="1:150" x14ac:dyDescent="0.2">
      <c r="A264">
        <f t="shared" si="20"/>
        <v>1887</v>
      </c>
      <c r="C264">
        <f t="shared" si="30"/>
        <v>133</v>
      </c>
      <c r="D264" s="63">
        <f t="shared" si="21"/>
        <v>8.7766405918507429E-2</v>
      </c>
      <c r="E264" s="18">
        <f t="shared" si="22"/>
        <v>11.393881172809067</v>
      </c>
      <c r="F264">
        <f t="shared" si="31"/>
        <v>1887</v>
      </c>
      <c r="G264">
        <v>1</v>
      </c>
      <c r="H264">
        <v>1</v>
      </c>
      <c r="I264">
        <v>1</v>
      </c>
      <c r="J264">
        <v>1</v>
      </c>
      <c r="K264">
        <v>1</v>
      </c>
      <c r="L264">
        <v>1</v>
      </c>
      <c r="M264">
        <v>1</v>
      </c>
      <c r="N264">
        <v>1</v>
      </c>
      <c r="O264">
        <v>1</v>
      </c>
      <c r="P264">
        <v>1</v>
      </c>
      <c r="Q264">
        <v>1</v>
      </c>
      <c r="S264" s="10">
        <v>1507.3987787099118</v>
      </c>
      <c r="T264">
        <f t="shared" si="13"/>
        <v>150.73987787099119</v>
      </c>
      <c r="U264">
        <f t="shared" si="14"/>
        <v>149.13384969432843</v>
      </c>
      <c r="AB264">
        <f t="shared" si="23"/>
        <v>1887</v>
      </c>
      <c r="AD264">
        <f t="shared" si="34"/>
        <v>228.65044467474962</v>
      </c>
      <c r="AH264">
        <f t="shared" si="24"/>
        <v>228.65044467474962</v>
      </c>
      <c r="AI264">
        <f t="shared" si="25"/>
        <v>6548.2016377658492</v>
      </c>
      <c r="AL264" s="87">
        <f t="shared" si="17"/>
        <v>228.65044467474962</v>
      </c>
      <c r="AM264" s="87">
        <f t="shared" si="26"/>
        <v>6548.4508078782428</v>
      </c>
      <c r="AO264" s="19">
        <f t="shared" si="32"/>
        <v>-15.126943640797606</v>
      </c>
      <c r="AP264" s="23">
        <f t="shared" si="27"/>
        <v>2.3100034015066341E-3</v>
      </c>
      <c r="AQ264" s="23"/>
      <c r="AR264" s="23"/>
      <c r="AS264" s="23"/>
      <c r="AT264" s="23"/>
      <c r="AU264" s="23"/>
      <c r="AW264" s="35"/>
      <c r="AX264">
        <v>11</v>
      </c>
      <c r="AZ264">
        <v>1887</v>
      </c>
      <c r="BA264">
        <v>281.19636341949229</v>
      </c>
      <c r="BB264">
        <v>4864.761654541051</v>
      </c>
      <c r="BE264">
        <v>281.19636341949229</v>
      </c>
      <c r="BF264">
        <v>4864.761654541051</v>
      </c>
      <c r="BI264">
        <v>281.19636341949229</v>
      </c>
      <c r="BJ264">
        <v>4864.761654541051</v>
      </c>
      <c r="BL264">
        <v>-22.642703024890238</v>
      </c>
      <c r="BM264">
        <v>4.6544321454586009E-3</v>
      </c>
      <c r="BT264">
        <f t="shared" si="33"/>
        <v>16</v>
      </c>
      <c r="BU264">
        <f>D380</f>
        <v>0.99675839949385381</v>
      </c>
      <c r="BV264">
        <v>0.91947725514817313</v>
      </c>
      <c r="DW264" s="57"/>
      <c r="EA264">
        <f t="shared" si="28"/>
        <v>111.07451709166814</v>
      </c>
      <c r="EB264" t="e">
        <f>SUMPRODUCT($D380:$D$397,EA$10:EA264)</f>
        <v>#VALUE!</v>
      </c>
      <c r="EO264" s="15"/>
      <c r="ES264">
        <f t="shared" si="29"/>
        <v>53.296902043985135</v>
      </c>
      <c r="ET264" t="e">
        <f>SUMPRODUCT($D380:$D$397,ES$10:ES264)</f>
        <v>#VALUE!</v>
      </c>
    </row>
    <row r="265" spans="1:150" x14ac:dyDescent="0.2">
      <c r="A265">
        <f t="shared" si="20"/>
        <v>1888</v>
      </c>
      <c r="C265">
        <f t="shared" si="30"/>
        <v>132</v>
      </c>
      <c r="D265" s="63">
        <f t="shared" si="21"/>
        <v>9.0165866517443446E-2</v>
      </c>
      <c r="E265" s="18">
        <f t="shared" si="22"/>
        <v>11.090671432814773</v>
      </c>
      <c r="F265">
        <f t="shared" si="31"/>
        <v>1888</v>
      </c>
      <c r="G265">
        <v>1</v>
      </c>
      <c r="H265">
        <v>1</v>
      </c>
      <c r="I265">
        <v>1</v>
      </c>
      <c r="J265">
        <v>1</v>
      </c>
      <c r="K265">
        <v>1</v>
      </c>
      <c r="L265">
        <v>1</v>
      </c>
      <c r="M265">
        <v>1</v>
      </c>
      <c r="N265">
        <v>1</v>
      </c>
      <c r="O265">
        <v>1</v>
      </c>
      <c r="P265">
        <v>1</v>
      </c>
      <c r="Q265">
        <v>1</v>
      </c>
      <c r="S265" s="10">
        <v>1527.865692126697</v>
      </c>
      <c r="T265">
        <f t="shared" si="13"/>
        <v>152.78656921266972</v>
      </c>
      <c r="U265">
        <f t="shared" si="14"/>
        <v>151.5585544076626</v>
      </c>
      <c r="AB265">
        <f t="shared" si="23"/>
        <v>1888</v>
      </c>
      <c r="AD265">
        <f t="shared" si="34"/>
        <v>232.36797635548584</v>
      </c>
      <c r="AH265">
        <f t="shared" si="24"/>
        <v>232.36797635548584</v>
      </c>
      <c r="AI265">
        <f t="shared" si="25"/>
        <v>6764.2515132524313</v>
      </c>
      <c r="AL265" s="87">
        <f t="shared" si="17"/>
        <v>232.36797635548584</v>
      </c>
      <c r="AM265" s="87">
        <f t="shared" si="26"/>
        <v>6764.4932324426181</v>
      </c>
      <c r="AO265" s="19">
        <f t="shared" si="32"/>
        <v>-16.325551791110513</v>
      </c>
      <c r="AP265" s="23">
        <f t="shared" si="27"/>
        <v>2.4134183049829817E-3</v>
      </c>
      <c r="AQ265" s="23"/>
      <c r="AR265" s="23"/>
      <c r="AS265" s="23"/>
      <c r="AT265" s="23"/>
      <c r="AU265" s="23"/>
      <c r="AW265" s="35"/>
      <c r="AX265">
        <v>11</v>
      </c>
      <c r="AZ265">
        <v>1888</v>
      </c>
      <c r="BA265">
        <v>281.19636341949229</v>
      </c>
      <c r="BB265">
        <v>5121.8296219522053</v>
      </c>
      <c r="BE265">
        <v>281.19636341949229</v>
      </c>
      <c r="BF265">
        <v>5121.8296219522053</v>
      </c>
      <c r="BI265">
        <v>281.19636341949229</v>
      </c>
      <c r="BJ265">
        <v>5121.8296219522053</v>
      </c>
      <c r="BL265">
        <v>-24.128396008337972</v>
      </c>
      <c r="BM265">
        <v>4.7108939166823245E-3</v>
      </c>
      <c r="BT265">
        <f t="shared" si="33"/>
        <v>17</v>
      </c>
      <c r="BU265">
        <f>D379</f>
        <v>0.99594694166920961</v>
      </c>
      <c r="BV265">
        <v>0.9141937836075672</v>
      </c>
      <c r="DW265" s="57"/>
      <c r="EA265">
        <f t="shared" si="28"/>
        <v>111.07451709166814</v>
      </c>
      <c r="EB265" t="e">
        <f>SUMPRODUCT($D379:$D$397,EA$10:EA265)</f>
        <v>#VALUE!</v>
      </c>
      <c r="EO265" s="15"/>
      <c r="ES265">
        <f t="shared" si="29"/>
        <v>53.296902043985135</v>
      </c>
      <c r="ET265" t="e">
        <f>SUMPRODUCT($D379:$D$397,ES$10:ES265)</f>
        <v>#VALUE!</v>
      </c>
    </row>
    <row r="266" spans="1:150" x14ac:dyDescent="0.2">
      <c r="A266">
        <f t="shared" si="20"/>
        <v>1889</v>
      </c>
      <c r="C266">
        <f t="shared" si="30"/>
        <v>131</v>
      </c>
      <c r="D266" s="63">
        <f t="shared" si="21"/>
        <v>9.2643189518777508E-2</v>
      </c>
      <c r="E266" s="18">
        <f t="shared" si="22"/>
        <v>10.794101597692874</v>
      </c>
      <c r="F266">
        <f t="shared" si="31"/>
        <v>1889</v>
      </c>
      <c r="G266">
        <v>1</v>
      </c>
      <c r="H266">
        <v>1</v>
      </c>
      <c r="I266">
        <v>1</v>
      </c>
      <c r="J266">
        <v>1</v>
      </c>
      <c r="K266">
        <v>1</v>
      </c>
      <c r="L266">
        <v>1</v>
      </c>
      <c r="M266">
        <v>1</v>
      </c>
      <c r="N266">
        <v>1</v>
      </c>
      <c r="O266">
        <v>1</v>
      </c>
      <c r="P266">
        <v>1</v>
      </c>
      <c r="Q266">
        <v>1</v>
      </c>
      <c r="S266" s="10">
        <v>1550.6130739255943</v>
      </c>
      <c r="T266">
        <f t="shared" si="13"/>
        <v>155.06130739255946</v>
      </c>
      <c r="U266">
        <f t="shared" si="14"/>
        <v>153.69646448462561</v>
      </c>
      <c r="AB266">
        <f t="shared" si="23"/>
        <v>1889</v>
      </c>
      <c r="AD266">
        <f t="shared" si="34"/>
        <v>235.64579752602597</v>
      </c>
      <c r="AH266">
        <f t="shared" si="24"/>
        <v>235.64579752602597</v>
      </c>
      <c r="AI266">
        <f t="shared" si="25"/>
        <v>6982.3239926031611</v>
      </c>
      <c r="AL266" s="87">
        <f t="shared" si="17"/>
        <v>235.64579752602597</v>
      </c>
      <c r="AM266" s="87">
        <f t="shared" si="26"/>
        <v>6982.5584874281385</v>
      </c>
      <c r="AO266" s="19">
        <f t="shared" si="32"/>
        <v>-17.580542540505604</v>
      </c>
      <c r="AP266" s="23">
        <f t="shared" si="27"/>
        <v>2.5177794890166375E-3</v>
      </c>
      <c r="AQ266" s="23"/>
      <c r="AR266" s="23"/>
      <c r="AS266" s="23"/>
      <c r="AT266" s="23"/>
      <c r="AU266" s="23"/>
      <c r="AW266" s="35"/>
      <c r="AX266">
        <v>11</v>
      </c>
      <c r="AZ266">
        <v>1889</v>
      </c>
      <c r="BA266">
        <v>281.19636341949229</v>
      </c>
      <c r="BB266">
        <v>5377.3951994692206</v>
      </c>
      <c r="BE266">
        <v>281.19636341949229</v>
      </c>
      <c r="BF266">
        <v>5377.3951994692206</v>
      </c>
      <c r="BI266">
        <v>281.19636341949229</v>
      </c>
      <c r="BJ266">
        <v>5377.3951994692206</v>
      </c>
      <c r="BL266">
        <v>-25.630785902476987</v>
      </c>
      <c r="BM266">
        <v>4.7663943139248707E-3</v>
      </c>
      <c r="BT266">
        <f t="shared" si="33"/>
        <v>18</v>
      </c>
      <c r="BU266">
        <f>D378</f>
        <v>0.99499414829994903</v>
      </c>
      <c r="BV266">
        <v>0.90885093394952088</v>
      </c>
      <c r="DW266" s="57"/>
      <c r="EA266">
        <f t="shared" si="28"/>
        <v>111.07451709166814</v>
      </c>
      <c r="EB266" t="e">
        <f>SUMPRODUCT($D378:$D$397,EA$10:EA266)</f>
        <v>#VALUE!</v>
      </c>
      <c r="EO266" s="15"/>
      <c r="ES266">
        <f t="shared" si="29"/>
        <v>53.296902043985135</v>
      </c>
      <c r="ET266" t="e">
        <f>SUMPRODUCT($D378:$D$397,ES$10:ES266)</f>
        <v>#VALUE!</v>
      </c>
    </row>
    <row r="267" spans="1:150" x14ac:dyDescent="0.2">
      <c r="A267">
        <f t="shared" si="20"/>
        <v>1890</v>
      </c>
      <c r="C267">
        <f t="shared" si="30"/>
        <v>130</v>
      </c>
      <c r="D267" s="63">
        <f t="shared" si="21"/>
        <v>9.5201145525161138E-2</v>
      </c>
      <c r="E267" s="18">
        <f t="shared" si="22"/>
        <v>10.504075286948154</v>
      </c>
      <c r="F267">
        <f t="shared" si="31"/>
        <v>1890</v>
      </c>
      <c r="G267">
        <v>1</v>
      </c>
      <c r="H267">
        <v>1</v>
      </c>
      <c r="I267">
        <v>1</v>
      </c>
      <c r="J267">
        <v>1</v>
      </c>
      <c r="K267">
        <v>1</v>
      </c>
      <c r="L267">
        <v>1</v>
      </c>
      <c r="M267">
        <v>1</v>
      </c>
      <c r="N267">
        <v>1</v>
      </c>
      <c r="O267">
        <v>1</v>
      </c>
      <c r="P267">
        <v>1</v>
      </c>
      <c r="Q267">
        <v>1</v>
      </c>
      <c r="S267" s="10">
        <v>1575.7410366459508</v>
      </c>
      <c r="T267">
        <f t="shared" si="13"/>
        <v>157.5741036645951</v>
      </c>
      <c r="U267">
        <f t="shared" si="14"/>
        <v>156.06642590137369</v>
      </c>
      <c r="AB267">
        <f t="shared" si="23"/>
        <v>1890</v>
      </c>
      <c r="AD267">
        <f t="shared" si="34"/>
        <v>239.27939736209362</v>
      </c>
      <c r="AH267">
        <f t="shared" si="24"/>
        <v>239.27939736209362</v>
      </c>
      <c r="AI267">
        <f t="shared" si="25"/>
        <v>7202.7184914321788</v>
      </c>
      <c r="AL267" s="87">
        <f t="shared" si="17"/>
        <v>239.27939736209362</v>
      </c>
      <c r="AM267" s="87">
        <f t="shared" si="26"/>
        <v>7202.9459833862247</v>
      </c>
      <c r="AO267" s="19">
        <f t="shared" si="32"/>
        <v>-18.891901404007399</v>
      </c>
      <c r="AP267" s="23">
        <f t="shared" si="27"/>
        <v>2.6228020378858932E-3</v>
      </c>
      <c r="AQ267" s="23"/>
      <c r="AR267" s="23"/>
      <c r="AS267" s="23"/>
      <c r="AT267" s="23"/>
      <c r="AU267" s="23"/>
      <c r="AW267" s="35"/>
      <c r="AX267">
        <v>11</v>
      </c>
      <c r="AZ267">
        <v>1890</v>
      </c>
      <c r="BA267">
        <v>281.19636341949229</v>
      </c>
      <c r="BB267">
        <v>5631.441804178995</v>
      </c>
      <c r="BE267">
        <v>281.19636341949229</v>
      </c>
      <c r="BF267">
        <v>5631.441804178995</v>
      </c>
      <c r="BI267">
        <v>281.19636341949229</v>
      </c>
      <c r="BJ267">
        <v>5631.441804178995</v>
      </c>
      <c r="BL267">
        <v>-27.149758709717958</v>
      </c>
      <c r="BM267">
        <v>4.8211025974858861E-3</v>
      </c>
      <c r="BT267">
        <f t="shared" si="33"/>
        <v>19</v>
      </c>
      <c r="BU267">
        <f>D377</f>
        <v>0.99388524951035251</v>
      </c>
      <c r="BV267">
        <v>0.90344911157611096</v>
      </c>
      <c r="DW267" s="57"/>
      <c r="EA267">
        <f t="shared" si="28"/>
        <v>111.07451709166814</v>
      </c>
      <c r="EB267" t="e">
        <f>SUMPRODUCT($D377:$D$397,EA$10:EA267)</f>
        <v>#VALUE!</v>
      </c>
      <c r="EO267" s="15"/>
      <c r="ES267">
        <f t="shared" si="29"/>
        <v>53.296902043985135</v>
      </c>
      <c r="ET267" t="e">
        <f>SUMPRODUCT($D377:$D$397,ES$10:ES267)</f>
        <v>#VALUE!</v>
      </c>
    </row>
    <row r="268" spans="1:150" x14ac:dyDescent="0.2">
      <c r="A268">
        <f t="shared" si="20"/>
        <v>1891</v>
      </c>
      <c r="C268">
        <f t="shared" si="30"/>
        <v>129</v>
      </c>
      <c r="D268" s="63">
        <f t="shared" si="21"/>
        <v>9.784260196939315E-2</v>
      </c>
      <c r="E268" s="18">
        <f t="shared" si="22"/>
        <v>10.220496796608263</v>
      </c>
      <c r="F268">
        <f t="shared" si="31"/>
        <v>1891</v>
      </c>
      <c r="G268">
        <v>1</v>
      </c>
      <c r="H268">
        <v>1</v>
      </c>
      <c r="I268">
        <v>1</v>
      </c>
      <c r="J268">
        <v>1</v>
      </c>
      <c r="K268">
        <v>1</v>
      </c>
      <c r="L268">
        <v>1</v>
      </c>
      <c r="M268">
        <v>1</v>
      </c>
      <c r="N268">
        <v>1</v>
      </c>
      <c r="O268">
        <v>1</v>
      </c>
      <c r="P268">
        <v>1</v>
      </c>
      <c r="Q268">
        <v>1</v>
      </c>
      <c r="S268" s="10">
        <v>1603.3530406456503</v>
      </c>
      <c r="T268">
        <f t="shared" si="13"/>
        <v>160.33530406456504</v>
      </c>
      <c r="U268">
        <f t="shared" si="14"/>
        <v>158.67858382458309</v>
      </c>
      <c r="AB268">
        <f t="shared" si="23"/>
        <v>1891</v>
      </c>
      <c r="AD268">
        <f t="shared" si="34"/>
        <v>243.28433032618389</v>
      </c>
      <c r="AH268">
        <f t="shared" si="24"/>
        <v>243.28433032618389</v>
      </c>
      <c r="AI268">
        <f t="shared" si="25"/>
        <v>7425.7501440823962</v>
      </c>
      <c r="AL268" s="87">
        <f t="shared" si="17"/>
        <v>243.28433032618389</v>
      </c>
      <c r="AM268" s="87">
        <f t="shared" si="26"/>
        <v>7425.970849485243</v>
      </c>
      <c r="AO268" s="19">
        <f t="shared" si="32"/>
        <v>-20.259464227165637</v>
      </c>
      <c r="AP268" s="23">
        <f t="shared" si="27"/>
        <v>2.72819064844161E-3</v>
      </c>
      <c r="AQ268" s="23"/>
      <c r="AR268" s="23"/>
      <c r="AS268" s="23"/>
      <c r="AT268" s="23"/>
      <c r="AU268" s="23"/>
      <c r="AW268" s="35"/>
      <c r="AX268">
        <v>11</v>
      </c>
      <c r="AZ268">
        <v>1891</v>
      </c>
      <c r="BA268">
        <v>281.19636341949229</v>
      </c>
      <c r="BB268">
        <v>5883.9529784104279</v>
      </c>
      <c r="BE268">
        <v>281.19636341949229</v>
      </c>
      <c r="BF268">
        <v>5883.9529784104279</v>
      </c>
      <c r="BI268">
        <v>281.19636341949229</v>
      </c>
      <c r="BJ268">
        <v>5883.9529784104279</v>
      </c>
      <c r="BL268">
        <v>-28.685189188059326</v>
      </c>
      <c r="BM268">
        <v>4.8751560886553412E-3</v>
      </c>
      <c r="BT268">
        <f t="shared" si="33"/>
        <v>20</v>
      </c>
      <c r="BU268">
        <f>D376</f>
        <v>0.99260497636709277</v>
      </c>
      <c r="BV268">
        <v>0.89798876187717314</v>
      </c>
      <c r="DW268" s="57"/>
      <c r="EA268">
        <f t="shared" si="28"/>
        <v>111.07451709166814</v>
      </c>
      <c r="EB268" t="e">
        <f>SUMPRODUCT($D376:$D$397,EA$10:EA268)</f>
        <v>#VALUE!</v>
      </c>
      <c r="EO268" s="15"/>
      <c r="ES268">
        <f t="shared" si="29"/>
        <v>53.296902043985135</v>
      </c>
      <c r="ET268" t="e">
        <f>SUMPRODUCT($D376:$D$397,ES$10:ES268)</f>
        <v>#VALUE!</v>
      </c>
    </row>
    <row r="269" spans="1:150" x14ac:dyDescent="0.2">
      <c r="A269">
        <f t="shared" si="20"/>
        <v>1892</v>
      </c>
      <c r="C269">
        <f t="shared" si="30"/>
        <v>128</v>
      </c>
      <c r="D269" s="63">
        <f t="shared" si="21"/>
        <v>0.10057052553236653</v>
      </c>
      <c r="E269" s="18">
        <f t="shared" si="22"/>
        <v>9.9432710996242211</v>
      </c>
      <c r="F269">
        <f t="shared" si="31"/>
        <v>1892</v>
      </c>
      <c r="G269">
        <v>1</v>
      </c>
      <c r="H269">
        <v>1</v>
      </c>
      <c r="I269">
        <v>1</v>
      </c>
      <c r="J269">
        <v>1</v>
      </c>
      <c r="K269">
        <v>1</v>
      </c>
      <c r="L269">
        <v>1</v>
      </c>
      <c r="M269">
        <v>1</v>
      </c>
      <c r="N269">
        <v>1</v>
      </c>
      <c r="O269">
        <v>1</v>
      </c>
      <c r="P269">
        <v>1</v>
      </c>
      <c r="Q269">
        <v>1</v>
      </c>
      <c r="S269" s="10">
        <v>1614.591950342081</v>
      </c>
      <c r="T269">
        <f t="shared" si="13"/>
        <v>161.45919503420811</v>
      </c>
      <c r="U269">
        <f t="shared" si="14"/>
        <v>160.78486045242227</v>
      </c>
      <c r="AB269">
        <f t="shared" si="23"/>
        <v>1892</v>
      </c>
      <c r="AD269">
        <f t="shared" si="34"/>
        <v>246.51365142632696</v>
      </c>
      <c r="AH269">
        <f t="shared" si="24"/>
        <v>246.51365142632696</v>
      </c>
      <c r="AI269">
        <f t="shared" si="25"/>
        <v>7650.587448831131</v>
      </c>
      <c r="AL269" s="87">
        <f t="shared" si="17"/>
        <v>246.51365142632696</v>
      </c>
      <c r="AM269" s="87">
        <f t="shared" si="26"/>
        <v>7650.8015787448776</v>
      </c>
      <c r="AO269" s="19">
        <f t="shared" si="32"/>
        <v>-21.68292216669235</v>
      </c>
      <c r="AP269" s="23">
        <f t="shared" si="27"/>
        <v>2.8340719522684911E-3</v>
      </c>
      <c r="AQ269" s="23"/>
      <c r="AR269" s="23"/>
      <c r="AS269" s="23"/>
      <c r="AT269" s="23"/>
      <c r="AU269" s="23"/>
      <c r="AW269" s="35"/>
      <c r="AX269">
        <v>11</v>
      </c>
      <c r="AZ269">
        <v>1892</v>
      </c>
      <c r="BA269">
        <v>281.19636341949229</v>
      </c>
      <c r="BB269">
        <v>6134.9124011094473</v>
      </c>
      <c r="BE269">
        <v>281.19636341949229</v>
      </c>
      <c r="BF269">
        <v>6134.9124011094473</v>
      </c>
      <c r="BI269">
        <v>281.19636341949229</v>
      </c>
      <c r="BJ269">
        <v>6134.9124011094473</v>
      </c>
      <c r="BL269">
        <v>-30.236940720472944</v>
      </c>
      <c r="BM269">
        <v>4.9286670686617866E-3</v>
      </c>
      <c r="BT269">
        <f t="shared" si="33"/>
        <v>21</v>
      </c>
      <c r="BU269">
        <f>D375</f>
        <v>0.9911376234442244</v>
      </c>
      <c r="BV269">
        <v>0.89247037069478408</v>
      </c>
      <c r="DW269" s="57"/>
      <c r="EA269">
        <f t="shared" si="28"/>
        <v>111.07451709166814</v>
      </c>
      <c r="EB269" t="e">
        <f>SUMPRODUCT($D375:$D$397,EA$10:EA269)</f>
        <v>#VALUE!</v>
      </c>
      <c r="EO269" s="15"/>
      <c r="ES269">
        <f t="shared" si="29"/>
        <v>53.296902043985135</v>
      </c>
      <c r="ET269" t="e">
        <f>SUMPRODUCT($D375:$D$397,ES$10:ES269)</f>
        <v>#VALUE!</v>
      </c>
    </row>
    <row r="270" spans="1:150" x14ac:dyDescent="0.2">
      <c r="A270">
        <f t="shared" si="20"/>
        <v>1893</v>
      </c>
      <c r="C270">
        <f t="shared" si="30"/>
        <v>127</v>
      </c>
      <c r="D270" s="63">
        <f t="shared" si="21"/>
        <v>0.10338798448574323</v>
      </c>
      <c r="E270" s="18">
        <f t="shared" si="22"/>
        <v>9.6723038462742821</v>
      </c>
      <c r="F270">
        <f t="shared" si="31"/>
        <v>1893</v>
      </c>
      <c r="G270">
        <v>1</v>
      </c>
      <c r="H270">
        <v>1</v>
      </c>
      <c r="I270">
        <v>1</v>
      </c>
      <c r="J270">
        <v>1</v>
      </c>
      <c r="K270">
        <v>1</v>
      </c>
      <c r="L270">
        <v>1</v>
      </c>
      <c r="M270">
        <v>1</v>
      </c>
      <c r="N270">
        <v>1</v>
      </c>
      <c r="O270">
        <v>1</v>
      </c>
      <c r="P270">
        <v>1</v>
      </c>
      <c r="Q270">
        <v>1</v>
      </c>
      <c r="S270" s="10">
        <v>1621.5943213858316</v>
      </c>
      <c r="T270">
        <f t="shared" si="13"/>
        <v>162.15943213858316</v>
      </c>
      <c r="U270">
        <f t="shared" si="14"/>
        <v>161.73928987595815</v>
      </c>
      <c r="AB270">
        <f t="shared" si="23"/>
        <v>1893</v>
      </c>
      <c r="AD270">
        <f t="shared" si="34"/>
        <v>247.97697254724915</v>
      </c>
      <c r="AH270">
        <f t="shared" si="24"/>
        <v>247.97697254724915</v>
      </c>
      <c r="AI270">
        <f t="shared" si="25"/>
        <v>7875.4089623850541</v>
      </c>
      <c r="AL270" s="87">
        <f t="shared" si="17"/>
        <v>247.97697254724915</v>
      </c>
      <c r="AM270" s="87">
        <f t="shared" si="26"/>
        <v>7875.6167225571953</v>
      </c>
      <c r="AO270" s="19">
        <f t="shared" si="32"/>
        <v>-23.161828734931419</v>
      </c>
      <c r="AP270" s="23">
        <f t="shared" si="27"/>
        <v>2.940954283439383E-3</v>
      </c>
      <c r="AQ270" s="23"/>
      <c r="AR270" s="23"/>
      <c r="AS270" s="23"/>
      <c r="AT270" s="23"/>
      <c r="AU270" s="23"/>
      <c r="AW270" s="35"/>
      <c r="AX270">
        <v>11</v>
      </c>
      <c r="AZ270">
        <v>1893</v>
      </c>
      <c r="BA270">
        <v>281.19636341949229</v>
      </c>
      <c r="BB270">
        <v>6384.3038993316513</v>
      </c>
      <c r="BE270">
        <v>281.19636341949229</v>
      </c>
      <c r="BF270">
        <v>6384.3038993316513</v>
      </c>
      <c r="BI270">
        <v>281.19636341949229</v>
      </c>
      <c r="BJ270">
        <v>6384.3038993316513</v>
      </c>
      <c r="BL270">
        <v>-31.804865197288223</v>
      </c>
      <c r="BM270">
        <v>4.9817279532413479E-3</v>
      </c>
      <c r="BT270">
        <f t="shared" si="33"/>
        <v>22</v>
      </c>
      <c r="BU270">
        <f>D374</f>
        <v>0.98946711908151352</v>
      </c>
      <c r="BV270">
        <v>0.88689446474155798</v>
      </c>
      <c r="DW270" s="57"/>
      <c r="EA270">
        <f t="shared" si="28"/>
        <v>111.07451709166814</v>
      </c>
      <c r="EB270" t="e">
        <f>SUMPRODUCT($D374:$D$397,EA$10:EA270)</f>
        <v>#VALUE!</v>
      </c>
      <c r="EO270" s="15"/>
      <c r="ES270">
        <f t="shared" si="29"/>
        <v>53.296902043985135</v>
      </c>
      <c r="ET270" t="e">
        <f>SUMPRODUCT($D374:$D$397,ES$10:ES270)</f>
        <v>#VALUE!</v>
      </c>
    </row>
    <row r="271" spans="1:150" x14ac:dyDescent="0.2">
      <c r="A271">
        <f t="shared" si="20"/>
        <v>1894</v>
      </c>
      <c r="C271">
        <f t="shared" si="30"/>
        <v>126</v>
      </c>
      <c r="D271" s="63">
        <f t="shared" si="21"/>
        <v>0.10629815093793293</v>
      </c>
      <c r="E271" s="18">
        <f t="shared" si="22"/>
        <v>9.4075013645712051</v>
      </c>
      <c r="F271">
        <f t="shared" si="31"/>
        <v>1894</v>
      </c>
      <c r="G271">
        <v>1</v>
      </c>
      <c r="H271">
        <v>1</v>
      </c>
      <c r="I271">
        <v>1</v>
      </c>
      <c r="J271">
        <v>1</v>
      </c>
      <c r="K271">
        <v>1</v>
      </c>
      <c r="L271">
        <v>1</v>
      </c>
      <c r="M271">
        <v>1</v>
      </c>
      <c r="N271">
        <v>1</v>
      </c>
      <c r="O271">
        <v>1</v>
      </c>
      <c r="P271">
        <v>1</v>
      </c>
      <c r="Q271">
        <v>1</v>
      </c>
      <c r="S271" s="10">
        <v>1624.1748864865629</v>
      </c>
      <c r="T271">
        <f t="shared" si="13"/>
        <v>162.4174886486563</v>
      </c>
      <c r="U271">
        <f t="shared" si="14"/>
        <v>162.26265474261243</v>
      </c>
      <c r="AB271">
        <f t="shared" si="23"/>
        <v>1894</v>
      </c>
      <c r="AD271">
        <f t="shared" si="34"/>
        <v>248.77939003820052</v>
      </c>
      <c r="AH271">
        <f t="shared" si="24"/>
        <v>248.77939003820052</v>
      </c>
      <c r="AI271">
        <f t="shared" si="25"/>
        <v>8099.4989135737178</v>
      </c>
      <c r="AL271" s="87">
        <f t="shared" si="17"/>
        <v>248.77939003820052</v>
      </c>
      <c r="AM271" s="87">
        <f t="shared" si="26"/>
        <v>8099.7005044038124</v>
      </c>
      <c r="AO271" s="19">
        <f t="shared" si="32"/>
        <v>-24.69560819158346</v>
      </c>
      <c r="AP271" s="23">
        <f t="shared" si="27"/>
        <v>3.0489532518093035E-3</v>
      </c>
      <c r="AQ271" s="23"/>
      <c r="AR271" s="23"/>
      <c r="AS271" s="23"/>
      <c r="AT271" s="23"/>
      <c r="AU271" s="23"/>
      <c r="AW271" s="35"/>
      <c r="AX271">
        <v>11</v>
      </c>
      <c r="AZ271">
        <v>1894</v>
      </c>
      <c r="BA271">
        <v>281.19636341949229</v>
      </c>
      <c r="BB271">
        <v>6632.1114598389586</v>
      </c>
      <c r="BE271">
        <v>281.19636341949229</v>
      </c>
      <c r="BF271">
        <v>6632.1114598389586</v>
      </c>
      <c r="BI271">
        <v>281.19636341949229</v>
      </c>
      <c r="BJ271">
        <v>6632.1114598389586</v>
      </c>
      <c r="BL271">
        <v>-33.388802912185042</v>
      </c>
      <c r="BM271">
        <v>5.0344152257350318E-3</v>
      </c>
      <c r="BT271">
        <f t="shared" si="33"/>
        <v>23</v>
      </c>
      <c r="BU271">
        <f>D373</f>
        <v>0.98757710366441731</v>
      </c>
      <c r="BV271">
        <v>0.88126161197051267</v>
      </c>
      <c r="DW271" s="57"/>
      <c r="EA271">
        <f t="shared" si="28"/>
        <v>111.07451709166814</v>
      </c>
      <c r="EB271" t="e">
        <f>SUMPRODUCT($D373:$D$397,EA$10:EA271)</f>
        <v>#VALUE!</v>
      </c>
      <c r="EO271" s="15"/>
      <c r="ES271">
        <f t="shared" si="29"/>
        <v>53.296902043985135</v>
      </c>
      <c r="ET271" t="e">
        <f>SUMPRODUCT($D373:$D$397,ES$10:ES271)</f>
        <v>#VALUE!</v>
      </c>
    </row>
    <row r="272" spans="1:150" x14ac:dyDescent="0.2">
      <c r="A272">
        <f t="shared" si="20"/>
        <v>1895</v>
      </c>
      <c r="C272">
        <f t="shared" si="30"/>
        <v>125</v>
      </c>
      <c r="D272" s="63">
        <f t="shared" si="21"/>
        <v>0.10930430295937139</v>
      </c>
      <c r="E272" s="18">
        <f t="shared" si="22"/>
        <v>9.1487706606729091</v>
      </c>
      <c r="F272">
        <f t="shared" si="31"/>
        <v>1895</v>
      </c>
      <c r="G272">
        <v>1</v>
      </c>
      <c r="H272">
        <v>1</v>
      </c>
      <c r="I272">
        <v>1</v>
      </c>
      <c r="J272">
        <v>1</v>
      </c>
      <c r="K272">
        <v>1</v>
      </c>
      <c r="L272">
        <v>1</v>
      </c>
      <c r="M272">
        <v>1</v>
      </c>
      <c r="N272">
        <v>1</v>
      </c>
      <c r="O272">
        <v>1</v>
      </c>
      <c r="P272">
        <v>1</v>
      </c>
      <c r="Q272">
        <v>1</v>
      </c>
      <c r="S272" s="10">
        <v>1622.1422049739854</v>
      </c>
      <c r="T272">
        <f t="shared" si="13"/>
        <v>162.21422049739854</v>
      </c>
      <c r="U272">
        <f t="shared" si="14"/>
        <v>162.33618138815319</v>
      </c>
      <c r="AB272">
        <f t="shared" si="23"/>
        <v>1895</v>
      </c>
      <c r="AD272">
        <f t="shared" si="34"/>
        <v>248.89212031528245</v>
      </c>
      <c r="AH272">
        <f t="shared" si="24"/>
        <v>248.89212031528245</v>
      </c>
      <c r="AI272">
        <f t="shared" si="25"/>
        <v>8322.1134439825437</v>
      </c>
      <c r="AL272" s="87">
        <f t="shared" si="17"/>
        <v>248.89212031528245</v>
      </c>
      <c r="AM272" s="87">
        <f t="shared" si="26"/>
        <v>8322.309060510157</v>
      </c>
      <c r="AO272" s="19">
        <f t="shared" si="32"/>
        <v>-26.283564208937833</v>
      </c>
      <c r="AP272" s="23">
        <f t="shared" si="27"/>
        <v>3.158205735671952E-3</v>
      </c>
      <c r="AQ272" s="23"/>
      <c r="AR272" s="23"/>
      <c r="AS272" s="23"/>
      <c r="AT272" s="23"/>
      <c r="AU272" s="23"/>
      <c r="AW272" s="35"/>
      <c r="AX272">
        <v>11</v>
      </c>
      <c r="AZ272">
        <v>1895</v>
      </c>
      <c r="BA272">
        <v>281.19636341949229</v>
      </c>
      <c r="BB272">
        <v>6878.319240786037</v>
      </c>
      <c r="BE272">
        <v>281.19636341949229</v>
      </c>
      <c r="BF272">
        <v>6878.319240786037</v>
      </c>
      <c r="BI272">
        <v>281.19636341949229</v>
      </c>
      <c r="BJ272">
        <v>6878.319240786037</v>
      </c>
      <c r="BL272">
        <v>-34.988582472413896</v>
      </c>
      <c r="BM272">
        <v>5.0867924630400678E-3</v>
      </c>
      <c r="BT272">
        <f t="shared" si="33"/>
        <v>24</v>
      </c>
      <c r="BU272">
        <f>D372</f>
        <v>0.98545101615005803</v>
      </c>
      <c r="BV272">
        <v>0.87557242189431506</v>
      </c>
      <c r="DW272" s="57"/>
      <c r="EA272">
        <f t="shared" si="28"/>
        <v>111.07451709166814</v>
      </c>
      <c r="EB272" t="e">
        <f>SUMPRODUCT($D372:$D$397,EA$10:EA272)</f>
        <v>#VALUE!</v>
      </c>
      <c r="EO272" s="15"/>
      <c r="ES272">
        <f t="shared" si="29"/>
        <v>53.296902043985135</v>
      </c>
      <c r="ET272" t="e">
        <f>SUMPRODUCT($D372:$D$397,ES$10:ES272)</f>
        <v>#VALUE!</v>
      </c>
    </row>
    <row r="273" spans="1:150" x14ac:dyDescent="0.2">
      <c r="A273">
        <f t="shared" si="20"/>
        <v>1896</v>
      </c>
      <c r="C273">
        <f t="shared" si="30"/>
        <v>124</v>
      </c>
      <c r="D273" s="63">
        <f t="shared" si="21"/>
        <v>0.1124098265602777</v>
      </c>
      <c r="E273" s="18">
        <f t="shared" si="22"/>
        <v>8.8960194192966604</v>
      </c>
      <c r="F273">
        <f t="shared" si="31"/>
        <v>1896</v>
      </c>
      <c r="G273">
        <v>1</v>
      </c>
      <c r="H273">
        <v>1</v>
      </c>
      <c r="I273">
        <v>1</v>
      </c>
      <c r="J273">
        <v>1</v>
      </c>
      <c r="K273">
        <v>1</v>
      </c>
      <c r="L273">
        <v>1</v>
      </c>
      <c r="M273">
        <v>1</v>
      </c>
      <c r="N273">
        <v>1</v>
      </c>
      <c r="O273">
        <v>1</v>
      </c>
      <c r="P273">
        <v>1</v>
      </c>
      <c r="Q273">
        <v>1</v>
      </c>
      <c r="S273" s="10">
        <v>1623.2635025720247</v>
      </c>
      <c r="T273">
        <f t="shared" si="13"/>
        <v>162.32635025720248</v>
      </c>
      <c r="U273">
        <f t="shared" si="14"/>
        <v>162.25907240132011</v>
      </c>
      <c r="AB273">
        <f t="shared" si="23"/>
        <v>1896</v>
      </c>
      <c r="AD273">
        <f t="shared" si="34"/>
        <v>248.77389763033239</v>
      </c>
      <c r="AH273">
        <f t="shared" si="24"/>
        <v>248.77389763033239</v>
      </c>
      <c r="AI273">
        <f t="shared" si="25"/>
        <v>8542.9682374544664</v>
      </c>
      <c r="AL273" s="87">
        <f t="shared" si="17"/>
        <v>248.77389763033239</v>
      </c>
      <c r="AM273" s="87">
        <f t="shared" si="26"/>
        <v>8543.1580693661817</v>
      </c>
      <c r="AO273" s="19">
        <f t="shared" si="32"/>
        <v>-27.924888774307647</v>
      </c>
      <c r="AP273" s="23">
        <f t="shared" si="27"/>
        <v>3.2686845482164184E-3</v>
      </c>
      <c r="AQ273" s="23"/>
      <c r="AR273" s="23"/>
      <c r="AS273" s="23"/>
      <c r="AT273" s="23"/>
      <c r="AU273" s="23"/>
      <c r="AW273" s="35"/>
      <c r="AX273">
        <v>11</v>
      </c>
      <c r="AZ273">
        <v>1896</v>
      </c>
      <c r="BA273">
        <v>281.19636341949229</v>
      </c>
      <c r="BB273">
        <v>7122.9115834816585</v>
      </c>
      <c r="BE273">
        <v>281.19636341949229</v>
      </c>
      <c r="BF273">
        <v>7122.9115834816585</v>
      </c>
      <c r="BI273">
        <v>281.19636341949229</v>
      </c>
      <c r="BJ273">
        <v>7122.9115834816585</v>
      </c>
      <c r="BL273">
        <v>-36.604020723870804</v>
      </c>
      <c r="BM273">
        <v>5.1389126896867737E-3</v>
      </c>
      <c r="BT273">
        <f t="shared" si="33"/>
        <v>25</v>
      </c>
      <c r="BU273">
        <f>D371</f>
        <v>0.98307218894002268</v>
      </c>
      <c r="BV273">
        <v>0.86982754585177513</v>
      </c>
      <c r="DW273" s="57"/>
      <c r="EA273">
        <f t="shared" si="28"/>
        <v>111.07451709166814</v>
      </c>
      <c r="EB273" t="e">
        <f>SUMPRODUCT($D371:$D$397,EA$10:EA273)</f>
        <v>#VALUE!</v>
      </c>
      <c r="EO273" s="15"/>
      <c r="ES273">
        <f t="shared" si="29"/>
        <v>53.296902043985135</v>
      </c>
      <c r="ET273" t="e">
        <f>SUMPRODUCT($D371:$D$397,ES$10:ES273)</f>
        <v>#VALUE!</v>
      </c>
    </row>
    <row r="274" spans="1:150" x14ac:dyDescent="0.2">
      <c r="A274">
        <f t="shared" si="20"/>
        <v>1897</v>
      </c>
      <c r="C274">
        <f t="shared" si="30"/>
        <v>123</v>
      </c>
      <c r="D274" s="63">
        <f t="shared" si="21"/>
        <v>0.11561821749101352</v>
      </c>
      <c r="E274" s="18">
        <f t="shared" si="22"/>
        <v>8.6491560041368523</v>
      </c>
      <c r="F274">
        <f t="shared" si="31"/>
        <v>1897</v>
      </c>
      <c r="G274">
        <v>1</v>
      </c>
      <c r="H274">
        <v>1</v>
      </c>
      <c r="I274">
        <v>1</v>
      </c>
      <c r="J274">
        <v>1</v>
      </c>
      <c r="K274">
        <v>1</v>
      </c>
      <c r="L274">
        <v>1</v>
      </c>
      <c r="M274">
        <v>1</v>
      </c>
      <c r="N274">
        <v>1</v>
      </c>
      <c r="O274">
        <v>1</v>
      </c>
      <c r="P274">
        <v>1</v>
      </c>
      <c r="Q274">
        <v>1</v>
      </c>
      <c r="S274" s="10">
        <v>1639.6171225611263</v>
      </c>
      <c r="T274">
        <f t="shared" si="13"/>
        <v>163.96171225611263</v>
      </c>
      <c r="U274">
        <f t="shared" si="14"/>
        <v>162.98049505676653</v>
      </c>
      <c r="AB274">
        <f t="shared" si="23"/>
        <v>1897</v>
      </c>
      <c r="AD274">
        <f t="shared" si="34"/>
        <v>249.87997523313254</v>
      </c>
      <c r="AH274">
        <f t="shared" si="24"/>
        <v>249.87997523313254</v>
      </c>
      <c r="AI274">
        <f t="shared" si="25"/>
        <v>8763.2351413084107</v>
      </c>
      <c r="AL274" s="87">
        <f t="shared" si="17"/>
        <v>249.87997523313254</v>
      </c>
      <c r="AM274" s="87">
        <f t="shared" si="26"/>
        <v>8763.419372961831</v>
      </c>
      <c r="AO274" s="19">
        <f t="shared" si="32"/>
        <v>-29.618671637483317</v>
      </c>
      <c r="AP274" s="23">
        <f t="shared" si="27"/>
        <v>3.379807627245037E-3</v>
      </c>
      <c r="AQ274" s="23"/>
      <c r="AR274" s="23"/>
      <c r="AS274" s="23"/>
      <c r="AT274" s="23"/>
      <c r="AU274" s="23"/>
      <c r="AW274" s="35"/>
      <c r="AX274">
        <v>11</v>
      </c>
      <c r="AZ274">
        <v>1897</v>
      </c>
      <c r="BA274">
        <v>281.19636341949229</v>
      </c>
      <c r="BB274">
        <v>7365.8730242095835</v>
      </c>
      <c r="BE274">
        <v>281.19636341949229</v>
      </c>
      <c r="BF274">
        <v>7365.8730242095835</v>
      </c>
      <c r="BI274">
        <v>281.19636341949229</v>
      </c>
      <c r="BJ274">
        <v>7365.8730242095835</v>
      </c>
      <c r="BL274">
        <v>-38.234922691567249</v>
      </c>
      <c r="BM274">
        <v>5.1908202280842542E-3</v>
      </c>
      <c r="BT274">
        <f t="shared" si="33"/>
        <v>26</v>
      </c>
      <c r="BU274">
        <f>D370</f>
        <v>0.98042395105756286</v>
      </c>
      <c r="BV274">
        <v>0.86402767721953899</v>
      </c>
      <c r="DW274" s="57"/>
      <c r="EA274">
        <f t="shared" si="28"/>
        <v>111.07451709166814</v>
      </c>
      <c r="EB274" t="e">
        <f>SUMPRODUCT($D370:$D$397,EA$10:EA274)</f>
        <v>#VALUE!</v>
      </c>
      <c r="EO274" s="15"/>
      <c r="ES274">
        <f t="shared" si="29"/>
        <v>53.296902043985135</v>
      </c>
      <c r="ET274" t="e">
        <f>SUMPRODUCT($D370:$D$397,ES$10:ES274)</f>
        <v>#VALUE!</v>
      </c>
    </row>
    <row r="275" spans="1:150" x14ac:dyDescent="0.2">
      <c r="A275">
        <f t="shared" si="20"/>
        <v>1898</v>
      </c>
      <c r="C275">
        <f t="shared" si="30"/>
        <v>122</v>
      </c>
      <c r="D275" s="63">
        <f t="shared" si="21"/>
        <v>0.11893308283185344</v>
      </c>
      <c r="E275" s="18">
        <f t="shared" si="22"/>
        <v>8.4080894582863142</v>
      </c>
      <c r="F275">
        <f t="shared" si="31"/>
        <v>1898</v>
      </c>
      <c r="G275">
        <v>1</v>
      </c>
      <c r="H275">
        <v>1</v>
      </c>
      <c r="I275">
        <v>1</v>
      </c>
      <c r="J275">
        <v>1</v>
      </c>
      <c r="K275">
        <v>1</v>
      </c>
      <c r="L275">
        <v>1</v>
      </c>
      <c r="M275">
        <v>1</v>
      </c>
      <c r="N275">
        <v>1</v>
      </c>
      <c r="O275">
        <v>1</v>
      </c>
      <c r="P275">
        <v>1</v>
      </c>
      <c r="Q275">
        <v>1</v>
      </c>
      <c r="S275" s="10">
        <v>1643.9629299567227</v>
      </c>
      <c r="T275">
        <f t="shared" si="13"/>
        <v>164.3962929956723</v>
      </c>
      <c r="U275">
        <f t="shared" si="14"/>
        <v>164.1355445519365</v>
      </c>
      <c r="AB275">
        <f t="shared" si="23"/>
        <v>1898</v>
      </c>
      <c r="AD275">
        <f t="shared" si="34"/>
        <v>251.65088493091932</v>
      </c>
      <c r="AH275">
        <f t="shared" si="24"/>
        <v>251.65088493091932</v>
      </c>
      <c r="AI275">
        <f t="shared" si="25"/>
        <v>8983.5275370442141</v>
      </c>
      <c r="AL275" s="87">
        <f t="shared" si="17"/>
        <v>251.65088493091932</v>
      </c>
      <c r="AM275" s="87">
        <f t="shared" si="26"/>
        <v>8983.7063475070154</v>
      </c>
      <c r="AO275" s="19">
        <f t="shared" si="32"/>
        <v>-31.363910385734897</v>
      </c>
      <c r="AP275" s="23">
        <f t="shared" si="27"/>
        <v>3.4911994195400658E-3</v>
      </c>
      <c r="AQ275" s="23"/>
      <c r="AR275" s="23"/>
      <c r="AS275" s="23"/>
      <c r="AT275" s="23"/>
      <c r="AU275" s="23"/>
      <c r="AW275" s="35"/>
      <c r="AX275">
        <v>11</v>
      </c>
      <c r="AZ275">
        <v>1898</v>
      </c>
      <c r="BA275">
        <v>281.19636341949229</v>
      </c>
      <c r="BB275">
        <v>7607.1883060930177</v>
      </c>
      <c r="BE275">
        <v>281.19636341949229</v>
      </c>
      <c r="BF275">
        <v>7607.1883060930177</v>
      </c>
      <c r="BI275">
        <v>281.19636341949229</v>
      </c>
      <c r="BJ275">
        <v>7607.1883060930177</v>
      </c>
      <c r="BL275">
        <v>-39.881081536058105</v>
      </c>
      <c r="BM275">
        <v>5.2425521666283901E-3</v>
      </c>
      <c r="BT275">
        <f t="shared" si="33"/>
        <v>27</v>
      </c>
      <c r="BU275">
        <f>D369</f>
        <v>0.97748973942419259</v>
      </c>
      <c r="BV275">
        <v>0.85817355156701169</v>
      </c>
      <c r="DW275" s="57"/>
      <c r="EA275">
        <f t="shared" si="28"/>
        <v>111.07451709166814</v>
      </c>
      <c r="EB275" t="e">
        <f>SUMPRODUCT($D369:$D$397,EA$10:EA275)</f>
        <v>#VALUE!</v>
      </c>
      <c r="EO275" s="15"/>
      <c r="ES275">
        <f t="shared" si="29"/>
        <v>53.296902043985135</v>
      </c>
      <c r="ET275" t="e">
        <f>SUMPRODUCT($D369:$D$397,ES$10:ES275)</f>
        <v>#VALUE!</v>
      </c>
    </row>
    <row r="276" spans="1:150" x14ac:dyDescent="0.2">
      <c r="A276">
        <f t="shared" si="20"/>
        <v>1899</v>
      </c>
      <c r="C276">
        <f t="shared" si="30"/>
        <v>121</v>
      </c>
      <c r="D276" s="63">
        <f t="shared" si="21"/>
        <v>0.12235814233539018</v>
      </c>
      <c r="E276" s="18">
        <f t="shared" si="22"/>
        <v>8.1727295046613797</v>
      </c>
      <c r="F276">
        <f t="shared" si="31"/>
        <v>1899</v>
      </c>
      <c r="G276">
        <v>1</v>
      </c>
      <c r="H276">
        <v>1</v>
      </c>
      <c r="I276">
        <v>1</v>
      </c>
      <c r="J276">
        <v>1</v>
      </c>
      <c r="K276">
        <v>1</v>
      </c>
      <c r="L276">
        <v>1</v>
      </c>
      <c r="M276">
        <v>1</v>
      </c>
      <c r="N276">
        <v>1</v>
      </c>
      <c r="O276">
        <v>1</v>
      </c>
      <c r="P276">
        <v>1</v>
      </c>
      <c r="Q276">
        <v>1</v>
      </c>
      <c r="S276" s="10">
        <v>1651.7153397628435</v>
      </c>
      <c r="T276">
        <f t="shared" si="13"/>
        <v>165.17153397628437</v>
      </c>
      <c r="U276">
        <f t="shared" si="14"/>
        <v>164.70638938791711</v>
      </c>
      <c r="AB276">
        <f t="shared" si="23"/>
        <v>1899</v>
      </c>
      <c r="AD276">
        <f t="shared" si="34"/>
        <v>252.52609820982804</v>
      </c>
      <c r="AH276">
        <f t="shared" si="24"/>
        <v>252.52609820982804</v>
      </c>
      <c r="AI276">
        <f t="shared" si="25"/>
        <v>9202.8993608352102</v>
      </c>
      <c r="AL276" s="87">
        <f t="shared" si="17"/>
        <v>252.52609820982804</v>
      </c>
      <c r="AM276" s="87">
        <f t="shared" si="26"/>
        <v>9203.0729239374577</v>
      </c>
      <c r="AO276" s="19">
        <f t="shared" si="32"/>
        <v>-33.15952177938567</v>
      </c>
      <c r="AP276" s="23">
        <f t="shared" si="27"/>
        <v>3.6030923641968324E-3</v>
      </c>
      <c r="AQ276" s="23"/>
      <c r="AR276" s="23"/>
      <c r="AS276" s="23"/>
      <c r="AT276" s="23"/>
      <c r="AU276" s="23"/>
      <c r="AW276" s="35"/>
      <c r="AX276">
        <v>11</v>
      </c>
      <c r="AZ276">
        <v>1899</v>
      </c>
      <c r="BA276">
        <v>281.19636341949229</v>
      </c>
      <c r="BB276">
        <v>7846.8423909861294</v>
      </c>
      <c r="BE276">
        <v>281.19636341949229</v>
      </c>
      <c r="BF276">
        <v>7846.8423909861294</v>
      </c>
      <c r="BI276">
        <v>281.19636341949229</v>
      </c>
      <c r="BJ276">
        <v>7846.8423909861294</v>
      </c>
      <c r="BL276">
        <v>-41.542278526380528</v>
      </c>
      <c r="BM276">
        <v>5.294139534916773E-3</v>
      </c>
      <c r="BT276">
        <f t="shared" si="33"/>
        <v>28</v>
      </c>
      <c r="BU276">
        <f>D368</f>
        <v>0.9742532178500003</v>
      </c>
      <c r="BV276">
        <v>0.85226594675263601</v>
      </c>
      <c r="DW276" s="57"/>
      <c r="EA276">
        <f t="shared" si="28"/>
        <v>111.07451709166814</v>
      </c>
      <c r="EB276" t="e">
        <f>SUMPRODUCT($D368:$D$397,EA$10:EA276)</f>
        <v>#VALUE!</v>
      </c>
      <c r="EO276" s="15"/>
      <c r="ES276">
        <f t="shared" si="29"/>
        <v>53.296902043985135</v>
      </c>
      <c r="ET276" t="e">
        <f>SUMPRODUCT($D368:$D$397,ES$10:ES276)</f>
        <v>#VALUE!</v>
      </c>
    </row>
    <row r="277" spans="1:150" x14ac:dyDescent="0.2">
      <c r="A277">
        <f t="shared" si="20"/>
        <v>1900</v>
      </c>
      <c r="C277">
        <f t="shared" si="30"/>
        <v>120</v>
      </c>
      <c r="D277" s="63">
        <f t="shared" si="21"/>
        <v>0.12589722948093995</v>
      </c>
      <c r="E277" s="18">
        <f t="shared" si="22"/>
        <v>7.9429865464306637</v>
      </c>
      <c r="F277">
        <f t="shared" si="31"/>
        <v>1900</v>
      </c>
      <c r="G277">
        <v>1</v>
      </c>
      <c r="H277">
        <v>1</v>
      </c>
      <c r="I277">
        <v>1</v>
      </c>
      <c r="J277">
        <v>1</v>
      </c>
      <c r="K277">
        <v>1</v>
      </c>
      <c r="L277">
        <v>1</v>
      </c>
      <c r="M277">
        <v>1</v>
      </c>
      <c r="N277">
        <v>1</v>
      </c>
      <c r="O277">
        <v>1</v>
      </c>
      <c r="P277">
        <v>1</v>
      </c>
      <c r="Q277">
        <v>1</v>
      </c>
      <c r="S277" s="10">
        <v>1663.0123792187767</v>
      </c>
      <c r="T277">
        <f t="shared" si="13"/>
        <v>166.30123792187769</v>
      </c>
      <c r="U277">
        <f t="shared" si="14"/>
        <v>165.6234155545217</v>
      </c>
      <c r="AB277">
        <f t="shared" si="23"/>
        <v>1900</v>
      </c>
      <c r="AD277">
        <f t="shared" ref="AD277:AD296" si="35">$U$434*U277</f>
        <v>410.20707153320654</v>
      </c>
      <c r="AH277">
        <f t="shared" si="24"/>
        <v>410.20707153320654</v>
      </c>
      <c r="AI277">
        <f t="shared" si="25"/>
        <v>9578.1071567345152</v>
      </c>
      <c r="AL277" s="87">
        <f>AD277</f>
        <v>410.20707153320654</v>
      </c>
      <c r="AM277" s="87">
        <f t="shared" si="26"/>
        <v>9578.2756411325663</v>
      </c>
      <c r="AO277" s="19">
        <f t="shared" si="32"/>
        <v>-35.004354338097983</v>
      </c>
      <c r="AP277" s="23">
        <f t="shared" si="27"/>
        <v>3.6545570047886986E-3</v>
      </c>
      <c r="AQ277" s="23"/>
      <c r="AR277" s="23"/>
      <c r="AS277" s="23"/>
      <c r="AT277" s="23"/>
      <c r="AU277" s="23"/>
      <c r="AW277" s="35"/>
      <c r="AX277">
        <v>11</v>
      </c>
      <c r="AZ277">
        <v>1900</v>
      </c>
      <c r="BA277">
        <v>281.19636341949229</v>
      </c>
      <c r="BB277">
        <v>8084.8204713756631</v>
      </c>
      <c r="BE277">
        <v>281.19636341949229</v>
      </c>
      <c r="BF277">
        <v>8084.8204713756631</v>
      </c>
      <c r="BI277">
        <v>281.19636341949229</v>
      </c>
      <c r="BJ277">
        <v>8084.8204713756631</v>
      </c>
      <c r="BL277">
        <v>-43.21828302995857</v>
      </c>
      <c r="BM277">
        <v>5.3456082522763569E-3</v>
      </c>
      <c r="BT277">
        <f t="shared" si="33"/>
        <v>29</v>
      </c>
      <c r="BU277">
        <f>D367</f>
        <v>0.97069840315522438</v>
      </c>
      <c r="BV277">
        <v>0.84630568295975828</v>
      </c>
      <c r="DW277" s="57"/>
      <c r="EA277">
        <f t="shared" si="28"/>
        <v>111.07451709166814</v>
      </c>
      <c r="EB277" t="e">
        <f>SUMPRODUCT($D367:$D$397,EA$10:EA277)</f>
        <v>#VALUE!</v>
      </c>
      <c r="EO277" s="15"/>
      <c r="ES277">
        <f t="shared" si="29"/>
        <v>53.296902043985135</v>
      </c>
      <c r="ET277" t="e">
        <f>SUMPRODUCT($D367:$D$397,ES$10:ES277)</f>
        <v>#VALUE!</v>
      </c>
    </row>
    <row r="278" spans="1:150" x14ac:dyDescent="0.2">
      <c r="A278">
        <f t="shared" si="20"/>
        <v>1901</v>
      </c>
      <c r="B278">
        <f>C4</f>
        <v>73.223812016884864</v>
      </c>
      <c r="C278">
        <f t="shared" si="30"/>
        <v>119</v>
      </c>
      <c r="D278" s="63">
        <f t="shared" si="21"/>
        <v>0.12955429219616676</v>
      </c>
      <c r="E278" s="18">
        <f t="shared" si="22"/>
        <v>7.7187716674476023</v>
      </c>
      <c r="F278">
        <f t="shared" si="31"/>
        <v>1901</v>
      </c>
      <c r="G278">
        <v>1</v>
      </c>
      <c r="H278">
        <v>1</v>
      </c>
      <c r="I278">
        <v>1</v>
      </c>
      <c r="J278">
        <v>1</v>
      </c>
      <c r="K278">
        <v>1</v>
      </c>
      <c r="L278">
        <v>1</v>
      </c>
      <c r="M278">
        <v>1</v>
      </c>
      <c r="N278">
        <v>1</v>
      </c>
      <c r="O278">
        <v>1</v>
      </c>
      <c r="P278">
        <v>1</v>
      </c>
      <c r="Q278">
        <v>1</v>
      </c>
      <c r="S278" s="10">
        <v>1677.9962175973251</v>
      </c>
      <c r="T278">
        <f t="shared" si="13"/>
        <v>167.79962175973253</v>
      </c>
      <c r="U278">
        <f t="shared" si="14"/>
        <v>166.90059145701963</v>
      </c>
      <c r="AB278">
        <f t="shared" si="23"/>
        <v>1901</v>
      </c>
      <c r="AD278">
        <f t="shared" si="35"/>
        <v>413.37031137488214</v>
      </c>
      <c r="AH278">
        <f t="shared" si="24"/>
        <v>413.37031137488214</v>
      </c>
      <c r="AI278">
        <f t="shared" si="25"/>
        <v>9954.5851747393554</v>
      </c>
      <c r="AL278" s="87">
        <f>AD278</f>
        <v>413.37031137488214</v>
      </c>
      <c r="AM278" s="87">
        <f t="shared" si="26"/>
        <v>9954.748743989825</v>
      </c>
      <c r="AO278" s="19">
        <f t="shared" si="32"/>
        <v>-36.897208517623426</v>
      </c>
      <c r="AP278" s="23">
        <f t="shared" si="27"/>
        <v>3.7064931990272582E-3</v>
      </c>
      <c r="AQ278" s="23"/>
      <c r="AR278" s="23"/>
      <c r="AS278" s="23"/>
      <c r="AT278" s="23"/>
      <c r="AU278" s="23"/>
      <c r="AW278" s="35"/>
      <c r="AX278">
        <v>11</v>
      </c>
      <c r="AZ278">
        <v>1901</v>
      </c>
      <c r="BA278">
        <v>281.19636341949229</v>
      </c>
      <c r="BB278">
        <v>8321.1079822751781</v>
      </c>
      <c r="BE278">
        <v>281.19636341949229</v>
      </c>
      <c r="BF278">
        <v>8321.1079822751781</v>
      </c>
      <c r="BI278">
        <v>281.19636341949229</v>
      </c>
      <c r="BJ278">
        <v>8321.1079822751781</v>
      </c>
      <c r="BL278">
        <v>-44.908852519977358</v>
      </c>
      <c r="BM278">
        <v>5.3969798992679662E-3</v>
      </c>
      <c r="BT278">
        <f t="shared" si="33"/>
        <v>30</v>
      </c>
      <c r="BU278">
        <f>D366</f>
        <v>0.96680979763079788</v>
      </c>
      <c r="BV278">
        <v>0.84029362267042584</v>
      </c>
      <c r="DW278" s="57"/>
      <c r="EA278">
        <f t="shared" si="28"/>
        <v>111.07451709166814</v>
      </c>
      <c r="EB278" t="e">
        <f>SUMPRODUCT($D366:$D$397,EA$10:EA278)</f>
        <v>#VALUE!</v>
      </c>
      <c r="EO278" s="15"/>
      <c r="ES278">
        <f t="shared" si="29"/>
        <v>53.296902043985135</v>
      </c>
      <c r="ET278" t="e">
        <f>SUMPRODUCT($D366:$D$397,ES$10:ES278)</f>
        <v>#VALUE!</v>
      </c>
    </row>
    <row r="279" spans="1:150" x14ac:dyDescent="0.2">
      <c r="A279">
        <f t="shared" ref="A279:A310" si="36">F279</f>
        <v>1902</v>
      </c>
      <c r="C279">
        <f t="shared" si="30"/>
        <v>118</v>
      </c>
      <c r="D279" s="63">
        <f t="shared" ref="D279:D310" si="37">PRODUCT(1/(1+(C279/$C$4)^$C$3))</f>
        <v>0.1333333931967034</v>
      </c>
      <c r="E279" s="18">
        <f t="shared" ref="E279:E310" si="38">1/D279</f>
        <v>7.4999966326869458</v>
      </c>
      <c r="F279">
        <f t="shared" si="31"/>
        <v>1902</v>
      </c>
      <c r="G279">
        <v>1</v>
      </c>
      <c r="H279">
        <v>1</v>
      </c>
      <c r="I279">
        <v>1</v>
      </c>
      <c r="J279">
        <v>1</v>
      </c>
      <c r="K279">
        <v>1</v>
      </c>
      <c r="L279">
        <v>1</v>
      </c>
      <c r="M279">
        <v>1</v>
      </c>
      <c r="N279">
        <v>1</v>
      </c>
      <c r="O279">
        <v>1</v>
      </c>
      <c r="P279">
        <v>1</v>
      </c>
      <c r="Q279">
        <v>1</v>
      </c>
      <c r="S279" s="10">
        <v>1719.1242783362663</v>
      </c>
      <c r="T279">
        <f t="shared" si="13"/>
        <v>171.91242783362665</v>
      </c>
      <c r="U279">
        <f t="shared" si="14"/>
        <v>169.44474418929019</v>
      </c>
      <c r="AB279">
        <f t="shared" ref="AB279:AB310" si="39">F279</f>
        <v>1902</v>
      </c>
      <c r="AD279">
        <f t="shared" si="35"/>
        <v>419.67153054937961</v>
      </c>
      <c r="AH279">
        <f t="shared" ref="AH279:AH310" si="40">AD279</f>
        <v>419.67153054937961</v>
      </c>
      <c r="AI279">
        <f t="shared" si="25"/>
        <v>10335.424535764712</v>
      </c>
      <c r="AL279" s="87">
        <f t="shared" ref="AL279:AL310" si="41">AD279</f>
        <v>419.67153054937961</v>
      </c>
      <c r="AM279" s="87">
        <f t="shared" si="26"/>
        <v>10335.583348407086</v>
      </c>
      <c r="AO279" s="19">
        <f t="shared" si="32"/>
        <v>-38.836926132118322</v>
      </c>
      <c r="AP279" s="23">
        <f t="shared" si="27"/>
        <v>3.7575940150590382E-3</v>
      </c>
      <c r="AQ279" s="23"/>
      <c r="AR279" s="23"/>
      <c r="AS279" s="23"/>
      <c r="AT279" s="23"/>
      <c r="AU279" s="23"/>
      <c r="AW279" s="35"/>
      <c r="AX279">
        <v>11</v>
      </c>
      <c r="AZ279">
        <v>1902</v>
      </c>
      <c r="BA279">
        <v>281.19636341949229</v>
      </c>
      <c r="BB279">
        <v>8555.690613094037</v>
      </c>
      <c r="BE279">
        <v>281.19636341949229</v>
      </c>
      <c r="BF279">
        <v>8555.690613094037</v>
      </c>
      <c r="BI279">
        <v>281.19636341949229</v>
      </c>
      <c r="BJ279">
        <v>8555.690613094037</v>
      </c>
      <c r="BL279">
        <v>-46.613732600633398</v>
      </c>
      <c r="BM279">
        <v>5.4482723497847755E-3</v>
      </c>
      <c r="BT279">
        <f t="shared" si="33"/>
        <v>31</v>
      </c>
      <c r="BU279">
        <f>D365</f>
        <v>0.96257252682658867</v>
      </c>
      <c r="BV279">
        <v>0.83423067057558564</v>
      </c>
      <c r="DW279" s="57"/>
      <c r="EA279">
        <f t="shared" si="28"/>
        <v>111.07451709166814</v>
      </c>
      <c r="EB279" t="e">
        <f>SUMPRODUCT($D365:$D$397,EA$10:EA279)</f>
        <v>#VALUE!</v>
      </c>
      <c r="EO279" s="15"/>
      <c r="ES279">
        <f t="shared" si="29"/>
        <v>53.296902043985135</v>
      </c>
      <c r="ET279" t="e">
        <f>SUMPRODUCT($D365:$D$397,ES$10:ES279)</f>
        <v>#VALUE!</v>
      </c>
    </row>
    <row r="280" spans="1:150" x14ac:dyDescent="0.2">
      <c r="A280">
        <f t="shared" si="36"/>
        <v>1903</v>
      </c>
      <c r="C280">
        <f t="shared" ref="C280:C296" si="42">C279-1</f>
        <v>117</v>
      </c>
      <c r="D280" s="63">
        <f t="shared" si="37"/>
        <v>0.13723870988982093</v>
      </c>
      <c r="E280" s="18">
        <f t="shared" si="38"/>
        <v>7.2865738886851092</v>
      </c>
      <c r="F280">
        <f t="shared" ref="F280:F296" si="43">F279+1</f>
        <v>1903</v>
      </c>
      <c r="G280">
        <v>1</v>
      </c>
      <c r="H280">
        <v>1</v>
      </c>
      <c r="I280">
        <v>1</v>
      </c>
      <c r="J280">
        <v>1</v>
      </c>
      <c r="K280">
        <v>1</v>
      </c>
      <c r="L280">
        <v>1</v>
      </c>
      <c r="M280">
        <v>1</v>
      </c>
      <c r="N280">
        <v>1</v>
      </c>
      <c r="O280">
        <v>1</v>
      </c>
      <c r="P280">
        <v>1</v>
      </c>
      <c r="Q280">
        <v>1</v>
      </c>
      <c r="S280" s="10">
        <v>1767.2625595960344</v>
      </c>
      <c r="T280">
        <f t="shared" si="13"/>
        <v>176.72625595960346</v>
      </c>
      <c r="U280">
        <f t="shared" si="14"/>
        <v>173.83795908401737</v>
      </c>
      <c r="AB280">
        <f t="shared" si="39"/>
        <v>1903</v>
      </c>
      <c r="AD280">
        <f t="shared" si="35"/>
        <v>430.55240636363823</v>
      </c>
      <c r="AH280">
        <f t="shared" si="40"/>
        <v>430.55240636363823</v>
      </c>
      <c r="AI280">
        <f t="shared" ref="AI280:AI311" si="44">SUMPRODUCT($D$247:$D$397,AH130:AH280)</f>
        <v>10725.159076505841</v>
      </c>
      <c r="AL280" s="87">
        <f t="shared" si="41"/>
        <v>430.55240636363823</v>
      </c>
      <c r="AM280" s="87">
        <f t="shared" ref="AM280:AM311" si="45">SUMPRODUCT($D$247:$D$397,AL130:AL280)</f>
        <v>10725.31328615245</v>
      </c>
      <c r="AO280" s="19">
        <f t="shared" ref="AO280:AO311" si="46">AM280-AM279-AL280</f>
        <v>-40.822468618274513</v>
      </c>
      <c r="AP280" s="23">
        <f t="shared" ref="AP280:AP311" si="47">(-AO280/AM280)</f>
        <v>3.8061795985932434E-3</v>
      </c>
      <c r="AQ280" s="23"/>
      <c r="AR280" s="23"/>
      <c r="AS280" s="23"/>
      <c r="AT280" s="23"/>
      <c r="AU280" s="23"/>
      <c r="AW280" s="35"/>
      <c r="AX280">
        <v>11</v>
      </c>
      <c r="AZ280">
        <v>1903</v>
      </c>
      <c r="BA280">
        <v>281.19636341949229</v>
      </c>
      <c r="BB280">
        <v>8788.5543194628681</v>
      </c>
      <c r="BE280">
        <v>281.19636341949229</v>
      </c>
      <c r="BF280">
        <v>8788.5543194628681</v>
      </c>
      <c r="BI280">
        <v>281.19636341949229</v>
      </c>
      <c r="BJ280">
        <v>8788.5543194628681</v>
      </c>
      <c r="BL280">
        <v>-48.332657050661169</v>
      </c>
      <c r="BM280">
        <v>5.499500292513994E-3</v>
      </c>
      <c r="BT280">
        <f t="shared" ref="BT280:BT311" si="48">BT279+1</f>
        <v>32</v>
      </c>
      <c r="BU280">
        <f>D364</f>
        <v>0.95797248143291314</v>
      </c>
      <c r="BV280">
        <v>0.8281177734202898</v>
      </c>
      <c r="DW280" s="57"/>
      <c r="EA280">
        <f t="shared" ref="EA280:EA296" si="49">$H$434*H280</f>
        <v>111.07451709166814</v>
      </c>
      <c r="EB280" t="e">
        <f>SUMPRODUCT($D364:$D$397,EA$10:EA280)</f>
        <v>#VALUE!</v>
      </c>
      <c r="EO280" s="15"/>
      <c r="ES280">
        <f t="shared" ref="ES280:ES296" si="50">$L$434*L280</f>
        <v>53.296902043985135</v>
      </c>
      <c r="ET280" t="e">
        <f>SUMPRODUCT($D364:$D$397,ES$10:ES280)</f>
        <v>#VALUE!</v>
      </c>
    </row>
    <row r="281" spans="1:150" x14ac:dyDescent="0.2">
      <c r="A281">
        <f t="shared" si="36"/>
        <v>1904</v>
      </c>
      <c r="C281">
        <f t="shared" si="42"/>
        <v>116</v>
      </c>
      <c r="D281" s="63">
        <f t="shared" si="37"/>
        <v>0.14127453378317173</v>
      </c>
      <c r="E281" s="18">
        <f t="shared" si="38"/>
        <v>7.0784165639845664</v>
      </c>
      <c r="F281">
        <f t="shared" si="43"/>
        <v>1904</v>
      </c>
      <c r="G281">
        <v>1</v>
      </c>
      <c r="H281">
        <v>1</v>
      </c>
      <c r="I281">
        <v>1</v>
      </c>
      <c r="J281">
        <v>1</v>
      </c>
      <c r="K281">
        <v>1</v>
      </c>
      <c r="L281">
        <v>1</v>
      </c>
      <c r="M281">
        <v>1</v>
      </c>
      <c r="N281">
        <v>1</v>
      </c>
      <c r="O281">
        <v>1</v>
      </c>
      <c r="P281">
        <v>1</v>
      </c>
      <c r="Q281">
        <v>1</v>
      </c>
      <c r="S281" s="10">
        <v>1805.4591016838403</v>
      </c>
      <c r="T281">
        <f t="shared" ref="T281:T296" si="51">S281*T$214</f>
        <v>180.54591016838404</v>
      </c>
      <c r="U281">
        <f t="shared" ref="U281:U344" si="52">($W$210*T281+$W$211*T280)*$W$212</f>
        <v>178.25411764311571</v>
      </c>
      <c r="AB281">
        <f t="shared" si="39"/>
        <v>1904</v>
      </c>
      <c r="AD281">
        <f t="shared" si="35"/>
        <v>441.4901077984797</v>
      </c>
      <c r="AH281">
        <f t="shared" si="40"/>
        <v>441.4901077984797</v>
      </c>
      <c r="AI281">
        <f t="shared" si="44"/>
        <v>11123.800709268196</v>
      </c>
      <c r="AL281" s="87">
        <f t="shared" si="41"/>
        <v>441.4901077984797</v>
      </c>
      <c r="AM281" s="87">
        <f t="shared" si="45"/>
        <v>11123.950464700369</v>
      </c>
      <c r="AO281" s="19">
        <f t="shared" si="46"/>
        <v>-42.852929250561033</v>
      </c>
      <c r="AP281" s="23">
        <f t="shared" si="47"/>
        <v>3.8523121247749379E-3</v>
      </c>
      <c r="AQ281" s="23"/>
      <c r="AR281" s="23"/>
      <c r="AS281" s="23"/>
      <c r="AT281" s="23"/>
      <c r="AU281" s="23"/>
      <c r="AW281" s="35"/>
      <c r="AX281">
        <v>11</v>
      </c>
      <c r="AZ281">
        <v>1904</v>
      </c>
      <c r="BA281">
        <v>281.19636341949229</v>
      </c>
      <c r="BB281">
        <v>9019.6853349968733</v>
      </c>
      <c r="BE281">
        <v>281.19636341949229</v>
      </c>
      <c r="BF281">
        <v>9019.6853349968733</v>
      </c>
      <c r="BI281">
        <v>281.19636341949229</v>
      </c>
      <c r="BJ281">
        <v>9019.6853349968733</v>
      </c>
      <c r="BL281">
        <v>-50.065347885487085</v>
      </c>
      <c r="BM281">
        <v>5.5506756639536851E-3</v>
      </c>
      <c r="BT281">
        <f t="shared" si="48"/>
        <v>33</v>
      </c>
      <c r="BU281">
        <f>D363</f>
        <v>0.95299646179949982</v>
      </c>
      <c r="BV281">
        <v>0.82195591978264926</v>
      </c>
      <c r="DW281" s="57"/>
      <c r="EA281">
        <f t="shared" si="49"/>
        <v>111.07451709166814</v>
      </c>
      <c r="EB281" t="e">
        <f>SUMPRODUCT($D363:$D$397,EA$10:EA281)</f>
        <v>#VALUE!</v>
      </c>
      <c r="EO281" s="15"/>
      <c r="ES281">
        <f t="shared" si="50"/>
        <v>53.296902043985135</v>
      </c>
      <c r="ET281" t="e">
        <f>SUMPRODUCT($D363:$D$397,ES$10:ES281)</f>
        <v>#VALUE!</v>
      </c>
    </row>
    <row r="282" spans="1:150" x14ac:dyDescent="0.2">
      <c r="A282">
        <f t="shared" si="36"/>
        <v>1905</v>
      </c>
      <c r="C282">
        <f t="shared" si="42"/>
        <v>115</v>
      </c>
      <c r="D282" s="63">
        <f t="shared" si="37"/>
        <v>0.14544526933432786</v>
      </c>
      <c r="E282" s="18">
        <f t="shared" si="38"/>
        <v>6.8754384695823232</v>
      </c>
      <c r="F282">
        <f t="shared" si="43"/>
        <v>1905</v>
      </c>
      <c r="G282">
        <v>1</v>
      </c>
      <c r="H282">
        <v>1</v>
      </c>
      <c r="I282">
        <v>1</v>
      </c>
      <c r="J282">
        <v>1</v>
      </c>
      <c r="K282">
        <v>1</v>
      </c>
      <c r="L282">
        <v>1</v>
      </c>
      <c r="M282">
        <v>1</v>
      </c>
      <c r="N282">
        <v>1</v>
      </c>
      <c r="O282">
        <v>1</v>
      </c>
      <c r="P282">
        <v>1</v>
      </c>
      <c r="Q282">
        <v>1</v>
      </c>
      <c r="S282" s="10">
        <v>1847.4300466926861</v>
      </c>
      <c r="T282">
        <f t="shared" si="51"/>
        <v>184.74300466926863</v>
      </c>
      <c r="U282">
        <f t="shared" si="52"/>
        <v>182.22474796873786</v>
      </c>
      <c r="AB282">
        <f t="shared" si="39"/>
        <v>1905</v>
      </c>
      <c r="AD282">
        <f t="shared" si="35"/>
        <v>451.32434912577696</v>
      </c>
      <c r="AH282">
        <f t="shared" si="40"/>
        <v>451.32434912577696</v>
      </c>
      <c r="AI282">
        <f t="shared" si="44"/>
        <v>11530.201822484771</v>
      </c>
      <c r="AL282" s="87">
        <f t="shared" si="41"/>
        <v>451.32434912577696</v>
      </c>
      <c r="AM282" s="87">
        <f t="shared" si="45"/>
        <v>11530.347267754103</v>
      </c>
      <c r="AO282" s="19">
        <f t="shared" si="46"/>
        <v>-44.92754607204256</v>
      </c>
      <c r="AP282" s="23">
        <f t="shared" si="47"/>
        <v>3.8964607941763762E-3</v>
      </c>
      <c r="AQ282" s="23"/>
      <c r="AR282" s="23"/>
      <c r="AS282" s="23"/>
      <c r="AT282" s="23"/>
      <c r="AU282" s="23"/>
      <c r="AW282" s="35"/>
      <c r="AX282">
        <v>11</v>
      </c>
      <c r="AZ282">
        <v>1905</v>
      </c>
      <c r="BA282">
        <v>281.19636341949229</v>
      </c>
      <c r="BB282">
        <v>9249.0701829780264</v>
      </c>
      <c r="BE282">
        <v>281.19636341949229</v>
      </c>
      <c r="BF282">
        <v>9249.0701829780264</v>
      </c>
      <c r="BI282">
        <v>281.19636341949229</v>
      </c>
      <c r="BJ282">
        <v>9249.0701829780264</v>
      </c>
      <c r="BL282">
        <v>-51.811515438339143</v>
      </c>
      <c r="BM282">
        <v>5.6018080102465838E-3</v>
      </c>
      <c r="BT282">
        <f t="shared" si="48"/>
        <v>34</v>
      </c>
      <c r="BU282">
        <f>D362</f>
        <v>0.94763232342320536</v>
      </c>
      <c r="BV282">
        <v>0.81574613978543808</v>
      </c>
      <c r="DW282" s="57"/>
      <c r="EA282">
        <f t="shared" si="49"/>
        <v>111.07451709166814</v>
      </c>
      <c r="EB282" t="e">
        <f>SUMPRODUCT($D362:$D$397,EA$10:EA282)</f>
        <v>#VALUE!</v>
      </c>
      <c r="EO282" s="15"/>
      <c r="ES282">
        <f t="shared" si="50"/>
        <v>53.296902043985135</v>
      </c>
      <c r="ET282" t="e">
        <f>SUMPRODUCT($D362:$D$397,ES$10:ES282)</f>
        <v>#VALUE!</v>
      </c>
    </row>
    <row r="283" spans="1:150" x14ac:dyDescent="0.2">
      <c r="A283">
        <f t="shared" si="36"/>
        <v>1906</v>
      </c>
      <c r="C283">
        <f t="shared" si="42"/>
        <v>114</v>
      </c>
      <c r="D283" s="63">
        <f t="shared" si="37"/>
        <v>0.14975543217126056</v>
      </c>
      <c r="E283" s="18">
        <f t="shared" si="38"/>
        <v>6.6775540993825073</v>
      </c>
      <c r="F283">
        <f t="shared" si="43"/>
        <v>1906</v>
      </c>
      <c r="G283">
        <v>1</v>
      </c>
      <c r="H283">
        <v>1</v>
      </c>
      <c r="I283">
        <v>1</v>
      </c>
      <c r="J283">
        <v>1</v>
      </c>
      <c r="K283">
        <v>1</v>
      </c>
      <c r="L283">
        <v>1</v>
      </c>
      <c r="M283">
        <v>1</v>
      </c>
      <c r="N283">
        <v>1</v>
      </c>
      <c r="O283">
        <v>1</v>
      </c>
      <c r="P283">
        <v>1</v>
      </c>
      <c r="Q283">
        <v>1</v>
      </c>
      <c r="S283" s="10">
        <v>1897.5337061296573</v>
      </c>
      <c r="T283">
        <f t="shared" si="51"/>
        <v>189.75337061296574</v>
      </c>
      <c r="U283">
        <f t="shared" si="52"/>
        <v>186.74715104674749</v>
      </c>
      <c r="AB283">
        <f t="shared" si="39"/>
        <v>1906</v>
      </c>
      <c r="AD283">
        <f t="shared" si="35"/>
        <v>462.52519120907766</v>
      </c>
      <c r="AH283">
        <f t="shared" si="40"/>
        <v>462.52519120907766</v>
      </c>
      <c r="AI283">
        <f t="shared" si="44"/>
        <v>11945.685467301539</v>
      </c>
      <c r="AL283" s="87">
        <f t="shared" si="41"/>
        <v>462.52519120907766</v>
      </c>
      <c r="AM283" s="87">
        <f t="shared" si="45"/>
        <v>11945.826741835321</v>
      </c>
      <c r="AO283" s="19">
        <f t="shared" si="46"/>
        <v>-47.04571712786003</v>
      </c>
      <c r="AP283" s="23">
        <f t="shared" si="47"/>
        <v>3.9382554380352642E-3</v>
      </c>
      <c r="AQ283" s="23"/>
      <c r="AR283" s="23"/>
      <c r="AS283" s="23"/>
      <c r="AT283" s="23"/>
      <c r="AU283" s="23"/>
      <c r="AW283" s="35"/>
      <c r="AX283">
        <v>11</v>
      </c>
      <c r="AZ283">
        <v>1906</v>
      </c>
      <c r="BA283">
        <v>281.19636341949229</v>
      </c>
      <c r="BB283">
        <v>9476.6956879369936</v>
      </c>
      <c r="BE283">
        <v>281.19636341949229</v>
      </c>
      <c r="BF283">
        <v>9476.6956879369936</v>
      </c>
      <c r="BI283">
        <v>281.19636341949229</v>
      </c>
      <c r="BJ283">
        <v>9476.6956879369936</v>
      </c>
      <c r="BL283">
        <v>-53.570858460525073</v>
      </c>
      <c r="BM283">
        <v>5.6529047913521273E-3</v>
      </c>
      <c r="BT283">
        <f t="shared" si="48"/>
        <v>35</v>
      </c>
      <c r="BU283">
        <f>D361</f>
        <v>0.94186912153892333</v>
      </c>
      <c r="BV283">
        <v>0.80948950473940773</v>
      </c>
      <c r="DW283" s="57"/>
      <c r="EA283">
        <f t="shared" si="49"/>
        <v>111.07451709166814</v>
      </c>
      <c r="EB283" t="e">
        <f>SUMPRODUCT($D361:$D$397,EA$10:EA283)</f>
        <v>#VALUE!</v>
      </c>
      <c r="EO283" s="15"/>
      <c r="ES283">
        <f t="shared" si="50"/>
        <v>53.296902043985135</v>
      </c>
      <c r="ET283" t="e">
        <f>SUMPRODUCT($D361:$D$397,ES$10:ES283)</f>
        <v>#VALUE!</v>
      </c>
    </row>
    <row r="284" spans="1:150" x14ac:dyDescent="0.2">
      <c r="A284">
        <f t="shared" si="36"/>
        <v>1907</v>
      </c>
      <c r="C284">
        <f t="shared" si="42"/>
        <v>113</v>
      </c>
      <c r="D284" s="63">
        <f t="shared" si="37"/>
        <v>0.15420964660807962</v>
      </c>
      <c r="E284" s="18">
        <f t="shared" si="38"/>
        <v>6.484678630653228</v>
      </c>
      <c r="F284">
        <f t="shared" si="43"/>
        <v>1907</v>
      </c>
      <c r="G284">
        <v>1</v>
      </c>
      <c r="H284">
        <v>1</v>
      </c>
      <c r="I284">
        <v>1</v>
      </c>
      <c r="J284">
        <v>1</v>
      </c>
      <c r="K284">
        <v>1</v>
      </c>
      <c r="L284">
        <v>1</v>
      </c>
      <c r="M284">
        <v>1</v>
      </c>
      <c r="N284">
        <v>1</v>
      </c>
      <c r="O284">
        <v>1</v>
      </c>
      <c r="P284">
        <v>1</v>
      </c>
      <c r="Q284">
        <v>1</v>
      </c>
      <c r="S284" s="10">
        <v>1937.5774511208429</v>
      </c>
      <c r="T284">
        <f t="shared" si="51"/>
        <v>193.75774511208431</v>
      </c>
      <c r="U284">
        <f t="shared" si="52"/>
        <v>191.35512041261319</v>
      </c>
      <c r="AB284">
        <f t="shared" si="39"/>
        <v>1907</v>
      </c>
      <c r="AD284">
        <f t="shared" si="35"/>
        <v>473.93795922233153</v>
      </c>
      <c r="AH284">
        <f t="shared" si="40"/>
        <v>473.93795922233153</v>
      </c>
      <c r="AI284">
        <f t="shared" si="44"/>
        <v>12370.420447827972</v>
      </c>
      <c r="AL284" s="87">
        <f t="shared" si="41"/>
        <v>473.93795922233153</v>
      </c>
      <c r="AM284" s="87">
        <f t="shared" si="45"/>
        <v>12370.557686537861</v>
      </c>
      <c r="AO284" s="19">
        <f t="shared" si="46"/>
        <v>-49.207014519791528</v>
      </c>
      <c r="AP284" s="23">
        <f t="shared" si="47"/>
        <v>3.9777523185830646E-3</v>
      </c>
      <c r="AQ284" s="23"/>
      <c r="AR284" s="23"/>
      <c r="AS284" s="23"/>
      <c r="AT284" s="23"/>
      <c r="AU284" s="23"/>
      <c r="AW284" s="35"/>
      <c r="AX284">
        <v>11</v>
      </c>
      <c r="AZ284">
        <v>1907</v>
      </c>
      <c r="BA284">
        <v>281.19636341949229</v>
      </c>
      <c r="BB284">
        <v>9702.548987115315</v>
      </c>
      <c r="BE284">
        <v>281.19636341949229</v>
      </c>
      <c r="BF284">
        <v>9702.548987115315</v>
      </c>
      <c r="BI284">
        <v>281.19636341949229</v>
      </c>
      <c r="BJ284">
        <v>9702.548987115315</v>
      </c>
      <c r="BL284">
        <v>-55.343064241170964</v>
      </c>
      <c r="BM284">
        <v>5.7039716382431922E-3</v>
      </c>
      <c r="BT284">
        <f t="shared" si="48"/>
        <v>36</v>
      </c>
      <c r="BU284">
        <f>D360</f>
        <v>0.93569725277529137</v>
      </c>
      <c r="BV284">
        <v>0.803187126717536</v>
      </c>
      <c r="DW284" s="57"/>
      <c r="EA284">
        <f t="shared" si="49"/>
        <v>111.07451709166814</v>
      </c>
      <c r="EB284" t="e">
        <f>SUMPRODUCT($D360:$D$397,EA$10:EA284)</f>
        <v>#VALUE!</v>
      </c>
      <c r="EO284" s="15"/>
      <c r="ES284">
        <f t="shared" si="50"/>
        <v>53.296902043985135</v>
      </c>
      <c r="ET284" t="e">
        <f>SUMPRODUCT($D360:$D$397,ES$10:ES284)</f>
        <v>#VALUE!</v>
      </c>
    </row>
    <row r="285" spans="1:150" x14ac:dyDescent="0.2">
      <c r="A285">
        <f t="shared" si="36"/>
        <v>1908</v>
      </c>
      <c r="C285">
        <f t="shared" si="42"/>
        <v>112</v>
      </c>
      <c r="D285" s="63">
        <f t="shared" si="37"/>
        <v>0.15881264237431092</v>
      </c>
      <c r="E285" s="18">
        <f t="shared" si="38"/>
        <v>6.2967279244876861</v>
      </c>
      <c r="F285">
        <f t="shared" si="43"/>
        <v>1908</v>
      </c>
      <c r="G285">
        <v>1</v>
      </c>
      <c r="H285">
        <v>1</v>
      </c>
      <c r="I285">
        <v>1</v>
      </c>
      <c r="J285">
        <v>1</v>
      </c>
      <c r="K285">
        <v>1</v>
      </c>
      <c r="L285">
        <v>1</v>
      </c>
      <c r="M285">
        <v>1</v>
      </c>
      <c r="N285">
        <v>1</v>
      </c>
      <c r="O285">
        <v>1</v>
      </c>
      <c r="P285">
        <v>1</v>
      </c>
      <c r="Q285">
        <v>1</v>
      </c>
      <c r="S285" s="10">
        <v>1972.6775983443185</v>
      </c>
      <c r="T285">
        <f t="shared" si="51"/>
        <v>197.26775983443187</v>
      </c>
      <c r="U285">
        <f t="shared" si="52"/>
        <v>195.16175100102333</v>
      </c>
      <c r="AB285">
        <f t="shared" si="39"/>
        <v>1908</v>
      </c>
      <c r="AD285">
        <f t="shared" si="35"/>
        <v>483.36601491634309</v>
      </c>
      <c r="AH285">
        <f t="shared" si="40"/>
        <v>483.36601491634309</v>
      </c>
      <c r="AI285">
        <f t="shared" si="44"/>
        <v>12802.379170618527</v>
      </c>
      <c r="AL285" s="87">
        <f t="shared" si="41"/>
        <v>483.36601491634309</v>
      </c>
      <c r="AM285" s="87">
        <f t="shared" si="45"/>
        <v>12802.512504011724</v>
      </c>
      <c r="AO285" s="19">
        <f t="shared" si="46"/>
        <v>-51.411197442480159</v>
      </c>
      <c r="AP285" s="23">
        <f t="shared" si="47"/>
        <v>4.0157115586780508E-3</v>
      </c>
      <c r="AQ285" s="23"/>
      <c r="AR285" s="23"/>
      <c r="AS285" s="23"/>
      <c r="AT285" s="23"/>
      <c r="AU285" s="23"/>
      <c r="AW285" s="35"/>
      <c r="AX285">
        <v>11</v>
      </c>
      <c r="AZ285">
        <v>1908</v>
      </c>
      <c r="BA285">
        <v>281.19636341949229</v>
      </c>
      <c r="BB285">
        <v>9926.6175417882932</v>
      </c>
      <c r="BE285">
        <v>281.19636341949229</v>
      </c>
      <c r="BF285">
        <v>9926.6175417882932</v>
      </c>
      <c r="BI285">
        <v>281.19636341949229</v>
      </c>
      <c r="BJ285">
        <v>9926.6175417882932</v>
      </c>
      <c r="BL285">
        <v>-57.127808746514006</v>
      </c>
      <c r="BM285">
        <v>5.7550125716057717E-3</v>
      </c>
      <c r="BT285">
        <f t="shared" si="48"/>
        <v>37</v>
      </c>
      <c r="BU285">
        <f>D359</f>
        <v>0.92910859169614757</v>
      </c>
      <c r="BV285">
        <v>0.79684015805961883</v>
      </c>
      <c r="DW285" s="57"/>
      <c r="EA285">
        <f t="shared" si="49"/>
        <v>111.07451709166814</v>
      </c>
      <c r="EB285" t="e">
        <f>SUMPRODUCT($D359:$D$397,EA$10:EA285)</f>
        <v>#VALUE!</v>
      </c>
      <c r="EO285" s="15"/>
      <c r="ES285">
        <f t="shared" si="50"/>
        <v>53.296902043985135</v>
      </c>
      <c r="ET285" t="e">
        <f>SUMPRODUCT($D359:$D$397,ES$10:ES285)</f>
        <v>#VALUE!</v>
      </c>
    </row>
    <row r="286" spans="1:150" x14ac:dyDescent="0.2">
      <c r="A286">
        <f t="shared" si="36"/>
        <v>1909</v>
      </c>
      <c r="C286">
        <f t="shared" si="42"/>
        <v>111</v>
      </c>
      <c r="D286" s="63">
        <f t="shared" si="37"/>
        <v>0.16356925046976448</v>
      </c>
      <c r="E286" s="18">
        <f t="shared" si="38"/>
        <v>6.1136185262696943</v>
      </c>
      <c r="F286">
        <f t="shared" si="43"/>
        <v>1909</v>
      </c>
      <c r="G286">
        <v>1</v>
      </c>
      <c r="H286">
        <v>1</v>
      </c>
      <c r="I286">
        <v>1</v>
      </c>
      <c r="J286">
        <v>1</v>
      </c>
      <c r="K286">
        <v>1</v>
      </c>
      <c r="L286">
        <v>1</v>
      </c>
      <c r="M286">
        <v>1</v>
      </c>
      <c r="N286">
        <v>1</v>
      </c>
      <c r="O286">
        <v>1</v>
      </c>
      <c r="P286">
        <v>1</v>
      </c>
      <c r="Q286">
        <v>1</v>
      </c>
      <c r="S286" s="10">
        <v>2026.7407983411279</v>
      </c>
      <c r="T286">
        <f t="shared" si="51"/>
        <v>202.6740798341128</v>
      </c>
      <c r="U286">
        <f t="shared" si="52"/>
        <v>199.43028783430424</v>
      </c>
      <c r="AB286">
        <f t="shared" si="39"/>
        <v>1909</v>
      </c>
      <c r="AD286">
        <f t="shared" si="35"/>
        <v>493.93809488613084</v>
      </c>
      <c r="AH286">
        <f t="shared" si="40"/>
        <v>493.93809488613084</v>
      </c>
      <c r="AI286">
        <f t="shared" si="44"/>
        <v>13242.662820278567</v>
      </c>
      <c r="AL286" s="87">
        <f t="shared" si="41"/>
        <v>493.93809488613084</v>
      </c>
      <c r="AM286" s="87">
        <f t="shared" si="45"/>
        <v>13242.792374570763</v>
      </c>
      <c r="AO286" s="19">
        <f t="shared" si="46"/>
        <v>-53.658224327091432</v>
      </c>
      <c r="AP286" s="23">
        <f t="shared" si="47"/>
        <v>4.0518814166510446E-3</v>
      </c>
      <c r="AQ286" s="23"/>
      <c r="AR286" s="23"/>
      <c r="AS286" s="23"/>
      <c r="AT286" s="23"/>
      <c r="AU286" s="23"/>
      <c r="AW286" s="35"/>
      <c r="AX286">
        <v>11</v>
      </c>
      <c r="AZ286">
        <v>1909</v>
      </c>
      <c r="BA286">
        <v>281.19636341949229</v>
      </c>
      <c r="BB286">
        <v>10148.889148428863</v>
      </c>
      <c r="BE286">
        <v>281.19636341949229</v>
      </c>
      <c r="BF286">
        <v>10148.889148428863</v>
      </c>
      <c r="BI286">
        <v>281.19636341949229</v>
      </c>
      <c r="BJ286">
        <v>10148.889148428863</v>
      </c>
      <c r="BL286">
        <v>-58.924756778922188</v>
      </c>
      <c r="BM286">
        <v>5.8060301888354206E-3</v>
      </c>
      <c r="BT286">
        <f t="shared" si="48"/>
        <v>38</v>
      </c>
      <c r="BU286">
        <f>D358</f>
        <v>0.9220966199483297</v>
      </c>
      <c r="BV286">
        <v>0.79044979080679334</v>
      </c>
      <c r="DW286" s="57"/>
      <c r="EA286">
        <f t="shared" si="49"/>
        <v>111.07451709166814</v>
      </c>
      <c r="EB286" t="e">
        <f>SUMPRODUCT($D358:$D$397,EA$10:EA286)</f>
        <v>#VALUE!</v>
      </c>
      <c r="EO286" s="15"/>
      <c r="ES286">
        <f t="shared" si="50"/>
        <v>53.296902043985135</v>
      </c>
      <c r="ET286" t="e">
        <f>SUMPRODUCT($D358:$D$397,ES$10:ES286)</f>
        <v>#VALUE!</v>
      </c>
    </row>
    <row r="287" spans="1:150" x14ac:dyDescent="0.2">
      <c r="A287">
        <f t="shared" si="36"/>
        <v>1910</v>
      </c>
      <c r="C287">
        <f t="shared" si="42"/>
        <v>110</v>
      </c>
      <c r="D287" s="63">
        <f t="shared" si="37"/>
        <v>0.16848439805070045</v>
      </c>
      <c r="E287" s="18">
        <f t="shared" si="38"/>
        <v>5.9352676661436581</v>
      </c>
      <c r="F287">
        <f t="shared" si="43"/>
        <v>1910</v>
      </c>
      <c r="G287">
        <v>1</v>
      </c>
      <c r="H287">
        <v>1</v>
      </c>
      <c r="I287">
        <v>1</v>
      </c>
      <c r="J287">
        <v>1</v>
      </c>
      <c r="K287">
        <v>1</v>
      </c>
      <c r="L287">
        <v>1</v>
      </c>
      <c r="M287">
        <v>1</v>
      </c>
      <c r="N287">
        <v>1</v>
      </c>
      <c r="O287">
        <v>1</v>
      </c>
      <c r="P287">
        <v>1</v>
      </c>
      <c r="Q287">
        <v>1</v>
      </c>
      <c r="S287" s="10">
        <v>2075.1846863712603</v>
      </c>
      <c r="T287">
        <f t="shared" si="51"/>
        <v>207.51846863712603</v>
      </c>
      <c r="U287">
        <f t="shared" si="52"/>
        <v>204.61183535531808</v>
      </c>
      <c r="AB287">
        <f t="shared" si="39"/>
        <v>1910</v>
      </c>
      <c r="AD287">
        <f t="shared" si="35"/>
        <v>506.77147009149564</v>
      </c>
      <c r="AH287">
        <f t="shared" si="40"/>
        <v>506.77147009149564</v>
      </c>
      <c r="AI287">
        <f t="shared" si="44"/>
        <v>13693.489684945829</v>
      </c>
      <c r="AL287" s="87">
        <f t="shared" si="41"/>
        <v>506.77147009149564</v>
      </c>
      <c r="AM287" s="87">
        <f t="shared" si="45"/>
        <v>13693.615582175311</v>
      </c>
      <c r="AO287" s="19">
        <f t="shared" si="46"/>
        <v>-55.948262486947783</v>
      </c>
      <c r="AP287" s="23">
        <f t="shared" si="47"/>
        <v>4.0857187899866598E-3</v>
      </c>
      <c r="AQ287" s="23"/>
      <c r="AR287" s="23"/>
      <c r="AS287" s="23"/>
      <c r="AT287" s="23"/>
      <c r="AU287" s="23"/>
      <c r="AW287" s="35"/>
      <c r="AX287">
        <v>11</v>
      </c>
      <c r="AZ287">
        <v>1910</v>
      </c>
      <c r="BA287">
        <v>281.19636341949229</v>
      </c>
      <c r="BB287">
        <v>10369.351949692687</v>
      </c>
      <c r="BE287">
        <v>281.19636341949229</v>
      </c>
      <c r="BF287">
        <v>10369.351949692687</v>
      </c>
      <c r="BI287">
        <v>281.19636341949229</v>
      </c>
      <c r="BJ287">
        <v>10369.351949692687</v>
      </c>
      <c r="BL287">
        <v>-60.73356215566821</v>
      </c>
      <c r="BM287">
        <v>5.8570258247882256E-3</v>
      </c>
      <c r="BT287">
        <f t="shared" si="48"/>
        <v>39</v>
      </c>
      <c r="BU287">
        <f>D357</f>
        <v>0.91465654568384147</v>
      </c>
      <c r="BV287">
        <v>0.78401725606576822</v>
      </c>
      <c r="DW287" s="57"/>
      <c r="EA287">
        <f t="shared" si="49"/>
        <v>111.07451709166814</v>
      </c>
      <c r="EB287" t="e">
        <f>SUMPRODUCT($D357:$D$397,EA$10:EA287)</f>
        <v>#VALUE!</v>
      </c>
      <c r="EO287" s="15"/>
      <c r="ES287">
        <f t="shared" si="50"/>
        <v>53.296902043985135</v>
      </c>
      <c r="ET287" t="e">
        <f>SUMPRODUCT($D357:$D$397,ES$10:ES287)</f>
        <v>#VALUE!</v>
      </c>
    </row>
    <row r="288" spans="1:150" x14ac:dyDescent="0.2">
      <c r="A288">
        <f t="shared" si="36"/>
        <v>1911</v>
      </c>
      <c r="C288">
        <f t="shared" si="42"/>
        <v>109</v>
      </c>
      <c r="D288" s="63">
        <f t="shared" si="37"/>
        <v>0.17356310224659599</v>
      </c>
      <c r="E288" s="18">
        <f t="shared" si="38"/>
        <v>5.7615932594890715</v>
      </c>
      <c r="F288">
        <f t="shared" si="43"/>
        <v>1911</v>
      </c>
      <c r="G288">
        <v>1</v>
      </c>
      <c r="H288">
        <v>1</v>
      </c>
      <c r="I288">
        <v>1</v>
      </c>
      <c r="J288">
        <v>1</v>
      </c>
      <c r="K288">
        <v>1</v>
      </c>
      <c r="L288">
        <v>1</v>
      </c>
      <c r="M288">
        <v>1</v>
      </c>
      <c r="N288">
        <v>1</v>
      </c>
      <c r="O288">
        <v>1</v>
      </c>
      <c r="P288">
        <v>1</v>
      </c>
      <c r="Q288">
        <v>1</v>
      </c>
      <c r="S288" s="10">
        <v>2132.2300130003782</v>
      </c>
      <c r="T288">
        <f t="shared" si="51"/>
        <v>213.22300130003782</v>
      </c>
      <c r="U288">
        <f t="shared" si="52"/>
        <v>209.80028170229076</v>
      </c>
      <c r="AB288">
        <f t="shared" si="39"/>
        <v>1911</v>
      </c>
      <c r="AD288">
        <f t="shared" si="35"/>
        <v>519.6219319339408</v>
      </c>
      <c r="AH288">
        <f t="shared" si="40"/>
        <v>519.6219319339408</v>
      </c>
      <c r="AI288">
        <f t="shared" si="44"/>
        <v>14154.83346018474</v>
      </c>
      <c r="AL288" s="87">
        <f t="shared" si="41"/>
        <v>519.6219319339408</v>
      </c>
      <c r="AM288" s="87">
        <f t="shared" si="45"/>
        <v>14154.955818327075</v>
      </c>
      <c r="AO288" s="19">
        <f t="shared" si="46"/>
        <v>-58.281695782177053</v>
      </c>
      <c r="AP288" s="23">
        <f t="shared" si="47"/>
        <v>4.1174057008865443E-3</v>
      </c>
      <c r="AQ288" s="23"/>
      <c r="AR288" s="23"/>
      <c r="AS288" s="23"/>
      <c r="AT288" s="23"/>
      <c r="AU288" s="23"/>
      <c r="AW288" s="35"/>
      <c r="AX288">
        <v>11</v>
      </c>
      <c r="AZ288">
        <v>1911</v>
      </c>
      <c r="BA288">
        <v>281.19636341949229</v>
      </c>
      <c r="BB288">
        <v>10587.994445204706</v>
      </c>
      <c r="BE288">
        <v>281.19636341949229</v>
      </c>
      <c r="BF288">
        <v>10587.994445204706</v>
      </c>
      <c r="BI288">
        <v>281.19636341949229</v>
      </c>
      <c r="BJ288">
        <v>10587.994445204706</v>
      </c>
      <c r="BL288">
        <v>-62.553867907474</v>
      </c>
      <c r="BM288">
        <v>5.907999690706732E-3</v>
      </c>
      <c r="BT288">
        <f t="shared" si="48"/>
        <v>40</v>
      </c>
      <c r="BU288">
        <f>D356</f>
        <v>0.90678541092628584</v>
      </c>
      <c r="BV288">
        <v>0.77754382330273963</v>
      </c>
      <c r="DW288" s="57"/>
      <c r="EA288">
        <f t="shared" si="49"/>
        <v>111.07451709166814</v>
      </c>
      <c r="EB288" t="e">
        <f>SUMPRODUCT($D356:$D$397,EA$10:EA288)</f>
        <v>#VALUE!</v>
      </c>
      <c r="EO288" s="15"/>
      <c r="ES288">
        <f t="shared" si="50"/>
        <v>53.296902043985135</v>
      </c>
      <c r="ET288" t="e">
        <f>SUMPRODUCT($D356:$D$397,ES$10:ES288)</f>
        <v>#VALUE!</v>
      </c>
    </row>
    <row r="289" spans="1:150" x14ac:dyDescent="0.2">
      <c r="A289">
        <f t="shared" si="36"/>
        <v>1912</v>
      </c>
      <c r="C289">
        <f t="shared" si="42"/>
        <v>108</v>
      </c>
      <c r="D289" s="63">
        <f t="shared" si="37"/>
        <v>0.17881046280043403</v>
      </c>
      <c r="E289" s="18">
        <f t="shared" si="38"/>
        <v>5.5925139073996775</v>
      </c>
      <c r="F289">
        <f t="shared" si="43"/>
        <v>1912</v>
      </c>
      <c r="G289">
        <v>1</v>
      </c>
      <c r="H289">
        <v>1</v>
      </c>
      <c r="I289">
        <v>1</v>
      </c>
      <c r="J289">
        <v>1</v>
      </c>
      <c r="K289">
        <v>1</v>
      </c>
      <c r="L289">
        <v>1</v>
      </c>
      <c r="M289">
        <v>1</v>
      </c>
      <c r="N289">
        <v>1</v>
      </c>
      <c r="O289">
        <v>1</v>
      </c>
      <c r="P289">
        <v>1</v>
      </c>
      <c r="Q289">
        <v>1</v>
      </c>
      <c r="S289" s="10">
        <v>2152.1464096452482</v>
      </c>
      <c r="T289">
        <f t="shared" si="51"/>
        <v>215.21464096452485</v>
      </c>
      <c r="U289">
        <f t="shared" si="52"/>
        <v>214.01965716583265</v>
      </c>
      <c r="AB289">
        <f t="shared" si="39"/>
        <v>1912</v>
      </c>
      <c r="AD289">
        <f t="shared" si="35"/>
        <v>530.07225169581545</v>
      </c>
      <c r="AH289">
        <f t="shared" si="40"/>
        <v>530.07225169581545</v>
      </c>
      <c r="AI289">
        <f t="shared" si="44"/>
        <v>14624.250004942762</v>
      </c>
      <c r="AL289" s="87">
        <f t="shared" si="41"/>
        <v>530.07225169581545</v>
      </c>
      <c r="AM289" s="87">
        <f t="shared" si="45"/>
        <v>14624.368938025596</v>
      </c>
      <c r="AO289" s="19">
        <f t="shared" si="46"/>
        <v>-60.659131997293684</v>
      </c>
      <c r="AP289" s="23">
        <f t="shared" si="47"/>
        <v>4.1478119332431949E-3</v>
      </c>
      <c r="AQ289" s="23"/>
      <c r="AR289" s="23"/>
      <c r="AS289" s="23"/>
      <c r="AT289" s="23"/>
      <c r="AU289" s="23"/>
      <c r="AW289" s="35"/>
      <c r="AX289">
        <v>11</v>
      </c>
      <c r="AZ289">
        <v>1912</v>
      </c>
      <c r="BA289">
        <v>281.19636341949229</v>
      </c>
      <c r="BB289">
        <v>10804.805502127416</v>
      </c>
      <c r="BE289">
        <v>281.19636341949229</v>
      </c>
      <c r="BF289">
        <v>10804.805502127416</v>
      </c>
      <c r="BI289">
        <v>281.19636341949229</v>
      </c>
      <c r="BJ289">
        <v>10804.805502127416</v>
      </c>
      <c r="BL289">
        <v>-64.385306496782164</v>
      </c>
      <c r="BM289">
        <v>5.9589509949165669E-3</v>
      </c>
      <c r="BT289">
        <f t="shared" si="48"/>
        <v>41</v>
      </c>
      <c r="BU289">
        <f>D355</f>
        <v>0.898482184612997</v>
      </c>
      <c r="BV289">
        <v>0.77103079956716747</v>
      </c>
      <c r="DW289" s="57"/>
      <c r="EA289">
        <f t="shared" si="49"/>
        <v>111.07451709166814</v>
      </c>
      <c r="EB289" t="e">
        <f>SUMPRODUCT($D355:$D$397,EA$10:EA289)</f>
        <v>#VALUE!</v>
      </c>
      <c r="EO289" s="15"/>
      <c r="ES289">
        <f t="shared" si="50"/>
        <v>53.296902043985135</v>
      </c>
      <c r="ET289" t="e">
        <f>SUMPRODUCT($D355:$D$397,ES$10:ES289)</f>
        <v>#VALUE!</v>
      </c>
    </row>
    <row r="290" spans="1:150" x14ac:dyDescent="0.2">
      <c r="A290">
        <f t="shared" si="36"/>
        <v>1913</v>
      </c>
      <c r="C290">
        <f t="shared" si="42"/>
        <v>107</v>
      </c>
      <c r="D290" s="63">
        <f t="shared" si="37"/>
        <v>0.18423165341918965</v>
      </c>
      <c r="E290" s="18">
        <f t="shared" si="38"/>
        <v>5.4279488971673073</v>
      </c>
      <c r="F290">
        <f t="shared" si="43"/>
        <v>1913</v>
      </c>
      <c r="G290">
        <v>1</v>
      </c>
      <c r="H290">
        <v>1</v>
      </c>
      <c r="I290">
        <v>1</v>
      </c>
      <c r="J290">
        <v>1</v>
      </c>
      <c r="K290">
        <v>1</v>
      </c>
      <c r="L290">
        <v>1</v>
      </c>
      <c r="M290">
        <v>1</v>
      </c>
      <c r="N290">
        <v>1</v>
      </c>
      <c r="O290">
        <v>1</v>
      </c>
      <c r="P290">
        <v>1</v>
      </c>
      <c r="Q290">
        <v>1</v>
      </c>
      <c r="S290" s="10">
        <v>2161.7720879573853</v>
      </c>
      <c r="T290">
        <f t="shared" si="51"/>
        <v>216.17720879573855</v>
      </c>
      <c r="U290">
        <f t="shared" si="52"/>
        <v>215.59966809701035</v>
      </c>
      <c r="AB290">
        <f t="shared" si="39"/>
        <v>1913</v>
      </c>
      <c r="AD290">
        <f t="shared" si="35"/>
        <v>533.98553687290746</v>
      </c>
      <c r="AH290">
        <f t="shared" si="40"/>
        <v>533.98553687290746</v>
      </c>
      <c r="AI290">
        <f t="shared" si="44"/>
        <v>15095.157447553687</v>
      </c>
      <c r="AL290" s="87">
        <f t="shared" si="41"/>
        <v>533.98553687290746</v>
      </c>
      <c r="AM290" s="87">
        <f t="shared" si="45"/>
        <v>15095.273065771178</v>
      </c>
      <c r="AO290" s="19">
        <f t="shared" si="46"/>
        <v>-63.081409127325742</v>
      </c>
      <c r="AP290" s="23">
        <f t="shared" si="47"/>
        <v>4.1788849299032593E-3</v>
      </c>
      <c r="AQ290" s="23"/>
      <c r="AR290" s="23"/>
      <c r="AS290" s="23"/>
      <c r="AT290" s="23"/>
      <c r="AU290" s="23"/>
      <c r="AW290" s="35"/>
      <c r="AX290">
        <v>11</v>
      </c>
      <c r="AZ290">
        <v>1913</v>
      </c>
      <c r="BA290">
        <v>281.19636341949229</v>
      </c>
      <c r="BB290">
        <v>11019.774365491261</v>
      </c>
      <c r="BE290">
        <v>281.19636341949229</v>
      </c>
      <c r="BF290">
        <v>11019.774365491261</v>
      </c>
      <c r="BI290">
        <v>281.19636341949229</v>
      </c>
      <c r="BJ290">
        <v>11019.774365491261</v>
      </c>
      <c r="BL290">
        <v>-66.227500055647056</v>
      </c>
      <c r="BM290">
        <v>6.0098780482330354E-3</v>
      </c>
      <c r="BT290">
        <f t="shared" si="48"/>
        <v>42</v>
      </c>
      <c r="BU290">
        <f>D354</f>
        <v>0.88974783916898381</v>
      </c>
      <c r="BV290">
        <v>0.76447952864579205</v>
      </c>
      <c r="DW290" s="57"/>
      <c r="EA290">
        <f t="shared" si="49"/>
        <v>111.07451709166814</v>
      </c>
      <c r="EB290" t="e">
        <f>SUMPRODUCT($D354:$D$397,EA$10:EA290)</f>
        <v>#VALUE!</v>
      </c>
      <c r="EO290" s="15"/>
      <c r="ES290">
        <f t="shared" si="50"/>
        <v>53.296902043985135</v>
      </c>
      <c r="ET290" t="e">
        <f>SUMPRODUCT($D354:$D$397,ES$10:ES290)</f>
        <v>#VALUE!</v>
      </c>
    </row>
    <row r="291" spans="1:150" x14ac:dyDescent="0.2">
      <c r="A291">
        <f t="shared" si="36"/>
        <v>1914</v>
      </c>
      <c r="C291">
        <f t="shared" si="42"/>
        <v>106</v>
      </c>
      <c r="D291" s="63">
        <f t="shared" si="37"/>
        <v>0.18983191171518793</v>
      </c>
      <c r="E291" s="18">
        <f t="shared" si="38"/>
        <v>5.2678182027705551</v>
      </c>
      <c r="F291">
        <f t="shared" si="43"/>
        <v>1914</v>
      </c>
      <c r="G291">
        <v>1</v>
      </c>
      <c r="H291">
        <v>1</v>
      </c>
      <c r="I291">
        <v>1</v>
      </c>
      <c r="J291">
        <v>1</v>
      </c>
      <c r="K291">
        <v>1</v>
      </c>
      <c r="L291">
        <v>1</v>
      </c>
      <c r="M291">
        <v>1</v>
      </c>
      <c r="N291">
        <v>1</v>
      </c>
      <c r="O291">
        <v>1</v>
      </c>
      <c r="P291">
        <v>1</v>
      </c>
      <c r="Q291">
        <v>1</v>
      </c>
      <c r="S291" s="10">
        <v>2202.1751921277946</v>
      </c>
      <c r="T291">
        <f t="shared" si="51"/>
        <v>220.21751921277948</v>
      </c>
      <c r="U291">
        <f t="shared" si="52"/>
        <v>217.79333296255493</v>
      </c>
      <c r="AB291">
        <f t="shared" si="39"/>
        <v>1914</v>
      </c>
      <c r="AD291">
        <f t="shared" si="35"/>
        <v>539.41868675336082</v>
      </c>
      <c r="AH291">
        <f t="shared" si="40"/>
        <v>539.41868675336082</v>
      </c>
      <c r="AI291">
        <f t="shared" si="44"/>
        <v>15569.02974454801</v>
      </c>
      <c r="AL291" s="87">
        <f t="shared" si="41"/>
        <v>539.41868675336082</v>
      </c>
      <c r="AM291" s="87">
        <f t="shared" si="45"/>
        <v>15569.142154374571</v>
      </c>
      <c r="AO291" s="19">
        <f t="shared" si="46"/>
        <v>-65.549598149968006</v>
      </c>
      <c r="AP291" s="23">
        <f t="shared" si="47"/>
        <v>4.2102254253969977E-3</v>
      </c>
      <c r="AQ291" s="23"/>
      <c r="AR291" s="23"/>
      <c r="AS291" s="23"/>
      <c r="AT291" s="23"/>
      <c r="AU291" s="23"/>
      <c r="AW291" s="35"/>
      <c r="AX291">
        <v>11</v>
      </c>
      <c r="AZ291">
        <v>1914</v>
      </c>
      <c r="BA291">
        <v>281.19636341949229</v>
      </c>
      <c r="BB291">
        <v>11232.890668267677</v>
      </c>
      <c r="BE291">
        <v>281.19636341949229</v>
      </c>
      <c r="BF291">
        <v>11232.890668267677</v>
      </c>
      <c r="BI291">
        <v>281.19636341949229</v>
      </c>
      <c r="BJ291">
        <v>11232.890668267677</v>
      </c>
      <c r="BL291">
        <v>-68.080060643076308</v>
      </c>
      <c r="BM291">
        <v>6.0607783564918761E-3</v>
      </c>
      <c r="BT291">
        <f t="shared" si="48"/>
        <v>43</v>
      </c>
      <c r="BU291">
        <f>D353</f>
        <v>0.88058540865796442</v>
      </c>
      <c r="BV291">
        <v>0.75789139014748497</v>
      </c>
      <c r="DW291" s="57"/>
      <c r="EA291">
        <f t="shared" si="49"/>
        <v>111.07451709166814</v>
      </c>
      <c r="EB291" t="e">
        <f>SUMPRODUCT($D353:$D$397,EA$10:EA291)</f>
        <v>#VALUE!</v>
      </c>
      <c r="EO291" s="15"/>
      <c r="ES291">
        <f t="shared" si="50"/>
        <v>53.296902043985135</v>
      </c>
      <c r="ET291" t="e">
        <f>SUMPRODUCT($D353:$D$397,ES$10:ES291)</f>
        <v>#VALUE!</v>
      </c>
    </row>
    <row r="292" spans="1:150" x14ac:dyDescent="0.2">
      <c r="A292">
        <f t="shared" si="36"/>
        <v>1915</v>
      </c>
      <c r="C292">
        <f t="shared" si="42"/>
        <v>105</v>
      </c>
      <c r="D292" s="63">
        <f t="shared" si="37"/>
        <v>0.1956165276134138</v>
      </c>
      <c r="E292" s="18">
        <f t="shared" si="38"/>
        <v>5.1120424853683382</v>
      </c>
      <c r="F292">
        <f t="shared" si="43"/>
        <v>1915</v>
      </c>
      <c r="G292">
        <v>1</v>
      </c>
      <c r="H292">
        <v>1</v>
      </c>
      <c r="I292">
        <v>1</v>
      </c>
      <c r="J292">
        <v>1</v>
      </c>
      <c r="K292">
        <v>1</v>
      </c>
      <c r="L292">
        <v>1</v>
      </c>
      <c r="M292">
        <v>1</v>
      </c>
      <c r="N292">
        <v>1</v>
      </c>
      <c r="O292">
        <v>1</v>
      </c>
      <c r="P292">
        <v>1</v>
      </c>
      <c r="Q292">
        <v>1</v>
      </c>
      <c r="S292" s="10">
        <v>2237.6806509084918</v>
      </c>
      <c r="T292">
        <f t="shared" si="51"/>
        <v>223.76806509084918</v>
      </c>
      <c r="U292">
        <f t="shared" si="52"/>
        <v>221.63773756400735</v>
      </c>
      <c r="AB292">
        <f t="shared" si="39"/>
        <v>1915</v>
      </c>
      <c r="AD292">
        <f t="shared" si="35"/>
        <v>548.94029906929234</v>
      </c>
      <c r="AH292">
        <f t="shared" si="40"/>
        <v>548.94029906929234</v>
      </c>
      <c r="AI292">
        <f t="shared" si="44"/>
        <v>16049.908149529178</v>
      </c>
      <c r="AL292" s="87">
        <f t="shared" si="41"/>
        <v>548.94029906929234</v>
      </c>
      <c r="AM292" s="87">
        <f t="shared" si="45"/>
        <v>16050.017453832137</v>
      </c>
      <c r="AO292" s="19">
        <f t="shared" si="46"/>
        <v>-68.064999611726194</v>
      </c>
      <c r="AP292" s="23">
        <f t="shared" si="47"/>
        <v>4.2408053329234755E-3</v>
      </c>
      <c r="AQ292" s="23"/>
      <c r="AR292" s="23"/>
      <c r="AS292" s="23"/>
      <c r="AT292" s="23"/>
      <c r="AU292" s="23"/>
      <c r="AW292" s="35"/>
      <c r="AX292">
        <v>11</v>
      </c>
      <c r="AZ292">
        <v>1915</v>
      </c>
      <c r="BA292">
        <v>281.19636341949229</v>
      </c>
      <c r="BB292">
        <v>11444.144441165594</v>
      </c>
      <c r="BE292">
        <v>281.19636341949229</v>
      </c>
      <c r="BF292">
        <v>11444.144441165594</v>
      </c>
      <c r="BI292">
        <v>281.19636341949229</v>
      </c>
      <c r="BJ292">
        <v>11444.144441165594</v>
      </c>
      <c r="BL292">
        <v>-69.942590521575426</v>
      </c>
      <c r="BM292">
        <v>6.1116487021944405E-3</v>
      </c>
      <c r="BT292">
        <f t="shared" si="48"/>
        <v>44</v>
      </c>
      <c r="BU292">
        <f>D352</f>
        <v>0.87100002680838728</v>
      </c>
      <c r="BV292">
        <v>0.75126779851973235</v>
      </c>
      <c r="DW292" s="57"/>
      <c r="EA292">
        <f t="shared" si="49"/>
        <v>111.07451709166814</v>
      </c>
      <c r="EB292" t="e">
        <f>SUMPRODUCT($D352:$D$397,EA$10:EA292)</f>
        <v>#VALUE!</v>
      </c>
      <c r="EO292" s="15"/>
      <c r="ES292">
        <f t="shared" si="50"/>
        <v>53.296902043985135</v>
      </c>
      <c r="ET292" t="e">
        <f>SUMPRODUCT($D352:$D$397,ES$10:ES292)</f>
        <v>#VALUE!</v>
      </c>
    </row>
    <row r="293" spans="1:150" x14ac:dyDescent="0.2">
      <c r="A293">
        <f t="shared" si="36"/>
        <v>1916</v>
      </c>
      <c r="C293">
        <f t="shared" si="42"/>
        <v>104</v>
      </c>
      <c r="D293" s="63">
        <f t="shared" si="37"/>
        <v>0.20159083009482873</v>
      </c>
      <c r="E293" s="18">
        <f t="shared" si="38"/>
        <v>4.9605430937984529</v>
      </c>
      <c r="F293">
        <f t="shared" si="43"/>
        <v>1916</v>
      </c>
      <c r="G293">
        <v>1</v>
      </c>
      <c r="H293">
        <v>1</v>
      </c>
      <c r="I293">
        <v>1</v>
      </c>
      <c r="J293">
        <v>1</v>
      </c>
      <c r="K293">
        <v>1</v>
      </c>
      <c r="L293">
        <v>1</v>
      </c>
      <c r="M293">
        <v>1</v>
      </c>
      <c r="N293">
        <v>1</v>
      </c>
      <c r="O293">
        <v>1</v>
      </c>
      <c r="P293">
        <v>1</v>
      </c>
      <c r="Q293">
        <v>1</v>
      </c>
      <c r="S293" s="10">
        <v>2228.7350200398187</v>
      </c>
      <c r="T293">
        <f t="shared" si="51"/>
        <v>222.87350200398188</v>
      </c>
      <c r="U293">
        <f t="shared" si="52"/>
        <v>223.41023985610224</v>
      </c>
      <c r="AB293">
        <f t="shared" si="39"/>
        <v>1916</v>
      </c>
      <c r="AD293">
        <f t="shared" si="35"/>
        <v>553.33033638431675</v>
      </c>
      <c r="AH293">
        <f t="shared" si="40"/>
        <v>553.33033638431675</v>
      </c>
      <c r="AI293">
        <f t="shared" si="44"/>
        <v>16532.612355563982</v>
      </c>
      <c r="AL293" s="87">
        <f t="shared" si="41"/>
        <v>553.33033638431675</v>
      </c>
      <c r="AM293" s="87">
        <f t="shared" si="45"/>
        <v>16532.718653714921</v>
      </c>
      <c r="AO293" s="19">
        <f t="shared" si="46"/>
        <v>-70.629136501532912</v>
      </c>
      <c r="AP293" s="23">
        <f t="shared" si="47"/>
        <v>4.2720824070675428E-3</v>
      </c>
      <c r="AQ293" s="23"/>
      <c r="AR293" s="23"/>
      <c r="AS293" s="23"/>
      <c r="AT293" s="23"/>
      <c r="AU293" s="23"/>
      <c r="AW293" s="35"/>
      <c r="AX293">
        <v>11</v>
      </c>
      <c r="AZ293">
        <v>1916</v>
      </c>
      <c r="BA293">
        <v>281.19636341949229</v>
      </c>
      <c r="BB293">
        <v>11653.526122132418</v>
      </c>
      <c r="BE293">
        <v>281.19636341949229</v>
      </c>
      <c r="BF293">
        <v>11653.526122132418</v>
      </c>
      <c r="BI293">
        <v>281.19636341949229</v>
      </c>
      <c r="BJ293">
        <v>11653.526122132418</v>
      </c>
      <c r="BL293">
        <v>-71.81468245266808</v>
      </c>
      <c r="BM293">
        <v>6.1624852169230894E-3</v>
      </c>
      <c r="BT293">
        <f t="shared" si="48"/>
        <v>45</v>
      </c>
      <c r="BU293">
        <f>D351</f>
        <v>0.86099894352470652</v>
      </c>
      <c r="BV293">
        <v>0.74461020199776884</v>
      </c>
      <c r="DW293" s="57"/>
      <c r="EA293">
        <f t="shared" si="49"/>
        <v>111.07451709166814</v>
      </c>
      <c r="EB293" t="e">
        <f>SUMPRODUCT($D351:$D$397,EA$10:EA293)</f>
        <v>#VALUE!</v>
      </c>
      <c r="EO293" s="15"/>
      <c r="ES293">
        <f t="shared" si="50"/>
        <v>53.296902043985135</v>
      </c>
      <c r="ET293" t="e">
        <f>SUMPRODUCT($D351:$D$397,ES$10:ES293)</f>
        <v>#VALUE!</v>
      </c>
    </row>
    <row r="294" spans="1:150" x14ac:dyDescent="0.2">
      <c r="A294">
        <f t="shared" si="36"/>
        <v>1917</v>
      </c>
      <c r="C294">
        <f t="shared" si="42"/>
        <v>103</v>
      </c>
      <c r="D294" s="63">
        <f t="shared" si="37"/>
        <v>0.20776017214150364</v>
      </c>
      <c r="E294" s="18">
        <f t="shared" si="38"/>
        <v>4.8132420650812167</v>
      </c>
      <c r="F294">
        <f t="shared" si="43"/>
        <v>1917</v>
      </c>
      <c r="G294">
        <v>1</v>
      </c>
      <c r="H294">
        <v>1</v>
      </c>
      <c r="I294">
        <v>1</v>
      </c>
      <c r="J294">
        <v>1</v>
      </c>
      <c r="K294">
        <v>1</v>
      </c>
      <c r="L294">
        <v>1</v>
      </c>
      <c r="M294">
        <v>1</v>
      </c>
      <c r="N294">
        <v>1</v>
      </c>
      <c r="O294">
        <v>1</v>
      </c>
      <c r="P294">
        <v>1</v>
      </c>
      <c r="Q294">
        <v>1</v>
      </c>
      <c r="S294" s="10">
        <v>2248.447007045399</v>
      </c>
      <c r="T294">
        <f t="shared" si="51"/>
        <v>224.84470070453992</v>
      </c>
      <c r="U294">
        <f t="shared" si="52"/>
        <v>223.66198148420511</v>
      </c>
      <c r="AB294">
        <f t="shared" si="39"/>
        <v>1917</v>
      </c>
      <c r="AD294">
        <f t="shared" si="35"/>
        <v>553.95383636287556</v>
      </c>
      <c r="AH294">
        <f t="shared" si="40"/>
        <v>553.95383636287556</v>
      </c>
      <c r="AI294">
        <f t="shared" si="44"/>
        <v>17013.325354296467</v>
      </c>
      <c r="AL294" s="87">
        <f t="shared" si="41"/>
        <v>553.95383636287556</v>
      </c>
      <c r="AM294" s="87">
        <f t="shared" si="45"/>
        <v>17013.428742280954</v>
      </c>
      <c r="AO294" s="19">
        <f t="shared" si="46"/>
        <v>-73.243747796842626</v>
      </c>
      <c r="AP294" s="23">
        <f t="shared" si="47"/>
        <v>4.3050550777469559E-3</v>
      </c>
      <c r="AQ294" s="23"/>
      <c r="AR294" s="23"/>
      <c r="AS294" s="23"/>
      <c r="AT294" s="23"/>
      <c r="AU294" s="23"/>
      <c r="AW294" s="35"/>
      <c r="AX294">
        <v>11</v>
      </c>
      <c r="AZ294">
        <v>1917</v>
      </c>
      <c r="BA294">
        <v>281.19636341949229</v>
      </c>
      <c r="BB294">
        <v>11861.026565540944</v>
      </c>
      <c r="BE294">
        <v>281.19636341949229</v>
      </c>
      <c r="BF294">
        <v>11861.026565540944</v>
      </c>
      <c r="BI294">
        <v>281.19636341949229</v>
      </c>
      <c r="BJ294">
        <v>11861.026565540944</v>
      </c>
      <c r="BL294">
        <v>-73.695920010966461</v>
      </c>
      <c r="BM294">
        <v>6.2132834458924783E-3</v>
      </c>
      <c r="BT294">
        <f t="shared" si="48"/>
        <v>46</v>
      </c>
      <c r="BU294">
        <f>D350</f>
        <v>0.85059151886006445</v>
      </c>
      <c r="BV294">
        <v>0.73792008148758792</v>
      </c>
      <c r="DW294" s="57"/>
      <c r="EA294">
        <f t="shared" si="49"/>
        <v>111.07451709166814</v>
      </c>
      <c r="EB294" t="e">
        <f>SUMPRODUCT($D350:$D$397,EA$10:EA294)</f>
        <v>#VALUE!</v>
      </c>
      <c r="EO294" s="15"/>
      <c r="ES294">
        <f t="shared" si="50"/>
        <v>53.296902043985135</v>
      </c>
      <c r="ET294" t="e">
        <f>SUMPRODUCT($D350:$D$397,ES$10:ES294)</f>
        <v>#VALUE!</v>
      </c>
    </row>
    <row r="295" spans="1:150" x14ac:dyDescent="0.2">
      <c r="A295">
        <f t="shared" si="36"/>
        <v>1918</v>
      </c>
      <c r="C295">
        <f t="shared" si="42"/>
        <v>102</v>
      </c>
      <c r="D295" s="63">
        <f t="shared" si="37"/>
        <v>0.21412991374613599</v>
      </c>
      <c r="E295" s="18">
        <f t="shared" si="38"/>
        <v>4.6700621249283305</v>
      </c>
      <c r="F295">
        <f t="shared" si="43"/>
        <v>1918</v>
      </c>
      <c r="G295">
        <v>1</v>
      </c>
      <c r="H295">
        <v>1</v>
      </c>
      <c r="I295">
        <v>1</v>
      </c>
      <c r="J295">
        <v>1</v>
      </c>
      <c r="K295">
        <v>1</v>
      </c>
      <c r="L295">
        <v>1</v>
      </c>
      <c r="M295">
        <v>1</v>
      </c>
      <c r="N295">
        <v>1</v>
      </c>
      <c r="O295">
        <v>1</v>
      </c>
      <c r="P295">
        <v>1</v>
      </c>
      <c r="Q295">
        <v>1</v>
      </c>
      <c r="S295" s="10">
        <v>2225.3712151785717</v>
      </c>
      <c r="T295">
        <f t="shared" si="51"/>
        <v>222.53712151785717</v>
      </c>
      <c r="U295">
        <f t="shared" si="52"/>
        <v>223.92166902986682</v>
      </c>
      <c r="AB295">
        <f t="shared" si="39"/>
        <v>1918</v>
      </c>
      <c r="AD295">
        <f t="shared" si="35"/>
        <v>554.59701635806448</v>
      </c>
      <c r="AH295">
        <f t="shared" si="40"/>
        <v>554.59701635806448</v>
      </c>
      <c r="AI295">
        <f t="shared" si="44"/>
        <v>17492.014408735238</v>
      </c>
      <c r="AL295" s="87">
        <f t="shared" si="41"/>
        <v>554.59701635806448</v>
      </c>
      <c r="AM295" s="87">
        <f t="shared" si="45"/>
        <v>17492.114979260772</v>
      </c>
      <c r="AO295" s="19">
        <f t="shared" si="46"/>
        <v>-75.910779378246275</v>
      </c>
      <c r="AP295" s="23">
        <f t="shared" si="47"/>
        <v>4.3397141779738238E-3</v>
      </c>
      <c r="AQ295" s="23"/>
      <c r="AR295" s="23"/>
      <c r="AS295" s="23"/>
      <c r="AT295" s="23"/>
      <c r="AU295" s="23"/>
      <c r="AW295" s="35"/>
      <c r="AX295">
        <v>11</v>
      </c>
      <c r="AZ295">
        <v>1918</v>
      </c>
      <c r="BA295">
        <v>281.19636341949229</v>
      </c>
      <c r="BB295">
        <v>12066.637051043954</v>
      </c>
      <c r="BE295">
        <v>281.19636341949229</v>
      </c>
      <c r="BF295">
        <v>12066.637051043954</v>
      </c>
      <c r="BI295">
        <v>281.19636341949229</v>
      </c>
      <c r="BJ295">
        <v>12066.637051043954</v>
      </c>
      <c r="BL295">
        <v>-75.585877916482445</v>
      </c>
      <c r="BM295">
        <v>6.264038405791204E-3</v>
      </c>
      <c r="BT295">
        <f t="shared" si="48"/>
        <v>47</v>
      </c>
      <c r="BU295">
        <f>D349</f>
        <v>0.83978919383707895</v>
      </c>
      <c r="BV295">
        <v>0.73119894938427288</v>
      </c>
      <c r="DW295" s="57"/>
      <c r="EA295">
        <f t="shared" si="49"/>
        <v>111.07451709166814</v>
      </c>
      <c r="EB295" t="e">
        <f>SUMPRODUCT($D349:$D$397,EA$10:EA295)</f>
        <v>#VALUE!</v>
      </c>
      <c r="EO295" s="15"/>
      <c r="ES295">
        <f t="shared" si="50"/>
        <v>53.296902043985135</v>
      </c>
      <c r="ET295" t="e">
        <f>SUMPRODUCT($D349:$D$397,ES$10:ES295)</f>
        <v>#VALUE!</v>
      </c>
    </row>
    <row r="296" spans="1:150" x14ac:dyDescent="0.2">
      <c r="A296">
        <f t="shared" si="36"/>
        <v>1919</v>
      </c>
      <c r="C296">
        <f t="shared" si="42"/>
        <v>101</v>
      </c>
      <c r="D296" s="63">
        <f t="shared" si="37"/>
        <v>0.22070540284656209</v>
      </c>
      <c r="E296" s="18">
        <f t="shared" si="38"/>
        <v>4.5309266882569972</v>
      </c>
      <c r="F296">
        <f t="shared" si="43"/>
        <v>1919</v>
      </c>
      <c r="G296">
        <v>1</v>
      </c>
      <c r="H296">
        <v>1</v>
      </c>
      <c r="I296">
        <v>1</v>
      </c>
      <c r="J296">
        <v>1</v>
      </c>
      <c r="K296">
        <v>1</v>
      </c>
      <c r="L296">
        <v>1</v>
      </c>
      <c r="M296">
        <v>1</v>
      </c>
      <c r="N296">
        <v>1</v>
      </c>
      <c r="O296">
        <v>1</v>
      </c>
      <c r="P296">
        <v>1</v>
      </c>
      <c r="Q296">
        <v>1</v>
      </c>
      <c r="S296" s="10">
        <v>2041.7918796833485</v>
      </c>
      <c r="T296">
        <f t="shared" si="51"/>
        <v>204.17918796833487</v>
      </c>
      <c r="U296">
        <f t="shared" si="52"/>
        <v>215.19394809804825</v>
      </c>
      <c r="AB296">
        <f t="shared" si="39"/>
        <v>1919</v>
      </c>
      <c r="AD296">
        <f t="shared" si="35"/>
        <v>532.98067163643418</v>
      </c>
      <c r="AH296">
        <f t="shared" si="40"/>
        <v>532.98067163643418</v>
      </c>
      <c r="AI296">
        <f t="shared" si="44"/>
        <v>17946.365439049303</v>
      </c>
      <c r="AL296" s="87">
        <f t="shared" si="41"/>
        <v>532.98067163643418</v>
      </c>
      <c r="AM296" s="87">
        <f t="shared" si="45"/>
        <v>17946.463281651271</v>
      </c>
      <c r="AO296" s="19">
        <f t="shared" si="46"/>
        <v>-78.632369245935024</v>
      </c>
      <c r="AP296" s="23">
        <f t="shared" si="47"/>
        <v>4.3814966777509816E-3</v>
      </c>
      <c r="AQ296" s="23"/>
      <c r="AR296" s="23"/>
      <c r="AS296" s="23"/>
      <c r="AT296" s="23"/>
      <c r="AU296" s="23"/>
      <c r="AW296" s="35"/>
      <c r="AX296">
        <v>11</v>
      </c>
      <c r="AZ296">
        <v>1919</v>
      </c>
      <c r="BA296">
        <v>281.19636341949229</v>
      </c>
      <c r="BB296">
        <v>12270.34929207885</v>
      </c>
      <c r="BE296">
        <v>281.19636341949229</v>
      </c>
      <c r="BF296">
        <v>12270.34929207885</v>
      </c>
      <c r="BI296">
        <v>281.19636341949229</v>
      </c>
      <c r="BJ296">
        <v>12270.34929207885</v>
      </c>
      <c r="BL296">
        <v>-77.484122384595707</v>
      </c>
      <c r="BM296">
        <v>6.3147446368634142E-3</v>
      </c>
      <c r="BT296">
        <f t="shared" si="48"/>
        <v>48</v>
      </c>
      <c r="BU296">
        <f>D348</f>
        <v>0.82860543794751107</v>
      </c>
      <c r="BV296">
        <v>0.7244483483273032</v>
      </c>
      <c r="DW296" s="57"/>
      <c r="EA296">
        <f t="shared" si="49"/>
        <v>111.07451709166814</v>
      </c>
      <c r="EB296" t="e">
        <f>SUMPRODUCT($D348:$D$397,EA$10:EA296)</f>
        <v>#VALUE!</v>
      </c>
      <c r="EO296" s="15"/>
      <c r="ES296">
        <f t="shared" si="50"/>
        <v>53.296902043985135</v>
      </c>
      <c r="ET296" t="e">
        <f>SUMPRODUCT($D348:$D$397,ES$10:ES296)</f>
        <v>#VALUE!</v>
      </c>
    </row>
    <row r="297" spans="1:150" x14ac:dyDescent="0.2">
      <c r="A297">
        <f t="shared" si="36"/>
        <v>1920</v>
      </c>
      <c r="C297">
        <v>100</v>
      </c>
      <c r="D297" s="63">
        <f t="shared" si="37"/>
        <v>0.22749195404548059</v>
      </c>
      <c r="E297" s="18">
        <f t="shared" si="38"/>
        <v>4.395759859709492</v>
      </c>
      <c r="F297">
        <v>1920</v>
      </c>
      <c r="G297" s="19">
        <f>Dodge_to_CBECS!C17</f>
        <v>29.349623612924756</v>
      </c>
      <c r="H297" s="19">
        <f>Dodge_to_CBECS!D17</f>
        <v>35.675249434815377</v>
      </c>
      <c r="I297" s="19">
        <f>Dodge_to_CBECS!E17</f>
        <v>4.9053467972871143</v>
      </c>
      <c r="J297" s="19">
        <f>Dodge_to_CBECS!F17</f>
        <v>4.0134655614167301</v>
      </c>
      <c r="K297" s="19">
        <f>Dodge_to_CBECS!G17</f>
        <v>20.890911831198196</v>
      </c>
      <c r="L297" s="19">
        <f>Dodge_to_CBECS!H17</f>
        <v>19.270839694656487</v>
      </c>
      <c r="M297" s="19">
        <f>Dodge_to_CBECS!I17</f>
        <v>4.5558778625954206</v>
      </c>
      <c r="N297" s="19">
        <f>Dodge_to_CBECS!J17</f>
        <v>10.60923143979447</v>
      </c>
      <c r="O297" s="19">
        <f>Dodge_to_CBECS!K17</f>
        <v>7.3312977099236649</v>
      </c>
      <c r="P297" s="19">
        <f>Dodge_to_CBECS!L17</f>
        <v>14.296030534351148</v>
      </c>
      <c r="Q297" s="19">
        <f>Dodge_to_CBECS!M17</f>
        <v>7.1527310066326502</v>
      </c>
      <c r="T297">
        <f t="shared" ref="T297:T310" si="53">SUM(G297:Q297)</f>
        <v>158.05060548559601</v>
      </c>
      <c r="U297" s="27">
        <f>T297</f>
        <v>158.05060548559601</v>
      </c>
      <c r="AB297">
        <f t="shared" si="39"/>
        <v>1920</v>
      </c>
      <c r="AD297">
        <f t="shared" ref="AD297:AD322" si="54">$U$452*U297</f>
        <v>308.23015382850036</v>
      </c>
      <c r="AH297">
        <f t="shared" si="40"/>
        <v>308.23015382850036</v>
      </c>
      <c r="AI297">
        <f t="shared" si="44"/>
        <v>18173.187405825469</v>
      </c>
      <c r="AL297" s="87">
        <f t="shared" si="41"/>
        <v>308.23015382850036</v>
      </c>
      <c r="AM297" s="87">
        <f t="shared" si="45"/>
        <v>18173.282606970995</v>
      </c>
      <c r="AO297" s="19">
        <f t="shared" si="46"/>
        <v>-81.410828508776206</v>
      </c>
      <c r="AP297" s="23">
        <f t="shared" si="47"/>
        <v>4.479698592127118E-3</v>
      </c>
      <c r="AQ297" s="23"/>
      <c r="AR297" s="23"/>
      <c r="AS297" s="23"/>
      <c r="AT297" s="23"/>
      <c r="AU297" s="23"/>
      <c r="AW297" s="35"/>
      <c r="AX297">
        <v>356.65</v>
      </c>
      <c r="AZ297">
        <v>1920</v>
      </c>
      <c r="BA297">
        <v>678.7093297427723</v>
      </c>
      <c r="BB297">
        <v>12869.668410328333</v>
      </c>
      <c r="BE297">
        <v>678.7093297427723</v>
      </c>
      <c r="BF297">
        <v>12869.668410328333</v>
      </c>
      <c r="BI297">
        <v>678.7093297427723</v>
      </c>
      <c r="BJ297">
        <v>12869.668410328333</v>
      </c>
      <c r="BL297">
        <v>-79.390211493289371</v>
      </c>
      <c r="BM297">
        <v>6.1687845375702228E-3</v>
      </c>
      <c r="BT297">
        <f t="shared" si="48"/>
        <v>49</v>
      </c>
      <c r="BU297">
        <f>D347</f>
        <v>0.81705567362617515</v>
      </c>
      <c r="BV297">
        <v>0.7176698498946994</v>
      </c>
      <c r="DW297" s="57"/>
      <c r="EA297">
        <f t="shared" ref="EA297:EA322" si="55">$H$452*H297</f>
        <v>74.957145033655664</v>
      </c>
      <c r="EB297" t="e">
        <f>SUMPRODUCT($D347:$D$397,EA$10:EA297)</f>
        <v>#VALUE!</v>
      </c>
      <c r="EO297" s="15"/>
      <c r="ES297">
        <f t="shared" ref="ES297:ES322" si="56">$L$452*L297</f>
        <v>40.446371294710225</v>
      </c>
      <c r="ET297" t="e">
        <f>SUMPRODUCT($D347:$D$397,ES$10:ES297)</f>
        <v>#VALUE!</v>
      </c>
    </row>
    <row r="298" spans="1:150" x14ac:dyDescent="0.2">
      <c r="A298">
        <f t="shared" si="36"/>
        <v>1921</v>
      </c>
      <c r="C298">
        <f t="shared" ref="C298:C329" si="57">C297-1</f>
        <v>99</v>
      </c>
      <c r="D298" s="63">
        <f t="shared" si="37"/>
        <v>0.23449482497713842</v>
      </c>
      <c r="E298" s="18">
        <f t="shared" si="38"/>
        <v>4.2644864341782078</v>
      </c>
      <c r="F298">
        <v>1921</v>
      </c>
      <c r="G298" s="19">
        <f>Dodge_to_CBECS!C18</f>
        <v>23.157557712109622</v>
      </c>
      <c r="H298" s="19">
        <f>Dodge_to_CBECS!D18</f>
        <v>27.605847776940472</v>
      </c>
      <c r="I298" s="19">
        <f>Dodge_to_CBECS!E18</f>
        <v>3.7958040693293147</v>
      </c>
      <c r="J298" s="19">
        <f>Dodge_to_CBECS!F18</f>
        <v>3.1056578749058028</v>
      </c>
      <c r="K298" s="19">
        <f>Dodge_to_CBECS!G18</f>
        <v>16.165586536046224</v>
      </c>
      <c r="L298" s="19">
        <f>Dodge_to_CBECS!H18</f>
        <v>18.484274809160308</v>
      </c>
      <c r="M298" s="19">
        <f>Dodge_to_CBECS!I18</f>
        <v>4.3699236641221377</v>
      </c>
      <c r="N298" s="19">
        <f>Dodge_to_CBECS!J18</f>
        <v>8.4910383233233304</v>
      </c>
      <c r="O298" s="19">
        <f>Dodge_to_CBECS!K18</f>
        <v>7.0320610687022906</v>
      </c>
      <c r="P298" s="19">
        <f>Dodge_to_CBECS!L18</f>
        <v>13.712519083969466</v>
      </c>
      <c r="Q298" s="19">
        <f>Dodge_to_CBECS!M18</f>
        <v>6.5541261833403324</v>
      </c>
      <c r="T298">
        <f t="shared" si="53"/>
        <v>132.47439710194931</v>
      </c>
      <c r="U298">
        <f t="shared" si="52"/>
        <v>147.82012213213733</v>
      </c>
      <c r="AB298">
        <f t="shared" si="39"/>
        <v>1921</v>
      </c>
      <c r="AD298">
        <f t="shared" si="54"/>
        <v>288.27867405980146</v>
      </c>
      <c r="AH298">
        <f t="shared" si="40"/>
        <v>288.27867405980146</v>
      </c>
      <c r="AI298">
        <f t="shared" si="44"/>
        <v>18377.220037600244</v>
      </c>
      <c r="AL298" s="87">
        <f t="shared" si="41"/>
        <v>288.27867405980146</v>
      </c>
      <c r="AM298" s="87">
        <f t="shared" si="45"/>
        <v>18377.312680789764</v>
      </c>
      <c r="AO298" s="19">
        <f t="shared" si="46"/>
        <v>-84.248600241032591</v>
      </c>
      <c r="AP298" s="23">
        <f t="shared" si="47"/>
        <v>4.5843808452527245E-3</v>
      </c>
      <c r="AQ298" s="23"/>
      <c r="AR298" s="23"/>
      <c r="AS298" s="23"/>
      <c r="AT298" s="23"/>
      <c r="AU298" s="23"/>
      <c r="AW298" s="35"/>
      <c r="AX298">
        <v>356.65</v>
      </c>
      <c r="AZ298">
        <v>1921</v>
      </c>
      <c r="BA298">
        <v>678.7093297427723</v>
      </c>
      <c r="BB298">
        <v>13465.385509093363</v>
      </c>
      <c r="BE298">
        <v>678.7093297427723</v>
      </c>
      <c r="BF298">
        <v>13465.385509093363</v>
      </c>
      <c r="BI298">
        <v>678.7093297427723</v>
      </c>
      <c r="BJ298">
        <v>13465.385509093363</v>
      </c>
      <c r="BL298">
        <v>-82.992230977742565</v>
      </c>
      <c r="BM298">
        <v>6.1633757846514493E-3</v>
      </c>
      <c r="BT298">
        <f t="shared" si="48"/>
        <v>50</v>
      </c>
      <c r="BU298">
        <f>D346</f>
        <v>0.80515717846513635</v>
      </c>
      <c r="BV298">
        <v>0.71086505323807758</v>
      </c>
      <c r="DW298" s="57"/>
      <c r="EA298">
        <f t="shared" si="55"/>
        <v>58.002552704614509</v>
      </c>
      <c r="EB298" t="e">
        <f>SUMPRODUCT($D346:$D$397,EA$10:EA298)</f>
        <v>#VALUE!</v>
      </c>
      <c r="EO298" s="15"/>
      <c r="ES298">
        <f t="shared" si="56"/>
        <v>38.795498996966955</v>
      </c>
      <c r="ET298" t="e">
        <f>SUMPRODUCT($D346:$D$397,ES$10:ES298)</f>
        <v>#VALUE!</v>
      </c>
    </row>
    <row r="299" spans="1:150" x14ac:dyDescent="0.2">
      <c r="A299">
        <f t="shared" si="36"/>
        <v>1922</v>
      </c>
      <c r="C299">
        <f t="shared" si="57"/>
        <v>98</v>
      </c>
      <c r="D299" s="63">
        <f t="shared" si="37"/>
        <v>0.24171919018653262</v>
      </c>
      <c r="E299" s="18">
        <f t="shared" si="38"/>
        <v>4.137031897336362</v>
      </c>
      <c r="F299">
        <f t="shared" ref="F299:F330" si="58">F298+1</f>
        <v>1922</v>
      </c>
      <c r="G299" s="19">
        <f>Dodge_to_CBECS!C19</f>
        <v>35.286436374304664</v>
      </c>
      <c r="H299" s="19">
        <f>Dodge_to_CBECS!D19</f>
        <v>40.347008289374543</v>
      </c>
      <c r="I299" s="19">
        <f>Dodge_to_CBECS!E19</f>
        <v>5.5477136397889986</v>
      </c>
      <c r="J299" s="19">
        <f>Dodge_to_CBECS!F19</f>
        <v>4.5390384325546353</v>
      </c>
      <c r="K299" s="19">
        <f>Dodge_to_CBECS!G19</f>
        <v>23.62662647575986</v>
      </c>
      <c r="L299" s="19">
        <f>Dodge_to_CBECS!H19</f>
        <v>38.541679389312975</v>
      </c>
      <c r="M299" s="19">
        <f>Dodge_to_CBECS!I19</f>
        <v>9.1117557251908412</v>
      </c>
      <c r="N299" s="19">
        <f>Dodge_to_CBECS!J19</f>
        <v>13.318293826630516</v>
      </c>
      <c r="O299" s="19">
        <f>Dodge_to_CBECS!K19</f>
        <v>14.66259541984733</v>
      </c>
      <c r="P299" s="19">
        <f>Dodge_to_CBECS!L19</f>
        <v>28.592061068702296</v>
      </c>
      <c r="Q299" s="19">
        <f>Dodge_to_CBECS!M19</f>
        <v>12.867833276766934</v>
      </c>
      <c r="T299">
        <f t="shared" si="53"/>
        <v>226.44104191823357</v>
      </c>
      <c r="U299">
        <f t="shared" si="52"/>
        <v>170.06105502846302</v>
      </c>
      <c r="AB299">
        <f t="shared" si="39"/>
        <v>1922</v>
      </c>
      <c r="AD299">
        <f t="shared" si="54"/>
        <v>331.65292211700728</v>
      </c>
      <c r="AH299">
        <f t="shared" si="40"/>
        <v>331.65292211700728</v>
      </c>
      <c r="AI299">
        <f t="shared" si="44"/>
        <v>18621.727319334401</v>
      </c>
      <c r="AL299" s="87">
        <f t="shared" si="41"/>
        <v>331.65292211700728</v>
      </c>
      <c r="AM299" s="87">
        <f t="shared" si="45"/>
        <v>18621.817485200918</v>
      </c>
      <c r="AO299" s="19">
        <f t="shared" si="46"/>
        <v>-87.148117705853679</v>
      </c>
      <c r="AP299" s="23">
        <f t="shared" si="47"/>
        <v>4.6798932367966666E-3</v>
      </c>
      <c r="AQ299" s="23"/>
      <c r="AR299" s="23"/>
      <c r="AS299" s="23"/>
      <c r="AT299" s="23"/>
      <c r="AU299" s="23"/>
      <c r="AW299" s="35"/>
      <c r="AX299">
        <v>356.65</v>
      </c>
      <c r="AZ299">
        <v>1922</v>
      </c>
      <c r="BA299">
        <v>678.7093297427723</v>
      </c>
      <c r="BB299">
        <v>14057.469490357018</v>
      </c>
      <c r="BE299">
        <v>678.7093297427723</v>
      </c>
      <c r="BF299">
        <v>14057.469490357018</v>
      </c>
      <c r="BI299">
        <v>678.7093297427723</v>
      </c>
      <c r="BJ299">
        <v>14057.469490357018</v>
      </c>
      <c r="BL299">
        <v>-86.625348479117292</v>
      </c>
      <c r="BM299">
        <v>6.1622291649673904E-3</v>
      </c>
      <c r="BT299">
        <f t="shared" si="48"/>
        <v>51</v>
      </c>
      <c r="BU299">
        <f>D345</f>
        <v>0.79292896639582933</v>
      </c>
      <c r="BV299">
        <v>0.70403558366088814</v>
      </c>
      <c r="DW299" s="57"/>
      <c r="EA299">
        <f t="shared" si="55"/>
        <v>84.772961645205825</v>
      </c>
      <c r="EB299" t="e">
        <f>SUMPRODUCT($D345:$D$397,EA$10:EA299)</f>
        <v>#VALUE!</v>
      </c>
      <c r="EO299" s="15"/>
      <c r="ES299">
        <f t="shared" si="56"/>
        <v>80.89274258942045</v>
      </c>
      <c r="ET299" t="e">
        <f>SUMPRODUCT($D345:$D$397,ES$10:ES299)</f>
        <v>#VALUE!</v>
      </c>
    </row>
    <row r="300" spans="1:150" x14ac:dyDescent="0.2">
      <c r="A300">
        <f t="shared" si="36"/>
        <v>1923</v>
      </c>
      <c r="C300">
        <f t="shared" si="57"/>
        <v>97</v>
      </c>
      <c r="D300" s="63">
        <f t="shared" si="37"/>
        <v>0.24917011239319095</v>
      </c>
      <c r="E300" s="18">
        <f t="shared" si="38"/>
        <v>4.0133224261744438</v>
      </c>
      <c r="F300">
        <f t="shared" si="58"/>
        <v>1923</v>
      </c>
      <c r="G300" s="19">
        <f>Dodge_to_CBECS!C20</f>
        <v>40.146448224486164</v>
      </c>
      <c r="H300" s="19">
        <f>Dodge_to_CBECS!D20</f>
        <v>46.717588545591568</v>
      </c>
      <c r="I300" s="19">
        <f>Dodge_to_CBECS!E20</f>
        <v>6.4236684250188398</v>
      </c>
      <c r="J300" s="19">
        <f>Dodge_to_CBECS!F20</f>
        <v>5.2557287113790512</v>
      </c>
      <c r="K300" s="19">
        <f>Dodge_to_CBECS!G20</f>
        <v>27.357146445616682</v>
      </c>
      <c r="L300" s="19">
        <f>Dodge_to_CBECS!H20</f>
        <v>38.934961832061077</v>
      </c>
      <c r="M300" s="19">
        <f>Dodge_to_CBECS!I20</f>
        <v>9.2047328244274826</v>
      </c>
      <c r="N300" s="19">
        <f>Dodge_to_CBECS!J20</f>
        <v>14.972608601184872</v>
      </c>
      <c r="O300" s="19">
        <f>Dodge_to_CBECS!K20</f>
        <v>14.812213740458017</v>
      </c>
      <c r="P300" s="19">
        <f>Dodge_to_CBECS!L20</f>
        <v>28.883816793893139</v>
      </c>
      <c r="Q300" s="19">
        <f>Dodge_to_CBECS!M20</f>
        <v>13.275450182258862</v>
      </c>
      <c r="T300">
        <f t="shared" si="53"/>
        <v>245.98436432637575</v>
      </c>
      <c r="U300">
        <f t="shared" si="52"/>
        <v>234.25837088149044</v>
      </c>
      <c r="AB300">
        <f t="shared" si="39"/>
        <v>1923</v>
      </c>
      <c r="AD300">
        <f t="shared" si="54"/>
        <v>456.85047185090446</v>
      </c>
      <c r="AH300">
        <f t="shared" si="40"/>
        <v>456.85047185090446</v>
      </c>
      <c r="AI300">
        <f t="shared" si="44"/>
        <v>18988.468509332062</v>
      </c>
      <c r="AL300" s="87">
        <f t="shared" si="41"/>
        <v>456.85047185090446</v>
      </c>
      <c r="AM300" s="87">
        <f t="shared" si="45"/>
        <v>18988.556275737978</v>
      </c>
      <c r="AO300" s="19">
        <f t="shared" si="46"/>
        <v>-90.11168131384477</v>
      </c>
      <c r="AP300" s="23">
        <f t="shared" si="47"/>
        <v>4.7455783370419849E-3</v>
      </c>
      <c r="AQ300" s="23"/>
      <c r="AR300" s="23"/>
      <c r="AS300" s="23"/>
      <c r="AT300" s="23"/>
      <c r="AU300" s="23"/>
      <c r="AW300" s="35"/>
      <c r="AX300">
        <v>356.65</v>
      </c>
      <c r="AZ300">
        <v>1923</v>
      </c>
      <c r="BA300">
        <v>678.7093297427723</v>
      </c>
      <c r="BB300">
        <v>14645.889652533193</v>
      </c>
      <c r="BE300">
        <v>678.7093297427723</v>
      </c>
      <c r="BF300">
        <v>14645.889652533193</v>
      </c>
      <c r="BI300">
        <v>678.7093297427723</v>
      </c>
      <c r="BJ300">
        <v>14645.889652533193</v>
      </c>
      <c r="BL300">
        <v>-90.289167566597371</v>
      </c>
      <c r="BM300">
        <v>6.1648127705906013E-3</v>
      </c>
      <c r="BT300">
        <f t="shared" si="48"/>
        <v>52</v>
      </c>
      <c r="BU300">
        <f>D344</f>
        <v>0.78039164950404238</v>
      </c>
      <c r="BV300">
        <v>0.69718309114230637</v>
      </c>
      <c r="DW300" s="57"/>
      <c r="EA300">
        <f t="shared" si="55"/>
        <v>98.158166115501473</v>
      </c>
      <c r="EB300" t="e">
        <f>SUMPRODUCT($D344:$D$397,EA$10:EA300)</f>
        <v>#VALUE!</v>
      </c>
      <c r="EO300" s="15"/>
      <c r="ES300">
        <f t="shared" si="56"/>
        <v>81.71817873829211</v>
      </c>
      <c r="ET300" t="e">
        <f>SUMPRODUCT($D344:$D$397,ES$10:ES300)</f>
        <v>#VALUE!</v>
      </c>
    </row>
    <row r="301" spans="1:150" x14ac:dyDescent="0.2">
      <c r="A301">
        <f t="shared" si="36"/>
        <v>1924</v>
      </c>
      <c r="C301">
        <f t="shared" si="57"/>
        <v>96</v>
      </c>
      <c r="D301" s="63">
        <f t="shared" si="37"/>
        <v>0.25685251102122836</v>
      </c>
      <c r="E301" s="18">
        <f t="shared" si="38"/>
        <v>3.8932848895425125</v>
      </c>
      <c r="F301">
        <f t="shared" si="58"/>
        <v>1924</v>
      </c>
      <c r="G301" s="19">
        <f>Dodge_to_CBECS!C21</f>
        <v>41.27949815056634</v>
      </c>
      <c r="H301" s="19">
        <f>Dodge_to_CBECS!D21</f>
        <v>47.566999246420508</v>
      </c>
      <c r="I301" s="19">
        <f>Dodge_to_CBECS!E21</f>
        <v>6.5404623963828197</v>
      </c>
      <c r="J301" s="19">
        <f>Dodge_to_CBECS!F21</f>
        <v>5.3512874152223064</v>
      </c>
      <c r="K301" s="19">
        <f>Dodge_to_CBECS!G21</f>
        <v>27.854549108264258</v>
      </c>
      <c r="L301" s="19">
        <f>Dodge_to_CBECS!H21</f>
        <v>42.867786259541987</v>
      </c>
      <c r="M301" s="19">
        <f>Dodge_to_CBECS!I21</f>
        <v>10.134503816793895</v>
      </c>
      <c r="N301" s="19">
        <f>Dodge_to_CBECS!J21</f>
        <v>15.498975253059296</v>
      </c>
      <c r="O301" s="19">
        <f>Dodge_to_CBECS!K21</f>
        <v>16.308396946564887</v>
      </c>
      <c r="P301" s="19">
        <f>Dodge_to_CBECS!L21</f>
        <v>31.801374045801534</v>
      </c>
      <c r="Q301" s="19">
        <f>Dodge_to_CBECS!M21</f>
        <v>14.4369746755102</v>
      </c>
      <c r="T301">
        <f t="shared" si="53"/>
        <v>259.64080731412804</v>
      </c>
      <c r="U301">
        <f t="shared" si="52"/>
        <v>251.44694152147667</v>
      </c>
      <c r="AB301">
        <f t="shared" si="39"/>
        <v>1924</v>
      </c>
      <c r="AD301">
        <f t="shared" si="54"/>
        <v>490.37160741490482</v>
      </c>
      <c r="AH301">
        <f t="shared" si="40"/>
        <v>490.37160741490482</v>
      </c>
      <c r="AI301">
        <f t="shared" si="44"/>
        <v>19385.700981705337</v>
      </c>
      <c r="AL301" s="87">
        <f t="shared" si="41"/>
        <v>490.37160741490482</v>
      </c>
      <c r="AM301" s="87">
        <f t="shared" si="45"/>
        <v>19385.786423836813</v>
      </c>
      <c r="AO301" s="19">
        <f t="shared" si="46"/>
        <v>-93.141459316069472</v>
      </c>
      <c r="AP301" s="23">
        <f t="shared" si="47"/>
        <v>4.8046263009243976E-3</v>
      </c>
      <c r="AQ301" s="23"/>
      <c r="AR301" s="23"/>
      <c r="AS301" s="23"/>
      <c r="AT301" s="23"/>
      <c r="AU301" s="23"/>
      <c r="AW301" s="35"/>
      <c r="AX301">
        <v>356.65</v>
      </c>
      <c r="AZ301">
        <v>1924</v>
      </c>
      <c r="BA301">
        <v>678.7093297427723</v>
      </c>
      <c r="BB301">
        <v>15230.615707822752</v>
      </c>
      <c r="BE301">
        <v>678.7093297427723</v>
      </c>
      <c r="BF301">
        <v>15230.615707822752</v>
      </c>
      <c r="BI301">
        <v>678.7093297427723</v>
      </c>
      <c r="BJ301">
        <v>15230.615707822752</v>
      </c>
      <c r="BL301">
        <v>-93.983274453213653</v>
      </c>
      <c r="BM301">
        <v>6.1706812289237887E-3</v>
      </c>
      <c r="BT301">
        <f t="shared" si="48"/>
        <v>53</v>
      </c>
      <c r="BU301">
        <f>D343</f>
        <v>0.76756728254114526</v>
      </c>
      <c r="BV301">
        <v>0.69030924880943867</v>
      </c>
      <c r="DW301" s="57"/>
      <c r="EA301">
        <f t="shared" si="55"/>
        <v>99.942860044874237</v>
      </c>
      <c r="EB301" t="e">
        <f>SUMPRODUCT($D343:$D$397,EA$10:EA301)</f>
        <v>#VALUE!</v>
      </c>
      <c r="EO301" s="15"/>
      <c r="ES301">
        <f t="shared" si="56"/>
        <v>89.972540227008466</v>
      </c>
      <c r="ET301" t="e">
        <f>SUMPRODUCT($D343:$D$397,ES$10:ES301)</f>
        <v>#VALUE!</v>
      </c>
    </row>
    <row r="302" spans="1:150" x14ac:dyDescent="0.2">
      <c r="A302">
        <f t="shared" si="36"/>
        <v>1925</v>
      </c>
      <c r="C302">
        <f t="shared" si="57"/>
        <v>95</v>
      </c>
      <c r="D302" s="63">
        <f t="shared" si="37"/>
        <v>0.26477112789060925</v>
      </c>
      <c r="E302" s="18">
        <f t="shared" si="38"/>
        <v>3.7768468486985185</v>
      </c>
      <c r="F302">
        <f t="shared" si="58"/>
        <v>1925</v>
      </c>
      <c r="G302" s="19">
        <f>Dodge_to_CBECS!C22</f>
        <v>58.511173247927658</v>
      </c>
      <c r="H302" s="19">
        <f>Dodge_to_CBECS!D22</f>
        <v>68.377561416729463</v>
      </c>
      <c r="I302" s="19">
        <f>Dodge_to_CBECS!E22</f>
        <v>9.4019146948003005</v>
      </c>
      <c r="J302" s="19">
        <f>Dodge_to_CBECS!F22</f>
        <v>7.6924756593820645</v>
      </c>
      <c r="K302" s="19">
        <f>Dodge_to_CBECS!G22</f>
        <v>40.040914343129863</v>
      </c>
      <c r="L302" s="19">
        <f>Dodge_to_CBECS!H22</f>
        <v>54.997599999999998</v>
      </c>
      <c r="M302" s="19">
        <f>Dodge_to_CBECS!I22</f>
        <v>11.833500000000001</v>
      </c>
      <c r="N302" s="19">
        <f>Dodge_to_CBECS!J22</f>
        <v>21.368160514058996</v>
      </c>
      <c r="O302" s="19">
        <f>Dodge_to_CBECS!K22</f>
        <v>21.413</v>
      </c>
      <c r="P302" s="19">
        <f>Dodge_to_CBECS!L22</f>
        <v>39.614049999999999</v>
      </c>
      <c r="Q302" s="19">
        <f>Dodge_to_CBECS!M22</f>
        <v>16.638310638030646</v>
      </c>
      <c r="T302">
        <f t="shared" si="53"/>
        <v>349.88866051405904</v>
      </c>
      <c r="U302">
        <f t="shared" si="52"/>
        <v>295.73994859410044</v>
      </c>
      <c r="AB302">
        <f t="shared" si="39"/>
        <v>1925</v>
      </c>
      <c r="AD302">
        <f t="shared" si="54"/>
        <v>576.75179141721094</v>
      </c>
      <c r="AH302">
        <f t="shared" si="40"/>
        <v>576.75179141721094</v>
      </c>
      <c r="AI302">
        <f t="shared" si="44"/>
        <v>19866.215472147374</v>
      </c>
      <c r="AL302" s="87">
        <f t="shared" si="41"/>
        <v>576.75179141721094</v>
      </c>
      <c r="AM302" s="87">
        <f t="shared" si="45"/>
        <v>19866.298662606157</v>
      </c>
      <c r="AO302" s="19">
        <f t="shared" si="46"/>
        <v>-96.23955264786639</v>
      </c>
      <c r="AP302" s="23">
        <f t="shared" si="47"/>
        <v>4.8443625197790727E-3</v>
      </c>
      <c r="AQ302" s="23"/>
      <c r="AR302" s="23"/>
      <c r="AS302" s="23"/>
      <c r="AT302" s="23"/>
      <c r="AU302" s="23"/>
      <c r="AW302" s="35"/>
      <c r="AX302">
        <v>356.65</v>
      </c>
      <c r="AZ302">
        <v>1925</v>
      </c>
      <c r="BA302">
        <v>678.7093297427723</v>
      </c>
      <c r="BB302">
        <v>15811.617799482028</v>
      </c>
      <c r="BE302">
        <v>678.7093297427723</v>
      </c>
      <c r="BF302">
        <v>15811.617799482028</v>
      </c>
      <c r="BI302">
        <v>678.7093297427723</v>
      </c>
      <c r="BJ302">
        <v>15811.617799482028</v>
      </c>
      <c r="BL302">
        <v>-97.707238083495668</v>
      </c>
      <c r="BM302">
        <v>6.1794586311526229E-3</v>
      </c>
      <c r="BT302">
        <f t="shared" si="48"/>
        <v>54</v>
      </c>
      <c r="BU302">
        <f>D342</f>
        <v>0.75447919254134055</v>
      </c>
      <c r="BV302">
        <v>0.68341575136068322</v>
      </c>
      <c r="DW302" s="57"/>
      <c r="EA302">
        <f t="shared" si="55"/>
        <v>143.66786131450667</v>
      </c>
      <c r="EB302" t="e">
        <f>SUMPRODUCT($D342:$D$397,EA$10:EA302)</f>
        <v>#VALUE!</v>
      </c>
      <c r="EO302" s="15"/>
      <c r="ES302">
        <f t="shared" si="56"/>
        <v>115.43105464858193</v>
      </c>
      <c r="ET302" t="e">
        <f>SUMPRODUCT($D342:$D$397,ES$10:ES302)</f>
        <v>#VALUE!</v>
      </c>
    </row>
    <row r="303" spans="1:150" x14ac:dyDescent="0.2">
      <c r="A303">
        <f t="shared" si="36"/>
        <v>1926</v>
      </c>
      <c r="C303">
        <f t="shared" si="57"/>
        <v>94</v>
      </c>
      <c r="D303" s="63">
        <f t="shared" si="37"/>
        <v>0.27293048998188052</v>
      </c>
      <c r="E303" s="18">
        <f t="shared" si="38"/>
        <v>3.6639365578627312</v>
      </c>
      <c r="F303">
        <f t="shared" si="58"/>
        <v>1926</v>
      </c>
      <c r="G303" s="19">
        <f>Dodge_to_CBECS!C23</f>
        <v>55.306800542577243</v>
      </c>
      <c r="H303" s="19">
        <f>Dodge_to_CBECS!D23</f>
        <v>65.154654529012817</v>
      </c>
      <c r="I303" s="19">
        <f>Dodge_to_CBECS!E23</f>
        <v>8.9587649977392623</v>
      </c>
      <c r="J303" s="19">
        <f>Dodge_to_CBECS!F23</f>
        <v>7.3298986345139419</v>
      </c>
      <c r="K303" s="19">
        <f>Dodge_to_CBECS!G23</f>
        <v>38.153626525998497</v>
      </c>
      <c r="L303" s="19">
        <f>Dodge_to_CBECS!H23</f>
        <v>48.833279999999995</v>
      </c>
      <c r="M303" s="19">
        <f>Dodge_to_CBECS!I23</f>
        <v>12.716999999999999</v>
      </c>
      <c r="N303" s="19">
        <f>Dodge_to_CBECS!J23</f>
        <v>20.841413977673181</v>
      </c>
      <c r="O303" s="19">
        <f>Dodge_to_CBECS!K23</f>
        <v>18.086400000000001</v>
      </c>
      <c r="P303" s="19">
        <f>Dodge_to_CBECS!L23</f>
        <v>37.416240000000002</v>
      </c>
      <c r="Q303" s="19">
        <f>Dodge_to_CBECS!M23</f>
        <v>19.185934770158251</v>
      </c>
      <c r="T303">
        <f t="shared" si="53"/>
        <v>331.98401397767327</v>
      </c>
      <c r="U303">
        <f t="shared" si="52"/>
        <v>342.72680189950472</v>
      </c>
      <c r="AB303">
        <f t="shared" si="39"/>
        <v>1926</v>
      </c>
      <c r="AD303">
        <f t="shared" si="54"/>
        <v>668.38551200780898</v>
      </c>
      <c r="AH303">
        <f t="shared" si="40"/>
        <v>668.38551200780898</v>
      </c>
      <c r="AI303">
        <f t="shared" si="44"/>
        <v>20435.195118428255</v>
      </c>
      <c r="AL303" s="87">
        <f t="shared" si="41"/>
        <v>668.38551200780898</v>
      </c>
      <c r="AM303" s="87">
        <f t="shared" si="45"/>
        <v>20435.276127321002</v>
      </c>
      <c r="AO303" s="19">
        <f t="shared" si="46"/>
        <v>-99.408047292964739</v>
      </c>
      <c r="AP303" s="23">
        <f t="shared" si="47"/>
        <v>4.8645316399743123E-3</v>
      </c>
      <c r="AQ303" s="23"/>
      <c r="AR303" s="23"/>
      <c r="AS303" s="23"/>
      <c r="AT303" s="23"/>
      <c r="AU303" s="23"/>
      <c r="AW303" s="35"/>
      <c r="AX303">
        <v>337.15</v>
      </c>
      <c r="AZ303">
        <v>1926</v>
      </c>
      <c r="BA303">
        <v>641.60059027835598</v>
      </c>
      <c r="BB303">
        <v>16351.757779523357</v>
      </c>
      <c r="BE303">
        <v>641.60059027835598</v>
      </c>
      <c r="BF303">
        <v>16351.757779523357</v>
      </c>
      <c r="BI303">
        <v>641.60059027835598</v>
      </c>
      <c r="BJ303">
        <v>16351.757779523357</v>
      </c>
      <c r="BL303">
        <v>-101.4606102370268</v>
      </c>
      <c r="BM303">
        <v>6.2048748278354391E-3</v>
      </c>
      <c r="BT303">
        <f t="shared" si="48"/>
        <v>55</v>
      </c>
      <c r="BU303">
        <f>D341</f>
        <v>0.74115179623788574</v>
      </c>
      <c r="BV303">
        <v>0.67650431344326634</v>
      </c>
      <c r="DW303" s="57"/>
      <c r="EA303">
        <f t="shared" si="55"/>
        <v>136.89622263391522</v>
      </c>
      <c r="EB303" t="e">
        <f>SUMPRODUCT($D341:$D$397,EA$10:EA303)</f>
        <v>#VALUE!</v>
      </c>
      <c r="EO303" s="15"/>
      <c r="ES303">
        <f t="shared" si="56"/>
        <v>102.49314537997118</v>
      </c>
      <c r="ET303" t="e">
        <f>SUMPRODUCT($D341:$D$397,ES$10:ES303)</f>
        <v>#VALUE!</v>
      </c>
    </row>
    <row r="304" spans="1:150" x14ac:dyDescent="0.2">
      <c r="A304">
        <f t="shared" si="36"/>
        <v>1927</v>
      </c>
      <c r="C304">
        <f t="shared" si="57"/>
        <v>93</v>
      </c>
      <c r="D304" s="63">
        <f t="shared" si="37"/>
        <v>0.28133486920856221</v>
      </c>
      <c r="E304" s="18">
        <f t="shared" si="38"/>
        <v>3.5544829647784226</v>
      </c>
      <c r="F304">
        <f t="shared" si="58"/>
        <v>1927</v>
      </c>
      <c r="G304" s="19">
        <f>Dodge_to_CBECS!C24</f>
        <v>52.226399427279574</v>
      </c>
      <c r="H304" s="19">
        <f>Dodge_to_CBECS!D24</f>
        <v>61.051242441597587</v>
      </c>
      <c r="I304" s="19">
        <f>Dodge_to_CBECS!E24</f>
        <v>8.3945458357196685</v>
      </c>
      <c r="J304" s="19">
        <f>Dodge_to_CBECS!F24</f>
        <v>6.8682647746797274</v>
      </c>
      <c r="K304" s="19">
        <f>Dodge_to_CBECS!G24</f>
        <v>35.750727555890478</v>
      </c>
      <c r="L304" s="19">
        <f>Dodge_to_CBECS!H24</f>
        <v>48.980159999999991</v>
      </c>
      <c r="M304" s="19">
        <f>Dodge_to_CBECS!I24</f>
        <v>16.156649999999999</v>
      </c>
      <c r="N304" s="19">
        <f>Dodge_to_CBECS!J24</f>
        <v>20.942351094162003</v>
      </c>
      <c r="O304" s="19">
        <f>Dodge_to_CBECS!K24</f>
        <v>19.2746</v>
      </c>
      <c r="P304" s="19">
        <f>Dodge_to_CBECS!L24</f>
        <v>42.404119999999999</v>
      </c>
      <c r="Q304" s="19">
        <f>Dodge_to_CBECS!M24</f>
        <v>24.373139964832955</v>
      </c>
      <c r="T304">
        <f t="shared" si="53"/>
        <v>336.42220109416195</v>
      </c>
      <c r="U304">
        <f t="shared" si="52"/>
        <v>333.75928882426876</v>
      </c>
      <c r="AB304">
        <f t="shared" si="39"/>
        <v>1927</v>
      </c>
      <c r="AD304">
        <f t="shared" si="54"/>
        <v>650.8970757810273</v>
      </c>
      <c r="AH304">
        <f t="shared" si="40"/>
        <v>650.8970757810273</v>
      </c>
      <c r="AI304">
        <f t="shared" si="44"/>
        <v>20983.445258307431</v>
      </c>
      <c r="AL304" s="87">
        <f t="shared" si="41"/>
        <v>650.8970757810273</v>
      </c>
      <c r="AM304" s="87">
        <f t="shared" si="45"/>
        <v>20983.524153332444</v>
      </c>
      <c r="AO304" s="19">
        <f t="shared" si="46"/>
        <v>-102.64904976958474</v>
      </c>
      <c r="AP304" s="23">
        <f t="shared" si="47"/>
        <v>4.8918879888573338E-3</v>
      </c>
      <c r="AQ304" s="23"/>
      <c r="AR304" s="23"/>
      <c r="AS304" s="23"/>
      <c r="AT304" s="23"/>
      <c r="AU304" s="23"/>
      <c r="AW304" s="35"/>
      <c r="AX304">
        <v>347.85</v>
      </c>
      <c r="AZ304">
        <v>1927</v>
      </c>
      <c r="BA304">
        <v>661.96282167677919</v>
      </c>
      <c r="BB304">
        <v>16908.635304173076</v>
      </c>
      <c r="BE304">
        <v>661.96282167677919</v>
      </c>
      <c r="BF304">
        <v>16908.635304173076</v>
      </c>
      <c r="BI304">
        <v>661.96282167677919</v>
      </c>
      <c r="BJ304">
        <v>16908.635304173076</v>
      </c>
      <c r="BL304">
        <v>-105.08529702706028</v>
      </c>
      <c r="BM304">
        <v>6.2148893235118192E-3</v>
      </c>
      <c r="BT304">
        <f t="shared" si="48"/>
        <v>56</v>
      </c>
      <c r="BU304">
        <f>D340</f>
        <v>0.72761040818253109</v>
      </c>
      <c r="BV304">
        <v>0.66957666798813709</v>
      </c>
      <c r="DW304" s="57"/>
      <c r="EA304">
        <f t="shared" si="55"/>
        <v>128.27455747832215</v>
      </c>
      <c r="EB304" t="e">
        <f>SUMPRODUCT($D340:$D$397,EA$10:EA304)</f>
        <v>#VALUE!</v>
      </c>
      <c r="EO304" s="15"/>
      <c r="ES304">
        <f t="shared" si="56"/>
        <v>102.80142271037802</v>
      </c>
      <c r="ET304" t="e">
        <f>SUMPRODUCT($D340:$D$397,ES$10:ES304)</f>
        <v>#VALUE!</v>
      </c>
    </row>
    <row r="305" spans="1:150" x14ac:dyDescent="0.2">
      <c r="A305">
        <f t="shared" si="36"/>
        <v>1928</v>
      </c>
      <c r="C305">
        <f t="shared" si="57"/>
        <v>92</v>
      </c>
      <c r="D305" s="63">
        <f t="shared" si="37"/>
        <v>0.28998823915841493</v>
      </c>
      <c r="E305" s="18">
        <f t="shared" si="38"/>
        <v>3.4484157112789648</v>
      </c>
      <c r="F305">
        <f t="shared" si="58"/>
        <v>1928</v>
      </c>
      <c r="G305" s="19">
        <f>Dodge_to_CBECS!C25</f>
        <v>58.715084280331567</v>
      </c>
      <c r="H305" s="19">
        <f>Dodge_to_CBECS!D25</f>
        <v>68.565190173323288</v>
      </c>
      <c r="I305" s="19">
        <f>Dodge_to_CBECS!E25</f>
        <v>9.4277136488319524</v>
      </c>
      <c r="J305" s="19">
        <f>Dodge_to_CBECS!F25</f>
        <v>7.7135838944988695</v>
      </c>
      <c r="K305" s="19">
        <f>Dodge_to_CBECS!G25</f>
        <v>40.150787038432554</v>
      </c>
      <c r="L305" s="19">
        <f>Dodge_to_CBECS!H25</f>
        <v>55.495359999999998</v>
      </c>
      <c r="M305" s="19">
        <f>Dodge_to_CBECS!I25</f>
        <v>17.058</v>
      </c>
      <c r="N305" s="19">
        <f>Dodge_to_CBECS!J25</f>
        <v>23.157471224032133</v>
      </c>
      <c r="O305" s="19">
        <f>Dodge_to_CBECS!K25</f>
        <v>17.058</v>
      </c>
      <c r="P305" s="19">
        <f>Dodge_to_CBECS!L25</f>
        <v>35.992379999999997</v>
      </c>
      <c r="Q305" s="19">
        <f>Dodge_to_CBECS!M25</f>
        <v>25.297900964581761</v>
      </c>
      <c r="T305">
        <f t="shared" si="53"/>
        <v>358.63147122403205</v>
      </c>
      <c r="U305">
        <f t="shared" si="52"/>
        <v>345.30590914611003</v>
      </c>
      <c r="AB305">
        <f t="shared" si="39"/>
        <v>1928</v>
      </c>
      <c r="AD305">
        <f t="shared" si="54"/>
        <v>673.41528472471134</v>
      </c>
      <c r="AH305">
        <f t="shared" si="40"/>
        <v>673.41528472471134</v>
      </c>
      <c r="AI305">
        <f t="shared" si="44"/>
        <v>21550.897852797374</v>
      </c>
      <c r="AL305" s="87">
        <f t="shared" si="41"/>
        <v>673.41528472471134</v>
      </c>
      <c r="AM305" s="87">
        <f t="shared" si="45"/>
        <v>21550.974699328828</v>
      </c>
      <c r="AO305" s="19">
        <f t="shared" si="46"/>
        <v>-105.96473872832746</v>
      </c>
      <c r="AP305" s="23">
        <f t="shared" si="47"/>
        <v>4.9169348582469253E-3</v>
      </c>
      <c r="AQ305" s="23"/>
      <c r="AR305" s="23"/>
      <c r="AS305" s="23"/>
      <c r="AT305" s="23"/>
      <c r="AU305" s="23"/>
      <c r="AW305" s="35"/>
      <c r="AX305">
        <v>357.95</v>
      </c>
      <c r="AZ305">
        <v>1928</v>
      </c>
      <c r="BA305">
        <v>681.1832457070667</v>
      </c>
      <c r="BB305">
        <v>17480.995866727088</v>
      </c>
      <c r="BE305">
        <v>681.1832457070667</v>
      </c>
      <c r="BF305">
        <v>17480.995866727088</v>
      </c>
      <c r="BI305">
        <v>681.1832457070667</v>
      </c>
      <c r="BJ305">
        <v>17480.995866727088</v>
      </c>
      <c r="BL305">
        <v>-108.82268315305544</v>
      </c>
      <c r="BM305">
        <v>6.2251992954352187E-3</v>
      </c>
      <c r="BT305">
        <f t="shared" si="48"/>
        <v>57</v>
      </c>
      <c r="BU305" s="36">
        <f>D339</f>
        <v>0.71388104260609375</v>
      </c>
      <c r="BV305">
        <v>0.65567976734485744</v>
      </c>
      <c r="DW305" s="57"/>
      <c r="EA305">
        <f t="shared" si="55"/>
        <v>144.06208745569134</v>
      </c>
      <c r="EB305" t="e">
        <f>SUMPRODUCT($D339:$D$397,EA$10:EA305)</f>
        <v>#VALUE!</v>
      </c>
      <c r="EO305" s="15"/>
      <c r="ES305">
        <f t="shared" si="56"/>
        <v>116.47577226829404</v>
      </c>
      <c r="ET305" t="e">
        <f>SUMPRODUCT($D339:$D$397,ES$10:ES305)</f>
        <v>#VALUE!</v>
      </c>
    </row>
    <row r="306" spans="1:150" x14ac:dyDescent="0.2">
      <c r="A306">
        <f t="shared" si="36"/>
        <v>1929</v>
      </c>
      <c r="C306">
        <f t="shared" si="57"/>
        <v>91</v>
      </c>
      <c r="D306" s="63">
        <f t="shared" si="37"/>
        <v>0.2988942287974411</v>
      </c>
      <c r="E306" s="18">
        <f t="shared" si="38"/>
        <v>3.3456651338614312</v>
      </c>
      <c r="F306">
        <f t="shared" si="58"/>
        <v>1929</v>
      </c>
      <c r="G306" s="19">
        <f>Dodge_to_CBECS!C26</f>
        <v>59.315755523737757</v>
      </c>
      <c r="H306" s="19">
        <f>Dodge_to_CBECS!D26</f>
        <v>69.635220135644317</v>
      </c>
      <c r="I306" s="19">
        <f>Dodge_to_CBECS!E26</f>
        <v>9.5748427686510933</v>
      </c>
      <c r="J306" s="19">
        <f>Dodge_to_CBECS!F26</f>
        <v>7.8339622652599852</v>
      </c>
      <c r="K306" s="19">
        <f>Dodge_to_CBECS!G26</f>
        <v>40.777381160512441</v>
      </c>
      <c r="L306" s="19">
        <f>Dodge_to_CBECS!H26</f>
        <v>53.836319999999994</v>
      </c>
      <c r="M306" s="19">
        <f>Dodge_to_CBECS!I26</f>
        <v>17.109000000000002</v>
      </c>
      <c r="N306" s="19">
        <f>Dodge_to_CBECS!J26</f>
        <v>23.447131412799724</v>
      </c>
      <c r="O306" s="19">
        <f>Dodge_to_CBECS!K26</f>
        <v>14.8278</v>
      </c>
      <c r="P306" s="19">
        <f>Dodge_to_CBECS!L26</f>
        <v>29.142330000000005</v>
      </c>
      <c r="Q306" s="19">
        <f>Dodge_to_CBECS!M26</f>
        <v>27.580788146194422</v>
      </c>
      <c r="T306">
        <f t="shared" si="53"/>
        <v>353.08053141279976</v>
      </c>
      <c r="U306">
        <f t="shared" si="52"/>
        <v>356.41109529953917</v>
      </c>
      <c r="AB306">
        <f t="shared" si="39"/>
        <v>1929</v>
      </c>
      <c r="AD306">
        <f t="shared" si="54"/>
        <v>695.07260913576863</v>
      </c>
      <c r="AH306">
        <f t="shared" si="40"/>
        <v>695.07260913576863</v>
      </c>
      <c r="AI306">
        <f t="shared" si="44"/>
        <v>22136.61508191266</v>
      </c>
      <c r="AL306" s="87">
        <f t="shared" si="41"/>
        <v>695.07260913576863</v>
      </c>
      <c r="AM306" s="87">
        <f t="shared" si="45"/>
        <v>22136.689943082256</v>
      </c>
      <c r="AO306" s="19">
        <f t="shared" si="46"/>
        <v>-109.35736538234084</v>
      </c>
      <c r="AP306" s="23">
        <f t="shared" si="47"/>
        <v>4.9400956359564119E-3</v>
      </c>
      <c r="AQ306" s="23"/>
      <c r="AR306" s="23"/>
      <c r="AS306" s="23"/>
      <c r="AT306" s="23"/>
      <c r="AU306" s="23"/>
      <c r="AW306" s="35"/>
      <c r="AX306">
        <v>342.7</v>
      </c>
      <c r="AZ306">
        <v>1929</v>
      </c>
      <c r="BA306">
        <v>652.16230843361291</v>
      </c>
      <c r="BB306">
        <v>18020.489524320099</v>
      </c>
      <c r="BE306">
        <v>652.16230843361291</v>
      </c>
      <c r="BF306">
        <v>18020.489524320099</v>
      </c>
      <c r="BI306">
        <v>652.16230843361291</v>
      </c>
      <c r="BJ306">
        <v>18020.489524320099</v>
      </c>
      <c r="BL306">
        <v>-112.66865084060146</v>
      </c>
      <c r="BM306">
        <v>6.2522525089313509E-3</v>
      </c>
      <c r="BT306">
        <f t="shared" si="48"/>
        <v>58</v>
      </c>
      <c r="BU306">
        <f>D338</f>
        <v>0.69999021211156298</v>
      </c>
      <c r="BV306">
        <v>0.64871405392201897</v>
      </c>
      <c r="DW306" s="57"/>
      <c r="EA306">
        <f t="shared" si="55"/>
        <v>146.31032376368424</v>
      </c>
      <c r="EB306" t="e">
        <f>SUMPRODUCT($D338:$D$397,EA$10:EA306)</f>
        <v>#VALUE!</v>
      </c>
      <c r="EO306" s="15"/>
      <c r="ES306">
        <f t="shared" si="56"/>
        <v>112.99371601667244</v>
      </c>
      <c r="ET306" t="e">
        <f>SUMPRODUCT($D338:$D$397,ES$10:ES306)</f>
        <v>#VALUE!</v>
      </c>
    </row>
    <row r="307" spans="1:150" x14ac:dyDescent="0.2">
      <c r="A307">
        <f t="shared" si="36"/>
        <v>1930</v>
      </c>
      <c r="C307">
        <f t="shared" si="57"/>
        <v>90</v>
      </c>
      <c r="D307" s="63">
        <f t="shared" si="37"/>
        <v>0.30805607316916789</v>
      </c>
      <c r="E307" s="18">
        <f t="shared" si="38"/>
        <v>3.2461622642669137</v>
      </c>
      <c r="F307">
        <f t="shared" si="58"/>
        <v>1930</v>
      </c>
      <c r="G307" s="19">
        <f>Dodge_to_CBECS!C27</f>
        <v>38.297619894498865</v>
      </c>
      <c r="H307" s="19">
        <f>Dodge_to_CBECS!D27</f>
        <v>42.079199397136392</v>
      </c>
      <c r="I307" s="19">
        <f>Dodge_to_CBECS!E27</f>
        <v>5.7858899171062541</v>
      </c>
      <c r="J307" s="19">
        <f>Dodge_to_CBECS!F27</f>
        <v>4.7339099321778439</v>
      </c>
      <c r="K307" s="19">
        <f>Dodge_to_CBECS!G27</f>
        <v>24.640972619944737</v>
      </c>
      <c r="L307" s="19">
        <f>Dodge_to_CBECS!H27</f>
        <v>52.166399999999996</v>
      </c>
      <c r="M307" s="19">
        <f>Dodge_to_CBECS!I27</f>
        <v>16.302</v>
      </c>
      <c r="N307" s="19">
        <f>Dodge_to_CBECS!J27</f>
        <v>16.156431011114122</v>
      </c>
      <c r="O307" s="19">
        <f>Dodge_to_CBECS!K27</f>
        <v>12.584</v>
      </c>
      <c r="P307" s="19">
        <f>Dodge_to_CBECS!L27</f>
        <v>22.365199999999998</v>
      </c>
      <c r="Q307" s="19">
        <f>Dodge_to_CBECS!M27</f>
        <v>31.866808239135892</v>
      </c>
      <c r="T307">
        <f t="shared" si="53"/>
        <v>266.97843101111408</v>
      </c>
      <c r="U307">
        <f t="shared" si="52"/>
        <v>318.63969125212549</v>
      </c>
      <c r="AB307">
        <f t="shared" si="39"/>
        <v>1930</v>
      </c>
      <c r="AD307">
        <f t="shared" si="54"/>
        <v>621.41084970066311</v>
      </c>
      <c r="AH307">
        <f t="shared" si="40"/>
        <v>621.41084970066311</v>
      </c>
      <c r="AI307">
        <f t="shared" si="44"/>
        <v>22645.198630179886</v>
      </c>
      <c r="AL307" s="87">
        <f t="shared" si="41"/>
        <v>621.41084970066311</v>
      </c>
      <c r="AM307" s="87">
        <f t="shared" si="45"/>
        <v>22645.271566956006</v>
      </c>
      <c r="AO307" s="19">
        <f t="shared" si="46"/>
        <v>-112.82922582691333</v>
      </c>
      <c r="AP307" s="23">
        <f t="shared" si="47"/>
        <v>4.9824629169629301E-3</v>
      </c>
      <c r="AQ307" s="23"/>
      <c r="AR307" s="23"/>
      <c r="AS307" s="23"/>
      <c r="AT307" s="23"/>
      <c r="AU307" s="23"/>
      <c r="AW307" s="35"/>
      <c r="AX307">
        <v>263.75</v>
      </c>
      <c r="AZ307">
        <v>1930</v>
      </c>
      <c r="BA307">
        <v>501.91948890973282</v>
      </c>
      <c r="BB307">
        <v>18405.990079528394</v>
      </c>
      <c r="BE307">
        <v>501.91948890973282</v>
      </c>
      <c r="BF307">
        <v>18405.990079528394</v>
      </c>
      <c r="BI307">
        <v>501.91948890973282</v>
      </c>
      <c r="BJ307">
        <v>18405.990079528394</v>
      </c>
      <c r="BL307">
        <v>-116.41893370143799</v>
      </c>
      <c r="BM307">
        <v>6.3250568536881947E-3</v>
      </c>
      <c r="BT307">
        <f t="shared" si="48"/>
        <v>59</v>
      </c>
      <c r="BU307">
        <f>D337</f>
        <v>0.68596472626493932</v>
      </c>
      <c r="BV307">
        <v>0.64173921291873082</v>
      </c>
      <c r="DW307" s="57"/>
      <c r="EA307">
        <f t="shared" si="55"/>
        <v>88.412462479748086</v>
      </c>
      <c r="EB307" t="e">
        <f>SUMPRODUCT($D337:$D$397,EA$10:EA307)</f>
        <v>#VALUE!</v>
      </c>
      <c r="EO307" s="15"/>
      <c r="ES307">
        <f t="shared" si="56"/>
        <v>109.48882440724294</v>
      </c>
      <c r="ET307" t="e">
        <f>SUMPRODUCT($D337:$D$397,ES$10:ES307)</f>
        <v>#VALUE!</v>
      </c>
    </row>
    <row r="308" spans="1:150" x14ac:dyDescent="0.2">
      <c r="A308">
        <f t="shared" si="36"/>
        <v>1931</v>
      </c>
      <c r="C308">
        <f t="shared" si="57"/>
        <v>89</v>
      </c>
      <c r="D308" s="63">
        <f t="shared" si="37"/>
        <v>0.31747656116694678</v>
      </c>
      <c r="E308" s="18">
        <f t="shared" si="38"/>
        <v>3.1498388300676616</v>
      </c>
      <c r="F308">
        <f t="shared" si="58"/>
        <v>1931</v>
      </c>
      <c r="G308" s="19">
        <f>Dodge_to_CBECS!C28</f>
        <v>20.526117618688772</v>
      </c>
      <c r="H308" s="19">
        <f>Dodge_to_CBECS!D28</f>
        <v>21.599300678221553</v>
      </c>
      <c r="I308" s="19">
        <f>Dodge_to_CBECS!E28</f>
        <v>2.9699038432554636</v>
      </c>
      <c r="J308" s="19">
        <f>Dodge_to_CBECS!F28</f>
        <v>2.4299213262999246</v>
      </c>
      <c r="K308" s="19">
        <f>Dodge_to_CBECS!G28</f>
        <v>12.648239135895503</v>
      </c>
      <c r="L308" s="19">
        <f>Dodge_to_CBECS!H28</f>
        <v>33.720319999999994</v>
      </c>
      <c r="M308" s="19">
        <f>Dodge_to_CBECS!I28</f>
        <v>14.524799999999999</v>
      </c>
      <c r="N308" s="19">
        <f>Dodge_to_CBECS!J28</f>
        <v>10.345435974272405</v>
      </c>
      <c r="O308" s="19">
        <f>Dodge_to_CBECS!K28</f>
        <v>6.8352000000000004</v>
      </c>
      <c r="P308" s="19">
        <f>Dodge_to_CBECS!L28</f>
        <v>18.39808</v>
      </c>
      <c r="Q308" s="19">
        <f>Dodge_to_CBECS!M28</f>
        <v>33.525717397638786</v>
      </c>
      <c r="T308">
        <f t="shared" si="53"/>
        <v>177.52303597427237</v>
      </c>
      <c r="U308">
        <f t="shared" si="52"/>
        <v>231.19627299637739</v>
      </c>
      <c r="AB308">
        <f t="shared" si="39"/>
        <v>1931</v>
      </c>
      <c r="AD308">
        <f t="shared" si="54"/>
        <v>450.8787712094138</v>
      </c>
      <c r="AH308">
        <f t="shared" si="40"/>
        <v>450.8787712094138</v>
      </c>
      <c r="AI308">
        <f t="shared" si="44"/>
        <v>22979.696621713323</v>
      </c>
      <c r="AL308" s="87">
        <f t="shared" si="41"/>
        <v>450.8787712094138</v>
      </c>
      <c r="AM308" s="87">
        <f t="shared" si="45"/>
        <v>22979.767692977683</v>
      </c>
      <c r="AO308" s="19">
        <f t="shared" si="46"/>
        <v>-116.3826451877369</v>
      </c>
      <c r="AP308" s="23">
        <f t="shared" si="47"/>
        <v>5.0645701358983672E-3</v>
      </c>
      <c r="AQ308" s="23"/>
      <c r="AR308" s="23"/>
      <c r="AS308" s="23"/>
      <c r="AT308" s="23"/>
      <c r="AU308" s="23"/>
      <c r="AW308" s="35"/>
      <c r="AX308">
        <v>184.55</v>
      </c>
      <c r="AZ308">
        <v>1931</v>
      </c>
      <c r="BA308">
        <v>351.20091631579589</v>
      </c>
      <c r="BB308">
        <v>18637.634678125665</v>
      </c>
      <c r="BE308">
        <v>351.20091631579589</v>
      </c>
      <c r="BF308">
        <v>18637.634678125665</v>
      </c>
      <c r="BI308">
        <v>351.20091631579589</v>
      </c>
      <c r="BJ308">
        <v>18637.634678125665</v>
      </c>
      <c r="BL308">
        <v>-119.5563177185245</v>
      </c>
      <c r="BM308">
        <v>6.4147795459712238E-3</v>
      </c>
      <c r="BT308">
        <f t="shared" si="48"/>
        <v>60</v>
      </c>
      <c r="BU308">
        <f>D336</f>
        <v>0.67183149304680811</v>
      </c>
      <c r="BV308">
        <v>0.63475704245684916</v>
      </c>
      <c r="CH308" t="s">
        <v>243</v>
      </c>
      <c r="DW308" s="57"/>
      <c r="EA308">
        <f t="shared" si="55"/>
        <v>45.382217061192883</v>
      </c>
      <c r="EB308" t="e">
        <f>SUMPRODUCT($D336:$D$397,EA$10:EA308)</f>
        <v>#VALUE!</v>
      </c>
      <c r="EO308" s="15"/>
      <c r="ES308">
        <f t="shared" si="56"/>
        <v>70.773490128435967</v>
      </c>
      <c r="ET308" t="e">
        <f>SUMPRODUCT($D336:$D$397,ES$10:ES308)</f>
        <v>#VALUE!</v>
      </c>
    </row>
    <row r="309" spans="1:150" x14ac:dyDescent="0.2">
      <c r="A309">
        <f t="shared" si="36"/>
        <v>1932</v>
      </c>
      <c r="C309">
        <f t="shared" si="57"/>
        <v>88</v>
      </c>
      <c r="D309" s="63">
        <f t="shared" si="37"/>
        <v>0.32715798050899209</v>
      </c>
      <c r="E309" s="18">
        <f t="shared" si="38"/>
        <v>3.056627255261207</v>
      </c>
      <c r="F309">
        <f t="shared" si="58"/>
        <v>1932</v>
      </c>
      <c r="G309" s="19">
        <f>Dodge_to_CBECS!C29</f>
        <v>9.384488560663149</v>
      </c>
      <c r="H309" s="19">
        <f>Dodge_to_CBECS!D29</f>
        <v>10.323980346646572</v>
      </c>
      <c r="I309" s="19">
        <f>Dodge_to_CBECS!E29</f>
        <v>1.4195472976639034</v>
      </c>
      <c r="J309" s="19">
        <f>Dodge_to_CBECS!F29</f>
        <v>1.161447788997739</v>
      </c>
      <c r="K309" s="19">
        <f>Dodge_to_CBECS!G29</f>
        <v>6.0455740768651083</v>
      </c>
      <c r="L309" s="19">
        <f>Dodge_to_CBECS!H29</f>
        <v>12.705279999999998</v>
      </c>
      <c r="M309" s="19">
        <f>Dodge_to_CBECS!I29</f>
        <v>5.9555999999999996</v>
      </c>
      <c r="N309" s="19">
        <f>Dodge_to_CBECS!J29</f>
        <v>4.6159099139949227</v>
      </c>
      <c r="O309" s="19">
        <f>Dodge_to_CBECS!K29</f>
        <v>4.5375999999999994</v>
      </c>
      <c r="P309" s="19">
        <f>Dodge_to_CBECS!L29</f>
        <v>7.713919999999999</v>
      </c>
      <c r="Q309" s="19">
        <f>Dodge_to_CBECS!M29</f>
        <v>20.444161929163524</v>
      </c>
      <c r="T309">
        <f t="shared" si="53"/>
        <v>84.30750991399492</v>
      </c>
      <c r="U309">
        <f t="shared" si="52"/>
        <v>140.23682555016137</v>
      </c>
      <c r="AB309">
        <f t="shared" si="39"/>
        <v>1932</v>
      </c>
      <c r="AD309">
        <f t="shared" si="54"/>
        <v>273.48973563841326</v>
      </c>
      <c r="AH309">
        <f t="shared" si="40"/>
        <v>273.48973563841326</v>
      </c>
      <c r="AI309">
        <f t="shared" si="44"/>
        <v>23133.168254927223</v>
      </c>
      <c r="AL309" s="87">
        <f t="shared" si="41"/>
        <v>273.48973563841326</v>
      </c>
      <c r="AM309" s="87">
        <f t="shared" si="45"/>
        <v>23133.237517549074</v>
      </c>
      <c r="AO309" s="19">
        <f t="shared" si="46"/>
        <v>-120.01991106702161</v>
      </c>
      <c r="AP309" s="23">
        <f t="shared" si="47"/>
        <v>5.1882020826515734E-3</v>
      </c>
      <c r="AQ309" s="23"/>
      <c r="AR309" s="23"/>
      <c r="AS309" s="23"/>
      <c r="AT309" s="23"/>
      <c r="AU309" s="23"/>
      <c r="AW309" s="35"/>
      <c r="AX309">
        <v>87.25</v>
      </c>
      <c r="AZ309">
        <v>1932</v>
      </c>
      <c r="BA309">
        <v>166.03782144975995</v>
      </c>
      <c r="BB309">
        <v>18681.603400220192</v>
      </c>
      <c r="BE309">
        <v>166.03782144975995</v>
      </c>
      <c r="BF309">
        <v>18681.603400220192</v>
      </c>
      <c r="BI309">
        <v>166.03782144975995</v>
      </c>
      <c r="BJ309">
        <v>18681.603400220192</v>
      </c>
      <c r="BL309">
        <v>-122.06909935523291</v>
      </c>
      <c r="BM309">
        <v>6.5341874966574941E-3</v>
      </c>
      <c r="BT309">
        <f t="shared" si="48"/>
        <v>61</v>
      </c>
      <c r="BU309">
        <f>D335</f>
        <v>0.65761732595574707</v>
      </c>
      <c r="BV309">
        <v>0.62776934825213482</v>
      </c>
      <c r="CH309" t="s">
        <v>370</v>
      </c>
      <c r="DW309" s="57"/>
      <c r="EA309">
        <f t="shared" si="55"/>
        <v>21.6916799301477</v>
      </c>
      <c r="EB309" t="e">
        <f>SUMPRODUCT($D335:$D$397,EA$10:EA309)</f>
        <v>#VALUE!</v>
      </c>
      <c r="EO309" s="15"/>
      <c r="ES309">
        <f t="shared" si="56"/>
        <v>26.666324894277839</v>
      </c>
      <c r="ET309" t="e">
        <f>SUMPRODUCT($D335:$D$397,ES$10:ES309)</f>
        <v>#VALUE!</v>
      </c>
    </row>
    <row r="310" spans="1:150" x14ac:dyDescent="0.2">
      <c r="A310">
        <f t="shared" si="36"/>
        <v>1933</v>
      </c>
      <c r="C310">
        <f t="shared" si="57"/>
        <v>87</v>
      </c>
      <c r="D310" s="63">
        <f t="shared" si="37"/>
        <v>0.33710206010490684</v>
      </c>
      <c r="E310" s="18">
        <f t="shared" si="38"/>
        <v>2.9664606608716602</v>
      </c>
      <c r="F310">
        <f t="shared" si="58"/>
        <v>1933</v>
      </c>
      <c r="G310" s="19">
        <f>Dodge_to_CBECS!C30</f>
        <v>8.1176273700075345</v>
      </c>
      <c r="H310" s="19">
        <f>Dodge_to_CBECS!D30</f>
        <v>9.8519506857573482</v>
      </c>
      <c r="I310" s="19">
        <f>Dodge_to_CBECS!E30</f>
        <v>1.3546432192916353</v>
      </c>
      <c r="J310" s="19">
        <f>Dodge_to_CBECS!F30</f>
        <v>1.1083444521477015</v>
      </c>
      <c r="K310" s="19">
        <f>Dodge_to_CBECS!G30</f>
        <v>5.7691603114795278</v>
      </c>
      <c r="L310" s="19">
        <f>Dodge_to_CBECS!H30</f>
        <v>5.4220799999999993</v>
      </c>
      <c r="M310" s="19">
        <f>Dodge_to_CBECS!I30</f>
        <v>5.0831999999999997</v>
      </c>
      <c r="N310" s="19">
        <f>Dodge_to_CBECS!J30</f>
        <v>4.2048294536582951</v>
      </c>
      <c r="O310" s="19">
        <f>Dodge_to_CBECS!K30</f>
        <v>3.3887999999999998</v>
      </c>
      <c r="P310" s="19">
        <f>Dodge_to_CBECS!L30</f>
        <v>7.3423999999999996</v>
      </c>
      <c r="Q310" s="19">
        <f>Dodge_to_CBECS!M30</f>
        <v>14.124993961316251</v>
      </c>
      <c r="T310">
        <f t="shared" si="53"/>
        <v>65.768029453658286</v>
      </c>
      <c r="U310">
        <f t="shared" si="52"/>
        <v>76.891717729860261</v>
      </c>
      <c r="AB310">
        <f t="shared" si="39"/>
        <v>1933</v>
      </c>
      <c r="AD310">
        <f t="shared" si="54"/>
        <v>149.95416127129226</v>
      </c>
      <c r="AH310">
        <f t="shared" si="40"/>
        <v>149.95416127129226</v>
      </c>
      <c r="AI310">
        <f t="shared" si="44"/>
        <v>23159.381050575015</v>
      </c>
      <c r="AL310" s="87">
        <f t="shared" si="41"/>
        <v>149.95416127129226</v>
      </c>
      <c r="AM310" s="87">
        <f t="shared" si="45"/>
        <v>23159.448559482917</v>
      </c>
      <c r="AO310" s="19">
        <f t="shared" si="46"/>
        <v>-123.74311933744991</v>
      </c>
      <c r="AP310" s="23">
        <f t="shared" si="47"/>
        <v>5.3430943754825197E-3</v>
      </c>
      <c r="AQ310" s="23"/>
      <c r="AR310" s="23"/>
      <c r="AS310" s="23"/>
      <c r="AT310" s="23"/>
      <c r="AU310" s="23"/>
      <c r="AW310" s="35"/>
      <c r="AX310">
        <v>69</v>
      </c>
      <c r="AZ310">
        <v>1933</v>
      </c>
      <c r="BA310">
        <v>131.30784733562678</v>
      </c>
      <c r="BB310">
        <v>18689.110032971712</v>
      </c>
      <c r="BE310">
        <v>131.30784733562678</v>
      </c>
      <c r="BF310">
        <v>18689.110032971712</v>
      </c>
      <c r="BI310">
        <v>131.30784733562678</v>
      </c>
      <c r="BJ310">
        <v>18689.110032971712</v>
      </c>
      <c r="BL310">
        <v>-123.80121458410713</v>
      </c>
      <c r="BM310">
        <v>6.6242434426087961E-3</v>
      </c>
      <c r="BT310">
        <f t="shared" si="48"/>
        <v>62</v>
      </c>
      <c r="BU310">
        <f>D334</f>
        <v>0.64334875932177582</v>
      </c>
      <c r="BV310">
        <v>0.62077794175130063</v>
      </c>
      <c r="CH310">
        <f>CI360</f>
        <v>12.613087427257739</v>
      </c>
      <c r="CI310">
        <v>1983</v>
      </c>
      <c r="CK310">
        <f t="array" ref="CK310:CL314">LINEST(CH310:CH316,CI310:CI316,TRUE,TRUE)</f>
        <v>0.10283439270412005</v>
      </c>
      <c r="CL310">
        <v>-191.82951741296213</v>
      </c>
      <c r="DW310" s="57"/>
      <c r="EA310">
        <f t="shared" si="55"/>
        <v>20.6999000179677</v>
      </c>
      <c r="EB310" t="e">
        <f>SUMPRODUCT($D334:$D$397,EA$10:EA310)</f>
        <v>#VALUE!</v>
      </c>
      <c r="EO310" s="15"/>
      <c r="ES310">
        <f t="shared" si="56"/>
        <v>11.38006772639139</v>
      </c>
      <c r="ET310" t="e">
        <f>SUMPRODUCT($D334:$D$397,ES$10:ES310)</f>
        <v>#VALUE!</v>
      </c>
    </row>
    <row r="311" spans="1:150" x14ac:dyDescent="0.2">
      <c r="A311">
        <f t="shared" ref="A311:A342" si="59">F311</f>
        <v>1934</v>
      </c>
      <c r="C311">
        <f t="shared" si="57"/>
        <v>86</v>
      </c>
      <c r="D311" s="63">
        <f t="shared" ref="D311:D342" si="60">PRODUCT(1/(1+(C311/$C$4)^$C$3))</f>
        <v>0.34730991006859391</v>
      </c>
      <c r="E311" s="18">
        <f t="shared" ref="E311:E342" si="61">1/D311</f>
        <v>2.879272865558312</v>
      </c>
      <c r="F311">
        <f t="shared" si="58"/>
        <v>1934</v>
      </c>
      <c r="G311" s="19">
        <f>Dodge_to_CBECS!C31</f>
        <v>10.930903029389599</v>
      </c>
      <c r="H311" s="19">
        <f>Dodge_to_CBECS!D31</f>
        <v>11.942714453654862</v>
      </c>
      <c r="I311" s="19">
        <f>Dodge_to_CBECS!E31</f>
        <v>1.6421232373775434</v>
      </c>
      <c r="J311" s="19">
        <f>Dodge_to_CBECS!F31</f>
        <v>1.3435553760361718</v>
      </c>
      <c r="K311" s="19">
        <f>Dodge_to_CBECS!G31</f>
        <v>6.9934814368249185</v>
      </c>
      <c r="L311" s="19">
        <f>Dodge_to_CBECS!H31</f>
        <v>15.297279999999999</v>
      </c>
      <c r="M311" s="19">
        <f>Dodge_to_CBECS!I31</f>
        <v>3.3744000000000001</v>
      </c>
      <c r="N311" s="19">
        <f>Dodge_to_CBECS!J31</f>
        <v>4.1679884077971359</v>
      </c>
      <c r="O311" s="19">
        <f>Dodge_to_CBECS!K31</f>
        <v>3.3744000000000001</v>
      </c>
      <c r="P311" s="19">
        <f>Dodge_to_CBECS!L31</f>
        <v>8.9421599999999994</v>
      </c>
      <c r="Q311" s="19">
        <f>Dodge_to_CBECS!M31</f>
        <v>12.645382466716907</v>
      </c>
      <c r="T311">
        <f t="shared" ref="T311:T342" si="62">SUM(G311:Q311)</f>
        <v>80.654388407797143</v>
      </c>
      <c r="U311">
        <f t="shared" si="52"/>
        <v>71.722573035313829</v>
      </c>
      <c r="AB311">
        <f t="shared" ref="AB311:AB342" si="63">F311</f>
        <v>1934</v>
      </c>
      <c r="AD311">
        <f t="shared" si="54"/>
        <v>139.87329976831609</v>
      </c>
      <c r="AH311">
        <f t="shared" ref="AH311:AH342" si="64">AD311</f>
        <v>139.87329976831609</v>
      </c>
      <c r="AI311">
        <f t="shared" si="44"/>
        <v>23171.702070107785</v>
      </c>
      <c r="AL311" s="87">
        <f t="shared" ref="AL311:AL342" si="65">AD311</f>
        <v>139.87329976831609</v>
      </c>
      <c r="AM311" s="87">
        <f t="shared" si="45"/>
        <v>23171.767878358994</v>
      </c>
      <c r="AO311" s="19">
        <f t="shared" si="46"/>
        <v>-127.5539808922382</v>
      </c>
      <c r="AP311" s="23">
        <f t="shared" si="47"/>
        <v>5.50471511547316E-3</v>
      </c>
      <c r="AQ311" s="23"/>
      <c r="AR311" s="23"/>
      <c r="AS311" s="23"/>
      <c r="AT311" s="23"/>
      <c r="AU311" s="23"/>
      <c r="AW311" s="35"/>
      <c r="AX311">
        <v>84.35</v>
      </c>
      <c r="AZ311">
        <v>1934</v>
      </c>
      <c r="BA311">
        <v>160.51908583710318</v>
      </c>
      <c r="BB311">
        <v>18724.249335524328</v>
      </c>
      <c r="BE311">
        <v>160.51908583710318</v>
      </c>
      <c r="BF311">
        <v>18724.249335524328</v>
      </c>
      <c r="BI311">
        <v>160.51908583710318</v>
      </c>
      <c r="BJ311">
        <v>18724.249335524328</v>
      </c>
      <c r="BL311">
        <v>-125.37978328448733</v>
      </c>
      <c r="BM311">
        <v>6.6961180145477042E-3</v>
      </c>
      <c r="BT311">
        <f t="shared" si="48"/>
        <v>63</v>
      </c>
      <c r="BU311">
        <f>D333</f>
        <v>0.62905187410464158</v>
      </c>
      <c r="BV311">
        <v>0.61378463825643337</v>
      </c>
      <c r="CH311">
        <f t="shared" ref="CH311:CI316" si="66">CH326</f>
        <v>12.395925057992182</v>
      </c>
      <c r="CI311">
        <f t="shared" si="66"/>
        <v>1986</v>
      </c>
      <c r="CK311">
        <v>4.5898651891637852E-2</v>
      </c>
      <c r="CL311">
        <v>91.450285169372208</v>
      </c>
      <c r="DW311" s="57"/>
      <c r="EA311">
        <f t="shared" si="55"/>
        <v>25.092796646980918</v>
      </c>
      <c r="EB311" t="e">
        <f>SUMPRODUCT($D333:$D$397,EA$10:EA311)</f>
        <v>#VALUE!</v>
      </c>
      <c r="EO311" s="15"/>
      <c r="ES311">
        <f t="shared" si="56"/>
        <v>32.106513077928113</v>
      </c>
      <c r="ET311" t="e">
        <f>SUMPRODUCT($D333:$D$397,ES$10:ES311)</f>
        <v>#VALUE!</v>
      </c>
    </row>
    <row r="312" spans="1:150" x14ac:dyDescent="0.2">
      <c r="A312">
        <f t="shared" si="59"/>
        <v>1935</v>
      </c>
      <c r="C312">
        <f t="shared" si="57"/>
        <v>85</v>
      </c>
      <c r="D312" s="63">
        <f t="shared" si="60"/>
        <v>0.35778195970560622</v>
      </c>
      <c r="E312" s="18">
        <f t="shared" si="61"/>
        <v>2.7949983862317431</v>
      </c>
      <c r="F312">
        <f t="shared" si="58"/>
        <v>1935</v>
      </c>
      <c r="G312" s="19">
        <f>Dodge_to_CBECS!C32</f>
        <v>14.137320271288623</v>
      </c>
      <c r="H312" s="19">
        <f>Dodge_to_CBECS!D32</f>
        <v>14.864687264506408</v>
      </c>
      <c r="I312" s="19">
        <f>Dodge_to_CBECS!E32</f>
        <v>2.0438944988696308</v>
      </c>
      <c r="J312" s="19">
        <f>Dodge_to_CBECS!F32</f>
        <v>1.6722773172569707</v>
      </c>
      <c r="K312" s="19">
        <f>Dodge_to_CBECS!G32</f>
        <v>8.7045465963325803</v>
      </c>
      <c r="L312" s="19">
        <f>Dodge_to_CBECS!H32</f>
        <v>23.296000000000003</v>
      </c>
      <c r="M312" s="19">
        <f>Dodge_to_CBECS!I32</f>
        <v>5.0400000000000009</v>
      </c>
      <c r="N312" s="19">
        <f>Dodge_to_CBECS!J32</f>
        <v>5.4677522856649992</v>
      </c>
      <c r="O312" s="19">
        <f>Dodge_to_CBECS!K32</f>
        <v>4.4800000000000004</v>
      </c>
      <c r="P312" s="19">
        <f>Dodge_to_CBECS!L32</f>
        <v>10.528000000000002</v>
      </c>
      <c r="Q312" s="19">
        <f>Dodge_to_CBECS!M32</f>
        <v>18.833274051745793</v>
      </c>
      <c r="T312">
        <f t="shared" si="62"/>
        <v>109.06775228566502</v>
      </c>
      <c r="U312">
        <f t="shared" si="52"/>
        <v>92.0197339589443</v>
      </c>
      <c r="AB312">
        <f t="shared" si="63"/>
        <v>1935</v>
      </c>
      <c r="AD312">
        <f t="shared" si="54"/>
        <v>179.45680540912556</v>
      </c>
      <c r="AH312">
        <f t="shared" si="64"/>
        <v>179.45680540912556</v>
      </c>
      <c r="AI312">
        <f t="shared" ref="AI312:AI343" si="67">SUMPRODUCT($D$247:$D$397,AH162:AH312)</f>
        <v>23219.706862191018</v>
      </c>
      <c r="AL312" s="87">
        <f t="shared" si="65"/>
        <v>179.45680540912556</v>
      </c>
      <c r="AM312" s="87">
        <f t="shared" ref="AM312:AM343" si="68">SUMPRODUCT($D$247:$D$397,AL162:AL312)</f>
        <v>23219.771021038563</v>
      </c>
      <c r="AO312" s="19">
        <f t="shared" ref="AO312:AO343" si="69">AM312-AM311-AL312</f>
        <v>-131.45366272955701</v>
      </c>
      <c r="AP312" s="23">
        <f t="shared" ref="AP312:AP343" si="70">(-AO312/AM312)</f>
        <v>5.6612816125728273E-3</v>
      </c>
      <c r="AQ312" s="23"/>
      <c r="AR312" s="23"/>
      <c r="AS312" s="23"/>
      <c r="AT312" s="23"/>
      <c r="AU312" s="23"/>
      <c r="AW312" s="35"/>
      <c r="AX312">
        <v>131.6</v>
      </c>
      <c r="AZ312">
        <v>1935</v>
      </c>
      <c r="BA312">
        <v>250.43641607780404</v>
      </c>
      <c r="BB312">
        <v>18847.61211700183</v>
      </c>
      <c r="BE312">
        <v>250.43641607780404</v>
      </c>
      <c r="BF312">
        <v>18847.61211700183</v>
      </c>
      <c r="BI312">
        <v>250.43641607780404</v>
      </c>
      <c r="BJ312">
        <v>18847.61211700183</v>
      </c>
      <c r="BL312">
        <v>-127.07363460030132</v>
      </c>
      <c r="BM312">
        <v>6.7421609597786789E-3</v>
      </c>
      <c r="BT312">
        <f t="shared" ref="BT312:BT327" si="71">BT311+1</f>
        <v>64</v>
      </c>
      <c r="BU312">
        <f>D332</f>
        <v>0.61475213612949209</v>
      </c>
      <c r="BV312">
        <v>0.60679125504091158</v>
      </c>
      <c r="CH312">
        <f t="shared" si="66"/>
        <v>13.201432880573222</v>
      </c>
      <c r="CI312">
        <f t="shared" si="66"/>
        <v>1989</v>
      </c>
      <c r="CK312">
        <v>0.50098257580889338</v>
      </c>
      <c r="CL312">
        <v>0.799894185668927</v>
      </c>
      <c r="DW312" s="57"/>
      <c r="EA312">
        <f t="shared" si="55"/>
        <v>31.232143764023196</v>
      </c>
      <c r="EB312" t="e">
        <f>SUMPRODUCT($D332:$D$397,EA$10:EA312)</f>
        <v>#VALUE!</v>
      </c>
      <c r="EO312" s="15"/>
      <c r="ES312">
        <f t="shared" si="56"/>
        <v>48.894530835770382</v>
      </c>
      <c r="ET312" t="e">
        <f>SUMPRODUCT($D332:$D$397,ES$10:ES312)</f>
        <v>#VALUE!</v>
      </c>
    </row>
    <row r="313" spans="1:150" x14ac:dyDescent="0.2">
      <c r="A313">
        <f t="shared" si="59"/>
        <v>1936</v>
      </c>
      <c r="C313">
        <f t="shared" si="57"/>
        <v>84</v>
      </c>
      <c r="D313" s="63">
        <f t="shared" si="60"/>
        <v>0.36851789388284145</v>
      </c>
      <c r="E313" s="18">
        <f t="shared" si="61"/>
        <v>2.7135724386776134</v>
      </c>
      <c r="F313">
        <f t="shared" si="58"/>
        <v>1936</v>
      </c>
      <c r="G313" s="19">
        <f>Dodge_to_CBECS!C33</f>
        <v>23.239715267520726</v>
      </c>
      <c r="H313" s="19">
        <f>Dodge_to_CBECS!D33</f>
        <v>24.476224385832708</v>
      </c>
      <c r="I313" s="19">
        <f>Dodge_to_CBECS!E33</f>
        <v>3.3654808530519973</v>
      </c>
      <c r="J313" s="19">
        <f>Dodge_to_CBECS!F33</f>
        <v>2.7535752434061798</v>
      </c>
      <c r="K313" s="19">
        <f>Dodge_to_CBECS!G33</f>
        <v>14.332924189902036</v>
      </c>
      <c r="L313" s="19">
        <f>Dodge_to_CBECS!H33</f>
        <v>38.048639999999999</v>
      </c>
      <c r="M313" s="19">
        <f>Dodge_to_CBECS!I33</f>
        <v>8.4930000000000021</v>
      </c>
      <c r="N313" s="19">
        <f>Dodge_to_CBECS!J33</f>
        <v>9.0679206436826938</v>
      </c>
      <c r="O313" s="19">
        <f>Dodge_to_CBECS!K33</f>
        <v>4.5296000000000003</v>
      </c>
      <c r="P313" s="19">
        <f>Dodge_to_CBECS!L33</f>
        <v>17.212479999999999</v>
      </c>
      <c r="Q313" s="19">
        <f>Dodge_to_CBECS!M33</f>
        <v>20.385760060286358</v>
      </c>
      <c r="T313">
        <f t="shared" si="62"/>
        <v>165.90532064368267</v>
      </c>
      <c r="U313">
        <f t="shared" si="52"/>
        <v>131.80277962887209</v>
      </c>
      <c r="AB313">
        <f t="shared" si="63"/>
        <v>1936</v>
      </c>
      <c r="AD313">
        <f t="shared" si="54"/>
        <v>257.0416665928787</v>
      </c>
      <c r="AH313">
        <f t="shared" si="64"/>
        <v>257.0416665928787</v>
      </c>
      <c r="AI313">
        <f t="shared" si="67"/>
        <v>23341.307413260216</v>
      </c>
      <c r="AL313" s="87">
        <f t="shared" si="65"/>
        <v>257.0416665928787</v>
      </c>
      <c r="AM313" s="87">
        <f t="shared" si="68"/>
        <v>23341.369972217679</v>
      </c>
      <c r="AO313" s="19">
        <f t="shared" si="69"/>
        <v>-135.44271541376287</v>
      </c>
      <c r="AP313" s="23">
        <f t="shared" si="70"/>
        <v>5.8026891984050231E-3</v>
      </c>
      <c r="AQ313" s="23"/>
      <c r="AR313" s="23"/>
      <c r="AS313" s="23"/>
      <c r="AT313" s="23"/>
      <c r="AU313" s="23"/>
      <c r="AW313" s="35"/>
      <c r="AX313">
        <v>173.15</v>
      </c>
      <c r="AZ313">
        <v>1936</v>
      </c>
      <c r="BA313">
        <v>329.50657632121414</v>
      </c>
      <c r="BB313">
        <v>19047.976958083324</v>
      </c>
      <c r="BE313">
        <v>329.50657632121414</v>
      </c>
      <c r="BF313">
        <v>19047.976958083324</v>
      </c>
      <c r="BI313">
        <v>329.50657632121414</v>
      </c>
      <c r="BJ313">
        <v>19047.976958083324</v>
      </c>
      <c r="BL313">
        <v>-129.14173523972107</v>
      </c>
      <c r="BM313">
        <v>6.7798137053561294E-3</v>
      </c>
      <c r="BT313">
        <f t="shared" si="71"/>
        <v>65</v>
      </c>
      <c r="BU313">
        <f>D331</f>
        <v>0.60047424836370045</v>
      </c>
      <c r="BV313">
        <v>0.59979960946097555</v>
      </c>
      <c r="CH313">
        <f t="shared" si="66"/>
        <v>11.494237681803023</v>
      </c>
      <c r="CI313">
        <f t="shared" si="66"/>
        <v>1992</v>
      </c>
      <c r="CK313">
        <v>5.0196902104267425</v>
      </c>
      <c r="CL313">
        <v>5</v>
      </c>
      <c r="DW313" s="57"/>
      <c r="EA313">
        <f t="shared" si="55"/>
        <v>51.426911660909497</v>
      </c>
      <c r="EB313" t="e">
        <f>SUMPRODUCT($D331:$D$397,EA$10:EA313)</f>
        <v>#VALUE!</v>
      </c>
      <c r="EO313" s="15"/>
      <c r="ES313">
        <f t="shared" si="56"/>
        <v>79.857932766961113</v>
      </c>
      <c r="ET313" t="e">
        <f>SUMPRODUCT($D331:$D$397,ES$10:ES313)</f>
        <v>#VALUE!</v>
      </c>
    </row>
    <row r="314" spans="1:150" x14ac:dyDescent="0.2">
      <c r="A314">
        <f t="shared" si="59"/>
        <v>1937</v>
      </c>
      <c r="C314">
        <f t="shared" si="57"/>
        <v>83</v>
      </c>
      <c r="D314" s="63">
        <f t="shared" si="60"/>
        <v>0.37951658827444251</v>
      </c>
      <c r="E314" s="18">
        <f t="shared" si="61"/>
        <v>2.634930938188301</v>
      </c>
      <c r="F314">
        <f t="shared" si="58"/>
        <v>1937</v>
      </c>
      <c r="G314" s="19">
        <f>Dodge_to_CBECS!C34</f>
        <v>24.446440512434059</v>
      </c>
      <c r="H314" s="19">
        <f>Dodge_to_CBECS!D34</f>
        <v>26.91479149962321</v>
      </c>
      <c r="I314" s="19">
        <f>Dodge_to_CBECS!E34</f>
        <v>3.7007838311981911</v>
      </c>
      <c r="J314" s="19">
        <f>Dodge_to_CBECS!F34</f>
        <v>3.0279140437076109</v>
      </c>
      <c r="K314" s="19">
        <f>Dodge_to_CBECS!G34</f>
        <v>15.760913941220798</v>
      </c>
      <c r="L314" s="19">
        <f>Dodge_to_CBECS!H34</f>
        <v>32.970239999999997</v>
      </c>
      <c r="M314" s="19">
        <f>Dodge_to_CBECS!I34</f>
        <v>9.4446000000000012</v>
      </c>
      <c r="N314" s="19">
        <f>Dodge_to_CBECS!J34</f>
        <v>10.006505271199387</v>
      </c>
      <c r="O314" s="19">
        <f>Dodge_to_CBECS!K34</f>
        <v>6.8688000000000002</v>
      </c>
      <c r="P314" s="19">
        <f>Dodge_to_CBECS!L34</f>
        <v>18.20232</v>
      </c>
      <c r="Q314" s="19">
        <f>Dodge_to_CBECS!M34</f>
        <v>18.076596171816124</v>
      </c>
      <c r="T314">
        <f t="shared" si="62"/>
        <v>169.41990527119938</v>
      </c>
      <c r="U314">
        <f t="shared" si="52"/>
        <v>167.31115449468933</v>
      </c>
      <c r="AB314">
        <f t="shared" si="63"/>
        <v>1937</v>
      </c>
      <c r="AD314">
        <f t="shared" si="54"/>
        <v>326.2900684795033</v>
      </c>
      <c r="AH314">
        <f t="shared" si="64"/>
        <v>326.2900684795033</v>
      </c>
      <c r="AI314">
        <f t="shared" si="67"/>
        <v>23528.0779562686</v>
      </c>
      <c r="AL314" s="87">
        <f t="shared" si="65"/>
        <v>326.2900684795033</v>
      </c>
      <c r="AM314" s="87">
        <f t="shared" si="68"/>
        <v>23528.138963172663</v>
      </c>
      <c r="AO314" s="19">
        <f t="shared" si="69"/>
        <v>-139.52107752451883</v>
      </c>
      <c r="AP314" s="23">
        <f t="shared" si="70"/>
        <v>5.9299665707901383E-3</v>
      </c>
      <c r="AQ314" s="23"/>
      <c r="AR314" s="23"/>
      <c r="AS314" s="23"/>
      <c r="AT314" s="23"/>
      <c r="AU314" s="23"/>
      <c r="AW314" s="35"/>
      <c r="AX314">
        <v>173.55</v>
      </c>
      <c r="AZ314">
        <v>1937</v>
      </c>
      <c r="BA314">
        <v>330.26778123330479</v>
      </c>
      <c r="BB314">
        <v>19246.701932265492</v>
      </c>
      <c r="BE314">
        <v>330.26778123330479</v>
      </c>
      <c r="BF314">
        <v>19246.701932265492</v>
      </c>
      <c r="BI314">
        <v>330.26778123330479</v>
      </c>
      <c r="BJ314">
        <v>19246.701932265492</v>
      </c>
      <c r="BL314">
        <v>-131.54280705113598</v>
      </c>
      <c r="BM314">
        <v>6.8345635275109352E-3</v>
      </c>
      <c r="BT314">
        <f t="shared" si="71"/>
        <v>66</v>
      </c>
      <c r="BU314">
        <f>D330</f>
        <v>0.5862420184756324</v>
      </c>
      <c r="BV314">
        <v>0.59281151706711099</v>
      </c>
      <c r="CH314">
        <f t="shared" si="66"/>
        <v>13.281063740703914</v>
      </c>
      <c r="CI314">
        <f t="shared" si="66"/>
        <v>1995</v>
      </c>
      <c r="CK314">
        <v>3.2117519426180472</v>
      </c>
      <c r="CL314">
        <v>3.1991535413347796</v>
      </c>
      <c r="DW314" s="57"/>
      <c r="EA314">
        <f t="shared" si="55"/>
        <v>56.55057671493195</v>
      </c>
      <c r="EB314" t="e">
        <f>SUMPRODUCT($D330:$D$397,EA$10:EA314)</f>
        <v>#VALUE!</v>
      </c>
      <c r="EO314" s="15"/>
      <c r="ES314">
        <f t="shared" si="56"/>
        <v>69.1991936960315</v>
      </c>
      <c r="ET314" t="e">
        <f>SUMPRODUCT($D330:$D$397,ES$10:ES314)</f>
        <v>#VALUE!</v>
      </c>
    </row>
    <row r="315" spans="1:150" x14ac:dyDescent="0.2">
      <c r="A315">
        <f t="shared" si="59"/>
        <v>1938</v>
      </c>
      <c r="C315">
        <f t="shared" si="57"/>
        <v>82</v>
      </c>
      <c r="D315" s="63">
        <f t="shared" si="60"/>
        <v>0.3907760440689183</v>
      </c>
      <c r="E315" s="18">
        <f t="shared" si="61"/>
        <v>2.5590105002026107</v>
      </c>
      <c r="F315">
        <f t="shared" si="58"/>
        <v>1938</v>
      </c>
      <c r="G315" s="19">
        <f>Dodge_to_CBECS!C35</f>
        <v>20.513833519216277</v>
      </c>
      <c r="H315" s="19">
        <f>Dodge_to_CBECS!D35</f>
        <v>18.430088681235873</v>
      </c>
      <c r="I315" s="19">
        <f>Dodge_to_CBECS!E35</f>
        <v>2.5341371936699324</v>
      </c>
      <c r="J315" s="19">
        <f>Dodge_to_CBECS!F35</f>
        <v>2.0733849766390358</v>
      </c>
      <c r="K315" s="19">
        <f>Dodge_to_CBECS!G35</f>
        <v>10.79239427279578</v>
      </c>
      <c r="L315" s="19">
        <f>Dodge_to_CBECS!H35</f>
        <v>52.768320000000003</v>
      </c>
      <c r="M315" s="19">
        <f>Dodge_to_CBECS!I35</f>
        <v>14.754300000000001</v>
      </c>
      <c r="N315" s="19">
        <f>Dodge_to_CBECS!J35</f>
        <v>9.614371726755218</v>
      </c>
      <c r="O315" s="19">
        <f>Dodge_to_CBECS!K35</f>
        <v>5.7859999999999996</v>
      </c>
      <c r="P315" s="19">
        <f>Dodge_to_CBECS!L35</f>
        <v>24.821940000000001</v>
      </c>
      <c r="Q315" s="19">
        <f>Dodge_to_CBECS!M35</f>
        <v>28.916701356443106</v>
      </c>
      <c r="T315">
        <f t="shared" si="62"/>
        <v>191.00547172675525</v>
      </c>
      <c r="U315">
        <f t="shared" si="52"/>
        <v>178.05413185342172</v>
      </c>
      <c r="AB315">
        <f t="shared" si="63"/>
        <v>1938</v>
      </c>
      <c r="AD315">
        <f t="shared" si="54"/>
        <v>347.24101361308556</v>
      </c>
      <c r="AH315">
        <f t="shared" si="64"/>
        <v>347.24101361308556</v>
      </c>
      <c r="AI315">
        <f t="shared" si="67"/>
        <v>23731.632356492541</v>
      </c>
      <c r="AL315" s="87">
        <f t="shared" si="65"/>
        <v>347.24101361308556</v>
      </c>
      <c r="AM315" s="87">
        <f t="shared" si="68"/>
        <v>23731.691857563375</v>
      </c>
      <c r="AO315" s="19">
        <f t="shared" si="69"/>
        <v>-143.68811922237353</v>
      </c>
      <c r="AP315" s="23">
        <f t="shared" si="70"/>
        <v>6.0546934489451336E-3</v>
      </c>
      <c r="AQ315" s="23"/>
      <c r="AR315" s="23"/>
      <c r="AS315" s="23"/>
      <c r="AT315" s="23"/>
      <c r="AU315" s="23"/>
      <c r="AW315" s="35"/>
      <c r="AX315">
        <v>197.25</v>
      </c>
      <c r="AZ315">
        <v>1938</v>
      </c>
      <c r="BA315">
        <v>375.36917227467217</v>
      </c>
      <c r="BB315">
        <v>19488.122736543937</v>
      </c>
      <c r="BE315">
        <v>375.36917227467217</v>
      </c>
      <c r="BF315">
        <v>19488.122736543937</v>
      </c>
      <c r="BI315">
        <v>375.36917227467217</v>
      </c>
      <c r="BJ315">
        <v>19488.122736543937</v>
      </c>
      <c r="BL315">
        <v>-133.94836799622732</v>
      </c>
      <c r="BM315">
        <v>6.873333558447302E-3</v>
      </c>
      <c r="BT315">
        <f t="shared" si="71"/>
        <v>67</v>
      </c>
      <c r="BU315">
        <f>D329</f>
        <v>0.57207824255075679</v>
      </c>
      <c r="BV315">
        <v>0.58582878971941854</v>
      </c>
      <c r="CH315">
        <f t="shared" si="66"/>
        <v>13.689814267424223</v>
      </c>
      <c r="CI315">
        <f t="shared" si="66"/>
        <v>1999</v>
      </c>
      <c r="DW315" s="57"/>
      <c r="EA315">
        <f t="shared" si="55"/>
        <v>38.723396532565332</v>
      </c>
      <c r="EB315" t="e">
        <f>SUMPRODUCT($D329:$D$397,EA$10:EA315)</f>
        <v>#VALUE!</v>
      </c>
      <c r="EO315" s="15"/>
      <c r="ES315">
        <f t="shared" si="56"/>
        <v>110.7521569965573</v>
      </c>
      <c r="ET315" t="e">
        <f>SUMPRODUCT($D329:$D$397,ES$10:ES315)</f>
        <v>#VALUE!</v>
      </c>
    </row>
    <row r="316" spans="1:150" x14ac:dyDescent="0.2">
      <c r="A316">
        <f t="shared" si="59"/>
        <v>1939</v>
      </c>
      <c r="C316">
        <f t="shared" si="57"/>
        <v>81</v>
      </c>
      <c r="D316" s="63">
        <f t="shared" si="60"/>
        <v>0.40229332281762048</v>
      </c>
      <c r="E316" s="18">
        <f t="shared" si="61"/>
        <v>2.4857484409537407</v>
      </c>
      <c r="F316">
        <f t="shared" si="58"/>
        <v>1939</v>
      </c>
      <c r="G316" s="19">
        <f>Dodge_to_CBECS!C36</f>
        <v>20.388058236623962</v>
      </c>
      <c r="H316" s="19">
        <f>Dodge_to_CBECS!D36</f>
        <v>21.732172780708368</v>
      </c>
      <c r="I316" s="19">
        <f>Dodge_to_CBECS!E36</f>
        <v>2.9881737573474001</v>
      </c>
      <c r="J316" s="19">
        <f>Dodge_to_CBECS!F36</f>
        <v>2.4448694378296909</v>
      </c>
      <c r="K316" s="19">
        <f>Dodge_to_CBECS!G36</f>
        <v>12.726047123838232</v>
      </c>
      <c r="L316" s="19">
        <f>Dodge_to_CBECS!H36</f>
        <v>31.813119999999994</v>
      </c>
      <c r="M316" s="19">
        <f>Dodge_to_CBECS!I36</f>
        <v>10.526399999999999</v>
      </c>
      <c r="N316" s="19">
        <f>Dodge_to_CBECS!J36</f>
        <v>9.0464938416422278</v>
      </c>
      <c r="O316" s="19">
        <f>Dodge_to_CBECS!K36</f>
        <v>7.0175999999999998</v>
      </c>
      <c r="P316" s="19">
        <f>Dodge_to_CBECS!L36</f>
        <v>16.725279999999998</v>
      </c>
      <c r="Q316" s="19">
        <f>Dodge_to_CBECS!M36</f>
        <v>26.855878663652348</v>
      </c>
      <c r="T316">
        <f t="shared" si="62"/>
        <v>162.26409384164219</v>
      </c>
      <c r="U316">
        <f t="shared" si="52"/>
        <v>179.50892057271002</v>
      </c>
      <c r="AB316">
        <f t="shared" si="63"/>
        <v>1939</v>
      </c>
      <c r="AD316">
        <f t="shared" si="54"/>
        <v>350.07814131251132</v>
      </c>
      <c r="AH316">
        <f t="shared" si="64"/>
        <v>350.07814131251132</v>
      </c>
      <c r="AI316">
        <f t="shared" si="67"/>
        <v>23933.769265609593</v>
      </c>
      <c r="AL316" s="87">
        <f t="shared" si="65"/>
        <v>350.07814131251132</v>
      </c>
      <c r="AM316" s="87">
        <f t="shared" si="68"/>
        <v>23933.827305509116</v>
      </c>
      <c r="AO316" s="19">
        <f t="shared" si="69"/>
        <v>-147.94269336677087</v>
      </c>
      <c r="AP316" s="23">
        <f t="shared" si="70"/>
        <v>6.181322004137518E-3</v>
      </c>
      <c r="AQ316" s="23"/>
      <c r="AR316" s="23"/>
      <c r="AS316" s="23"/>
      <c r="AT316" s="23"/>
      <c r="AU316" s="23"/>
      <c r="AW316" s="35"/>
      <c r="AX316">
        <v>157.1</v>
      </c>
      <c r="AZ316">
        <v>1939</v>
      </c>
      <c r="BA316">
        <v>298.96322922357922</v>
      </c>
      <c r="BB316">
        <v>19650.539793820742</v>
      </c>
      <c r="BE316">
        <v>298.96322922357922</v>
      </c>
      <c r="BF316">
        <v>19650.539793820742</v>
      </c>
      <c r="BI316">
        <v>298.96322922357922</v>
      </c>
      <c r="BJ316">
        <v>19650.539793820742</v>
      </c>
      <c r="BL316">
        <v>-136.54617194677394</v>
      </c>
      <c r="BM316">
        <v>6.9487237185062922E-3</v>
      </c>
      <c r="BT316">
        <f t="shared" si="71"/>
        <v>68</v>
      </c>
      <c r="BU316">
        <f>D328</f>
        <v>0.55800460548357012</v>
      </c>
      <c r="BV316">
        <v>0.57885323371112773</v>
      </c>
      <c r="CH316">
        <f t="shared" si="66"/>
        <v>14.749092097872971</v>
      </c>
      <c r="CI316">
        <f t="shared" si="66"/>
        <v>2003</v>
      </c>
      <c r="DW316" s="57"/>
      <c r="EA316">
        <f t="shared" si="55"/>
        <v>45.66139418300191</v>
      </c>
      <c r="EB316" t="e">
        <f>SUMPRODUCT($D328:$D$397,EA$10:EA316)</f>
        <v>#VALUE!</v>
      </c>
      <c r="EO316" s="15"/>
      <c r="ES316">
        <f t="shared" si="56"/>
        <v>66.770586230342673</v>
      </c>
      <c r="ET316" t="e">
        <f>SUMPRODUCT($D328:$D$397,ES$10:ES316)</f>
        <v>#VALUE!</v>
      </c>
    </row>
    <row r="317" spans="1:150" x14ac:dyDescent="0.2">
      <c r="A317">
        <f t="shared" si="59"/>
        <v>1940</v>
      </c>
      <c r="C317">
        <f t="shared" si="57"/>
        <v>80</v>
      </c>
      <c r="D317" s="63">
        <f t="shared" si="60"/>
        <v>0.4140644822021714</v>
      </c>
      <c r="E317" s="18">
        <f t="shared" si="61"/>
        <v>2.4150827781257012</v>
      </c>
      <c r="F317">
        <f t="shared" si="58"/>
        <v>1940</v>
      </c>
      <c r="G317" s="19">
        <f>Dodge_to_CBECS!C37</f>
        <v>25.633010550113035</v>
      </c>
      <c r="H317" s="19">
        <f>Dodge_to_CBECS!D37</f>
        <v>30.03046028636021</v>
      </c>
      <c r="I317" s="19">
        <f>Dodge_to_CBECS!E37</f>
        <v>4.1291882893745289</v>
      </c>
      <c r="J317" s="19">
        <f>Dodge_to_CBECS!F37</f>
        <v>3.3784267822155236</v>
      </c>
      <c r="K317" s="19">
        <f>Dodge_to_CBECS!G37</f>
        <v>17.585404672192919</v>
      </c>
      <c r="L317" s="19">
        <f>Dodge_to_CBECS!H37</f>
        <v>23.639999999999997</v>
      </c>
      <c r="M317" s="19">
        <f>Dodge_to_CBECS!I37</f>
        <v>12.410999999999998</v>
      </c>
      <c r="N317" s="19">
        <f>Dodge_to_CBECS!J37</f>
        <v>11.789225880381476</v>
      </c>
      <c r="O317" s="19">
        <f>Dodge_to_CBECS!K37</f>
        <v>8.2739999999999991</v>
      </c>
      <c r="P317" s="19">
        <f>Dodge_to_CBECS!L37</f>
        <v>20.034899999999997</v>
      </c>
      <c r="Q317" s="19">
        <f>Dodge_to_CBECS!M37</f>
        <v>56.414609419743776</v>
      </c>
      <c r="T317">
        <f t="shared" si="62"/>
        <v>213.32022588038149</v>
      </c>
      <c r="U317">
        <f t="shared" si="52"/>
        <v>182.68654665713791</v>
      </c>
      <c r="AB317">
        <f t="shared" si="63"/>
        <v>1940</v>
      </c>
      <c r="AD317">
        <f t="shared" si="54"/>
        <v>356.27514494817234</v>
      </c>
      <c r="AH317">
        <f t="shared" si="64"/>
        <v>356.27514494817234</v>
      </c>
      <c r="AI317">
        <f t="shared" si="67"/>
        <v>24137.762671706427</v>
      </c>
      <c r="AL317" s="87">
        <f t="shared" si="65"/>
        <v>356.27514494817234</v>
      </c>
      <c r="AM317" s="87">
        <f t="shared" si="68"/>
        <v>24137.819293594519</v>
      </c>
      <c r="AO317" s="19">
        <f t="shared" si="69"/>
        <v>-152.2831568627692</v>
      </c>
      <c r="AP317" s="23">
        <f t="shared" si="70"/>
        <v>6.3089028470430537E-3</v>
      </c>
      <c r="AQ317" s="23"/>
      <c r="AR317" s="23"/>
      <c r="AS317" s="23"/>
      <c r="AT317" s="23"/>
      <c r="AU317" s="23"/>
      <c r="AW317" s="35"/>
      <c r="AX317">
        <v>206.15</v>
      </c>
      <c r="AZ317">
        <v>1940</v>
      </c>
      <c r="BA317">
        <v>392.30598156868791</v>
      </c>
      <c r="BB317">
        <v>19904.023588600805</v>
      </c>
      <c r="BE317">
        <v>392.30598156868791</v>
      </c>
      <c r="BF317">
        <v>19904.023588600805</v>
      </c>
      <c r="BI317">
        <v>392.30598156868791</v>
      </c>
      <c r="BJ317">
        <v>19904.023588600805</v>
      </c>
      <c r="BL317">
        <v>-138.82218678862546</v>
      </c>
      <c r="BM317">
        <v>6.9745790930498116E-3</v>
      </c>
      <c r="BT317">
        <f t="shared" si="71"/>
        <v>69</v>
      </c>
      <c r="BU317">
        <f>D327</f>
        <v>0.54404159822483755</v>
      </c>
      <c r="BV317">
        <v>0.5718866479043696</v>
      </c>
      <c r="DW317" s="57"/>
      <c r="EA317">
        <f t="shared" si="55"/>
        <v>63.096897786940112</v>
      </c>
      <c r="EB317" t="e">
        <f>SUMPRODUCT($D327:$D$397,EA$10:EA317)</f>
        <v>#VALUE!</v>
      </c>
      <c r="EO317" s="15"/>
      <c r="ES317">
        <f t="shared" si="56"/>
        <v>49.616531119402971</v>
      </c>
      <c r="ET317" t="e">
        <f>SUMPRODUCT($D327:$D$397,ES$10:ES317)</f>
        <v>#VALUE!</v>
      </c>
    </row>
    <row r="318" spans="1:150" x14ac:dyDescent="0.2">
      <c r="A318">
        <f t="shared" si="59"/>
        <v>1941</v>
      </c>
      <c r="C318">
        <f t="shared" si="57"/>
        <v>79</v>
      </c>
      <c r="D318" s="63">
        <f t="shared" si="60"/>
        <v>0.42608451359617938</v>
      </c>
      <c r="E318" s="18">
        <f t="shared" si="61"/>
        <v>2.3469522315184346</v>
      </c>
      <c r="F318">
        <f t="shared" si="58"/>
        <v>1941</v>
      </c>
      <c r="G318" s="19">
        <f>Dodge_to_CBECS!C38</f>
        <v>40.097670052750559</v>
      </c>
      <c r="H318" s="19">
        <f>Dodge_to_CBECS!D38</f>
        <v>49.207120301431807</v>
      </c>
      <c r="I318" s="19">
        <f>Dodge_to_CBECS!E38</f>
        <v>6.7659790414468732</v>
      </c>
      <c r="J318" s="19">
        <f>Dodge_to_CBECS!F38</f>
        <v>5.5358010339110777</v>
      </c>
      <c r="K318" s="19">
        <f>Dodge_to_CBECS!G38</f>
        <v>28.814980356694296</v>
      </c>
      <c r="L318" s="19">
        <f>Dodge_to_CBECS!H38</f>
        <v>23.504639999999998</v>
      </c>
      <c r="M318" s="19">
        <f>Dodge_to_CBECS!I38</f>
        <v>13.77225</v>
      </c>
      <c r="N318" s="19">
        <f>Dodge_to_CBECS!J38</f>
        <v>17.129485533157542</v>
      </c>
      <c r="O318" s="19">
        <f>Dodge_to_CBECS!K38</f>
        <v>11.017799999999999</v>
      </c>
      <c r="P318" s="19">
        <f>Dodge_to_CBECS!L38</f>
        <v>28.279019999999999</v>
      </c>
      <c r="Q318" s="19">
        <f>Dodge_to_CBECS!M38</f>
        <v>96.912389213765394</v>
      </c>
      <c r="T318">
        <f t="shared" si="62"/>
        <v>321.03713553315754</v>
      </c>
      <c r="U318">
        <f t="shared" si="52"/>
        <v>256.40698974149188</v>
      </c>
      <c r="AB318">
        <f t="shared" si="63"/>
        <v>1941</v>
      </c>
      <c r="AD318">
        <f t="shared" si="54"/>
        <v>500.04468915448342</v>
      </c>
      <c r="AH318">
        <f t="shared" si="64"/>
        <v>500.04468915448342</v>
      </c>
      <c r="AI318">
        <f t="shared" si="67"/>
        <v>24481.101374517733</v>
      </c>
      <c r="AL318" s="87">
        <f t="shared" si="65"/>
        <v>500.04468915448342</v>
      </c>
      <c r="AM318" s="87">
        <f t="shared" si="68"/>
        <v>24481.101374517733</v>
      </c>
      <c r="AO318" s="19">
        <f t="shared" si="69"/>
        <v>-156.76260823126904</v>
      </c>
      <c r="AP318" s="23">
        <f t="shared" si="70"/>
        <v>6.4034132220228673E-3</v>
      </c>
      <c r="AQ318" s="23"/>
      <c r="AR318" s="23"/>
      <c r="AS318" s="23"/>
      <c r="AT318" s="23"/>
      <c r="AU318" s="23"/>
      <c r="AW318" s="35"/>
      <c r="AX318">
        <v>294.60000000000002</v>
      </c>
      <c r="AZ318">
        <v>1941</v>
      </c>
      <c r="BA318">
        <v>560.62741775471954</v>
      </c>
      <c r="BB318">
        <v>20323.158822447698</v>
      </c>
      <c r="BE318">
        <v>560.62741775471954</v>
      </c>
      <c r="BF318">
        <v>20323.158822447698</v>
      </c>
      <c r="BI318">
        <v>560.62741775471954</v>
      </c>
      <c r="BJ318">
        <v>20323.158822447698</v>
      </c>
      <c r="BL318">
        <v>-141.4921839078263</v>
      </c>
      <c r="BM318">
        <v>6.9621157391902494E-3</v>
      </c>
      <c r="BT318">
        <f t="shared" si="71"/>
        <v>70</v>
      </c>
      <c r="BU318">
        <f>D326</f>
        <v>0.53020845175056952</v>
      </c>
      <c r="BV318">
        <v>0.56493082188229304</v>
      </c>
      <c r="DW318" s="57"/>
      <c r="EA318">
        <f t="shared" si="55"/>
        <v>103.3889128052863</v>
      </c>
      <c r="EB318" t="e">
        <f>SUMPRODUCT($D326:$D$397,EA$10:EA318)</f>
        <v>#VALUE!</v>
      </c>
      <c r="EO318" s="15"/>
      <c r="ES318">
        <f t="shared" si="56"/>
        <v>49.332432403145681</v>
      </c>
      <c r="ET318" t="e">
        <f>SUMPRODUCT($D326:$D$397,ES$10:ES318)</f>
        <v>#VALUE!</v>
      </c>
    </row>
    <row r="319" spans="1:150" x14ac:dyDescent="0.2">
      <c r="A319">
        <f t="shared" si="59"/>
        <v>1942</v>
      </c>
      <c r="C319">
        <f t="shared" si="57"/>
        <v>78</v>
      </c>
      <c r="D319" s="63">
        <f t="shared" si="60"/>
        <v>0.43834728239217857</v>
      </c>
      <c r="E319" s="18">
        <f t="shared" si="61"/>
        <v>2.2812962237218217</v>
      </c>
      <c r="F319">
        <f t="shared" si="58"/>
        <v>1942</v>
      </c>
      <c r="G319" s="19">
        <f>Dodge_to_CBECS!C39</f>
        <v>30.76168626978146</v>
      </c>
      <c r="H319" s="19">
        <f>Dodge_to_CBECS!D39</f>
        <v>35.536310113036926</v>
      </c>
      <c r="I319" s="19">
        <f>Dodge_to_CBECS!E39</f>
        <v>4.8862426405425774</v>
      </c>
      <c r="J319" s="19">
        <f>Dodge_to_CBECS!F39</f>
        <v>3.9978348877166541</v>
      </c>
      <c r="K319" s="19">
        <f>Dodge_to_CBECS!G39</f>
        <v>20.809550967093696</v>
      </c>
      <c r="L319" s="19">
        <f>Dodge_to_CBECS!H39</f>
        <v>31.40672</v>
      </c>
      <c r="M319" s="19">
        <f>Dodge_to_CBECS!I39</f>
        <v>32.293199999999999</v>
      </c>
      <c r="N319" s="19">
        <f>Dodge_to_CBECS!J39</f>
        <v>19.819601596885086</v>
      </c>
      <c r="O319" s="19">
        <f>Dodge_to_CBECS!K39</f>
        <v>3.7991999999999999</v>
      </c>
      <c r="P319" s="19">
        <f>Dodge_to_CBECS!L39</f>
        <v>58.444359999999996</v>
      </c>
      <c r="Q319" s="19">
        <f>Dodge_to_CBECS!M39</f>
        <v>275.12689512182862</v>
      </c>
      <c r="T319">
        <f t="shared" si="62"/>
        <v>516.88160159688505</v>
      </c>
      <c r="U319">
        <f t="shared" si="52"/>
        <v>399.37492195864854</v>
      </c>
      <c r="AB319">
        <f t="shared" si="63"/>
        <v>1942</v>
      </c>
      <c r="AD319">
        <f t="shared" si="54"/>
        <v>778.86062664769895</v>
      </c>
      <c r="AH319">
        <f t="shared" si="64"/>
        <v>778.86062664769895</v>
      </c>
      <c r="AI319">
        <f t="shared" si="67"/>
        <v>25098.750682871112</v>
      </c>
      <c r="AL319" s="87">
        <f t="shared" si="65"/>
        <v>778.86062664769895</v>
      </c>
      <c r="AM319" s="87">
        <f t="shared" si="68"/>
        <v>25098.750682871112</v>
      </c>
      <c r="AO319" s="19">
        <f t="shared" si="69"/>
        <v>-161.21131829432022</v>
      </c>
      <c r="AP319" s="23">
        <f t="shared" si="70"/>
        <v>6.4230813848571537E-3</v>
      </c>
      <c r="AQ319" s="23"/>
      <c r="AR319" s="23"/>
      <c r="AS319" s="23"/>
      <c r="AT319" s="23"/>
      <c r="AU319" s="23"/>
      <c r="AW319" s="35"/>
      <c r="AX319">
        <v>482.25</v>
      </c>
      <c r="AZ319">
        <v>1942</v>
      </c>
      <c r="BA319">
        <v>917.72767213921747</v>
      </c>
      <c r="BB319">
        <v>21096.006817509948</v>
      </c>
      <c r="BE319">
        <v>917.72767213921747</v>
      </c>
      <c r="BF319">
        <v>21096.006817509948</v>
      </c>
      <c r="BI319">
        <v>917.72767213921747</v>
      </c>
      <c r="BJ319">
        <v>21096.006817509948</v>
      </c>
      <c r="BL319">
        <v>-144.87967707696794</v>
      </c>
      <c r="BM319">
        <v>6.8676351088735902E-3</v>
      </c>
      <c r="BT319">
        <f t="shared" si="71"/>
        <v>71</v>
      </c>
      <c r="BU319">
        <f>D325</f>
        <v>0.51652308733816632</v>
      </c>
      <c r="BV319">
        <v>0.55798753412153579</v>
      </c>
      <c r="DW319" s="57"/>
      <c r="EA319">
        <f t="shared" si="55"/>
        <v>74.665220098065404</v>
      </c>
      <c r="EB319" t="e">
        <f>SUMPRODUCT($D325:$D$397,EA$10:EA319)</f>
        <v>#VALUE!</v>
      </c>
      <c r="EO319" s="15"/>
      <c r="ES319">
        <f t="shared" si="56"/>
        <v>65.917618453399996</v>
      </c>
      <c r="ET319" t="e">
        <f>SUMPRODUCT($D325:$D$397,ES$10:ES319)</f>
        <v>#VALUE!</v>
      </c>
    </row>
    <row r="320" spans="1:150" x14ac:dyDescent="0.2">
      <c r="A320">
        <f t="shared" si="59"/>
        <v>1943</v>
      </c>
      <c r="C320">
        <f t="shared" si="57"/>
        <v>77</v>
      </c>
      <c r="D320" s="63">
        <f t="shared" si="60"/>
        <v>0.45084547215524529</v>
      </c>
      <c r="E320" s="18">
        <f t="shared" si="61"/>
        <v>2.2180548807988414</v>
      </c>
      <c r="F320">
        <f t="shared" si="58"/>
        <v>1943</v>
      </c>
      <c r="G320" s="19">
        <f>Dodge_to_CBECS!C40</f>
        <v>9.8144013865862849</v>
      </c>
      <c r="H320" s="19">
        <f>Dodge_to_CBECS!D40</f>
        <v>10.916899351921629</v>
      </c>
      <c r="I320" s="19">
        <f>Dodge_to_CBECS!E40</f>
        <v>1.5010736608892239</v>
      </c>
      <c r="J320" s="19">
        <f>Dodge_to_CBECS!F40</f>
        <v>1.2281511770911833</v>
      </c>
      <c r="K320" s="19">
        <f>Dodge_to_CBECS!G40</f>
        <v>6.3927788997739263</v>
      </c>
      <c r="L320" s="19">
        <f>Dodge_to_CBECS!H40</f>
        <v>12.562559999999998</v>
      </c>
      <c r="M320" s="19">
        <f>Dodge_to_CBECS!I40</f>
        <v>19.629000000000001</v>
      </c>
      <c r="N320" s="19">
        <f>Dodge_to_CBECS!J40</f>
        <v>9.324794849552724</v>
      </c>
      <c r="O320" s="19">
        <f>Dodge_to_CBECS!K40</f>
        <v>1.3086</v>
      </c>
      <c r="P320" s="19">
        <f>Dodge_to_CBECS!L40</f>
        <v>26.433720000000005</v>
      </c>
      <c r="Q320" s="19">
        <f>Dodge_to_CBECS!M40</f>
        <v>85.565215523737763</v>
      </c>
      <c r="T320">
        <f t="shared" si="62"/>
        <v>184.67719484955273</v>
      </c>
      <c r="U320">
        <f t="shared" si="52"/>
        <v>383.99983889795215</v>
      </c>
      <c r="AB320">
        <f t="shared" si="63"/>
        <v>1943</v>
      </c>
      <c r="AD320">
        <f t="shared" si="54"/>
        <v>748.87615298899914</v>
      </c>
      <c r="AH320">
        <f t="shared" si="64"/>
        <v>748.87615298899914</v>
      </c>
      <c r="AI320">
        <f t="shared" si="67"/>
        <v>25681.832192926882</v>
      </c>
      <c r="AL320" s="87">
        <f t="shared" si="65"/>
        <v>748.87615298899914</v>
      </c>
      <c r="AM320" s="87">
        <f t="shared" si="68"/>
        <v>25681.832192926882</v>
      </c>
      <c r="AO320" s="19">
        <f t="shared" si="69"/>
        <v>-165.79464293322894</v>
      </c>
      <c r="AP320" s="23">
        <f t="shared" si="70"/>
        <v>6.4557170877742511E-3</v>
      </c>
      <c r="AQ320" s="23"/>
      <c r="AR320" s="23"/>
      <c r="AS320" s="23"/>
      <c r="AT320" s="23"/>
      <c r="AU320" s="23"/>
      <c r="AW320" s="35"/>
      <c r="AX320">
        <v>180.7</v>
      </c>
      <c r="AZ320">
        <v>1943</v>
      </c>
      <c r="BA320">
        <v>343.87431903692402</v>
      </c>
      <c r="BB320">
        <v>21290.084988853683</v>
      </c>
      <c r="BE320">
        <v>343.87431903692402</v>
      </c>
      <c r="BF320">
        <v>21290.084988853683</v>
      </c>
      <c r="BI320">
        <v>343.87431903692402</v>
      </c>
      <c r="BJ320">
        <v>21290.084988853683</v>
      </c>
      <c r="BL320">
        <v>-149.79614769318857</v>
      </c>
      <c r="BM320">
        <v>7.0359581829576344E-3</v>
      </c>
      <c r="BT320">
        <f t="shared" si="71"/>
        <v>72</v>
      </c>
      <c r="BU320">
        <f>D324</f>
        <v>0.50300208249067324</v>
      </c>
      <c r="BV320">
        <v>0.55105855018899041</v>
      </c>
      <c r="DW320" s="57"/>
      <c r="EA320">
        <f t="shared" si="55"/>
        <v>22.937460031918789</v>
      </c>
      <c r="EB320" t="e">
        <f>SUMPRODUCT($D324:$D$397,EA$10:EA320)</f>
        <v>#VALUE!</v>
      </c>
      <c r="EO320" s="15"/>
      <c r="ES320">
        <f t="shared" si="56"/>
        <v>26.366778730091664</v>
      </c>
      <c r="ET320" t="e">
        <f>SUMPRODUCT($D324:$D$397,ES$10:ES320)</f>
        <v>#VALUE!</v>
      </c>
    </row>
    <row r="321" spans="1:155" x14ac:dyDescent="0.2">
      <c r="A321">
        <f t="shared" si="59"/>
        <v>1944</v>
      </c>
      <c r="C321">
        <f t="shared" si="57"/>
        <v>76</v>
      </c>
      <c r="D321" s="63">
        <f t="shared" si="60"/>
        <v>0.46357053374692569</v>
      </c>
      <c r="E321" s="18">
        <f t="shared" si="61"/>
        <v>2.1571690329781057</v>
      </c>
      <c r="F321">
        <f t="shared" si="58"/>
        <v>1944</v>
      </c>
      <c r="G321" s="19">
        <f>Dodge_to_CBECS!C41</f>
        <v>5.9925844762622464</v>
      </c>
      <c r="H321" s="19">
        <f>Dodge_to_CBECS!D41</f>
        <v>6.1466998643556909</v>
      </c>
      <c r="I321" s="19">
        <f>Dodge_to_CBECS!E41</f>
        <v>0.84517123134890748</v>
      </c>
      <c r="J321" s="19">
        <f>Dodge_to_CBECS!F41</f>
        <v>0.69150373474001514</v>
      </c>
      <c r="K321" s="19">
        <f>Dodge_to_CBECS!G41</f>
        <v>3.5994188394875666</v>
      </c>
      <c r="L321" s="19">
        <f>Dodge_to_CBECS!H41</f>
        <v>10.806399999999998</v>
      </c>
      <c r="M321" s="19">
        <f>Dodge_to_CBECS!I41</f>
        <v>8.1048000000000009</v>
      </c>
      <c r="N321" s="19">
        <f>Dodge_to_CBECS!J41</f>
        <v>4.2678742206560045</v>
      </c>
      <c r="O321" s="19">
        <f>Dodge_to_CBECS!K41</f>
        <v>1.3508</v>
      </c>
      <c r="P321" s="19">
        <f>Dodge_to_CBECS!L41</f>
        <v>11.887039999999999</v>
      </c>
      <c r="Q321" s="19">
        <f>Dodge_to_CBECS!M41</f>
        <v>43.780781853805578</v>
      </c>
      <c r="T321">
        <f t="shared" si="62"/>
        <v>97.473074220656002</v>
      </c>
      <c r="U321">
        <f t="shared" si="52"/>
        <v>149.79554659799405</v>
      </c>
      <c r="AB321">
        <f t="shared" si="63"/>
        <v>1944</v>
      </c>
      <c r="AD321">
        <f t="shared" si="54"/>
        <v>292.13114514092672</v>
      </c>
      <c r="AH321">
        <f t="shared" si="64"/>
        <v>292.13114514092672</v>
      </c>
      <c r="AI321">
        <f t="shared" si="67"/>
        <v>25803.510718225123</v>
      </c>
      <c r="AL321" s="87">
        <f t="shared" si="65"/>
        <v>292.13114514092672</v>
      </c>
      <c r="AM321" s="87">
        <f t="shared" si="68"/>
        <v>25803.510718225123</v>
      </c>
      <c r="AO321" s="19">
        <f t="shared" si="69"/>
        <v>-170.45261984268586</v>
      </c>
      <c r="AP321" s="23">
        <f t="shared" si="70"/>
        <v>6.605791812751065E-3</v>
      </c>
      <c r="AQ321" s="23"/>
      <c r="AR321" s="23"/>
      <c r="AS321" s="23"/>
      <c r="AT321" s="23"/>
      <c r="AU321" s="23"/>
      <c r="AW321" s="35"/>
      <c r="AX321">
        <v>86.75</v>
      </c>
      <c r="AZ321">
        <v>1944</v>
      </c>
      <c r="BA321">
        <v>165.08631530964672</v>
      </c>
      <c r="BB321">
        <v>21302.863069022758</v>
      </c>
      <c r="BE321">
        <v>165.08631530964672</v>
      </c>
      <c r="BF321">
        <v>21302.863069022758</v>
      </c>
      <c r="BI321">
        <v>165.08631530964672</v>
      </c>
      <c r="BJ321">
        <v>21302.863069022758</v>
      </c>
      <c r="BL321">
        <v>-152.30823514057161</v>
      </c>
      <c r="BM321">
        <v>7.1496603365980588E-3</v>
      </c>
      <c r="BT321">
        <f t="shared" si="71"/>
        <v>73</v>
      </c>
      <c r="BU321">
        <f>D323</f>
        <v>0.48966065164479422</v>
      </c>
      <c r="BV321">
        <v>0.54414562096671415</v>
      </c>
      <c r="DW321" s="57"/>
      <c r="EA321">
        <f t="shared" si="55"/>
        <v>12.914810141768124</v>
      </c>
      <c r="EB321" t="e">
        <f>SUMPRODUCT($D323:$D$397,EA$10:EA321)</f>
        <v>#VALUE!</v>
      </c>
      <c r="EO321" s="15"/>
      <c r="ES321">
        <f t="shared" si="56"/>
        <v>22.680883328625896</v>
      </c>
      <c r="ET321" t="e">
        <f>SUMPRODUCT($D323:$D$397,ES$10:ES321)</f>
        <v>#VALUE!</v>
      </c>
    </row>
    <row r="322" spans="1:155" x14ac:dyDescent="0.2">
      <c r="A322">
        <f t="shared" si="59"/>
        <v>1945</v>
      </c>
      <c r="C322">
        <f t="shared" si="57"/>
        <v>75</v>
      </c>
      <c r="D322" s="63">
        <f t="shared" si="60"/>
        <v>0.47651264063325316</v>
      </c>
      <c r="E322" s="18">
        <f t="shared" si="61"/>
        <v>2.0985802153560238</v>
      </c>
      <c r="F322">
        <f t="shared" si="58"/>
        <v>1945</v>
      </c>
      <c r="G322" s="19">
        <f>Dodge_to_CBECS!C42</f>
        <v>26.941585757347401</v>
      </c>
      <c r="H322" s="19">
        <f>Dodge_to_CBECS!D42</f>
        <v>33.278318613413717</v>
      </c>
      <c r="I322" s="19">
        <f>Dodge_to_CBECS!E42</f>
        <v>4.5757688093443862</v>
      </c>
      <c r="J322" s="19">
        <f>Dodge_to_CBECS!F42</f>
        <v>3.743810844009043</v>
      </c>
      <c r="K322" s="19">
        <f>Dodge_to_CBECS!G42</f>
        <v>19.487303692539562</v>
      </c>
      <c r="L322" s="19">
        <f>Dodge_to_CBECS!H42</f>
        <v>14.4872</v>
      </c>
      <c r="M322" s="19">
        <f>Dodge_to_CBECS!I42</f>
        <v>11.49225</v>
      </c>
      <c r="N322" s="19">
        <f>Dodge_to_CBECS!J42</f>
        <v>12.310580429532516</v>
      </c>
      <c r="O322" s="19">
        <f>Dodge_to_CBECS!K42</f>
        <v>6.9649999999999999</v>
      </c>
      <c r="P322" s="19">
        <f>Dodge_to_CBECS!L42</f>
        <v>15.671250000000001</v>
      </c>
      <c r="Q322" s="19">
        <f>Dodge_to_CBECS!M42</f>
        <v>37.830762283345898</v>
      </c>
      <c r="T322">
        <f t="shared" si="62"/>
        <v>186.78383042953254</v>
      </c>
      <c r="U322">
        <f t="shared" si="52"/>
        <v>133.19737670420662</v>
      </c>
      <c r="AB322">
        <f t="shared" si="63"/>
        <v>1945</v>
      </c>
      <c r="AD322">
        <f t="shared" si="54"/>
        <v>259.7614086004366</v>
      </c>
      <c r="AH322">
        <f t="shared" si="64"/>
        <v>259.7614086004366</v>
      </c>
      <c r="AI322">
        <f t="shared" si="67"/>
        <v>25888.090395226816</v>
      </c>
      <c r="AL322" s="87">
        <f t="shared" si="65"/>
        <v>259.7614086004366</v>
      </c>
      <c r="AM322" s="87">
        <f t="shared" si="68"/>
        <v>25888.090395226816</v>
      </c>
      <c r="AO322" s="19">
        <f t="shared" si="69"/>
        <v>-175.1817315987434</v>
      </c>
      <c r="AP322" s="23">
        <f t="shared" si="70"/>
        <v>6.7668850395795508E-3</v>
      </c>
      <c r="AQ322" s="23"/>
      <c r="AR322" s="23"/>
      <c r="AS322" s="23"/>
      <c r="AT322" s="23"/>
      <c r="AU322" s="23"/>
      <c r="AW322" s="35"/>
      <c r="AX322">
        <v>151.55000000000001</v>
      </c>
      <c r="AZ322">
        <v>1945</v>
      </c>
      <c r="BA322">
        <v>288.40151106832224</v>
      </c>
      <c r="BB322">
        <v>21437.205931827597</v>
      </c>
      <c r="BE322">
        <v>288.40151106832224</v>
      </c>
      <c r="BF322">
        <v>21437.205931827597</v>
      </c>
      <c r="BI322">
        <v>288.40151106832224</v>
      </c>
      <c r="BJ322">
        <v>21437.205931827597</v>
      </c>
      <c r="BL322">
        <v>-154.05864826348358</v>
      </c>
      <c r="BM322">
        <v>7.1865078291175203E-3</v>
      </c>
      <c r="BT322">
        <f t="shared" si="71"/>
        <v>74</v>
      </c>
      <c r="BU322">
        <f>D322</f>
        <v>0.47651264063325316</v>
      </c>
      <c r="BV322">
        <v>0.53725048090872252</v>
      </c>
      <c r="DW322" s="57"/>
      <c r="EA322">
        <f t="shared" si="55"/>
        <v>69.92096185170692</v>
      </c>
      <c r="EB322" t="e">
        <f>SUMPRODUCT($D322:$D$397,EA$10:EA322)</f>
        <v>#VALUE!</v>
      </c>
      <c r="EO322" s="15"/>
      <c r="ES322">
        <f t="shared" si="56"/>
        <v>30.406286363494701</v>
      </c>
      <c r="ET322" t="e">
        <f>SUMPRODUCT($D322:$D$397,ES$10:ES322)</f>
        <v>#VALUE!</v>
      </c>
    </row>
    <row r="323" spans="1:155" x14ac:dyDescent="0.2">
      <c r="A323">
        <f t="shared" si="59"/>
        <v>1946</v>
      </c>
      <c r="C323">
        <f t="shared" si="57"/>
        <v>74</v>
      </c>
      <c r="D323" s="63">
        <f t="shared" si="60"/>
        <v>0.48966065164479422</v>
      </c>
      <c r="E323" s="18">
        <f t="shared" si="61"/>
        <v>2.0422306686088638</v>
      </c>
      <c r="F323">
        <f t="shared" si="58"/>
        <v>1946</v>
      </c>
      <c r="G323" s="19">
        <f>Dodge_to_CBECS!C43</f>
        <v>47.844970535041448</v>
      </c>
      <c r="H323" s="19">
        <f>Dodge_to_CBECS!D43</f>
        <v>58.865488771665412</v>
      </c>
      <c r="I323" s="19">
        <f>Dodge_to_CBECS!E43</f>
        <v>8.0940047061039948</v>
      </c>
      <c r="J323" s="19">
        <f>Dodge_to_CBECS!F43</f>
        <v>6.622367486812359</v>
      </c>
      <c r="K323" s="19">
        <f>Dodge_to_CBECS!G43</f>
        <v>34.470781713137406</v>
      </c>
      <c r="L323" s="19">
        <f>Dodge_to_CBECS!H43</f>
        <v>27.133599999999998</v>
      </c>
      <c r="M323" s="19">
        <f>Dodge_to_CBECS!I43</f>
        <v>14.675625</v>
      </c>
      <c r="N323" s="19">
        <f>Dodge_to_CBECS!J43</f>
        <v>19.891712243401759</v>
      </c>
      <c r="O323" s="19">
        <f>Dodge_to_CBECS!K43</f>
        <v>10.436</v>
      </c>
      <c r="P323" s="19">
        <f>Dodge_to_CBECS!L43</f>
        <v>18.002099999999999</v>
      </c>
      <c r="Q323" s="19">
        <f>Dodge_to_CBECS!M43</f>
        <v>24.645186787239385</v>
      </c>
      <c r="T323">
        <f t="shared" si="62"/>
        <v>270.68183724340179</v>
      </c>
      <c r="U323">
        <f t="shared" si="52"/>
        <v>220.34303315508026</v>
      </c>
      <c r="AB323">
        <f t="shared" si="63"/>
        <v>1946</v>
      </c>
      <c r="AD323">
        <f t="shared" ref="AD323:AD336" si="72">$U$470*U323</f>
        <v>375.21060277194596</v>
      </c>
      <c r="AH323">
        <f t="shared" si="64"/>
        <v>375.21060277194596</v>
      </c>
      <c r="AI323">
        <f t="shared" si="67"/>
        <v>26083.322963069677</v>
      </c>
      <c r="AL323" s="87">
        <f t="shared" si="65"/>
        <v>375.21060277194596</v>
      </c>
      <c r="AM323" s="87">
        <f t="shared" si="68"/>
        <v>26083.322963069677</v>
      </c>
      <c r="AO323" s="19">
        <f t="shared" si="69"/>
        <v>-179.97803492908537</v>
      </c>
      <c r="AP323" s="23">
        <f t="shared" si="70"/>
        <v>6.9001190984718085E-3</v>
      </c>
      <c r="AQ323" s="23"/>
      <c r="AR323" s="23"/>
      <c r="AS323" s="23"/>
      <c r="AT323" s="23"/>
      <c r="AU323" s="23"/>
      <c r="AW323" s="35"/>
      <c r="AX323">
        <v>229.4</v>
      </c>
      <c r="AZ323">
        <v>1946</v>
      </c>
      <c r="BA323">
        <v>443.23316990194036</v>
      </c>
      <c r="BB323">
        <v>21724.11998691281</v>
      </c>
      <c r="BE323">
        <v>443.23316990194036</v>
      </c>
      <c r="BF323">
        <v>21724.11998691281</v>
      </c>
      <c r="BI323">
        <v>443.23316990194036</v>
      </c>
      <c r="BJ323">
        <v>21724.11998691281</v>
      </c>
      <c r="BL323">
        <v>-156.31911481672688</v>
      </c>
      <c r="BM323">
        <v>7.1956477367505654E-3</v>
      </c>
      <c r="BT323">
        <f t="shared" si="71"/>
        <v>75</v>
      </c>
      <c r="BU323">
        <f>D321</f>
        <v>0.46357053374692569</v>
      </c>
      <c r="BV323">
        <v>0.53037484633329601</v>
      </c>
      <c r="DW323" s="57"/>
      <c r="EA323">
        <f t="shared" ref="EA323:EA336" si="73">$H$470*H323</f>
        <v>116.15505654780668</v>
      </c>
      <c r="EB323" t="e">
        <f>SUMPRODUCT($D321:$D$397,EA$10:EA323)</f>
        <v>#VALUE!</v>
      </c>
      <c r="EO323" s="15"/>
      <c r="ES323">
        <f t="shared" ref="ES323:ES336" si="74">$L$470*L323</f>
        <v>40.828772484608102</v>
      </c>
      <c r="ET323" t="e">
        <f>SUMPRODUCT($D321:$D$397,ES$10:ES323)</f>
        <v>#VALUE!</v>
      </c>
    </row>
    <row r="324" spans="1:155" x14ac:dyDescent="0.2">
      <c r="A324">
        <f t="shared" si="59"/>
        <v>1947</v>
      </c>
      <c r="C324">
        <f t="shared" si="57"/>
        <v>73</v>
      </c>
      <c r="D324" s="63">
        <f t="shared" si="60"/>
        <v>0.50300208249067324</v>
      </c>
      <c r="E324" s="18">
        <f t="shared" si="61"/>
        <v>1.9880633397149845</v>
      </c>
      <c r="F324">
        <f t="shared" si="58"/>
        <v>1947</v>
      </c>
      <c r="G324" s="19">
        <f>Dodge_to_CBECS!C44</f>
        <v>41.979855058402407</v>
      </c>
      <c r="H324" s="19">
        <f>Dodge_to_CBECS!D44</f>
        <v>48.627814619442361</v>
      </c>
      <c r="I324" s="19">
        <f>Dodge_to_CBECS!E44</f>
        <v>6.686324510173324</v>
      </c>
      <c r="J324" s="19">
        <f>Dodge_to_CBECS!F44</f>
        <v>5.4706291446872655</v>
      </c>
      <c r="K324" s="19">
        <f>Dodge_to_CBECS!G44</f>
        <v>28.475747299673451</v>
      </c>
      <c r="L324" s="19">
        <f>Dodge_to_CBECS!H44</f>
        <v>42.061900000000001</v>
      </c>
      <c r="M324" s="19">
        <f>Dodge_to_CBECS!I44</f>
        <v>19.235624999999999</v>
      </c>
      <c r="N324" s="19">
        <f>Dodge_to_CBECS!J44</f>
        <v>18.802994482983809</v>
      </c>
      <c r="O324" s="19">
        <f>Dodge_to_CBECS!K44</f>
        <v>15.388500000000001</v>
      </c>
      <c r="P324" s="19">
        <f>Dodge_to_CBECS!L44</f>
        <v>22.120968750000003</v>
      </c>
      <c r="Q324" s="19">
        <f>Dodge_to_CBECS!M44</f>
        <v>26.427635617621199</v>
      </c>
      <c r="T324">
        <f t="shared" si="62"/>
        <v>275.27799448298384</v>
      </c>
      <c r="U324">
        <f t="shared" si="52"/>
        <v>272.52030013923462</v>
      </c>
      <c r="AB324">
        <f t="shared" si="63"/>
        <v>1947</v>
      </c>
      <c r="AD324">
        <f t="shared" si="72"/>
        <v>464.06053605909665</v>
      </c>
      <c r="AH324">
        <f t="shared" si="64"/>
        <v>464.06053605909665</v>
      </c>
      <c r="AI324">
        <f t="shared" si="67"/>
        <v>26362.546545023637</v>
      </c>
      <c r="AL324" s="87">
        <f t="shared" si="65"/>
        <v>464.06053605909665</v>
      </c>
      <c r="AM324" s="87">
        <f t="shared" si="68"/>
        <v>26362.546545023637</v>
      </c>
      <c r="AO324" s="19">
        <f t="shared" si="69"/>
        <v>-184.83695410513656</v>
      </c>
      <c r="AP324" s="23">
        <f t="shared" si="70"/>
        <v>7.0113467145315501E-3</v>
      </c>
      <c r="AQ324" s="23"/>
      <c r="AR324" s="23"/>
      <c r="AS324" s="23"/>
      <c r="AT324" s="23"/>
      <c r="AU324" s="23"/>
      <c r="AW324" s="35"/>
      <c r="AX324">
        <v>245.2</v>
      </c>
      <c r="AZ324">
        <v>1947</v>
      </c>
      <c r="BA324">
        <v>473.7609993895195</v>
      </c>
      <c r="BB324">
        <v>22038.650676734604</v>
      </c>
      <c r="BE324">
        <v>473.7609993895195</v>
      </c>
      <c r="BF324">
        <v>22038.650676734604</v>
      </c>
      <c r="BI324">
        <v>473.7609993895195</v>
      </c>
      <c r="BJ324">
        <v>22038.650676734604</v>
      </c>
      <c r="BL324">
        <v>-159.23030956772629</v>
      </c>
      <c r="BM324">
        <v>7.2250480260036927E-3</v>
      </c>
      <c r="BT324">
        <f t="shared" si="71"/>
        <v>76</v>
      </c>
      <c r="BU324">
        <f>D320</f>
        <v>0.45084547215524529</v>
      </c>
      <c r="BV324">
        <v>0.52352041375428959</v>
      </c>
      <c r="CH324" t="s">
        <v>243</v>
      </c>
      <c r="DW324" s="57"/>
      <c r="EA324">
        <f t="shared" si="73"/>
        <v>95.953786756568974</v>
      </c>
      <c r="EB324" t="e">
        <f>SUMPRODUCT($D320:$D$397,EA$10:EA324)</f>
        <v>#VALUE!</v>
      </c>
      <c r="EO324" s="15"/>
      <c r="ES324">
        <f t="shared" si="74"/>
        <v>63.291850155170629</v>
      </c>
      <c r="ET324" t="e">
        <f>SUMPRODUCT($D320:$D$397,ES$10:ES324)</f>
        <v>#VALUE!</v>
      </c>
    </row>
    <row r="325" spans="1:155" x14ac:dyDescent="0.2">
      <c r="A325">
        <f t="shared" si="59"/>
        <v>1948</v>
      </c>
      <c r="C325">
        <f t="shared" si="57"/>
        <v>72</v>
      </c>
      <c r="D325" s="63">
        <f t="shared" si="60"/>
        <v>0.51652308733816632</v>
      </c>
      <c r="E325" s="18">
        <f t="shared" si="61"/>
        <v>1.9360218826875062</v>
      </c>
      <c r="F325">
        <f t="shared" si="58"/>
        <v>1948</v>
      </c>
      <c r="G325" s="19">
        <f>Dodge_to_CBECS!C45</f>
        <v>45.523231047475505</v>
      </c>
      <c r="H325" s="19">
        <f>Dodge_to_CBECS!D45</f>
        <v>48.266720271288627</v>
      </c>
      <c r="I325" s="19">
        <f>Dodge_to_CBECS!E45</f>
        <v>6.6366740373021864</v>
      </c>
      <c r="J325" s="19">
        <f>Dodge_to_CBECS!F45</f>
        <v>5.4300060305199702</v>
      </c>
      <c r="K325" s="19">
        <f>Dodge_to_CBECS!G45</f>
        <v>28.264295654358204</v>
      </c>
      <c r="L325" s="19">
        <f>Dodge_to_CBECS!H45</f>
        <v>72.590399999999988</v>
      </c>
      <c r="M325" s="19">
        <f>Dodge_to_CBECS!I45</f>
        <v>33.081562500000004</v>
      </c>
      <c r="N325" s="19">
        <f>Dodge_to_CBECS!J45</f>
        <v>23.326294556605632</v>
      </c>
      <c r="O325" s="19">
        <f>Dodge_to_CBECS!K45</f>
        <v>26.465250000000001</v>
      </c>
      <c r="P325" s="19">
        <f>Dodge_to_CBECS!L45</f>
        <v>34.530850000000008</v>
      </c>
      <c r="Q325" s="19">
        <f>Dodge_to_CBECS!M45</f>
        <v>34.752572959055513</v>
      </c>
      <c r="T325">
        <f t="shared" si="62"/>
        <v>358.86785705660566</v>
      </c>
      <c r="U325">
        <f t="shared" si="52"/>
        <v>308.71393951243255</v>
      </c>
      <c r="AB325">
        <f t="shared" si="63"/>
        <v>1948</v>
      </c>
      <c r="AD325">
        <f t="shared" si="72"/>
        <v>525.69278760466784</v>
      </c>
      <c r="AH325">
        <f t="shared" si="64"/>
        <v>525.69278760466784</v>
      </c>
      <c r="AI325">
        <f t="shared" si="67"/>
        <v>26698.485992645976</v>
      </c>
      <c r="AL325" s="87">
        <f t="shared" si="65"/>
        <v>525.69278760466784</v>
      </c>
      <c r="AM325" s="87">
        <f t="shared" si="68"/>
        <v>26698.485992645976</v>
      </c>
      <c r="AO325" s="19">
        <f t="shared" si="69"/>
        <v>-189.75333998232907</v>
      </c>
      <c r="AP325" s="23">
        <f t="shared" si="70"/>
        <v>7.1072696794341108E-3</v>
      </c>
      <c r="AQ325" s="23"/>
      <c r="AR325" s="23"/>
      <c r="AS325" s="23"/>
      <c r="AT325" s="23"/>
      <c r="AU325" s="23"/>
      <c r="AW325" s="35"/>
      <c r="AX325">
        <v>341</v>
      </c>
      <c r="AZ325">
        <v>1948</v>
      </c>
      <c r="BA325">
        <v>658.86011742180324</v>
      </c>
      <c r="BB325">
        <v>22535.2378297143</v>
      </c>
      <c r="BE325">
        <v>658.86011742180324</v>
      </c>
      <c r="BF325">
        <v>22535.2378297143</v>
      </c>
      <c r="BI325">
        <v>658.86011742180324</v>
      </c>
      <c r="BJ325">
        <v>22535.2378297143</v>
      </c>
      <c r="BL325">
        <v>-162.2729644421064</v>
      </c>
      <c r="BM325">
        <v>7.2008543095177834E-3</v>
      </c>
      <c r="BT325">
        <f t="shared" si="71"/>
        <v>77</v>
      </c>
      <c r="BU325">
        <f>D319</f>
        <v>0.43834728239217857</v>
      </c>
      <c r="BV325">
        <v>0.51668885825479904</v>
      </c>
      <c r="CH325" t="s">
        <v>370</v>
      </c>
      <c r="CI325" t="s">
        <v>124</v>
      </c>
      <c r="DW325" s="57"/>
      <c r="EA325">
        <f t="shared" si="73"/>
        <v>95.241265119458575</v>
      </c>
      <c r="EB325" t="e">
        <f>SUMPRODUCT($D319:$D$397,EA$10:EA325)</f>
        <v>#VALUE!</v>
      </c>
      <c r="EO325" s="15"/>
      <c r="ES325">
        <f t="shared" si="74"/>
        <v>109.22903433995842</v>
      </c>
      <c r="ET325" t="e">
        <f>SUMPRODUCT($D319:$D$397,ES$10:ES325)</f>
        <v>#VALUE!</v>
      </c>
    </row>
    <row r="326" spans="1:155" x14ac:dyDescent="0.2">
      <c r="A326">
        <f t="shared" si="59"/>
        <v>1949</v>
      </c>
      <c r="C326">
        <f t="shared" si="57"/>
        <v>71</v>
      </c>
      <c r="D326" s="63">
        <f t="shared" si="60"/>
        <v>0.53020845175056952</v>
      </c>
      <c r="E326" s="18">
        <f t="shared" si="61"/>
        <v>1.8860506593177404</v>
      </c>
      <c r="F326">
        <f t="shared" si="58"/>
        <v>1949</v>
      </c>
      <c r="G326" s="19">
        <f>Dodge_to_CBECS!C46</f>
        <v>40.272464817256967</v>
      </c>
      <c r="H326" s="19">
        <f>Dodge_to_CBECS!D46</f>
        <v>40.376870384325542</v>
      </c>
      <c r="I326" s="19">
        <f>Dodge_to_CBECS!E46</f>
        <v>5.5518196778447617</v>
      </c>
      <c r="J326" s="19">
        <f>Dodge_to_CBECS!F46</f>
        <v>4.542397918236623</v>
      </c>
      <c r="K326" s="19">
        <f>Dodge_to_CBECS!G46</f>
        <v>23.644113288118561</v>
      </c>
      <c r="L326" s="19">
        <f>Dodge_to_CBECS!H46</f>
        <v>78.249499999999998</v>
      </c>
      <c r="M326" s="19">
        <f>Dodge_to_CBECS!I46</f>
        <v>39.000937499999999</v>
      </c>
      <c r="N326" s="19">
        <f>Dodge_to_CBECS!J46</f>
        <v>23.288963742021735</v>
      </c>
      <c r="O326" s="19">
        <f>Dodge_to_CBECS!K46</f>
        <v>30.953124999999996</v>
      </c>
      <c r="P326" s="19">
        <f>Dodge_to_CBECS!L46</f>
        <v>33.61509375</v>
      </c>
      <c r="Q326" s="19">
        <f>Dodge_to_CBECS!M46</f>
        <v>41.182740164217527</v>
      </c>
      <c r="T326">
        <f t="shared" si="62"/>
        <v>360.6780262420217</v>
      </c>
      <c r="U326">
        <f t="shared" si="52"/>
        <v>359.59192473077212</v>
      </c>
      <c r="AB326">
        <f t="shared" si="63"/>
        <v>1949</v>
      </c>
      <c r="AD326">
        <f t="shared" si="72"/>
        <v>612.33024206940502</v>
      </c>
      <c r="AH326">
        <f t="shared" si="64"/>
        <v>612.33024206940502</v>
      </c>
      <c r="AI326">
        <f t="shared" si="67"/>
        <v>27116.094645620862</v>
      </c>
      <c r="AL326" s="87">
        <f t="shared" si="65"/>
        <v>612.33024206940502</v>
      </c>
      <c r="AM326" s="87">
        <f t="shared" si="68"/>
        <v>27116.094645620862</v>
      </c>
      <c r="AO326" s="19">
        <f t="shared" si="69"/>
        <v>-194.72158909451866</v>
      </c>
      <c r="AP326" s="23">
        <f t="shared" si="70"/>
        <v>7.1810336864259836E-3</v>
      </c>
      <c r="AQ326" s="23"/>
      <c r="AR326" s="23"/>
      <c r="AS326" s="23"/>
      <c r="AT326" s="23"/>
      <c r="AU326" s="23"/>
      <c r="AW326" s="35"/>
      <c r="AX326">
        <v>352.4</v>
      </c>
      <c r="AZ326">
        <v>1949</v>
      </c>
      <c r="BA326">
        <v>680.88652603942353</v>
      </c>
      <c r="BB326">
        <v>23050.019477823414</v>
      </c>
      <c r="BE326">
        <v>680.88652603942353</v>
      </c>
      <c r="BF326">
        <v>23050.019477823414</v>
      </c>
      <c r="BI326">
        <v>680.88652603942353</v>
      </c>
      <c r="BJ326">
        <v>23050.019477823414</v>
      </c>
      <c r="BL326">
        <v>-166.1048779303095</v>
      </c>
      <c r="BM326">
        <v>7.2062792871008269E-3</v>
      </c>
      <c r="BT326">
        <f t="shared" si="71"/>
        <v>78</v>
      </c>
      <c r="BU326">
        <f>D318</f>
        <v>0.42608451359617938</v>
      </c>
      <c r="BV326">
        <v>0.50988183190637992</v>
      </c>
      <c r="CH326">
        <f>CI363</f>
        <v>12.395925057992182</v>
      </c>
      <c r="CI326">
        <v>1986</v>
      </c>
      <c r="DW326" s="57"/>
      <c r="EA326">
        <f t="shared" si="73"/>
        <v>79.672788939319744</v>
      </c>
      <c r="EB326" s="16" t="e">
        <f>SUMPRODUCT($D318:$D$397,EA$10:EA326)</f>
        <v>#VALUE!</v>
      </c>
      <c r="EO326" s="15"/>
      <c r="ES326">
        <f t="shared" si="74"/>
        <v>117.74445825597569</v>
      </c>
      <c r="ET326" s="16" t="e">
        <f>SUMPRODUCT($D318:$D$397,ES$10:ES326)</f>
        <v>#VALUE!</v>
      </c>
    </row>
    <row r="327" spans="1:155" x14ac:dyDescent="0.2">
      <c r="A327">
        <f t="shared" si="59"/>
        <v>1950</v>
      </c>
      <c r="C327">
        <f t="shared" si="57"/>
        <v>70</v>
      </c>
      <c r="D327" s="63">
        <f t="shared" si="60"/>
        <v>0.54404159822483755</v>
      </c>
      <c r="E327" s="18">
        <f t="shared" si="61"/>
        <v>1.8380947399296612</v>
      </c>
      <c r="F327">
        <f t="shared" si="58"/>
        <v>1950</v>
      </c>
      <c r="G327" s="19">
        <f>Dodge_to_CBECS!C47</f>
        <v>55.979710022607385</v>
      </c>
      <c r="H327" s="19">
        <f>Dodge_to_CBECS!D47</f>
        <v>56.255257272042208</v>
      </c>
      <c r="I327" s="19">
        <f>Dodge_to_CBECS!E47</f>
        <v>7.7350978749058035</v>
      </c>
      <c r="J327" s="19">
        <f>Dodge_to_CBECS!F47</f>
        <v>6.3287164431047476</v>
      </c>
      <c r="K327" s="19">
        <f>Dodge_to_CBECS!G47</f>
        <v>32.942267771916605</v>
      </c>
      <c r="L327" s="19">
        <f>Dodge_to_CBECS!H47</f>
        <v>107.98079999999999</v>
      </c>
      <c r="M327" s="19">
        <f>Dodge_to_CBECS!I47</f>
        <v>41.04</v>
      </c>
      <c r="N327" s="19">
        <f>Dodge_to_CBECS!J47</f>
        <v>28.014709874565661</v>
      </c>
      <c r="O327" s="19">
        <f>Dodge_to_CBECS!K47</f>
        <v>35.263999999999996</v>
      </c>
      <c r="P327" s="19">
        <f>Dodge_to_CBECS!L47</f>
        <v>39.337600000000002</v>
      </c>
      <c r="Q327" s="19">
        <f>Dodge_to_CBECS!M47</f>
        <v>52.160550615423269</v>
      </c>
      <c r="T327">
        <f t="shared" si="62"/>
        <v>463.03870987456571</v>
      </c>
      <c r="U327">
        <f t="shared" si="52"/>
        <v>401.62229969503932</v>
      </c>
      <c r="AB327">
        <f t="shared" si="63"/>
        <v>1950</v>
      </c>
      <c r="AD327">
        <f t="shared" si="72"/>
        <v>683.90156474414698</v>
      </c>
      <c r="AH327">
        <f t="shared" si="64"/>
        <v>683.90156474414698</v>
      </c>
      <c r="AI327">
        <f t="shared" si="67"/>
        <v>27600.260471147489</v>
      </c>
      <c r="AL327" s="87">
        <f t="shared" si="65"/>
        <v>683.90156474414698</v>
      </c>
      <c r="AM327" s="87">
        <f t="shared" si="68"/>
        <v>27600.260471147489</v>
      </c>
      <c r="AO327" s="19">
        <f t="shared" si="69"/>
        <v>-199.7357392175204</v>
      </c>
      <c r="AP327" s="23">
        <f t="shared" si="70"/>
        <v>7.2367338498967558E-3</v>
      </c>
      <c r="AQ327" s="23"/>
      <c r="AR327" s="23"/>
      <c r="AS327" s="23"/>
      <c r="AT327" s="23"/>
      <c r="AU327" s="23"/>
      <c r="AW327" s="35"/>
      <c r="AX327">
        <v>454.4</v>
      </c>
      <c r="AZ327">
        <v>1950</v>
      </c>
      <c r="BA327">
        <v>877.96491893392192</v>
      </c>
      <c r="BB327">
        <v>23757.940420497016</v>
      </c>
      <c r="BE327">
        <v>877.96491893392192</v>
      </c>
      <c r="BF327">
        <v>23757.940420497016</v>
      </c>
      <c r="BI327">
        <v>877.96491893392192</v>
      </c>
      <c r="BJ327">
        <v>23757.940420497016</v>
      </c>
      <c r="BL327">
        <v>-170.04397626032039</v>
      </c>
      <c r="BM327">
        <v>7.1573534258725559E-3</v>
      </c>
      <c r="BT327">
        <f t="shared" si="71"/>
        <v>79</v>
      </c>
      <c r="BU327">
        <f>D317</f>
        <v>0.4140644822021714</v>
      </c>
      <c r="BV327">
        <v>0.50310096223685119</v>
      </c>
      <c r="CH327">
        <f>CI366</f>
        <v>13.201432880573222</v>
      </c>
      <c r="CI327">
        <v>1989</v>
      </c>
      <c r="DW327" s="57"/>
      <c r="EA327">
        <f t="shared" si="73"/>
        <v>111.00447351913846</v>
      </c>
      <c r="EB327" s="16" t="e">
        <f>SUMPRODUCT($D317:$D$397,EA$10:EA327)</f>
        <v>#VALUE!</v>
      </c>
      <c r="EO327" s="15"/>
      <c r="ES327">
        <f t="shared" si="74"/>
        <v>162.48207078699363</v>
      </c>
      <c r="ET327" s="16" t="e">
        <f>SUMPRODUCT($D317:$D$397,ES$10:ES327)</f>
        <v>#VALUE!</v>
      </c>
    </row>
    <row r="328" spans="1:155" x14ac:dyDescent="0.2">
      <c r="A328">
        <f t="shared" si="59"/>
        <v>1951</v>
      </c>
      <c r="C328">
        <f t="shared" si="57"/>
        <v>69</v>
      </c>
      <c r="D328" s="63">
        <f t="shared" si="60"/>
        <v>0.55800460548357012</v>
      </c>
      <c r="E328" s="18">
        <f t="shared" si="61"/>
        <v>1.7920999041457624</v>
      </c>
      <c r="F328">
        <f t="shared" si="58"/>
        <v>1951</v>
      </c>
      <c r="G328" s="19">
        <f>Dodge_to_CBECS!C48</f>
        <v>40.88252373775434</v>
      </c>
      <c r="H328" s="19">
        <f>Dodge_to_CBECS!D48</f>
        <v>36.118535644310477</v>
      </c>
      <c r="I328" s="19">
        <f>Dodge_to_CBECS!E48</f>
        <v>4.9662986510926901</v>
      </c>
      <c r="J328" s="19">
        <f>Dodge_to_CBECS!F48</f>
        <v>4.0633352599849282</v>
      </c>
      <c r="K328" s="19">
        <f>Dodge_to_CBECS!G48</f>
        <v>21.150493845767397</v>
      </c>
      <c r="L328" s="19">
        <f>Dodge_to_CBECS!H48</f>
        <v>108.85600000000001</v>
      </c>
      <c r="M328" s="19">
        <f>Dodge_to_CBECS!I48</f>
        <v>35.2545</v>
      </c>
      <c r="N328" s="19">
        <f>Dodge_to_CBECS!J48</f>
        <v>20.95506166982922</v>
      </c>
      <c r="O328" s="19">
        <f>Dodge_to_CBECS!K48</f>
        <v>30.925000000000004</v>
      </c>
      <c r="P328" s="19">
        <f>Dodge_to_CBECS!L48</f>
        <v>26.595500000000001</v>
      </c>
      <c r="Q328" s="19">
        <f>Dodge_to_CBECS!M48</f>
        <v>77.75031286109018</v>
      </c>
      <c r="T328">
        <f t="shared" si="62"/>
        <v>407.51756166982932</v>
      </c>
      <c r="U328">
        <f t="shared" si="52"/>
        <v>440.83025059267118</v>
      </c>
      <c r="AB328">
        <f t="shared" si="63"/>
        <v>1951</v>
      </c>
      <c r="AD328">
        <f t="shared" si="72"/>
        <v>750.66672940174408</v>
      </c>
      <c r="AH328">
        <f t="shared" si="64"/>
        <v>750.66672940174408</v>
      </c>
      <c r="AI328">
        <f t="shared" si="67"/>
        <v>28146.137635131661</v>
      </c>
      <c r="AL328" s="87">
        <f t="shared" si="65"/>
        <v>750.66672940174408</v>
      </c>
      <c r="AM328" s="87">
        <f t="shared" si="68"/>
        <v>28146.137635131661</v>
      </c>
      <c r="AO328" s="19">
        <f t="shared" si="69"/>
        <v>-204.78956541757157</v>
      </c>
      <c r="AP328" s="23">
        <f t="shared" si="70"/>
        <v>7.275938463469878E-3</v>
      </c>
      <c r="AQ328" s="23"/>
      <c r="AR328" s="23"/>
      <c r="AS328" s="23"/>
      <c r="AT328" s="23"/>
      <c r="AU328" s="23"/>
      <c r="AW328" s="35"/>
      <c r="AX328">
        <v>389</v>
      </c>
      <c r="AZ328">
        <v>1951</v>
      </c>
      <c r="BA328">
        <v>751.60289054862596</v>
      </c>
      <c r="BB328">
        <v>24334.708736526245</v>
      </c>
      <c r="BE328">
        <v>751.60289054862596</v>
      </c>
      <c r="BF328">
        <v>24334.708736526245</v>
      </c>
      <c r="BI328">
        <v>751.60289054862596</v>
      </c>
      <c r="BJ328">
        <v>24334.708736526245</v>
      </c>
      <c r="BL328">
        <v>-174.83457451939694</v>
      </c>
      <c r="BM328">
        <v>7.1845764176733844E-3</v>
      </c>
      <c r="BT328">
        <f t="shared" ref="BT328:BT342" si="75">BT327+1</f>
        <v>80</v>
      </c>
      <c r="BU328">
        <f>D316</f>
        <v>0.40229332281762048</v>
      </c>
      <c r="CH328">
        <f>CI369</f>
        <v>11.494237681803023</v>
      </c>
      <c r="CI328">
        <v>1992</v>
      </c>
      <c r="DW328" s="57"/>
      <c r="EA328">
        <f t="shared" si="73"/>
        <v>71.270121725520511</v>
      </c>
      <c r="EB328" s="16" t="e">
        <f>SUMPRODUCT($D316:$D$397,EA$10:EA328)</f>
        <v>#VALUE!</v>
      </c>
      <c r="EO328" s="15"/>
      <c r="ES328">
        <f t="shared" si="74"/>
        <v>163.79901146860351</v>
      </c>
      <c r="ET328" s="16" t="e">
        <f>SUMPRODUCT($D316:$D$397,ES$10:ES328)</f>
        <v>#VALUE!</v>
      </c>
    </row>
    <row r="329" spans="1:155" x14ac:dyDescent="0.2">
      <c r="A329">
        <f t="shared" si="59"/>
        <v>1952</v>
      </c>
      <c r="C329">
        <f t="shared" si="57"/>
        <v>68</v>
      </c>
      <c r="D329" s="63">
        <f t="shared" si="60"/>
        <v>0.57207824255075679</v>
      </c>
      <c r="E329" s="18">
        <f t="shared" si="61"/>
        <v>1.7480126416646171</v>
      </c>
      <c r="F329">
        <f t="shared" si="58"/>
        <v>1952</v>
      </c>
      <c r="G329" s="19">
        <f>Dodge_to_CBECS!C49</f>
        <v>41.838201657874905</v>
      </c>
      <c r="H329" s="19">
        <f>Dodge_to_CBECS!D49</f>
        <v>38.059666616428032</v>
      </c>
      <c r="I329" s="19">
        <f>Dodge_to_CBECS!E49</f>
        <v>5.2332041597588539</v>
      </c>
      <c r="J329" s="19">
        <f>Dodge_to_CBECS!F49</f>
        <v>4.2817124943481533</v>
      </c>
      <c r="K329" s="19">
        <f>Dodge_to_CBECS!G49</f>
        <v>22.28719216277317</v>
      </c>
      <c r="L329" s="19">
        <f>Dodge_to_CBECS!H49</f>
        <v>104.77439999999999</v>
      </c>
      <c r="M329" s="19">
        <f>Dodge_to_CBECS!I49</f>
        <v>23.867999999999999</v>
      </c>
      <c r="N329" s="19">
        <f>Dodge_to_CBECS!J49</f>
        <v>17.654191872643484</v>
      </c>
      <c r="O329" s="19">
        <f>Dodge_to_CBECS!K49</f>
        <v>26.928000000000001</v>
      </c>
      <c r="P329" s="19">
        <f>Dodge_to_CBECS!L49</f>
        <v>28.825200000000002</v>
      </c>
      <c r="Q329" s="19">
        <f>Dodge_to_CBECS!M49</f>
        <v>94.972422908816895</v>
      </c>
      <c r="T329">
        <f t="shared" si="62"/>
        <v>408.72219187264346</v>
      </c>
      <c r="U329">
        <f t="shared" si="52"/>
        <v>407.999413750955</v>
      </c>
      <c r="AB329">
        <f t="shared" si="63"/>
        <v>1952</v>
      </c>
      <c r="AD329">
        <f t="shared" si="72"/>
        <v>694.76081803935563</v>
      </c>
      <c r="AH329">
        <f t="shared" si="64"/>
        <v>694.76081803935563</v>
      </c>
      <c r="AI329">
        <f t="shared" si="67"/>
        <v>28631.021771219537</v>
      </c>
      <c r="AL329" s="87">
        <f t="shared" si="65"/>
        <v>694.76081803935563</v>
      </c>
      <c r="AM329" s="87">
        <f t="shared" si="68"/>
        <v>28631.021771219537</v>
      </c>
      <c r="AO329" s="19">
        <f t="shared" si="69"/>
        <v>-209.87668195147967</v>
      </c>
      <c r="AP329" s="23">
        <f t="shared" si="70"/>
        <v>7.3303944102495085E-3</v>
      </c>
      <c r="AQ329" s="23"/>
      <c r="AR329" s="23"/>
      <c r="AS329" s="23"/>
      <c r="AT329" s="23"/>
      <c r="AU329" s="23"/>
      <c r="AW329" s="35"/>
      <c r="AX329">
        <v>396.4</v>
      </c>
      <c r="AZ329">
        <v>1952</v>
      </c>
      <c r="BA329">
        <v>765.90073473901111</v>
      </c>
      <c r="BB329">
        <v>24921.49531597997</v>
      </c>
      <c r="BE329">
        <v>765.90073473901111</v>
      </c>
      <c r="BF329">
        <v>24921.49531597997</v>
      </c>
      <c r="BI329">
        <v>765.90073473901111</v>
      </c>
      <c r="BJ329">
        <v>24921.49531597997</v>
      </c>
      <c r="BL329">
        <v>-179.11415528528642</v>
      </c>
      <c r="BM329">
        <v>7.1871351624088224E-3</v>
      </c>
      <c r="BT329">
        <f t="shared" si="75"/>
        <v>81</v>
      </c>
      <c r="BU329" s="36">
        <f>D315</f>
        <v>0.3907760440689183</v>
      </c>
      <c r="CH329">
        <f>CI372</f>
        <v>13.281063740703914</v>
      </c>
      <c r="CI329">
        <v>1995</v>
      </c>
      <c r="DW329" s="57"/>
      <c r="EA329">
        <f t="shared" si="73"/>
        <v>75.100416564447315</v>
      </c>
      <c r="EB329" s="16" t="e">
        <f>SUMPRODUCT($D315:$D$397,EA$10:EA329)</f>
        <v>#VALUE!</v>
      </c>
      <c r="EO329" s="15"/>
      <c r="ES329">
        <f t="shared" si="74"/>
        <v>157.65730090409392</v>
      </c>
      <c r="ET329" s="16" t="e">
        <f>SUMPRODUCT($D315:$D$397,ES$10:ES329)</f>
        <v>#VALUE!</v>
      </c>
    </row>
    <row r="330" spans="1:155" x14ac:dyDescent="0.2">
      <c r="A330">
        <f t="shared" si="59"/>
        <v>1953</v>
      </c>
      <c r="C330">
        <f t="shared" ref="C330:C361" si="76">C329-1</f>
        <v>67</v>
      </c>
      <c r="D330" s="63">
        <f t="shared" si="60"/>
        <v>0.5862420184756324</v>
      </c>
      <c r="E330" s="18">
        <f t="shared" si="61"/>
        <v>1.705780153050503</v>
      </c>
      <c r="F330">
        <f t="shared" si="58"/>
        <v>1953</v>
      </c>
      <c r="G330" s="19">
        <f>Dodge_to_CBECS!C50</f>
        <v>57.575367897513189</v>
      </c>
      <c r="H330" s="19">
        <f>Dodge_to_CBECS!D50</f>
        <v>56.389873700075377</v>
      </c>
      <c r="I330" s="19">
        <f>Dodge_to_CBECS!E50</f>
        <v>7.7536076337603639</v>
      </c>
      <c r="J330" s="19">
        <f>Dodge_to_CBECS!F50</f>
        <v>6.3438607912584795</v>
      </c>
      <c r="K330" s="19">
        <f>Dodge_to_CBECS!G50</f>
        <v>33.021097211755844</v>
      </c>
      <c r="L330" s="19">
        <f>Dodge_to_CBECS!H50</f>
        <v>119.93279999999999</v>
      </c>
      <c r="M330" s="19">
        <f>Dodge_to_CBECS!I50</f>
        <v>20.855250000000002</v>
      </c>
      <c r="N330" s="19">
        <f>Dodge_to_CBECS!J50</f>
        <v>21.32076222307105</v>
      </c>
      <c r="O330" s="19">
        <f>Dodge_to_CBECS!K50</f>
        <v>33.852000000000004</v>
      </c>
      <c r="P330" s="19">
        <f>Dodge_to_CBECS!L50</f>
        <v>34.093800000000002</v>
      </c>
      <c r="Q330" s="19">
        <f>Dodge_to_CBECS!M50</f>
        <v>80.232592765636781</v>
      </c>
      <c r="T330">
        <f t="shared" si="62"/>
        <v>471.37101222307115</v>
      </c>
      <c r="U330">
        <f t="shared" si="52"/>
        <v>433.7817200128145</v>
      </c>
      <c r="AB330">
        <f t="shared" si="63"/>
        <v>1953</v>
      </c>
      <c r="AD330">
        <f t="shared" si="72"/>
        <v>738.66415609749458</v>
      </c>
      <c r="AH330">
        <f t="shared" si="64"/>
        <v>738.66415609749458</v>
      </c>
      <c r="AI330">
        <f t="shared" si="67"/>
        <v>29154.695294209578</v>
      </c>
      <c r="AL330" s="87">
        <f t="shared" si="65"/>
        <v>738.66415609749458</v>
      </c>
      <c r="AM330" s="87">
        <f t="shared" si="68"/>
        <v>29154.695294209578</v>
      </c>
      <c r="AO330" s="19">
        <f t="shared" si="69"/>
        <v>-214.99063310745407</v>
      </c>
      <c r="AP330" s="23">
        <f t="shared" si="70"/>
        <v>7.3741341124615844E-3</v>
      </c>
      <c r="AQ330" s="23"/>
      <c r="AR330" s="23"/>
      <c r="AS330" s="23"/>
      <c r="AT330" s="23"/>
      <c r="AU330" s="23"/>
      <c r="AW330" s="35"/>
      <c r="AX330">
        <v>454.2</v>
      </c>
      <c r="AZ330">
        <v>1953</v>
      </c>
      <c r="BA330">
        <v>877.57849071255998</v>
      </c>
      <c r="BB330">
        <v>25615.601853601082</v>
      </c>
      <c r="BE330">
        <v>877.57849071255998</v>
      </c>
      <c r="BF330">
        <v>25615.601853601082</v>
      </c>
      <c r="BI330">
        <v>877.57849071255998</v>
      </c>
      <c r="BJ330">
        <v>25615.601853601082</v>
      </c>
      <c r="BL330">
        <v>-183.4719530914482</v>
      </c>
      <c r="BM330">
        <v>7.1625079957141598E-3</v>
      </c>
      <c r="BT330">
        <f t="shared" si="75"/>
        <v>82</v>
      </c>
      <c r="BU330" s="36">
        <f>D314</f>
        <v>0.37951658827444251</v>
      </c>
      <c r="CH330">
        <f>CI376</f>
        <v>13.689814267424223</v>
      </c>
      <c r="CI330">
        <v>1999</v>
      </c>
      <c r="DW330" s="57"/>
      <c r="EA330">
        <f t="shared" si="73"/>
        <v>111.27010248335397</v>
      </c>
      <c r="EB330" s="16" t="e">
        <f>SUMPRODUCT($D314:$D$397,EA$10:EA330)</f>
        <v>#VALUE!</v>
      </c>
      <c r="EO330" s="15"/>
      <c r="ES330">
        <f t="shared" si="74"/>
        <v>180.46661720678446</v>
      </c>
      <c r="ET330" s="16" t="e">
        <f>SUMPRODUCT($D314:$D$397,ES$10:ES330)</f>
        <v>#VALUE!</v>
      </c>
    </row>
    <row r="331" spans="1:155" x14ac:dyDescent="0.2">
      <c r="A331">
        <f t="shared" si="59"/>
        <v>1954</v>
      </c>
      <c r="C331">
        <f t="shared" si="76"/>
        <v>66</v>
      </c>
      <c r="D331" s="63">
        <f t="shared" si="60"/>
        <v>0.60047424836370045</v>
      </c>
      <c r="E331" s="18">
        <f t="shared" si="61"/>
        <v>1.665350350535451</v>
      </c>
      <c r="F331">
        <f t="shared" ref="F331:F362" si="77">F330+1</f>
        <v>1954</v>
      </c>
      <c r="G331" s="19">
        <f>Dodge_to_CBECS!C51</f>
        <v>66.615181160512435</v>
      </c>
      <c r="H331" s="19">
        <f>Dodge_to_CBECS!D51</f>
        <v>63.476006631499629</v>
      </c>
      <c r="I331" s="19">
        <f>Dodge_to_CBECS!E51</f>
        <v>8.7279509118311989</v>
      </c>
      <c r="J331" s="19">
        <f>Dodge_to_CBECS!F51</f>
        <v>7.1410507460437076</v>
      </c>
      <c r="K331" s="19">
        <f>Dodge_to_CBECS!G51</f>
        <v>37.170634513941224</v>
      </c>
      <c r="L331" s="19">
        <f>Dodge_to_CBECS!H51</f>
        <v>149.44159999999999</v>
      </c>
      <c r="M331" s="19">
        <f>Dodge_to_CBECS!I51</f>
        <v>25.472999999999999</v>
      </c>
      <c r="N331" s="19">
        <f>Dodge_to_CBECS!J51</f>
        <v>24.665668523127724</v>
      </c>
      <c r="O331" s="19">
        <f>Dodge_to_CBECS!K51</f>
        <v>41.242000000000004</v>
      </c>
      <c r="P331" s="19">
        <f>Dodge_to_CBECS!L51</f>
        <v>37.724299999999999</v>
      </c>
      <c r="Q331" s="19">
        <f>Dodge_to_CBECS!M51</f>
        <v>79.726276036171825</v>
      </c>
      <c r="T331">
        <f t="shared" si="62"/>
        <v>541.40366852312786</v>
      </c>
      <c r="U331">
        <f t="shared" si="52"/>
        <v>499.38407474309383</v>
      </c>
      <c r="AB331">
        <f t="shared" si="63"/>
        <v>1954</v>
      </c>
      <c r="AD331">
        <f t="shared" si="72"/>
        <v>850.37496768590995</v>
      </c>
      <c r="AH331">
        <f t="shared" si="64"/>
        <v>850.37496768590995</v>
      </c>
      <c r="AI331">
        <f t="shared" si="67"/>
        <v>29784.945332098963</v>
      </c>
      <c r="AL331" s="87">
        <f t="shared" si="65"/>
        <v>850.37496768590995</v>
      </c>
      <c r="AM331" s="87">
        <f t="shared" si="68"/>
        <v>29784.945332098963</v>
      </c>
      <c r="AO331" s="19">
        <f t="shared" si="69"/>
        <v>-220.12492979652438</v>
      </c>
      <c r="AP331" s="23">
        <f t="shared" si="70"/>
        <v>7.3904762067599893E-3</v>
      </c>
      <c r="AQ331" s="23"/>
      <c r="AR331" s="23"/>
      <c r="AS331" s="23"/>
      <c r="AT331" s="23"/>
      <c r="AU331" s="23"/>
      <c r="AW331" s="35"/>
      <c r="AX331">
        <v>520.79999999999995</v>
      </c>
      <c r="AZ331">
        <v>1954</v>
      </c>
      <c r="BA331">
        <v>1006.2590884260266</v>
      </c>
      <c r="BB331">
        <v>26433.539064612192</v>
      </c>
      <c r="BE331">
        <v>1006.2590884260266</v>
      </c>
      <c r="BF331">
        <v>26433.539064612192</v>
      </c>
      <c r="BI331">
        <v>1006.2590884260266</v>
      </c>
      <c r="BJ331">
        <v>26433.539064612192</v>
      </c>
      <c r="BL331">
        <v>-188.32187741491578</v>
      </c>
      <c r="BM331">
        <v>7.1243535326312411E-3</v>
      </c>
      <c r="BT331">
        <f t="shared" si="75"/>
        <v>83</v>
      </c>
      <c r="BU331" s="36">
        <f>D313</f>
        <v>0.36851789388284145</v>
      </c>
      <c r="CH331">
        <f>CI380</f>
        <v>14.749092097872971</v>
      </c>
      <c r="CI331">
        <v>2003</v>
      </c>
      <c r="DW331" s="57"/>
      <c r="EA331">
        <f t="shared" si="73"/>
        <v>125.25266150953586</v>
      </c>
      <c r="EB331" s="16" t="e">
        <f>SUMPRODUCT($D313:$D$397,EA$10:EA331)</f>
        <v>#VALUE!</v>
      </c>
      <c r="EO331" s="15"/>
      <c r="ES331">
        <f t="shared" si="74"/>
        <v>224.8694270622332</v>
      </c>
      <c r="ET331" s="16" t="e">
        <f>SUMPRODUCT($D313:$D$397,ES$10:ES331)</f>
        <v>#VALUE!</v>
      </c>
    </row>
    <row r="332" spans="1:155" x14ac:dyDescent="0.2">
      <c r="A332">
        <f t="shared" si="59"/>
        <v>1955</v>
      </c>
      <c r="C332">
        <f t="shared" si="76"/>
        <v>65</v>
      </c>
      <c r="D332" s="63">
        <f t="shared" si="60"/>
        <v>0.61475213612949209</v>
      </c>
      <c r="E332" s="18">
        <f t="shared" si="61"/>
        <v>1.6266718588341089</v>
      </c>
      <c r="F332">
        <f t="shared" si="77"/>
        <v>1955</v>
      </c>
      <c r="G332" s="19">
        <f>Dodge_to_CBECS!C52</f>
        <v>79.934548982667678</v>
      </c>
      <c r="H332" s="19">
        <f>Dodge_to_CBECS!D52</f>
        <v>80.624622758100998</v>
      </c>
      <c r="I332" s="19">
        <f>Dodge_to_CBECS!E52</f>
        <v>11.085885629238886</v>
      </c>
      <c r="J332" s="19">
        <f>Dodge_to_CBECS!F52</f>
        <v>9.0702700602863597</v>
      </c>
      <c r="K332" s="19">
        <f>Dodge_to_CBECS!G52</f>
        <v>47.2126169304195</v>
      </c>
      <c r="L332" s="19">
        <f>Dodge_to_CBECS!H52</f>
        <v>152.39599999999999</v>
      </c>
      <c r="M332" s="19">
        <f>Dodge_to_CBECS!I52</f>
        <v>21.200250000000004</v>
      </c>
      <c r="N332" s="19">
        <f>Dodge_to_CBECS!J52</f>
        <v>27.611151217378449</v>
      </c>
      <c r="O332" s="19">
        <f>Dodge_to_CBECS!K52</f>
        <v>45.473000000000006</v>
      </c>
      <c r="P332" s="19">
        <f>Dodge_to_CBECS!L52</f>
        <v>40.618450000000003</v>
      </c>
      <c r="Q332" s="19">
        <f>Dodge_to_CBECS!M52</f>
        <v>94.008605639286614</v>
      </c>
      <c r="T332">
        <f t="shared" si="62"/>
        <v>609.23540121737858</v>
      </c>
      <c r="U332">
        <f t="shared" si="52"/>
        <v>568.53636160082806</v>
      </c>
      <c r="AB332">
        <f t="shared" si="63"/>
        <v>1955</v>
      </c>
      <c r="AD332">
        <f t="shared" si="72"/>
        <v>968.13077263885066</v>
      </c>
      <c r="AH332">
        <f t="shared" si="64"/>
        <v>968.13077263885066</v>
      </c>
      <c r="AI332">
        <f t="shared" si="67"/>
        <v>30527.803013520555</v>
      </c>
      <c r="AL332" s="87">
        <f t="shared" si="65"/>
        <v>968.13077263885066</v>
      </c>
      <c r="AM332" s="87">
        <f t="shared" si="68"/>
        <v>30527.803013520555</v>
      </c>
      <c r="AO332" s="19">
        <f t="shared" si="69"/>
        <v>-225.27309121725852</v>
      </c>
      <c r="AP332" s="23">
        <f t="shared" si="70"/>
        <v>7.3792762327995441E-3</v>
      </c>
      <c r="AQ332" s="23"/>
      <c r="AR332" s="23"/>
      <c r="AS332" s="23"/>
      <c r="AT332" s="23"/>
      <c r="AU332" s="23"/>
      <c r="AW332" s="35"/>
      <c r="AX332">
        <v>571.4</v>
      </c>
      <c r="AZ332">
        <v>1955</v>
      </c>
      <c r="BA332">
        <v>1104.0254284305522</v>
      </c>
      <c r="BB332">
        <v>27343.822162602184</v>
      </c>
      <c r="BE332">
        <v>1104.0254284305522</v>
      </c>
      <c r="BF332">
        <v>27343.822162602184</v>
      </c>
      <c r="BI332">
        <v>1104.0254284305522</v>
      </c>
      <c r="BJ332">
        <v>27343.822162602184</v>
      </c>
      <c r="BL332">
        <v>-193.74233044056041</v>
      </c>
      <c r="BM332">
        <v>7.0854150999248178E-3</v>
      </c>
      <c r="BT332">
        <f t="shared" si="75"/>
        <v>84</v>
      </c>
      <c r="BU332" s="36">
        <f>D312</f>
        <v>0.35778195970560622</v>
      </c>
      <c r="DW332" s="57"/>
      <c r="EA332">
        <f t="shared" si="73"/>
        <v>159.09079854817369</v>
      </c>
      <c r="EB332" s="16" t="e">
        <f>SUMPRODUCT($D312:$D$397,EA$10:EA332)</f>
        <v>#VALUE!</v>
      </c>
      <c r="EO332" s="15"/>
      <c r="ES332">
        <f t="shared" si="74"/>
        <v>229.3150047013421</v>
      </c>
      <c r="ET332" s="16" t="e">
        <f>SUMPRODUCT($D312:$D$397,ES$10:ES332)</f>
        <v>#VALUE!</v>
      </c>
    </row>
    <row r="333" spans="1:155" x14ac:dyDescent="0.2">
      <c r="A333">
        <f t="shared" si="59"/>
        <v>1956</v>
      </c>
      <c r="C333">
        <f t="shared" si="76"/>
        <v>64</v>
      </c>
      <c r="D333" s="63">
        <f t="shared" si="60"/>
        <v>0.62905187410464158</v>
      </c>
      <c r="E333" s="18">
        <f t="shared" si="61"/>
        <v>1.5896940159718083</v>
      </c>
      <c r="F333">
        <f t="shared" si="77"/>
        <v>1956</v>
      </c>
      <c r="G333" s="19">
        <f>Dodge_to_CBECS!C53</f>
        <v>89.871891484551611</v>
      </c>
      <c r="H333" s="19">
        <f>Dodge_to_CBECS!D53</f>
        <v>92.525094197437838</v>
      </c>
      <c r="I333" s="19">
        <f>Dodge_to_CBECS!E53</f>
        <v>12.722200452147701</v>
      </c>
      <c r="J333" s="19">
        <f>Dodge_to_CBECS!F53</f>
        <v>10.409073097211756</v>
      </c>
      <c r="K333" s="19">
        <f>Dodge_to_CBECS!G53</f>
        <v>54.181361466968099</v>
      </c>
      <c r="L333" s="19">
        <f>Dodge_to_CBECS!H53</f>
        <v>160</v>
      </c>
      <c r="M333" s="19">
        <f>Dodge_to_CBECS!I53</f>
        <v>24.75</v>
      </c>
      <c r="N333" s="19">
        <f>Dodge_to_CBECS!J53</f>
        <v>31.826825451588256</v>
      </c>
      <c r="O333" s="19">
        <f>Dodge_to_CBECS!K53</f>
        <v>48</v>
      </c>
      <c r="P333" s="19">
        <f>Dodge_to_CBECS!L53</f>
        <v>44.8</v>
      </c>
      <c r="Q333" s="19">
        <f>Dodge_to_CBECS!M53</f>
        <v>84.490379301682992</v>
      </c>
      <c r="T333">
        <f t="shared" si="62"/>
        <v>653.57682545158821</v>
      </c>
      <c r="U333">
        <f t="shared" si="52"/>
        <v>626.9719709110625</v>
      </c>
      <c r="AB333">
        <f t="shared" si="63"/>
        <v>1956</v>
      </c>
      <c r="AD333">
        <f t="shared" si="72"/>
        <v>1067.6377090674123</v>
      </c>
      <c r="AH333">
        <f t="shared" si="64"/>
        <v>1067.6377090674123</v>
      </c>
      <c r="AI333">
        <f t="shared" si="67"/>
        <v>31365.011955307375</v>
      </c>
      <c r="AL333" s="87">
        <f t="shared" si="65"/>
        <v>1067.6377090674123</v>
      </c>
      <c r="AM333" s="87">
        <f t="shared" si="68"/>
        <v>31365.011955307375</v>
      </c>
      <c r="AO333" s="19">
        <f t="shared" si="69"/>
        <v>-230.42876728059309</v>
      </c>
      <c r="AP333" s="23">
        <f t="shared" si="70"/>
        <v>7.3466819527738614E-3</v>
      </c>
      <c r="AQ333" s="23"/>
      <c r="AR333" s="23"/>
      <c r="AS333" s="23"/>
      <c r="AT333" s="23"/>
      <c r="AU333" s="23"/>
      <c r="AW333" s="35"/>
      <c r="AX333">
        <v>661</v>
      </c>
      <c r="AZ333">
        <v>1956</v>
      </c>
      <c r="BA333">
        <v>1277.1452716006215</v>
      </c>
      <c r="BB333">
        <v>28421.358214114603</v>
      </c>
      <c r="BE333">
        <v>1277.1452716006215</v>
      </c>
      <c r="BF333">
        <v>28421.358214114603</v>
      </c>
      <c r="BI333">
        <v>1277.1452716006215</v>
      </c>
      <c r="BJ333">
        <v>28421.358214114603</v>
      </c>
      <c r="BL333">
        <v>-199.60922008820216</v>
      </c>
      <c r="BM333">
        <v>7.0232118600536235E-3</v>
      </c>
      <c r="BT333">
        <f t="shared" si="75"/>
        <v>85</v>
      </c>
      <c r="BU333" s="36">
        <f>D311</f>
        <v>0.34730991006859391</v>
      </c>
      <c r="BZ333" s="2" t="s">
        <v>282</v>
      </c>
      <c r="CH333">
        <f t="array" ref="CH333:CI337">LINEST(CH326:CH331,CI326:CI331,TRUE,TRUE)</f>
        <v>0.1315446186413608</v>
      </c>
      <c r="CI333">
        <v>-249.16470861647849</v>
      </c>
      <c r="DW333" s="57"/>
      <c r="EA333">
        <f t="shared" si="73"/>
        <v>182.5731472354251</v>
      </c>
      <c r="EB333" s="16" t="e">
        <f>SUMPRODUCT($D311:$D$397,EA$10:EA333)</f>
        <v>#VALUE!</v>
      </c>
      <c r="EE333" s="2" t="s">
        <v>282</v>
      </c>
      <c r="EO333" s="15"/>
      <c r="ES333">
        <f t="shared" si="74"/>
        <v>240.756980184616</v>
      </c>
      <c r="ET333" s="16" t="e">
        <f>SUMPRODUCT($D311:$D$397,ES$10:ES333)</f>
        <v>#VALUE!</v>
      </c>
    </row>
    <row r="334" spans="1:155" x14ac:dyDescent="0.2">
      <c r="A334">
        <f t="shared" si="59"/>
        <v>1957</v>
      </c>
      <c r="C334">
        <f t="shared" si="76"/>
        <v>63</v>
      </c>
      <c r="D334" s="63">
        <f t="shared" si="60"/>
        <v>0.64334875932177582</v>
      </c>
      <c r="E334" s="18">
        <f t="shared" si="61"/>
        <v>1.5543668741262657</v>
      </c>
      <c r="F334">
        <f t="shared" si="77"/>
        <v>1957</v>
      </c>
      <c r="G334" s="19">
        <f>Dodge_to_CBECS!C54</f>
        <v>90.858251695553875</v>
      </c>
      <c r="H334" s="19">
        <f>Dodge_to_CBECS!D54</f>
        <v>92.904295403165037</v>
      </c>
      <c r="I334" s="19">
        <f>Dodge_to_CBECS!E54</f>
        <v>12.774340617935191</v>
      </c>
      <c r="J334" s="19">
        <f>Dodge_to_CBECS!F54</f>
        <v>10.451733232856066</v>
      </c>
      <c r="K334" s="19">
        <f>Dodge_to_CBECS!G54</f>
        <v>54.403416227078623</v>
      </c>
      <c r="L334" s="19">
        <f>Dodge_to_CBECS!H54</f>
        <v>165.6</v>
      </c>
      <c r="M334" s="19">
        <f>Dodge_to_CBECS!I54</f>
        <v>30</v>
      </c>
      <c r="N334" s="19">
        <f>Dodge_to_CBECS!J54</f>
        <v>33.673451785406243</v>
      </c>
      <c r="O334" s="19">
        <f>Dodge_to_CBECS!K54</f>
        <v>50</v>
      </c>
      <c r="P334" s="19">
        <f>Dodge_to_CBECS!L54</f>
        <v>44.65</v>
      </c>
      <c r="Q334" s="19">
        <f>Dodge_to_CBECS!M54</f>
        <v>71.357962823411214</v>
      </c>
      <c r="T334">
        <f t="shared" si="62"/>
        <v>656.67345178540631</v>
      </c>
      <c r="U334">
        <f t="shared" si="52"/>
        <v>654.81547598511543</v>
      </c>
      <c r="AB334">
        <f t="shared" si="63"/>
        <v>1957</v>
      </c>
      <c r="AD334">
        <f t="shared" si="72"/>
        <v>1115.0509545534462</v>
      </c>
      <c r="AH334">
        <f t="shared" si="64"/>
        <v>1115.0509545534462</v>
      </c>
      <c r="AI334">
        <f t="shared" si="67"/>
        <v>32244.477013910557</v>
      </c>
      <c r="AL334" s="87">
        <f t="shared" si="65"/>
        <v>1115.0509545534462</v>
      </c>
      <c r="AM334" s="87">
        <f t="shared" si="68"/>
        <v>32244.477013910557</v>
      </c>
      <c r="AO334" s="19">
        <f t="shared" si="69"/>
        <v>-235.5858959502641</v>
      </c>
      <c r="AP334" s="23">
        <f t="shared" si="70"/>
        <v>7.3062402546839331E-3</v>
      </c>
      <c r="AQ334" s="23"/>
      <c r="AR334" s="23"/>
      <c r="AS334" s="23"/>
      <c r="AT334" s="23"/>
      <c r="AU334" s="23"/>
      <c r="AW334" s="35"/>
      <c r="AX334">
        <v>665</v>
      </c>
      <c r="AZ334">
        <v>1957</v>
      </c>
      <c r="BA334">
        <v>1284.8738360278567</v>
      </c>
      <c r="BB334">
        <v>29499.984063764845</v>
      </c>
      <c r="BE334">
        <v>1284.8738360278567</v>
      </c>
      <c r="BF334">
        <v>29499.984063764845</v>
      </c>
      <c r="BI334">
        <v>1284.8738360278567</v>
      </c>
      <c r="BJ334">
        <v>29499.984063764845</v>
      </c>
      <c r="BL334">
        <v>-206.24798637761523</v>
      </c>
      <c r="BM334">
        <v>6.9914609422095219E-3</v>
      </c>
      <c r="BT334">
        <f t="shared" si="75"/>
        <v>86</v>
      </c>
      <c r="BU334" s="36">
        <f>D310</f>
        <v>0.33710206010490684</v>
      </c>
      <c r="CH334">
        <v>5.8270866682660481E-2</v>
      </c>
      <c r="CI334">
        <v>116.19259521591503</v>
      </c>
      <c r="DW334" s="57"/>
      <c r="EA334">
        <f t="shared" si="73"/>
        <v>183.32139783884895</v>
      </c>
      <c r="EB334" s="16" t="e">
        <f>SUMPRODUCT($D310:$D$397,EA$10:EA334)</f>
        <v>#VALUE!</v>
      </c>
      <c r="EO334" s="15"/>
      <c r="ES334">
        <f t="shared" si="74"/>
        <v>249.18347449107756</v>
      </c>
      <c r="ET334" s="16" t="e">
        <f>SUMPRODUCT($D310:$D$397,ES$10:ES334)</f>
        <v>#VALUE!</v>
      </c>
    </row>
    <row r="335" spans="1:155" x14ac:dyDescent="0.2">
      <c r="A335">
        <f t="shared" si="59"/>
        <v>1958</v>
      </c>
      <c r="C335">
        <f t="shared" si="76"/>
        <v>62</v>
      </c>
      <c r="D335" s="63">
        <f t="shared" si="60"/>
        <v>0.65761732595574707</v>
      </c>
      <c r="E335" s="18">
        <f t="shared" si="61"/>
        <v>1.5206412004833534</v>
      </c>
      <c r="F335">
        <f t="shared" si="77"/>
        <v>1958</v>
      </c>
      <c r="G335" s="19">
        <f>Dodge_to_CBECS!C55</f>
        <v>89.685531273549344</v>
      </c>
      <c r="H335" s="19">
        <f>Dodge_to_CBECS!D55</f>
        <v>92.145892991710625</v>
      </c>
      <c r="I335" s="19">
        <f>Dodge_to_CBECS!E55</f>
        <v>12.67006028636021</v>
      </c>
      <c r="J335" s="19">
        <f>Dodge_to_CBECS!F55</f>
        <v>10.366412961567445</v>
      </c>
      <c r="K335" s="19">
        <f>Dodge_to_CBECS!G55</f>
        <v>53.959306706857575</v>
      </c>
      <c r="L335" s="19">
        <f>Dodge_to_CBECS!H55</f>
        <v>160.79999999999998</v>
      </c>
      <c r="M335" s="19">
        <f>Dodge_to_CBECS!I55</f>
        <v>28.5</v>
      </c>
      <c r="N335" s="19">
        <f>Dodge_to_CBECS!J55</f>
        <v>32.980199117770269</v>
      </c>
      <c r="O335" s="19">
        <f>Dodge_to_CBECS!K55</f>
        <v>51</v>
      </c>
      <c r="P335" s="19">
        <f>Dodge_to_CBECS!L55</f>
        <v>51.75</v>
      </c>
      <c r="Q335" s="19">
        <f>Dodge_to_CBECS!M55</f>
        <v>93.622795779954799</v>
      </c>
      <c r="T335">
        <f t="shared" si="62"/>
        <v>677.48019911777021</v>
      </c>
      <c r="U335">
        <f t="shared" si="52"/>
        <v>664.99615071835183</v>
      </c>
      <c r="AB335">
        <f t="shared" si="63"/>
        <v>1958</v>
      </c>
      <c r="AD335">
        <f t="shared" si="72"/>
        <v>1132.3870919778333</v>
      </c>
      <c r="AH335">
        <f t="shared" si="64"/>
        <v>1132.3870919778333</v>
      </c>
      <c r="AI335">
        <f t="shared" si="67"/>
        <v>33136.125254133927</v>
      </c>
      <c r="AL335" s="87">
        <f t="shared" si="65"/>
        <v>1132.3870919778333</v>
      </c>
      <c r="AM335" s="87">
        <f t="shared" si="68"/>
        <v>33136.125254133927</v>
      </c>
      <c r="AO335" s="19">
        <f t="shared" si="69"/>
        <v>-240.73885175446276</v>
      </c>
      <c r="AP335" s="23">
        <f t="shared" si="70"/>
        <v>7.2651479286773022E-3</v>
      </c>
      <c r="AQ335" s="23"/>
      <c r="AR335" s="23"/>
      <c r="AS335" s="23"/>
      <c r="AT335" s="23"/>
      <c r="AU335" s="23"/>
      <c r="AW335" s="35"/>
      <c r="AX335">
        <v>692</v>
      </c>
      <c r="AZ335">
        <v>1958</v>
      </c>
      <c r="BA335">
        <v>1337.0416459116946</v>
      </c>
      <c r="BB335">
        <v>30624.059680429269</v>
      </c>
      <c r="BE335">
        <v>1337.0416459116946</v>
      </c>
      <c r="BF335">
        <v>30624.059680429269</v>
      </c>
      <c r="BI335">
        <v>1337.0416459116946</v>
      </c>
      <c r="BJ335">
        <v>30624.059680429269</v>
      </c>
      <c r="BL335">
        <v>-212.9660292472704</v>
      </c>
      <c r="BM335">
        <v>6.954206315871612E-3</v>
      </c>
      <c r="BT335">
        <f t="shared" si="75"/>
        <v>87</v>
      </c>
      <c r="BU335" s="36">
        <f>D309</f>
        <v>0.32715798050899209</v>
      </c>
      <c r="CH335">
        <v>0.56025408955102241</v>
      </c>
      <c r="CI335">
        <v>0.82407449953852974</v>
      </c>
      <c r="DW335" s="57"/>
      <c r="EA335">
        <f t="shared" si="73"/>
        <v>181.82489663200121</v>
      </c>
      <c r="EB335" s="16" t="e">
        <f>SUMPRODUCT($D309:$D$397,EA$10:EA335)</f>
        <v>#VALUE!</v>
      </c>
      <c r="EO335" s="15"/>
      <c r="ES335">
        <f t="shared" si="74"/>
        <v>241.96076508553907</v>
      </c>
      <c r="ET335" s="16" t="e">
        <f>SUMPRODUCT($D309:$D$397,ES$10:ES335)</f>
        <v>#VALUE!</v>
      </c>
    </row>
    <row r="336" spans="1:155" x14ac:dyDescent="0.2">
      <c r="A336">
        <f t="shared" si="59"/>
        <v>1959</v>
      </c>
      <c r="C336">
        <f t="shared" si="76"/>
        <v>61</v>
      </c>
      <c r="D336" s="63">
        <f t="shared" si="60"/>
        <v>0.67183149304680811</v>
      </c>
      <c r="E336" s="18">
        <f t="shared" si="61"/>
        <v>1.4884684781073929</v>
      </c>
      <c r="F336">
        <f t="shared" si="77"/>
        <v>1959</v>
      </c>
      <c r="G336" s="19">
        <f>Dodge_to_CBECS!C56</f>
        <v>98.567219291635269</v>
      </c>
      <c r="H336" s="19">
        <f>Dodge_to_CBECS!D56</f>
        <v>106.5555388093444</v>
      </c>
      <c r="I336" s="19">
        <f>Dodge_to_CBECS!E56</f>
        <v>14.651386586284854</v>
      </c>
      <c r="J336" s="19">
        <f>Dodge_to_CBECS!F56</f>
        <v>11.987498116051244</v>
      </c>
      <c r="K336" s="19">
        <f>Dodge_to_CBECS!G56</f>
        <v>62.397387591057523</v>
      </c>
      <c r="L336" s="19">
        <f>Dodge_to_CBECS!H56</f>
        <v>144.79999999999998</v>
      </c>
      <c r="M336" s="19">
        <f>Dodge_to_CBECS!I56</f>
        <v>28.5</v>
      </c>
      <c r="N336" s="19">
        <f>Dodge_to_CBECS!J56</f>
        <v>36.651999802853695</v>
      </c>
      <c r="O336" s="19">
        <f>Dodge_to_CBECS!K56</f>
        <v>54</v>
      </c>
      <c r="P336" s="19">
        <f>Dodge_to_CBECS!L56</f>
        <v>55.55</v>
      </c>
      <c r="Q336" s="19">
        <f>Dodge_to_CBECS!M56</f>
        <v>79.490969605626717</v>
      </c>
      <c r="T336">
        <f t="shared" si="62"/>
        <v>693.15199980285354</v>
      </c>
      <c r="U336">
        <f t="shared" si="52"/>
        <v>683.74891939180361</v>
      </c>
      <c r="AB336">
        <f t="shared" si="63"/>
        <v>1959</v>
      </c>
      <c r="AD336">
        <f t="shared" si="72"/>
        <v>1164.3201989014206</v>
      </c>
      <c r="AH336">
        <f t="shared" si="64"/>
        <v>1164.3201989014206</v>
      </c>
      <c r="AI336">
        <f t="shared" si="67"/>
        <v>34054.562894556519</v>
      </c>
      <c r="AL336" s="87">
        <f t="shared" si="65"/>
        <v>1164.3201989014206</v>
      </c>
      <c r="AM336" s="87">
        <f t="shared" si="68"/>
        <v>34054.562894556519</v>
      </c>
      <c r="AO336" s="19">
        <f t="shared" si="69"/>
        <v>-245.8825584788292</v>
      </c>
      <c r="AP336" s="23">
        <f t="shared" si="70"/>
        <v>7.2202529581764947E-3</v>
      </c>
      <c r="AQ336" s="23"/>
      <c r="AR336" s="23"/>
      <c r="AS336" s="23"/>
      <c r="AT336" s="23"/>
      <c r="AU336" s="23"/>
      <c r="AW336" s="35"/>
      <c r="AX336">
        <v>710</v>
      </c>
      <c r="AZ336">
        <v>1959</v>
      </c>
      <c r="BA336">
        <v>1371.8201858342529</v>
      </c>
      <c r="BB336">
        <v>31775.927848670828</v>
      </c>
      <c r="BE336">
        <v>1371.8201858342529</v>
      </c>
      <c r="BF336">
        <v>31775.927848670828</v>
      </c>
      <c r="BI336">
        <v>1371.8201858342529</v>
      </c>
      <c r="BJ336">
        <v>31775.927848670828</v>
      </c>
      <c r="BL336">
        <v>-219.95201759269389</v>
      </c>
      <c r="BM336">
        <v>6.9219699465642628E-3</v>
      </c>
      <c r="BT336">
        <f t="shared" si="75"/>
        <v>88</v>
      </c>
      <c r="BU336" s="36">
        <f>D308</f>
        <v>0.31747656116694678</v>
      </c>
      <c r="CA336" t="s">
        <v>415</v>
      </c>
      <c r="CB336" t="s">
        <v>375</v>
      </c>
      <c r="CC336" t="s">
        <v>416</v>
      </c>
      <c r="CH336">
        <v>5.096161908398483</v>
      </c>
      <c r="CI336">
        <v>4</v>
      </c>
      <c r="DW336" s="57"/>
      <c r="EA336">
        <f t="shared" si="73"/>
        <v>210.25841956210843</v>
      </c>
      <c r="EB336" s="16" t="e">
        <f>SUMPRODUCT($D308:$D$397,EA$10:EA336)</f>
        <v>#VALUE!</v>
      </c>
      <c r="EF336" t="s">
        <v>342</v>
      </c>
      <c r="EG336" t="s">
        <v>243</v>
      </c>
      <c r="EO336" s="15"/>
      <c r="ES336">
        <f t="shared" si="74"/>
        <v>217.88506706707747</v>
      </c>
      <c r="ET336" s="16" t="e">
        <f>SUMPRODUCT($D308:$D$397,ES$10:ES336)</f>
        <v>#VALUE!</v>
      </c>
      <c r="EX336" t="s">
        <v>342</v>
      </c>
      <c r="EY336" t="s">
        <v>243</v>
      </c>
    </row>
    <row r="337" spans="1:154" x14ac:dyDescent="0.2">
      <c r="A337">
        <f t="shared" si="59"/>
        <v>1960</v>
      </c>
      <c r="C337">
        <f t="shared" si="76"/>
        <v>60</v>
      </c>
      <c r="D337" s="63">
        <f t="shared" si="60"/>
        <v>0.68596472626493932</v>
      </c>
      <c r="E337" s="18">
        <f t="shared" si="61"/>
        <v>1.4578009068264703</v>
      </c>
      <c r="F337">
        <f t="shared" si="77"/>
        <v>1960</v>
      </c>
      <c r="G337" s="19">
        <f>Dodge_to_CBECS!C57</f>
        <v>96.8</v>
      </c>
      <c r="H337" s="19">
        <f>Dodge_to_CBECS!D57</f>
        <v>115.36</v>
      </c>
      <c r="I337" s="19">
        <f>Dodge_to_CBECS!E57</f>
        <v>15.861999999999998</v>
      </c>
      <c r="J337" s="19">
        <f>Dodge_to_CBECS!F57</f>
        <v>12.977999999999998</v>
      </c>
      <c r="K337" s="19">
        <f>Dodge_to_CBECS!G57</f>
        <v>59</v>
      </c>
      <c r="L337" s="19">
        <f>Dodge_to_CBECS!H57</f>
        <v>158.39999999999998</v>
      </c>
      <c r="M337" s="19">
        <f>Dodge_to_CBECS!I57</f>
        <v>27</v>
      </c>
      <c r="N337" s="19">
        <f>Dodge_to_CBECS!J57</f>
        <v>36.538505138125629</v>
      </c>
      <c r="O337" s="19">
        <f>Dodge_to_CBECS!K57</f>
        <v>54</v>
      </c>
      <c r="P337" s="19">
        <f>Dodge_to_CBECS!L57</f>
        <v>57</v>
      </c>
      <c r="Q337" s="19">
        <f>Dodge_to_CBECS!M57</f>
        <v>76.600000000000009</v>
      </c>
      <c r="T337">
        <f t="shared" si="62"/>
        <v>709.53850513812563</v>
      </c>
      <c r="U337">
        <f t="shared" si="52"/>
        <v>699.70660193696244</v>
      </c>
      <c r="AB337">
        <f t="shared" si="63"/>
        <v>1960</v>
      </c>
      <c r="AD337">
        <f t="shared" ref="AD337:AD366" si="78">$U$488*U337</f>
        <v>888.84626694577639</v>
      </c>
      <c r="AH337">
        <f t="shared" si="64"/>
        <v>888.84626694577639</v>
      </c>
      <c r="AI337">
        <f t="shared" si="67"/>
        <v>34692.396596239487</v>
      </c>
      <c r="AL337" s="87">
        <f t="shared" si="65"/>
        <v>888.84626694577639</v>
      </c>
      <c r="AM337" s="87">
        <f t="shared" si="68"/>
        <v>34692.396596239487</v>
      </c>
      <c r="AO337" s="19">
        <f t="shared" si="69"/>
        <v>-251.01256526280815</v>
      </c>
      <c r="AP337" s="23">
        <f t="shared" si="70"/>
        <v>7.2353769093605044E-3</v>
      </c>
      <c r="AQ337" s="23"/>
      <c r="AR337" s="23"/>
      <c r="AS337" s="23"/>
      <c r="AT337" s="93">
        <f>AM337-AR337</f>
        <v>34692.396596239487</v>
      </c>
      <c r="AU337" s="87"/>
      <c r="AV337" s="87"/>
      <c r="AW337" s="35"/>
      <c r="AX337">
        <v>739</v>
      </c>
      <c r="AZ337">
        <v>1960</v>
      </c>
      <c r="BA337">
        <v>976.219651001496</v>
      </c>
      <c r="BB337">
        <v>32525.012829715906</v>
      </c>
      <c r="BE337">
        <v>976.219651001496</v>
      </c>
      <c r="BF337">
        <v>32525.012829715906</v>
      </c>
      <c r="BI337">
        <v>976.219651001496</v>
      </c>
      <c r="BJ337">
        <v>32525.012829715906</v>
      </c>
      <c r="BL337">
        <v>-227.13466995641784</v>
      </c>
      <c r="BM337">
        <v>6.9833844845988884E-3</v>
      </c>
      <c r="BT337">
        <f t="shared" si="75"/>
        <v>89</v>
      </c>
      <c r="BU337" s="36">
        <f>D307</f>
        <v>0.30805607316916789</v>
      </c>
      <c r="BZ337">
        <f t="shared" ref="BZ337:BZ380" si="79">A337</f>
        <v>1960</v>
      </c>
      <c r="CA337" s="5">
        <f>AT337*0.001</f>
        <v>34.69239659623949</v>
      </c>
      <c r="CB337" s="5"/>
      <c r="CH337">
        <v>3.46079733870021</v>
      </c>
      <c r="CI337">
        <v>2.7163951231587133</v>
      </c>
      <c r="DW337" s="57"/>
      <c r="EA337">
        <f t="shared" ref="EA337:EA366" si="80">$H$488*H337</f>
        <v>176.18440760655224</v>
      </c>
      <c r="EB337" s="16" t="e">
        <f>SUMPRODUCT($D307:$D$397,EA$10:EA337)</f>
        <v>#VALUE!</v>
      </c>
      <c r="EE337">
        <f>BZ337</f>
        <v>1960</v>
      </c>
      <c r="EF337" s="5" t="e">
        <f>EB337</f>
        <v>#VALUE!</v>
      </c>
      <c r="EO337" s="15"/>
      <c r="ES337">
        <f t="shared" ref="ES337:ES366" si="81">$L$488*L337</f>
        <v>175.44591508597694</v>
      </c>
      <c r="ET337" s="16" t="e">
        <f>SUMPRODUCT($D307:$D$397,ES$10:ES337)</f>
        <v>#VALUE!</v>
      </c>
      <c r="EW337">
        <f>BZ337</f>
        <v>1960</v>
      </c>
      <c r="EX337" s="5" t="e">
        <f>ET337</f>
        <v>#VALUE!</v>
      </c>
    </row>
    <row r="338" spans="1:154" x14ac:dyDescent="0.2">
      <c r="A338">
        <f t="shared" si="59"/>
        <v>1961</v>
      </c>
      <c r="C338">
        <f t="shared" si="76"/>
        <v>59</v>
      </c>
      <c r="D338" s="63">
        <f t="shared" si="60"/>
        <v>0.69999021211156298</v>
      </c>
      <c r="E338" s="18">
        <f t="shared" si="61"/>
        <v>1.4285914041332652</v>
      </c>
      <c r="F338">
        <f t="shared" si="77"/>
        <v>1961</v>
      </c>
      <c r="G338" s="19">
        <f>Dodge_to_CBECS!C58</f>
        <v>95.7</v>
      </c>
      <c r="H338" s="19">
        <f>Dodge_to_CBECS!D58</f>
        <v>119.84000000000002</v>
      </c>
      <c r="I338" s="19">
        <f>Dodge_to_CBECS!E58</f>
        <v>16.478000000000002</v>
      </c>
      <c r="J338" s="19">
        <f>Dodge_to_CBECS!F58</f>
        <v>13.482000000000001</v>
      </c>
      <c r="K338" s="19">
        <f>Dodge_to_CBECS!G58</f>
        <v>64</v>
      </c>
      <c r="L338" s="19">
        <f>Dodge_to_CBECS!H58</f>
        <v>157.6</v>
      </c>
      <c r="M338" s="19">
        <f>Dodge_to_CBECS!I58</f>
        <v>33.75</v>
      </c>
      <c r="N338" s="19">
        <f>Dodge_to_CBECS!J58</f>
        <v>39.754768476305472</v>
      </c>
      <c r="O338" s="19">
        <f>Dodge_to_CBECS!K58</f>
        <v>53</v>
      </c>
      <c r="P338" s="19">
        <f>Dodge_to_CBECS!L58</f>
        <v>53.85</v>
      </c>
      <c r="Q338" s="19">
        <f>Dodge_to_CBECS!M58</f>
        <v>75.050000000000011</v>
      </c>
      <c r="T338">
        <f t="shared" si="62"/>
        <v>722.50476847630557</v>
      </c>
      <c r="U338">
        <f t="shared" si="52"/>
        <v>714.72501047339756</v>
      </c>
      <c r="AB338">
        <f t="shared" si="63"/>
        <v>1961</v>
      </c>
      <c r="AD338">
        <f t="shared" si="78"/>
        <v>907.92434385132992</v>
      </c>
      <c r="AH338">
        <f t="shared" si="64"/>
        <v>907.92434385132992</v>
      </c>
      <c r="AI338">
        <f t="shared" si="67"/>
        <v>35344.195837661653</v>
      </c>
      <c r="AL338" s="87">
        <f t="shared" si="65"/>
        <v>907.92434385132992</v>
      </c>
      <c r="AM338" s="87">
        <f t="shared" si="68"/>
        <v>35344.195837661653</v>
      </c>
      <c r="AO338" s="19">
        <f t="shared" si="69"/>
        <v>-256.12510242916369</v>
      </c>
      <c r="AP338" s="23">
        <f t="shared" si="70"/>
        <v>7.2465958372787452E-3</v>
      </c>
      <c r="AQ338" s="23"/>
      <c r="AR338" s="23"/>
      <c r="AS338" s="23"/>
      <c r="AT338" s="93">
        <f t="shared" ref="AT338:AT347" si="82">AM338-AR338</f>
        <v>35344.195837661653</v>
      </c>
      <c r="AU338" s="87"/>
      <c r="AV338" s="87"/>
      <c r="AW338" s="35"/>
      <c r="AX338">
        <v>759</v>
      </c>
      <c r="AZ338">
        <v>1961</v>
      </c>
      <c r="BA338">
        <v>1002.6396686199397</v>
      </c>
      <c r="BB338">
        <v>33294.965139650762</v>
      </c>
      <c r="BE338">
        <v>1002.6396686199397</v>
      </c>
      <c r="BF338">
        <v>33294.965139650762</v>
      </c>
      <c r="BI338">
        <v>1002.6396686199397</v>
      </c>
      <c r="BJ338">
        <v>33294.965139650762</v>
      </c>
      <c r="BL338">
        <v>-232.6873586850844</v>
      </c>
      <c r="BM338">
        <v>6.9886650341609308E-3</v>
      </c>
      <c r="BT338">
        <f t="shared" si="75"/>
        <v>90</v>
      </c>
      <c r="BU338" s="36">
        <f>D306</f>
        <v>0.2988942287974411</v>
      </c>
      <c r="BZ338">
        <f t="shared" si="79"/>
        <v>1961</v>
      </c>
      <c r="CA338" s="5">
        <f t="shared" ref="CA338:CA391" si="83">AT338*0.001</f>
        <v>35.344195837661651</v>
      </c>
      <c r="CB338" s="5"/>
      <c r="DW338" s="57"/>
      <c r="EA338">
        <f t="shared" si="80"/>
        <v>183.02652052331158</v>
      </c>
      <c r="EB338" s="16" t="e">
        <f>SUMPRODUCT($D306:$D$397,EA$10:EA338)</f>
        <v>#VALUE!</v>
      </c>
      <c r="EE338">
        <f t="shared" ref="EE338:EE378" si="84">BZ338</f>
        <v>1961</v>
      </c>
      <c r="EF338" s="5" t="e">
        <f t="shared" ref="EF338:EF378" si="85">EB338</f>
        <v>#VALUE!</v>
      </c>
      <c r="EO338" s="15"/>
      <c r="ES338">
        <f t="shared" si="81"/>
        <v>174.55982460574472</v>
      </c>
      <c r="ET338" s="16" t="e">
        <f>SUMPRODUCT($D306:$D$397,ES$10:ES338)</f>
        <v>#VALUE!</v>
      </c>
      <c r="EW338">
        <f t="shared" ref="EW338:EW378" si="86">BZ338</f>
        <v>1961</v>
      </c>
      <c r="EX338" s="5" t="e">
        <f t="shared" ref="EX338:EX378" si="87">ET338</f>
        <v>#VALUE!</v>
      </c>
    </row>
    <row r="339" spans="1:154" x14ac:dyDescent="0.2">
      <c r="A339">
        <f t="shared" si="59"/>
        <v>1962</v>
      </c>
      <c r="C339">
        <f t="shared" si="76"/>
        <v>58</v>
      </c>
      <c r="D339" s="63">
        <f t="shared" si="60"/>
        <v>0.71388104260609375</v>
      </c>
      <c r="E339" s="18">
        <f t="shared" si="61"/>
        <v>1.4007936061019362</v>
      </c>
      <c r="F339">
        <f t="shared" si="77"/>
        <v>1962</v>
      </c>
      <c r="G339" s="19">
        <f>Dodge_to_CBECS!C59</f>
        <v>118.3</v>
      </c>
      <c r="H339" s="19">
        <f>Dodge_to_CBECS!D59</f>
        <v>123.68</v>
      </c>
      <c r="I339" s="19">
        <f>Dodge_to_CBECS!E59</f>
        <v>17.006</v>
      </c>
      <c r="J339" s="19">
        <f>Dodge_to_CBECS!F59</f>
        <v>13.914</v>
      </c>
      <c r="K339" s="19">
        <f>Dodge_to_CBECS!G59</f>
        <v>69</v>
      </c>
      <c r="L339" s="19">
        <f>Dodge_to_CBECS!H59</f>
        <v>154.39999999999998</v>
      </c>
      <c r="M339" s="19">
        <f>Dodge_to_CBECS!I59</f>
        <v>37.5</v>
      </c>
      <c r="N339" s="19">
        <f>Dodge_to_CBECS!J59</f>
        <v>44.193437492298969</v>
      </c>
      <c r="O339" s="19">
        <f>Dodge_to_CBECS!K59</f>
        <v>53</v>
      </c>
      <c r="P339" s="19">
        <f>Dodge_to_CBECS!L59</f>
        <v>52.449999999999996</v>
      </c>
      <c r="Q339" s="19">
        <f>Dodge_to_CBECS!M59</f>
        <v>75.25</v>
      </c>
      <c r="T339">
        <f t="shared" si="62"/>
        <v>758.69343749229893</v>
      </c>
      <c r="U339">
        <f t="shared" si="52"/>
        <v>736.98023608270296</v>
      </c>
      <c r="AB339">
        <f t="shared" si="63"/>
        <v>1962</v>
      </c>
      <c r="AD339">
        <f t="shared" si="78"/>
        <v>936.19544226330299</v>
      </c>
      <c r="AH339">
        <f t="shared" si="64"/>
        <v>936.19544226330299</v>
      </c>
      <c r="AI339">
        <f t="shared" si="67"/>
        <v>36019.174273443197</v>
      </c>
      <c r="AL339" s="87">
        <f t="shared" si="65"/>
        <v>936.19544226330299</v>
      </c>
      <c r="AM339" s="87">
        <f t="shared" si="68"/>
        <v>36019.174273443197</v>
      </c>
      <c r="AO339" s="19">
        <f t="shared" si="69"/>
        <v>-261.21700648175874</v>
      </c>
      <c r="AP339" s="23">
        <f t="shared" si="70"/>
        <v>7.2521653189132956E-3</v>
      </c>
      <c r="AQ339" s="23"/>
      <c r="AR339" s="23"/>
      <c r="AS339" s="23"/>
      <c r="AT339" s="93">
        <f t="shared" si="82"/>
        <v>36019.174273443197</v>
      </c>
      <c r="AU339" s="87"/>
      <c r="AV339" s="87"/>
      <c r="AW339" s="35"/>
      <c r="AX339">
        <v>803</v>
      </c>
      <c r="AZ339">
        <v>1962</v>
      </c>
      <c r="BA339">
        <v>1060.7637073805158</v>
      </c>
      <c r="BB339">
        <v>34117.350785440249</v>
      </c>
      <c r="BE339">
        <v>1060.7637073805158</v>
      </c>
      <c r="BF339">
        <v>34117.350785440249</v>
      </c>
      <c r="BI339">
        <v>1060.7637073805158</v>
      </c>
      <c r="BJ339">
        <v>34117.350785440249</v>
      </c>
      <c r="BL339">
        <v>-238.37806159102865</v>
      </c>
      <c r="BM339">
        <v>6.9870038588329573E-3</v>
      </c>
      <c r="BT339">
        <f t="shared" si="75"/>
        <v>91</v>
      </c>
      <c r="BU339" s="36">
        <f>D305</f>
        <v>0.28998823915841493</v>
      </c>
      <c r="BZ339">
        <f t="shared" si="79"/>
        <v>1962</v>
      </c>
      <c r="CA339" s="5">
        <f t="shared" si="83"/>
        <v>36.019174273443198</v>
      </c>
      <c r="CB339" s="5"/>
      <c r="DW339" s="57"/>
      <c r="EA339">
        <f t="shared" si="80"/>
        <v>188.89118873767669</v>
      </c>
      <c r="EB339" s="16" t="e">
        <f>SUMPRODUCT($D305:$D$397,EA$10:EA339)</f>
        <v>#VALUE!</v>
      </c>
      <c r="EE339">
        <f t="shared" si="84"/>
        <v>1962</v>
      </c>
      <c r="EF339" s="5" t="e">
        <f t="shared" si="85"/>
        <v>#VALUE!</v>
      </c>
      <c r="EO339" s="15"/>
      <c r="ES339">
        <f t="shared" si="81"/>
        <v>171.0154626848159</v>
      </c>
      <c r="ET339" s="16" t="e">
        <f>SUMPRODUCT($D305:$D$397,ES$10:ES339)</f>
        <v>#VALUE!</v>
      </c>
      <c r="EW339">
        <f t="shared" si="86"/>
        <v>1962</v>
      </c>
      <c r="EX339" s="5" t="e">
        <f t="shared" si="87"/>
        <v>#VALUE!</v>
      </c>
    </row>
    <row r="340" spans="1:154" x14ac:dyDescent="0.2">
      <c r="A340">
        <f t="shared" si="59"/>
        <v>1963</v>
      </c>
      <c r="C340">
        <f t="shared" si="76"/>
        <v>57</v>
      </c>
      <c r="D340" s="63">
        <f t="shared" si="60"/>
        <v>0.72761040818253109</v>
      </c>
      <c r="E340" s="18">
        <f t="shared" si="61"/>
        <v>1.3743618683216201</v>
      </c>
      <c r="F340">
        <f t="shared" si="77"/>
        <v>1963</v>
      </c>
      <c r="G340" s="19">
        <f>Dodge_to_CBECS!C60</f>
        <v>124.9</v>
      </c>
      <c r="H340" s="19">
        <f>Dodge_to_CBECS!D60</f>
        <v>132.32000000000002</v>
      </c>
      <c r="I340" s="19">
        <f>Dodge_to_CBECS!E60</f>
        <v>18.193999999999999</v>
      </c>
      <c r="J340" s="19">
        <f>Dodge_to_CBECS!F60</f>
        <v>14.885999999999999</v>
      </c>
      <c r="K340" s="19">
        <f>Dodge_to_CBECS!G60</f>
        <v>72</v>
      </c>
      <c r="L340" s="19">
        <f>Dodge_to_CBECS!H60</f>
        <v>159.19999999999999</v>
      </c>
      <c r="M340" s="19">
        <f>Dodge_to_CBECS!I60</f>
        <v>49.5</v>
      </c>
      <c r="N340" s="19">
        <f>Dodge_to_CBECS!J60</f>
        <v>50.222590502476649</v>
      </c>
      <c r="O340" s="19">
        <f>Dodge_to_CBECS!K60</f>
        <v>48</v>
      </c>
      <c r="P340" s="19">
        <f>Dodge_to_CBECS!L60</f>
        <v>52.25</v>
      </c>
      <c r="Q340" s="19">
        <f>Dodge_to_CBECS!M60</f>
        <v>89.25</v>
      </c>
      <c r="T340">
        <f t="shared" si="62"/>
        <v>810.72259050247669</v>
      </c>
      <c r="U340">
        <f t="shared" si="52"/>
        <v>779.50509869637006</v>
      </c>
      <c r="AB340">
        <f t="shared" si="63"/>
        <v>1963</v>
      </c>
      <c r="AD340">
        <f t="shared" si="78"/>
        <v>990.21532042638671</v>
      </c>
      <c r="AH340">
        <f t="shared" si="64"/>
        <v>990.21532042638671</v>
      </c>
      <c r="AI340">
        <f t="shared" si="67"/>
        <v>36743.103932126673</v>
      </c>
      <c r="AL340" s="87">
        <f t="shared" si="65"/>
        <v>990.21532042638671</v>
      </c>
      <c r="AM340" s="87">
        <f t="shared" si="68"/>
        <v>36743.103932126673</v>
      </c>
      <c r="AO340" s="19">
        <f t="shared" si="69"/>
        <v>-266.28566174291143</v>
      </c>
      <c r="AP340" s="23">
        <f t="shared" si="70"/>
        <v>7.2472282754011451E-3</v>
      </c>
      <c r="AQ340" s="23"/>
      <c r="AR340" s="23"/>
      <c r="AS340" s="23"/>
      <c r="AT340" s="93">
        <f t="shared" si="82"/>
        <v>36743.103932126673</v>
      </c>
      <c r="AU340" s="87"/>
      <c r="AV340" s="87"/>
      <c r="AW340" s="35"/>
      <c r="AX340">
        <v>854</v>
      </c>
      <c r="AZ340">
        <v>1963</v>
      </c>
      <c r="BA340">
        <v>1128.1347523075474</v>
      </c>
      <c r="BB340">
        <v>35001.143189587296</v>
      </c>
      <c r="BE340">
        <v>1128.1347523075474</v>
      </c>
      <c r="BF340">
        <v>35001.143189587296</v>
      </c>
      <c r="BI340">
        <v>1128.1347523075474</v>
      </c>
      <c r="BJ340">
        <v>35001.143189587296</v>
      </c>
      <c r="BL340">
        <v>-244.34234816050048</v>
      </c>
      <c r="BM340">
        <v>6.980981930704234E-3</v>
      </c>
      <c r="BT340">
        <f t="shared" si="75"/>
        <v>92</v>
      </c>
      <c r="BU340" s="36">
        <f>D304</f>
        <v>0.28133486920856221</v>
      </c>
      <c r="BZ340">
        <f t="shared" si="79"/>
        <v>1963</v>
      </c>
      <c r="CA340" s="5">
        <f t="shared" si="83"/>
        <v>36.743103932126672</v>
      </c>
      <c r="CB340" s="5"/>
      <c r="DW340" s="57"/>
      <c r="EA340">
        <f t="shared" si="80"/>
        <v>202.08669221999824</v>
      </c>
      <c r="EB340" s="16" t="e">
        <f>SUMPRODUCT($D304:$D$397,EA$10:EA340)</f>
        <v>#VALUE!</v>
      </c>
      <c r="EE340">
        <f t="shared" si="84"/>
        <v>1963</v>
      </c>
      <c r="EF340" s="5" t="e">
        <f t="shared" si="85"/>
        <v>#VALUE!</v>
      </c>
      <c r="EO340" s="15"/>
      <c r="ES340">
        <f t="shared" si="81"/>
        <v>176.33200556620915</v>
      </c>
      <c r="ET340" s="16" t="e">
        <f>SUMPRODUCT($D304:$D$397,ES$10:ES340)</f>
        <v>#VALUE!</v>
      </c>
      <c r="EW340">
        <f t="shared" si="86"/>
        <v>1963</v>
      </c>
      <c r="EX340" s="5" t="e">
        <f t="shared" si="87"/>
        <v>#VALUE!</v>
      </c>
    </row>
    <row r="341" spans="1:154" x14ac:dyDescent="0.2">
      <c r="A341">
        <f t="shared" si="59"/>
        <v>1964</v>
      </c>
      <c r="C341">
        <f t="shared" si="76"/>
        <v>56</v>
      </c>
      <c r="D341" s="63">
        <f t="shared" si="60"/>
        <v>0.74115179623788574</v>
      </c>
      <c r="E341" s="18">
        <f t="shared" si="61"/>
        <v>1.349251266847139</v>
      </c>
      <c r="F341">
        <f t="shared" si="77"/>
        <v>1964</v>
      </c>
      <c r="G341" s="19">
        <f>Dodge_to_CBECS!C61</f>
        <v>117.5</v>
      </c>
      <c r="H341" s="19">
        <f>Dodge_to_CBECS!D61</f>
        <v>140.32000000000002</v>
      </c>
      <c r="I341" s="19">
        <f>Dodge_to_CBECS!E61</f>
        <v>19.294</v>
      </c>
      <c r="J341" s="19">
        <f>Dodge_to_CBECS!F61</f>
        <v>15.786</v>
      </c>
      <c r="K341" s="19">
        <f>Dodge_to_CBECS!G61</f>
        <v>83</v>
      </c>
      <c r="L341" s="19">
        <f>Dodge_to_CBECS!H61</f>
        <v>164</v>
      </c>
      <c r="M341" s="19">
        <f>Dodge_to_CBECS!I61</f>
        <v>50.25</v>
      </c>
      <c r="N341" s="19">
        <f>Dodge_to_CBECS!J61</f>
        <v>51.728732842110446</v>
      </c>
      <c r="O341" s="19">
        <f>Dodge_to_CBECS!K61</f>
        <v>50</v>
      </c>
      <c r="P341" s="19">
        <f>Dodge_to_CBECS!L61</f>
        <v>49.95</v>
      </c>
      <c r="Q341" s="19">
        <f>Dodge_to_CBECS!M61</f>
        <v>85.15</v>
      </c>
      <c r="T341">
        <f t="shared" si="62"/>
        <v>826.97873284211062</v>
      </c>
      <c r="U341">
        <f t="shared" si="52"/>
        <v>817.22504743833019</v>
      </c>
      <c r="AB341">
        <f t="shared" si="63"/>
        <v>1964</v>
      </c>
      <c r="AD341">
        <f t="shared" si="78"/>
        <v>1038.1314548974144</v>
      </c>
      <c r="AH341">
        <f t="shared" si="64"/>
        <v>1038.1314548974144</v>
      </c>
      <c r="AI341">
        <f t="shared" si="67"/>
        <v>37509.906313800413</v>
      </c>
      <c r="AL341" s="87">
        <f t="shared" si="65"/>
        <v>1038.1314548974144</v>
      </c>
      <c r="AM341" s="87">
        <f t="shared" si="68"/>
        <v>37509.906313800413</v>
      </c>
      <c r="AO341" s="19">
        <f t="shared" si="69"/>
        <v>-271.32907322367396</v>
      </c>
      <c r="AP341" s="23">
        <f t="shared" si="70"/>
        <v>7.2335310825302765E-3</v>
      </c>
      <c r="AQ341" s="23"/>
      <c r="AR341" s="23"/>
      <c r="AS341" s="23"/>
      <c r="AT341" s="93">
        <f t="shared" si="82"/>
        <v>37509.906313800413</v>
      </c>
      <c r="AU341" s="87"/>
      <c r="AV341" s="87"/>
      <c r="AW341" s="35"/>
      <c r="AX341">
        <v>876</v>
      </c>
      <c r="AZ341">
        <v>1964</v>
      </c>
      <c r="BA341">
        <v>1157.1967716878357</v>
      </c>
      <c r="BB341">
        <v>35907.717647254198</v>
      </c>
      <c r="BE341">
        <v>1157.1967716878357</v>
      </c>
      <c r="BF341">
        <v>35907.717647254198</v>
      </c>
      <c r="BI341">
        <v>1157.1967716878357</v>
      </c>
      <c r="BJ341">
        <v>35907.717647254198</v>
      </c>
      <c r="BL341">
        <v>-250.62231402093357</v>
      </c>
      <c r="BM341">
        <v>6.9796225001813291E-3</v>
      </c>
      <c r="BT341">
        <f t="shared" si="75"/>
        <v>93</v>
      </c>
      <c r="BU341" s="36">
        <f>D303</f>
        <v>0.27293048998188052</v>
      </c>
      <c r="BZ341">
        <f t="shared" si="79"/>
        <v>1964</v>
      </c>
      <c r="CA341" s="5">
        <f t="shared" si="83"/>
        <v>37.509906313800414</v>
      </c>
      <c r="CB341" s="5"/>
      <c r="DW341" s="57"/>
      <c r="EA341">
        <f t="shared" si="80"/>
        <v>214.30475099992557</v>
      </c>
      <c r="EB341" s="16" t="e">
        <f>SUMPRODUCT($D303:$D$397,EA$10:EA341)</f>
        <v>#VALUE!</v>
      </c>
      <c r="EE341">
        <f t="shared" si="84"/>
        <v>1964</v>
      </c>
      <c r="EF341" s="5" t="e">
        <f t="shared" si="85"/>
        <v>#VALUE!</v>
      </c>
      <c r="EO341" s="15"/>
      <c r="ES341">
        <f t="shared" si="81"/>
        <v>181.64854844760239</v>
      </c>
      <c r="ET341" s="16" t="e">
        <f>SUMPRODUCT($D303:$D$397,ES$10:ES341)</f>
        <v>#VALUE!</v>
      </c>
      <c r="EW341">
        <f t="shared" si="86"/>
        <v>1964</v>
      </c>
      <c r="EX341" s="5" t="e">
        <f t="shared" si="87"/>
        <v>#VALUE!</v>
      </c>
    </row>
    <row r="342" spans="1:154" x14ac:dyDescent="0.2">
      <c r="A342">
        <f t="shared" si="59"/>
        <v>1965</v>
      </c>
      <c r="C342">
        <f t="shared" si="76"/>
        <v>55</v>
      </c>
      <c r="D342" s="63">
        <f t="shared" si="60"/>
        <v>0.75447919254134055</v>
      </c>
      <c r="E342" s="18">
        <f t="shared" si="61"/>
        <v>1.3254175991675297</v>
      </c>
      <c r="F342">
        <f t="shared" si="77"/>
        <v>1965</v>
      </c>
      <c r="G342" s="19">
        <f>Dodge_to_CBECS!C62</f>
        <v>131.80000000000001</v>
      </c>
      <c r="H342" s="19">
        <f>Dodge_to_CBECS!D62</f>
        <v>168.48000000000002</v>
      </c>
      <c r="I342" s="19">
        <f>Dodge_to_CBECS!E62</f>
        <v>23.166</v>
      </c>
      <c r="J342" s="19">
        <f>Dodge_to_CBECS!F62</f>
        <v>18.953999999999997</v>
      </c>
      <c r="K342" s="19">
        <f>Dodge_to_CBECS!G62</f>
        <v>91</v>
      </c>
      <c r="L342" s="19">
        <f>Dodge_to_CBECS!H62</f>
        <v>182.39999999999998</v>
      </c>
      <c r="M342" s="19">
        <f>Dodge_to_CBECS!I62</f>
        <v>45</v>
      </c>
      <c r="N342" s="19">
        <f>Dodge_to_CBECS!J62</f>
        <v>55.389807535917591</v>
      </c>
      <c r="O342" s="19">
        <f>Dodge_to_CBECS!K62</f>
        <v>45</v>
      </c>
      <c r="P342" s="19">
        <f>Dodge_to_CBECS!L62</f>
        <v>63.4</v>
      </c>
      <c r="Q342" s="19">
        <f>Dodge_to_CBECS!M62</f>
        <v>90.800000000000011</v>
      </c>
      <c r="T342">
        <f t="shared" si="62"/>
        <v>915.3898075359175</v>
      </c>
      <c r="U342">
        <f t="shared" si="52"/>
        <v>862.34316271963337</v>
      </c>
      <c r="AB342">
        <f t="shared" si="63"/>
        <v>1965</v>
      </c>
      <c r="AD342">
        <f t="shared" si="78"/>
        <v>1095.4455751706835</v>
      </c>
      <c r="AH342">
        <f t="shared" si="64"/>
        <v>1095.4455751706835</v>
      </c>
      <c r="AI342">
        <f t="shared" si="67"/>
        <v>38329.005933125394</v>
      </c>
      <c r="AL342" s="87">
        <f t="shared" si="65"/>
        <v>1095.4455751706835</v>
      </c>
      <c r="AM342" s="87">
        <f t="shared" si="68"/>
        <v>38329.005933125394</v>
      </c>
      <c r="AO342" s="19">
        <f t="shared" si="69"/>
        <v>-276.34595584570229</v>
      </c>
      <c r="AP342" s="23">
        <f t="shared" si="70"/>
        <v>7.2098388444473988E-3</v>
      </c>
      <c r="AQ342" s="23"/>
      <c r="AR342" s="23"/>
      <c r="AS342" s="23"/>
      <c r="AT342" s="93">
        <f t="shared" si="82"/>
        <v>38329.005933125394</v>
      </c>
      <c r="AU342" s="87"/>
      <c r="AV342" s="87"/>
      <c r="AW342" s="35"/>
      <c r="AX342">
        <v>967</v>
      </c>
      <c r="AZ342">
        <v>1965</v>
      </c>
      <c r="BA342">
        <v>1277.4078518517545</v>
      </c>
      <c r="BB342">
        <v>36928.066892684161</v>
      </c>
      <c r="BE342">
        <v>1277.4078518517545</v>
      </c>
      <c r="BF342">
        <v>36928.066892684161</v>
      </c>
      <c r="BI342">
        <v>1277.4078518517545</v>
      </c>
      <c r="BJ342">
        <v>36928.066892684161</v>
      </c>
      <c r="BL342">
        <v>-257.05860642179141</v>
      </c>
      <c r="BM342">
        <v>6.9610631709703013E-3</v>
      </c>
      <c r="BT342">
        <f t="shared" si="75"/>
        <v>94</v>
      </c>
      <c r="BU342" s="36">
        <f>D302</f>
        <v>0.26477112789060925</v>
      </c>
      <c r="BZ342">
        <f t="shared" si="79"/>
        <v>1965</v>
      </c>
      <c r="CA342" s="5">
        <f t="shared" si="83"/>
        <v>38.329005933125394</v>
      </c>
      <c r="CB342" s="5"/>
      <c r="DW342" s="57"/>
      <c r="EA342">
        <f t="shared" si="80"/>
        <v>257.31231790526982</v>
      </c>
      <c r="EB342" s="16" t="e">
        <f>SUMPRODUCT($D302:$D$397,EA$10:EA342)</f>
        <v>#VALUE!</v>
      </c>
      <c r="EE342">
        <f t="shared" si="84"/>
        <v>1965</v>
      </c>
      <c r="EF342" s="5" t="e">
        <f t="shared" si="85"/>
        <v>#VALUE!</v>
      </c>
      <c r="EO342" s="15"/>
      <c r="ES342">
        <f t="shared" si="81"/>
        <v>202.02862949294314</v>
      </c>
      <c r="ET342" s="16" t="e">
        <f>SUMPRODUCT($D302:$D$397,ES$10:ES342)</f>
        <v>#VALUE!</v>
      </c>
      <c r="EW342">
        <f t="shared" si="86"/>
        <v>1965</v>
      </c>
      <c r="EX342" s="5" t="e">
        <f t="shared" si="87"/>
        <v>#VALUE!</v>
      </c>
    </row>
    <row r="343" spans="1:154" x14ac:dyDescent="0.2">
      <c r="A343">
        <f t="shared" ref="A343:A374" si="88">F343</f>
        <v>1966</v>
      </c>
      <c r="C343">
        <f t="shared" si="76"/>
        <v>54</v>
      </c>
      <c r="D343" s="63">
        <f t="shared" ref="D343:D374" si="89">PRODUCT(1/(1+(C343/$C$4)^$C$3))</f>
        <v>0.76756728254114526</v>
      </c>
      <c r="E343" s="18">
        <f t="shared" ref="E343:E374" si="90">1/D343</f>
        <v>1.3028173851930631</v>
      </c>
      <c r="F343">
        <f t="shared" si="77"/>
        <v>1966</v>
      </c>
      <c r="G343" s="19">
        <f>Dodge_to_CBECS!C63</f>
        <v>134.80000000000001</v>
      </c>
      <c r="H343" s="19">
        <f>Dodge_to_CBECS!D63</f>
        <v>170.56</v>
      </c>
      <c r="I343" s="19">
        <f>Dodge_to_CBECS!E63</f>
        <v>23.451999999999998</v>
      </c>
      <c r="J343" s="19">
        <f>Dodge_to_CBECS!F63</f>
        <v>19.187999999999999</v>
      </c>
      <c r="K343" s="19">
        <f>Dodge_to_CBECS!G63</f>
        <v>113</v>
      </c>
      <c r="L343" s="19">
        <f>Dodge_to_CBECS!H63</f>
        <v>198.39999999999998</v>
      </c>
      <c r="M343" s="19">
        <f>Dodge_to_CBECS!I63</f>
        <v>45</v>
      </c>
      <c r="N343" s="19">
        <f>Dodge_to_CBECS!J63</f>
        <v>57.902092215185192</v>
      </c>
      <c r="O343" s="19">
        <f>Dodge_to_CBECS!K63</f>
        <v>45</v>
      </c>
      <c r="P343" s="19">
        <f>Dodge_to_CBECS!L63</f>
        <v>63.6</v>
      </c>
      <c r="Q343" s="19">
        <f>Dodge_to_CBECS!M63</f>
        <v>95.000000000000014</v>
      </c>
      <c r="T343">
        <f t="shared" ref="T343:T374" si="91">SUM(G343:Q343)</f>
        <v>965.90209221518523</v>
      </c>
      <c r="U343">
        <f t="shared" si="52"/>
        <v>935.59472140762466</v>
      </c>
      <c r="AB343">
        <f t="shared" ref="AB343:AB374" si="92">F343</f>
        <v>1966</v>
      </c>
      <c r="AD343">
        <f t="shared" si="78"/>
        <v>1188.4979692849329</v>
      </c>
      <c r="AH343">
        <f t="shared" ref="AH343:AH366" si="93">AD343</f>
        <v>1188.4979692849329</v>
      </c>
      <c r="AI343">
        <f t="shared" si="67"/>
        <v>39236.168078555282</v>
      </c>
      <c r="AL343" s="87">
        <f t="shared" ref="AL343:AL366" si="94">AD343</f>
        <v>1188.4979692849329</v>
      </c>
      <c r="AM343" s="87">
        <f t="shared" si="68"/>
        <v>39236.168078555282</v>
      </c>
      <c r="AO343" s="19">
        <f t="shared" si="69"/>
        <v>-281.33582385504542</v>
      </c>
      <c r="AP343" s="23">
        <f t="shared" si="70"/>
        <v>7.1703185512861254E-3</v>
      </c>
      <c r="AQ343" s="23"/>
      <c r="AR343" s="23"/>
      <c r="AS343" s="23"/>
      <c r="AT343" s="93">
        <f t="shared" si="82"/>
        <v>39236.168078555282</v>
      </c>
      <c r="AU343" s="87"/>
      <c r="AV343" s="87"/>
      <c r="AW343" s="35"/>
      <c r="AX343">
        <v>1004</v>
      </c>
      <c r="AZ343">
        <v>1966</v>
      </c>
      <c r="BA343">
        <v>1326.2848844458754</v>
      </c>
      <c r="BB343">
        <v>37990.312331662659</v>
      </c>
      <c r="BE343">
        <v>1326.2848844458754</v>
      </c>
      <c r="BF343">
        <v>37990.312331662659</v>
      </c>
      <c r="BI343">
        <v>1326.2848844458754</v>
      </c>
      <c r="BJ343">
        <v>37990.312331662659</v>
      </c>
      <c r="BL343">
        <v>-264.03944546737739</v>
      </c>
      <c r="BM343">
        <v>6.9501783286818695E-3</v>
      </c>
      <c r="BT343">
        <f>BT342+1</f>
        <v>95</v>
      </c>
      <c r="BU343" s="36">
        <f>D301</f>
        <v>0.25685251102122836</v>
      </c>
      <c r="BZ343">
        <f t="shared" si="79"/>
        <v>1966</v>
      </c>
      <c r="CA343" s="5">
        <f t="shared" si="83"/>
        <v>39.236168078555281</v>
      </c>
      <c r="CB343" s="5"/>
      <c r="DW343" s="57"/>
      <c r="EA343">
        <f t="shared" si="80"/>
        <v>260.48901318805088</v>
      </c>
      <c r="EB343" s="16" t="e">
        <f>SUMPRODUCT($D301:$D$397,EA$10:EA343)</f>
        <v>#VALUE!</v>
      </c>
      <c r="EE343">
        <f t="shared" si="84"/>
        <v>1966</v>
      </c>
      <c r="EF343" s="5" t="e">
        <f t="shared" si="85"/>
        <v>#VALUE!</v>
      </c>
      <c r="EO343" s="15"/>
      <c r="ES343">
        <f t="shared" si="81"/>
        <v>219.75043909758728</v>
      </c>
      <c r="ET343" s="16" t="e">
        <f>SUMPRODUCT($D301:$D$397,ES$10:ES343)</f>
        <v>#VALUE!</v>
      </c>
      <c r="EW343">
        <f t="shared" si="86"/>
        <v>1966</v>
      </c>
      <c r="EX343" s="5" t="e">
        <f t="shared" si="87"/>
        <v>#VALUE!</v>
      </c>
    </row>
    <row r="344" spans="1:154" x14ac:dyDescent="0.2">
      <c r="A344">
        <f t="shared" si="88"/>
        <v>1967</v>
      </c>
      <c r="C344">
        <f t="shared" si="76"/>
        <v>53</v>
      </c>
      <c r="D344" s="63">
        <f t="shared" si="89"/>
        <v>0.78039164950404238</v>
      </c>
      <c r="E344" s="18">
        <f t="shared" si="90"/>
        <v>1.2814078682614352</v>
      </c>
      <c r="F344">
        <f t="shared" si="77"/>
        <v>1967</v>
      </c>
      <c r="G344" s="19">
        <f>Dodge_to_CBECS!C64</f>
        <v>146.5</v>
      </c>
      <c r="H344" s="19">
        <f>Dodge_to_CBECS!D64</f>
        <v>160.96</v>
      </c>
      <c r="I344" s="19">
        <f>Dodge_to_CBECS!E64</f>
        <v>22.131999999999998</v>
      </c>
      <c r="J344" s="19">
        <f>Dodge_to_CBECS!F64</f>
        <v>18.107999999999997</v>
      </c>
      <c r="K344" s="19">
        <f>Dodge_to_CBECS!G64</f>
        <v>96</v>
      </c>
      <c r="L344" s="19">
        <f>Dodge_to_CBECS!H64</f>
        <v>195.99999999999997</v>
      </c>
      <c r="M344" s="19">
        <f>Dodge_to_CBECS!I64</f>
        <v>49.5</v>
      </c>
      <c r="N344" s="19">
        <f>Dodge_to_CBECS!J64</f>
        <v>57.759444540279453</v>
      </c>
      <c r="O344" s="19">
        <f>Dodge_to_CBECS!K64</f>
        <v>42</v>
      </c>
      <c r="P344" s="19">
        <f>Dodge_to_CBECS!L64</f>
        <v>59.75</v>
      </c>
      <c r="Q344" s="19">
        <f>Dodge_to_CBECS!M64</f>
        <v>97.55</v>
      </c>
      <c r="T344">
        <f t="shared" si="91"/>
        <v>946.25944454027945</v>
      </c>
      <c r="U344">
        <f t="shared" si="52"/>
        <v>958.04503314522287</v>
      </c>
      <c r="AB344">
        <f t="shared" si="92"/>
        <v>1967</v>
      </c>
      <c r="AD344">
        <f t="shared" si="78"/>
        <v>1217.016888106755</v>
      </c>
      <c r="AH344">
        <f t="shared" si="93"/>
        <v>1217.016888106755</v>
      </c>
      <c r="AI344">
        <f t="shared" ref="AI344:AI375" si="95">SUMPRODUCT($D$247:$D$397,AH194:AH344)</f>
        <v>40166.88589064408</v>
      </c>
      <c r="AL344" s="87">
        <f t="shared" si="94"/>
        <v>1217.016888106755</v>
      </c>
      <c r="AM344" s="87">
        <f t="shared" ref="AM344:AM375" si="96">SUMPRODUCT($D$247:$D$397,AL194:AL344)</f>
        <v>40166.88589064408</v>
      </c>
      <c r="AO344" s="19">
        <f t="shared" ref="AO344:AO378" si="97">AM344-AM343-AL344</f>
        <v>-286.29907601795662</v>
      </c>
      <c r="AP344" s="23">
        <f t="shared" ref="AP344:AP375" si="98">(-AO344/AM344)</f>
        <v>7.1277389239837279E-3</v>
      </c>
      <c r="AQ344" s="23"/>
      <c r="AR344" s="23"/>
      <c r="AS344" s="23"/>
      <c r="AT344" s="93">
        <f t="shared" si="82"/>
        <v>40166.88589064408</v>
      </c>
      <c r="AU344" s="87"/>
      <c r="AV344" s="87"/>
      <c r="AW344" s="35"/>
      <c r="AX344">
        <v>983</v>
      </c>
      <c r="AZ344">
        <v>1967</v>
      </c>
      <c r="BA344">
        <v>1298.5438659465096</v>
      </c>
      <c r="BB344">
        <v>39017.58780663964</v>
      </c>
      <c r="BE344">
        <v>1298.5438659465096</v>
      </c>
      <c r="BF344">
        <v>39017.58780663964</v>
      </c>
      <c r="BI344">
        <v>1298.5438659465096</v>
      </c>
      <c r="BJ344">
        <v>39017.58780663964</v>
      </c>
      <c r="BL344">
        <v>-271.26839096952858</v>
      </c>
      <c r="BM344">
        <v>6.9524644197344956E-3</v>
      </c>
      <c r="BT344">
        <f>BT343+1</f>
        <v>96</v>
      </c>
      <c r="BU344" s="36">
        <f>D300</f>
        <v>0.24917011239319095</v>
      </c>
      <c r="BZ344">
        <f t="shared" si="79"/>
        <v>1967</v>
      </c>
      <c r="CA344" s="5">
        <f t="shared" si="83"/>
        <v>40.166885890644082</v>
      </c>
      <c r="CB344" s="5"/>
      <c r="CI344" t="s">
        <v>378</v>
      </c>
      <c r="CK344" t="s">
        <v>379</v>
      </c>
      <c r="CL344" t="s">
        <v>380</v>
      </c>
      <c r="DW344" s="57"/>
      <c r="EA344">
        <f t="shared" si="80"/>
        <v>245.8273426521381</v>
      </c>
      <c r="EB344" s="16" t="e">
        <f>SUMPRODUCT($D300:$D$397,EA$10:EA344)</f>
        <v>#VALUE!</v>
      </c>
      <c r="EE344">
        <f t="shared" si="84"/>
        <v>1967</v>
      </c>
      <c r="EF344" s="5" t="e">
        <f t="shared" si="85"/>
        <v>#VALUE!</v>
      </c>
      <c r="EO344" s="15"/>
      <c r="ES344">
        <f t="shared" si="81"/>
        <v>217.09216765689064</v>
      </c>
      <c r="ET344" s="16" t="e">
        <f>SUMPRODUCT($D300:$D$397,ES$10:ES344)</f>
        <v>#VALUE!</v>
      </c>
      <c r="EW344">
        <f t="shared" si="86"/>
        <v>1967</v>
      </c>
      <c r="EX344" s="5" t="e">
        <f t="shared" si="87"/>
        <v>#VALUE!</v>
      </c>
    </row>
    <row r="345" spans="1:154" x14ac:dyDescent="0.2">
      <c r="A345">
        <f t="shared" si="88"/>
        <v>1968</v>
      </c>
      <c r="C345">
        <f t="shared" si="76"/>
        <v>52</v>
      </c>
      <c r="D345" s="63">
        <f t="shared" si="89"/>
        <v>0.79292896639582933</v>
      </c>
      <c r="E345" s="18">
        <f t="shared" si="90"/>
        <v>1.2611470161638678</v>
      </c>
      <c r="F345">
        <f t="shared" si="77"/>
        <v>1968</v>
      </c>
      <c r="G345" s="19">
        <f>Dodge_to_CBECS!C65</f>
        <v>176.7</v>
      </c>
      <c r="H345" s="19">
        <f>Dodge_to_CBECS!D65</f>
        <v>180.8</v>
      </c>
      <c r="I345" s="19">
        <f>Dodge_to_CBECS!E65</f>
        <v>24.86</v>
      </c>
      <c r="J345" s="19">
        <f>Dodge_to_CBECS!F65</f>
        <v>20.34</v>
      </c>
      <c r="K345" s="19">
        <f>Dodge_to_CBECS!G65</f>
        <v>112</v>
      </c>
      <c r="L345" s="19">
        <f>Dodge_to_CBECS!H65</f>
        <v>189.6</v>
      </c>
      <c r="M345" s="19">
        <f>Dodge_to_CBECS!I65</f>
        <v>51.75</v>
      </c>
      <c r="N345" s="19">
        <f>Dodge_to_CBECS!J65</f>
        <v>65.466540575174349</v>
      </c>
      <c r="O345" s="19">
        <f>Dodge_to_CBECS!K65</f>
        <v>39</v>
      </c>
      <c r="P345" s="19">
        <f>Dodge_to_CBECS!L65</f>
        <v>63.75</v>
      </c>
      <c r="Q345" s="19">
        <f>Dodge_to_CBECS!M65</f>
        <v>103.94999999999999</v>
      </c>
      <c r="T345">
        <f t="shared" si="91"/>
        <v>1028.2165405751743</v>
      </c>
      <c r="U345">
        <f t="shared" ref="U345:U366" si="99">($W$210*T345+$W$211*T344)*$W$212</f>
        <v>979.04228295423741</v>
      </c>
      <c r="AB345">
        <f t="shared" si="92"/>
        <v>1968</v>
      </c>
      <c r="AD345">
        <f t="shared" si="78"/>
        <v>1243.6899637318893</v>
      </c>
      <c r="AH345">
        <f t="shared" si="93"/>
        <v>1243.6899637318893</v>
      </c>
      <c r="AI345">
        <f t="shared" si="95"/>
        <v>41119.338763690568</v>
      </c>
      <c r="AL345" s="87">
        <f t="shared" si="94"/>
        <v>1243.6899637318893</v>
      </c>
      <c r="AM345" s="87">
        <f t="shared" si="96"/>
        <v>41119.338763690568</v>
      </c>
      <c r="AO345" s="19">
        <f t="shared" si="97"/>
        <v>-291.2370906854012</v>
      </c>
      <c r="AP345" s="23">
        <f t="shared" si="98"/>
        <v>7.0827279679548504E-3</v>
      </c>
      <c r="AQ345" s="23"/>
      <c r="AR345" s="23"/>
      <c r="AS345" s="23"/>
      <c r="AT345" s="93">
        <f t="shared" si="82"/>
        <v>41119.338763690568</v>
      </c>
      <c r="AU345" s="87"/>
      <c r="AV345" s="87"/>
      <c r="AW345" s="35"/>
      <c r="AX345">
        <v>1057</v>
      </c>
      <c r="AZ345">
        <v>1968</v>
      </c>
      <c r="BA345">
        <v>1396.2979311347513</v>
      </c>
      <c r="BB345">
        <v>40135.463513736722</v>
      </c>
      <c r="BE345">
        <v>1396.2979311347513</v>
      </c>
      <c r="BF345">
        <v>40135.463513736722</v>
      </c>
      <c r="BI345">
        <v>1396.2979311347513</v>
      </c>
      <c r="BJ345">
        <v>40135.463513736722</v>
      </c>
      <c r="BL345">
        <v>-278.42222403766891</v>
      </c>
      <c r="BM345">
        <v>6.9370626289734115E-3</v>
      </c>
      <c r="BT345">
        <f>BT344+1</f>
        <v>97</v>
      </c>
      <c r="BU345" s="36">
        <f>D299</f>
        <v>0.24171919018653262</v>
      </c>
      <c r="BZ345">
        <f t="shared" si="79"/>
        <v>1968</v>
      </c>
      <c r="CA345" s="5">
        <f t="shared" si="83"/>
        <v>41.119338763690571</v>
      </c>
      <c r="CB345" s="5"/>
      <c r="DW345" s="57"/>
      <c r="EA345">
        <f t="shared" si="80"/>
        <v>276.12812842635788</v>
      </c>
      <c r="EB345" s="16" t="e">
        <f>SUMPRODUCT($D299:$D$397,EA$10:EA345)</f>
        <v>#VALUE!</v>
      </c>
      <c r="EE345">
        <f t="shared" si="84"/>
        <v>1968</v>
      </c>
      <c r="EF345" s="5" t="e">
        <f t="shared" si="85"/>
        <v>#VALUE!</v>
      </c>
      <c r="EO345" s="15"/>
      <c r="ES345">
        <f t="shared" si="81"/>
        <v>210.00344381503299</v>
      </c>
      <c r="ET345" s="16" t="e">
        <f>SUMPRODUCT($D299:$D$397,ES$10:ES345)</f>
        <v>#VALUE!</v>
      </c>
      <c r="EW345">
        <f t="shared" si="86"/>
        <v>1968</v>
      </c>
      <c r="EX345" s="5" t="e">
        <f t="shared" si="87"/>
        <v>#VALUE!</v>
      </c>
    </row>
    <row r="346" spans="1:154" x14ac:dyDescent="0.2">
      <c r="A346">
        <f t="shared" si="88"/>
        <v>1969</v>
      </c>
      <c r="C346">
        <f t="shared" si="76"/>
        <v>51</v>
      </c>
      <c r="D346" s="63">
        <f t="shared" si="89"/>
        <v>0.80515717846513635</v>
      </c>
      <c r="E346" s="18">
        <f t="shared" si="90"/>
        <v>1.2419935221918914</v>
      </c>
      <c r="F346">
        <f t="shared" si="77"/>
        <v>1969</v>
      </c>
      <c r="G346" s="19">
        <f>Dodge_to_CBECS!C66</f>
        <v>214.2</v>
      </c>
      <c r="H346" s="19">
        <f>Dodge_to_CBECS!D66</f>
        <v>197.28</v>
      </c>
      <c r="I346" s="19">
        <f>Dodge_to_CBECS!E66</f>
        <v>27.126000000000001</v>
      </c>
      <c r="J346" s="19">
        <f>Dodge_to_CBECS!F66</f>
        <v>22.193999999999999</v>
      </c>
      <c r="K346" s="19">
        <f>Dodge_to_CBECS!G66</f>
        <v>125</v>
      </c>
      <c r="L346" s="19">
        <f>Dodge_to_CBECS!H66</f>
        <v>177.6</v>
      </c>
      <c r="M346" s="19">
        <f>Dodge_to_CBECS!I66</f>
        <v>65.25</v>
      </c>
      <c r="N346" s="19">
        <f>Dodge_to_CBECS!J66</f>
        <v>77.213515611523192</v>
      </c>
      <c r="O346" s="19">
        <f>Dodge_to_CBECS!K66</f>
        <v>33</v>
      </c>
      <c r="P346" s="19">
        <f>Dodge_to_CBECS!L66</f>
        <v>68.7</v>
      </c>
      <c r="Q346" s="19">
        <f>Dodge_to_CBECS!M66</f>
        <v>98.9</v>
      </c>
      <c r="T346">
        <f t="shared" si="91"/>
        <v>1106.4635156115232</v>
      </c>
      <c r="U346">
        <f t="shared" si="99"/>
        <v>1059.5153305897138</v>
      </c>
      <c r="V346">
        <f>SUM(T337:T346)</f>
        <v>8790.6694349293975</v>
      </c>
      <c r="AB346">
        <f t="shared" si="92"/>
        <v>1969</v>
      </c>
      <c r="AD346">
        <f t="shared" si="78"/>
        <v>1345.9159078383691</v>
      </c>
      <c r="AH346">
        <f t="shared" si="93"/>
        <v>1345.9159078383691</v>
      </c>
      <c r="AI346">
        <f t="shared" si="95"/>
        <v>42169.102376586241</v>
      </c>
      <c r="AL346" s="87">
        <f t="shared" si="94"/>
        <v>1345.9159078383691</v>
      </c>
      <c r="AM346" s="87">
        <f t="shared" si="96"/>
        <v>42169.102376586241</v>
      </c>
      <c r="AO346" s="19">
        <f t="shared" si="97"/>
        <v>-296.15229494269624</v>
      </c>
      <c r="AP346" s="23">
        <f t="shared" si="98"/>
        <v>7.0229689097468283E-3</v>
      </c>
      <c r="AQ346" s="23"/>
      <c r="AR346" s="23"/>
      <c r="AS346" s="23"/>
      <c r="AT346" s="93">
        <f t="shared" si="82"/>
        <v>42169.102376586241</v>
      </c>
      <c r="AU346" s="87"/>
      <c r="AV346" s="87"/>
      <c r="AW346" s="35"/>
      <c r="AX346">
        <v>1126</v>
      </c>
      <c r="AZ346">
        <v>1969</v>
      </c>
      <c r="BA346">
        <v>1487.4469919183823</v>
      </c>
      <c r="BB346">
        <v>41336.878924172037</v>
      </c>
      <c r="BE346">
        <v>1487.4469919183823</v>
      </c>
      <c r="BF346">
        <v>41336.878924172037</v>
      </c>
      <c r="BI346">
        <v>1487.4469919183823</v>
      </c>
      <c r="BJ346">
        <v>41336.878924172037</v>
      </c>
      <c r="BL346">
        <v>-286.03158148306761</v>
      </c>
      <c r="BM346">
        <v>6.9195253470336043E-3</v>
      </c>
      <c r="BT346">
        <f>BT345+1</f>
        <v>98</v>
      </c>
      <c r="BU346" s="36">
        <f>D298</f>
        <v>0.23449482497713842</v>
      </c>
      <c r="BZ346">
        <f t="shared" si="79"/>
        <v>1969</v>
      </c>
      <c r="CA346" s="5">
        <f t="shared" si="83"/>
        <v>42.169102376586245</v>
      </c>
      <c r="CB346" s="5"/>
      <c r="CI346">
        <v>11.7</v>
      </c>
      <c r="CK346">
        <v>0.12</v>
      </c>
      <c r="DI346" t="s">
        <v>395</v>
      </c>
      <c r="DW346" s="57"/>
      <c r="EA346">
        <f t="shared" si="80"/>
        <v>301.29732951300821</v>
      </c>
      <c r="EB346" s="16" t="e">
        <f>SUMPRODUCT($D298:$D$397,EA$10:EA346)</f>
        <v>#VALUE!</v>
      </c>
      <c r="EE346">
        <f t="shared" si="84"/>
        <v>1969</v>
      </c>
      <c r="EF346" s="5" t="e">
        <f t="shared" si="85"/>
        <v>#VALUE!</v>
      </c>
      <c r="EO346" s="15"/>
      <c r="ES346">
        <f t="shared" si="81"/>
        <v>196.71208661154989</v>
      </c>
      <c r="ET346" s="16" t="e">
        <f>SUMPRODUCT($D298:$D$397,ES$10:ES346)</f>
        <v>#VALUE!</v>
      </c>
      <c r="EW346">
        <f t="shared" si="86"/>
        <v>1969</v>
      </c>
      <c r="EX346" s="5" t="e">
        <f t="shared" si="87"/>
        <v>#VALUE!</v>
      </c>
    </row>
    <row r="347" spans="1:154" x14ac:dyDescent="0.2">
      <c r="A347">
        <f t="shared" si="88"/>
        <v>1970</v>
      </c>
      <c r="C347">
        <f t="shared" si="76"/>
        <v>50</v>
      </c>
      <c r="D347" s="63">
        <f t="shared" si="89"/>
        <v>0.81705567362617515</v>
      </c>
      <c r="E347" s="18">
        <f t="shared" si="90"/>
        <v>1.223906806205628</v>
      </c>
      <c r="F347">
        <f t="shared" si="77"/>
        <v>1970</v>
      </c>
      <c r="G347" s="19">
        <f>Dodge_to_CBECS!C67</f>
        <v>190.5</v>
      </c>
      <c r="H347" s="19">
        <f>Dodge_to_CBECS!D67</f>
        <v>185.76</v>
      </c>
      <c r="I347" s="19">
        <f>Dodge_to_CBECS!E67</f>
        <v>25.541999999999998</v>
      </c>
      <c r="J347" s="19">
        <f>Dodge_to_CBECS!F67</f>
        <v>20.898</v>
      </c>
      <c r="K347" s="19">
        <f>Dodge_to_CBECS!G67</f>
        <v>116</v>
      </c>
      <c r="L347" s="19">
        <f>Dodge_to_CBECS!H67</f>
        <v>156</v>
      </c>
      <c r="M347" s="19">
        <f>Dodge_to_CBECS!I67</f>
        <v>56.25</v>
      </c>
      <c r="N347" s="19">
        <f>Dodge_to_CBECS!J67</f>
        <v>69.961956923531872</v>
      </c>
      <c r="O347" s="19">
        <f>Dodge_to_CBECS!K67</f>
        <v>27</v>
      </c>
      <c r="P347" s="19">
        <f>Dodge_to_CBECS!L67</f>
        <v>60.95</v>
      </c>
      <c r="Q347" s="19">
        <f>Dodge_to_CBECS!M67</f>
        <v>87.350000000000009</v>
      </c>
      <c r="T347">
        <f t="shared" si="91"/>
        <v>996.21195692353194</v>
      </c>
      <c r="U347">
        <f t="shared" si="99"/>
        <v>1062.3628921363268</v>
      </c>
      <c r="AB347">
        <f t="shared" si="92"/>
        <v>1970</v>
      </c>
      <c r="AD347">
        <f t="shared" si="78"/>
        <v>1349.5332017778558</v>
      </c>
      <c r="AH347">
        <f t="shared" si="93"/>
        <v>1349.5332017778558</v>
      </c>
      <c r="AI347">
        <f t="shared" si="95"/>
        <v>43217.587378911085</v>
      </c>
      <c r="AL347" s="87">
        <f t="shared" si="94"/>
        <v>1349.5332017778558</v>
      </c>
      <c r="AM347" s="87">
        <f t="shared" si="96"/>
        <v>43217.587378911085</v>
      </c>
      <c r="AO347" s="19">
        <f t="shared" si="97"/>
        <v>-301.0481994530121</v>
      </c>
      <c r="AP347" s="23">
        <f t="shared" si="98"/>
        <v>6.9658724077669085E-3</v>
      </c>
      <c r="AQ347" s="23"/>
      <c r="AR347" s="23"/>
      <c r="AS347" s="23"/>
      <c r="AT347" s="93">
        <f t="shared" si="82"/>
        <v>43217.587378911085</v>
      </c>
      <c r="AU347" s="87"/>
      <c r="AV347" s="87"/>
      <c r="AW347" s="35"/>
      <c r="AX347">
        <v>1011</v>
      </c>
      <c r="AZ347">
        <v>1970</v>
      </c>
      <c r="BA347">
        <v>1335.5318906123309</v>
      </c>
      <c r="BB347">
        <v>42378.337243417904</v>
      </c>
      <c r="BE347">
        <v>1335.5318906123309</v>
      </c>
      <c r="BF347">
        <v>42378.337243417904</v>
      </c>
      <c r="BI347">
        <v>1335.5318906123309</v>
      </c>
      <c r="BJ347">
        <v>42378.337243417904</v>
      </c>
      <c r="BL347">
        <v>-294.07357136646419</v>
      </c>
      <c r="BM347">
        <v>6.9392427946695567E-3</v>
      </c>
      <c r="BT347">
        <f>BT346+1</f>
        <v>99</v>
      </c>
      <c r="BU347" s="36">
        <f>D297</f>
        <v>0.22749195404548059</v>
      </c>
      <c r="BZ347">
        <f t="shared" si="79"/>
        <v>1970</v>
      </c>
      <c r="CA347" s="5">
        <f t="shared" si="83"/>
        <v>43.217587378911084</v>
      </c>
      <c r="CB347" s="5"/>
      <c r="DC347" t="s">
        <v>74</v>
      </c>
      <c r="DW347" s="57"/>
      <c r="EA347">
        <f t="shared" si="80"/>
        <v>283.70332486991282</v>
      </c>
      <c r="EB347" s="16" t="e">
        <f>SUMPRODUCT($D297:$D$397,EA$10:EA347)</f>
        <v>#VALUE!</v>
      </c>
      <c r="EE347">
        <f t="shared" si="84"/>
        <v>1970</v>
      </c>
      <c r="EF347" s="5" t="e">
        <f t="shared" si="85"/>
        <v>#VALUE!</v>
      </c>
      <c r="EO347" s="15"/>
      <c r="ES347">
        <f t="shared" si="81"/>
        <v>172.78764364528033</v>
      </c>
      <c r="ET347" s="16" t="e">
        <f>SUMPRODUCT($D297:$D$397,ES$10:ES347)</f>
        <v>#VALUE!</v>
      </c>
      <c r="EW347">
        <f t="shared" si="86"/>
        <v>1970</v>
      </c>
      <c r="EX347" s="5" t="e">
        <f t="shared" si="87"/>
        <v>#VALUE!</v>
      </c>
    </row>
    <row r="348" spans="1:154" x14ac:dyDescent="0.2">
      <c r="A348">
        <f t="shared" si="88"/>
        <v>1971</v>
      </c>
      <c r="C348">
        <f t="shared" si="76"/>
        <v>49</v>
      </c>
      <c r="D348" s="63">
        <f t="shared" si="89"/>
        <v>0.82860543794751107</v>
      </c>
      <c r="E348" s="18">
        <f t="shared" si="90"/>
        <v>1.2068470157244444</v>
      </c>
      <c r="F348">
        <f t="shared" si="77"/>
        <v>1971</v>
      </c>
      <c r="G348" s="19">
        <f>Dodge_to_CBECS!C68</f>
        <v>190.9</v>
      </c>
      <c r="H348" s="19">
        <f>Dodge_to_CBECS!D68</f>
        <v>196.16</v>
      </c>
      <c r="I348" s="19">
        <f>Dodge_to_CBECS!E68</f>
        <v>26.971999999999998</v>
      </c>
      <c r="J348" s="19">
        <f>Dodge_to_CBECS!F68</f>
        <v>22.067999999999998</v>
      </c>
      <c r="K348" s="19">
        <f>Dodge_to_CBECS!G68</f>
        <v>125</v>
      </c>
      <c r="L348" s="19">
        <f>Dodge_to_CBECS!H68</f>
        <v>151.19999999999999</v>
      </c>
      <c r="M348" s="19">
        <f>Dodge_to_CBECS!I68</f>
        <v>57</v>
      </c>
      <c r="N348" s="19">
        <f>Dodge_to_CBECS!J68</f>
        <v>72.337736267527532</v>
      </c>
      <c r="O348" s="19">
        <f>Dodge_to_CBECS!K68</f>
        <v>26</v>
      </c>
      <c r="P348" s="19">
        <f>Dodge_to_CBECS!L68</f>
        <v>66.05</v>
      </c>
      <c r="Q348" s="19">
        <f>Dodge_to_CBECS!M68</f>
        <v>100.65</v>
      </c>
      <c r="T348">
        <f t="shared" si="91"/>
        <v>1034.3377362675276</v>
      </c>
      <c r="U348">
        <f t="shared" si="99"/>
        <v>1011.4622686611301</v>
      </c>
      <c r="AB348">
        <f t="shared" si="92"/>
        <v>1971</v>
      </c>
      <c r="AD348">
        <f t="shared" si="78"/>
        <v>1284.8734872119253</v>
      </c>
      <c r="AH348">
        <f t="shared" si="93"/>
        <v>1284.8734872119253</v>
      </c>
      <c r="AI348">
        <f t="shared" si="95"/>
        <v>44196.531411053329</v>
      </c>
      <c r="AL348" s="87">
        <f t="shared" si="94"/>
        <v>1284.8734872119253</v>
      </c>
      <c r="AM348" s="87">
        <f t="shared" si="96"/>
        <v>44196.531411053329</v>
      </c>
      <c r="AO348" s="19">
        <f t="shared" si="97"/>
        <v>-305.9294550696809</v>
      </c>
      <c r="AP348" s="23">
        <f t="shared" si="98"/>
        <v>6.922024088821809E-3</v>
      </c>
      <c r="AQ348" s="23"/>
      <c r="AR348" s="23"/>
      <c r="AS348" s="23"/>
      <c r="AT348" s="93">
        <f>AM348-AR348</f>
        <v>44196.531411053329</v>
      </c>
      <c r="AU348" s="87"/>
      <c r="AV348" s="87"/>
      <c r="AW348" s="35"/>
      <c r="AX348">
        <v>1051</v>
      </c>
      <c r="AZ348">
        <v>1971</v>
      </c>
      <c r="BA348">
        <v>1388.3719258492183</v>
      </c>
      <c r="BB348">
        <v>43465.188694353114</v>
      </c>
      <c r="BE348">
        <v>1388.3719258492183</v>
      </c>
      <c r="BF348">
        <v>43465.188694353114</v>
      </c>
      <c r="BI348">
        <v>1388.3719258492183</v>
      </c>
      <c r="BJ348">
        <v>43465.188694353114</v>
      </c>
      <c r="BL348">
        <v>-301.52047491400845</v>
      </c>
      <c r="BM348">
        <v>6.9370566186724323E-3</v>
      </c>
      <c r="BU348" s="36">
        <f>D296</f>
        <v>0.22070540284656209</v>
      </c>
      <c r="BZ348">
        <f t="shared" si="79"/>
        <v>1971</v>
      </c>
      <c r="CA348" s="5">
        <f t="shared" si="83"/>
        <v>44.196531411053328</v>
      </c>
      <c r="CB348" s="5"/>
      <c r="DC348" t="s">
        <v>390</v>
      </c>
      <c r="DW348" s="57"/>
      <c r="EA348">
        <f t="shared" si="80"/>
        <v>299.58680128381837</v>
      </c>
      <c r="EB348" s="16" t="e">
        <f>SUMPRODUCT($D296:$D$397,EA$10:EA348)</f>
        <v>#VALUE!</v>
      </c>
      <c r="EE348">
        <f t="shared" si="84"/>
        <v>1971</v>
      </c>
      <c r="EF348" s="5" t="e">
        <f t="shared" si="85"/>
        <v>#VALUE!</v>
      </c>
      <c r="EO348" s="15"/>
      <c r="ES348">
        <f t="shared" si="81"/>
        <v>167.47110076388708</v>
      </c>
      <c r="ET348" s="16" t="e">
        <f>SUMPRODUCT($D296:$D$397,ES$10:ES348)</f>
        <v>#VALUE!</v>
      </c>
      <c r="EW348">
        <f t="shared" si="86"/>
        <v>1971</v>
      </c>
      <c r="EX348" s="5" t="e">
        <f t="shared" si="87"/>
        <v>#VALUE!</v>
      </c>
    </row>
    <row r="349" spans="1:154" x14ac:dyDescent="0.2">
      <c r="A349">
        <f t="shared" si="88"/>
        <v>1972</v>
      </c>
      <c r="C349">
        <f t="shared" si="76"/>
        <v>48</v>
      </c>
      <c r="D349" s="63">
        <f t="shared" si="89"/>
        <v>0.83978919383707895</v>
      </c>
      <c r="E349" s="18">
        <f t="shared" si="90"/>
        <v>1.1907750270408961</v>
      </c>
      <c r="F349">
        <f t="shared" si="77"/>
        <v>1972</v>
      </c>
      <c r="G349" s="19">
        <f>Dodge_to_CBECS!C69</f>
        <v>203.7</v>
      </c>
      <c r="H349" s="19">
        <f>Dodge_to_CBECS!D69</f>
        <v>229.76</v>
      </c>
      <c r="I349" s="19">
        <f>Dodge_to_CBECS!E69</f>
        <v>31.591999999999999</v>
      </c>
      <c r="J349" s="19">
        <f>Dodge_to_CBECS!F69</f>
        <v>25.847999999999999</v>
      </c>
      <c r="K349" s="19">
        <f>Dodge_to_CBECS!G69</f>
        <v>159</v>
      </c>
      <c r="L349" s="19">
        <f>Dodge_to_CBECS!H69</f>
        <v>125.6</v>
      </c>
      <c r="M349" s="19">
        <f>Dodge_to_CBECS!I69</f>
        <v>63</v>
      </c>
      <c r="N349" s="19">
        <f>Dodge_to_CBECS!J69</f>
        <v>83.130732644964127</v>
      </c>
      <c r="O349" s="19">
        <f>Dodge_to_CBECS!K69</f>
        <v>27</v>
      </c>
      <c r="P349" s="19">
        <f>Dodge_to_CBECS!L69</f>
        <v>63.35</v>
      </c>
      <c r="Q349" s="19">
        <f>Dodge_to_CBECS!M69</f>
        <v>96.149999999999991</v>
      </c>
      <c r="T349">
        <f t="shared" si="91"/>
        <v>1108.1307326449642</v>
      </c>
      <c r="U349">
        <f t="shared" si="99"/>
        <v>1063.8549348185022</v>
      </c>
      <c r="AB349">
        <f t="shared" si="92"/>
        <v>1972</v>
      </c>
      <c r="AD349">
        <f t="shared" si="78"/>
        <v>1351.4285627255788</v>
      </c>
      <c r="AH349">
        <f t="shared" si="93"/>
        <v>1351.4285627255788</v>
      </c>
      <c r="AI349">
        <f t="shared" si="95"/>
        <v>45237.158093969592</v>
      </c>
      <c r="AL349" s="87">
        <f t="shared" si="94"/>
        <v>1351.4285627255788</v>
      </c>
      <c r="AM349" s="87">
        <f t="shared" si="96"/>
        <v>45237.158093969592</v>
      </c>
      <c r="AO349" s="19">
        <f t="shared" si="97"/>
        <v>-310.80187980931555</v>
      </c>
      <c r="AP349" s="23">
        <f t="shared" si="98"/>
        <v>6.8704996711707114E-3</v>
      </c>
      <c r="AQ349" s="23"/>
      <c r="AR349" s="23"/>
      <c r="AS349" s="23"/>
      <c r="AT349" s="93">
        <f t="shared" ref="AT349:AT383" si="100">AM349-AR349</f>
        <v>45237.158093969592</v>
      </c>
      <c r="AU349" s="87"/>
      <c r="AV349" s="87"/>
      <c r="AW349" s="35"/>
      <c r="AX349">
        <v>1138</v>
      </c>
      <c r="AZ349">
        <v>1972</v>
      </c>
      <c r="BA349">
        <v>1503.2990024894484</v>
      </c>
      <c r="BB349">
        <v>44659.255682509407</v>
      </c>
      <c r="BE349">
        <v>1503.2990024894484</v>
      </c>
      <c r="BF349">
        <v>44659.255682509407</v>
      </c>
      <c r="BI349">
        <v>1503.2990024894484</v>
      </c>
      <c r="BJ349">
        <v>44659.255682509407</v>
      </c>
      <c r="BL349">
        <v>-309.23201433315489</v>
      </c>
      <c r="BM349">
        <v>6.9242536537451561E-3</v>
      </c>
      <c r="BZ349">
        <f t="shared" si="79"/>
        <v>1972</v>
      </c>
      <c r="CA349" s="5">
        <f t="shared" si="83"/>
        <v>45.23715809396959</v>
      </c>
      <c r="CB349" s="5"/>
      <c r="CG349" t="s">
        <v>424</v>
      </c>
      <c r="CH349" t="s">
        <v>377</v>
      </c>
      <c r="CI349" t="s">
        <v>429</v>
      </c>
      <c r="CK349" t="s">
        <v>388</v>
      </c>
      <c r="CS349" t="s">
        <v>376</v>
      </c>
      <c r="DC349" t="s">
        <v>391</v>
      </c>
      <c r="DE349" t="s">
        <v>392</v>
      </c>
      <c r="DF349" t="s">
        <v>393</v>
      </c>
      <c r="DI349" t="s">
        <v>396</v>
      </c>
      <c r="DJ349" t="s">
        <v>394</v>
      </c>
      <c r="DK349" t="s">
        <v>397</v>
      </c>
      <c r="DL349" t="s">
        <v>243</v>
      </c>
      <c r="DQ349" t="s">
        <v>405</v>
      </c>
      <c r="DR349" t="s">
        <v>406</v>
      </c>
      <c r="DS349" t="s">
        <v>412</v>
      </c>
      <c r="DT349" t="s">
        <v>413</v>
      </c>
      <c r="DU349" t="s">
        <v>407</v>
      </c>
      <c r="DV349" t="s">
        <v>211</v>
      </c>
      <c r="DW349" s="57"/>
      <c r="EA349">
        <f t="shared" si="80"/>
        <v>350.90264815951321</v>
      </c>
      <c r="EB349" s="16" t="e">
        <f>SUMPRODUCT($D295:$D$397,EA$10:EA349)</f>
        <v>#VALUE!</v>
      </c>
      <c r="EE349">
        <f t="shared" si="84"/>
        <v>1972</v>
      </c>
      <c r="EF349" s="5" t="e">
        <f t="shared" si="85"/>
        <v>#VALUE!</v>
      </c>
      <c r="EO349" s="15"/>
      <c r="ES349">
        <f t="shared" si="81"/>
        <v>139.11620539645645</v>
      </c>
      <c r="ET349" s="16" t="e">
        <f>SUMPRODUCT($D295:$D$397,ES$10:ES349)</f>
        <v>#VALUE!</v>
      </c>
      <c r="EW349">
        <f t="shared" si="86"/>
        <v>1972</v>
      </c>
      <c r="EX349" s="5" t="e">
        <f t="shared" si="87"/>
        <v>#VALUE!</v>
      </c>
    </row>
    <row r="350" spans="1:154" x14ac:dyDescent="0.2">
      <c r="A350">
        <f t="shared" si="88"/>
        <v>1973</v>
      </c>
      <c r="C350">
        <f t="shared" si="76"/>
        <v>47</v>
      </c>
      <c r="D350" s="63">
        <f t="shared" si="89"/>
        <v>0.85059151886006445</v>
      </c>
      <c r="E350" s="18">
        <f t="shared" si="90"/>
        <v>1.1756524463589386</v>
      </c>
      <c r="F350">
        <f t="shared" si="77"/>
        <v>1973</v>
      </c>
      <c r="G350" s="19">
        <f>Dodge_to_CBECS!C70</f>
        <v>210.6</v>
      </c>
      <c r="H350" s="19">
        <f>Dodge_to_CBECS!D70</f>
        <v>238.56</v>
      </c>
      <c r="I350" s="19">
        <f>Dodge_to_CBECS!E70</f>
        <v>32.802</v>
      </c>
      <c r="J350" s="19">
        <f>Dodge_to_CBECS!F70</f>
        <v>26.837999999999997</v>
      </c>
      <c r="K350" s="19">
        <f>Dodge_to_CBECS!G70</f>
        <v>215</v>
      </c>
      <c r="L350" s="19">
        <f>Dodge_to_CBECS!H70</f>
        <v>124.79999999999998</v>
      </c>
      <c r="M350" s="19">
        <f>Dodge_to_CBECS!I70</f>
        <v>57</v>
      </c>
      <c r="N350" s="19">
        <f>Dodge_to_CBECS!J70</f>
        <v>88.281081347495004</v>
      </c>
      <c r="O350" s="19">
        <f>Dodge_to_CBECS!K70</f>
        <v>26</v>
      </c>
      <c r="P350" s="19">
        <f>Dodge_to_CBECS!L70</f>
        <v>76.5</v>
      </c>
      <c r="Q350" s="19">
        <f>Dodge_to_CBECS!M70</f>
        <v>116.9</v>
      </c>
      <c r="T350">
        <f t="shared" si="91"/>
        <v>1213.281081347495</v>
      </c>
      <c r="U350">
        <f t="shared" si="99"/>
        <v>1150.1908721259765</v>
      </c>
      <c r="AB350">
        <f t="shared" si="92"/>
        <v>1973</v>
      </c>
      <c r="AD350">
        <f t="shared" si="78"/>
        <v>1461.1022107468773</v>
      </c>
      <c r="AH350">
        <f t="shared" si="93"/>
        <v>1461.1022107468773</v>
      </c>
      <c r="AI350">
        <f t="shared" si="95"/>
        <v>46382.587898653008</v>
      </c>
      <c r="AL350" s="87">
        <f t="shared" si="94"/>
        <v>1461.1022107468773</v>
      </c>
      <c r="AM350" s="87">
        <f t="shared" si="96"/>
        <v>46382.587898653008</v>
      </c>
      <c r="AO350" s="19">
        <f t="shared" si="97"/>
        <v>-315.67240606346172</v>
      </c>
      <c r="AP350" s="23">
        <f t="shared" si="98"/>
        <v>6.8058385778993827E-3</v>
      </c>
      <c r="AQ350" s="23"/>
      <c r="AR350" s="23"/>
      <c r="AS350" s="23"/>
      <c r="AT350" s="93">
        <f t="shared" si="100"/>
        <v>46382.587898653008</v>
      </c>
      <c r="AU350" s="87"/>
      <c r="AV350" s="87"/>
      <c r="AW350" s="35"/>
      <c r="AX350">
        <v>1248</v>
      </c>
      <c r="AZ350">
        <v>1973</v>
      </c>
      <c r="BA350">
        <v>1648.609099390889</v>
      </c>
      <c r="BB350">
        <v>45990.390497896675</v>
      </c>
      <c r="BE350">
        <v>1648.609099390889</v>
      </c>
      <c r="BF350">
        <v>45990.390497896675</v>
      </c>
      <c r="BI350">
        <v>1648.609099390889</v>
      </c>
      <c r="BJ350">
        <v>45990.390497896675</v>
      </c>
      <c r="BL350">
        <v>-317.47428400362128</v>
      </c>
      <c r="BM350">
        <v>6.9030569335596457E-3</v>
      </c>
      <c r="BZ350">
        <f t="shared" si="79"/>
        <v>1973</v>
      </c>
      <c r="CA350" s="5">
        <f t="shared" si="83"/>
        <v>46.382587898653007</v>
      </c>
      <c r="CB350" s="5"/>
      <c r="CF350" s="70" t="e">
        <f>#REF!*0.001</f>
        <v>#REF!</v>
      </c>
      <c r="CG350" t="e">
        <f>CF350/CA350/3.412</f>
        <v>#REF!</v>
      </c>
      <c r="DC350" t="e">
        <f>CF350/3.412*1000</f>
        <v>#REF!</v>
      </c>
      <c r="DD350">
        <v>388000</v>
      </c>
      <c r="DF350">
        <f>DD350</f>
        <v>388000</v>
      </c>
      <c r="DH350">
        <f>BZ350</f>
        <v>1973</v>
      </c>
      <c r="DI350" t="e">
        <f>DC350/$CA350*0.001</f>
        <v>#REF!</v>
      </c>
      <c r="DJ350">
        <f>DD350/$CA350*0.001</f>
        <v>8.3652081002420271</v>
      </c>
      <c r="DP350">
        <f>BZ350</f>
        <v>1973</v>
      </c>
      <c r="DQ350" s="71" t="e">
        <f>CF350</f>
        <v>#REF!</v>
      </c>
      <c r="DR350" s="71">
        <f>DD350*0.001*3.412</f>
        <v>1323.856</v>
      </c>
      <c r="DS350" s="71"/>
      <c r="DW350" s="57"/>
      <c r="EA350">
        <f t="shared" si="80"/>
        <v>364.34251281743326</v>
      </c>
      <c r="EB350" s="16" t="e">
        <f>SUMPRODUCT($D294:$D$397,EA$10:EA350)</f>
        <v>#VALUE!</v>
      </c>
      <c r="EE350">
        <f t="shared" si="84"/>
        <v>1973</v>
      </c>
      <c r="EF350" s="5" t="e">
        <f t="shared" si="85"/>
        <v>#VALUE!</v>
      </c>
      <c r="EO350" s="15"/>
      <c r="ES350">
        <f t="shared" si="81"/>
        <v>138.23011491622424</v>
      </c>
      <c r="ET350" s="16" t="e">
        <f>SUMPRODUCT($D294:$D$397,ES$10:ES350)</f>
        <v>#VALUE!</v>
      </c>
      <c r="EW350">
        <f t="shared" si="86"/>
        <v>1973</v>
      </c>
      <c r="EX350" s="5" t="e">
        <f t="shared" si="87"/>
        <v>#VALUE!</v>
      </c>
    </row>
    <row r="351" spans="1:154" x14ac:dyDescent="0.2">
      <c r="A351">
        <f t="shared" si="88"/>
        <v>1974</v>
      </c>
      <c r="C351">
        <f t="shared" si="76"/>
        <v>46</v>
      </c>
      <c r="D351" s="63">
        <f t="shared" si="89"/>
        <v>0.86099894352470652</v>
      </c>
      <c r="E351" s="18">
        <f t="shared" si="90"/>
        <v>1.1614416109574528</v>
      </c>
      <c r="F351">
        <f t="shared" si="77"/>
        <v>1974</v>
      </c>
      <c r="G351" s="19">
        <f>Dodge_to_CBECS!C71</f>
        <v>176.6</v>
      </c>
      <c r="H351" s="19">
        <f>Dodge_to_CBECS!D71</f>
        <v>194.4</v>
      </c>
      <c r="I351" s="19">
        <f>Dodge_to_CBECS!E71</f>
        <v>26.73</v>
      </c>
      <c r="J351" s="19">
        <f>Dodge_to_CBECS!F71</f>
        <v>21.869999999999997</v>
      </c>
      <c r="K351" s="19">
        <f>Dodge_to_CBECS!G71</f>
        <v>182</v>
      </c>
      <c r="L351" s="19">
        <f>Dodge_to_CBECS!H71</f>
        <v>140.79999999999998</v>
      </c>
      <c r="M351" s="19">
        <f>Dodge_to_CBECS!I71</f>
        <v>56.25</v>
      </c>
      <c r="N351" s="19">
        <f>Dodge_to_CBECS!J71</f>
        <v>76.146042287882892</v>
      </c>
      <c r="O351" s="19">
        <f>Dodge_to_CBECS!K71</f>
        <v>27</v>
      </c>
      <c r="P351" s="19">
        <f>Dodge_to_CBECS!L71</f>
        <v>72.7</v>
      </c>
      <c r="Q351" s="19">
        <f>Dodge_to_CBECS!M71</f>
        <v>118.89999999999999</v>
      </c>
      <c r="T351">
        <f t="shared" si="91"/>
        <v>1093.3960422878829</v>
      </c>
      <c r="U351">
        <f t="shared" si="99"/>
        <v>1165.3270657236503</v>
      </c>
      <c r="AB351">
        <f t="shared" si="92"/>
        <v>1974</v>
      </c>
      <c r="AD351">
        <f t="shared" si="78"/>
        <v>1480.3299115257716</v>
      </c>
      <c r="AH351">
        <f t="shared" si="93"/>
        <v>1480.3299115257716</v>
      </c>
      <c r="AI351">
        <f t="shared" si="95"/>
        <v>47542.368755172327</v>
      </c>
      <c r="AL351" s="87">
        <f t="shared" si="94"/>
        <v>1480.3299115257716</v>
      </c>
      <c r="AM351" s="87">
        <f t="shared" si="96"/>
        <v>47542.368755172327</v>
      </c>
      <c r="AO351" s="19">
        <f t="shared" si="97"/>
        <v>-320.54905500645259</v>
      </c>
      <c r="AP351" s="23">
        <f t="shared" si="98"/>
        <v>6.7423871254117676E-3</v>
      </c>
      <c r="AQ351" s="23"/>
      <c r="AR351" s="23"/>
      <c r="AS351" s="23"/>
      <c r="AT351" s="93">
        <f t="shared" si="100"/>
        <v>47542.368755172327</v>
      </c>
      <c r="AU351" s="87"/>
      <c r="AV351" s="87"/>
      <c r="AW351" s="35"/>
      <c r="AX351">
        <v>1084</v>
      </c>
      <c r="AZ351">
        <v>1974</v>
      </c>
      <c r="BA351">
        <v>1431.9649549196504</v>
      </c>
      <c r="BB351">
        <v>47095.972987233974</v>
      </c>
      <c r="BE351">
        <v>1431.9649549196504</v>
      </c>
      <c r="BF351">
        <v>47095.972987233974</v>
      </c>
      <c r="BI351">
        <v>1431.9649549196504</v>
      </c>
      <c r="BJ351">
        <v>47095.972987233974</v>
      </c>
      <c r="BL351">
        <v>-326.38246558235119</v>
      </c>
      <c r="BM351">
        <v>6.9301565480093539E-3</v>
      </c>
      <c r="BZ351">
        <f t="shared" si="79"/>
        <v>1974</v>
      </c>
      <c r="CA351" s="5">
        <f t="shared" si="83"/>
        <v>47.542368755172326</v>
      </c>
      <c r="CB351" s="5"/>
      <c r="CF351" s="70" t="e">
        <f>#REF!*0.001</f>
        <v>#REF!</v>
      </c>
      <c r="CG351" t="e">
        <f t="shared" ref="CG351:CG382" si="101">CF351/CA351/3.412</f>
        <v>#REF!</v>
      </c>
      <c r="DC351" t="e">
        <f t="shared" ref="DC351:DC381" si="102">CF351/3.412*1000</f>
        <v>#REF!</v>
      </c>
      <c r="DD351">
        <v>385000</v>
      </c>
      <c r="DF351">
        <f t="shared" ref="DF351:DF369" si="103">DD351</f>
        <v>385000</v>
      </c>
      <c r="DH351">
        <f t="shared" ref="DH351:DH381" si="104">BZ351</f>
        <v>1974</v>
      </c>
      <c r="DI351" t="e">
        <f t="shared" ref="DI351:DI381" si="105">DC351/$CA351*0.001</f>
        <v>#REF!</v>
      </c>
      <c r="DJ351">
        <f t="shared" ref="DJ351:DJ381" si="106">DD351/$CA351*0.001</f>
        <v>8.0980399185119332</v>
      </c>
      <c r="DP351">
        <f t="shared" ref="DP351:DP382" si="107">BZ351</f>
        <v>1974</v>
      </c>
      <c r="DQ351" s="71" t="e">
        <f t="shared" ref="DQ351:DQ382" si="108">CF351</f>
        <v>#REF!</v>
      </c>
      <c r="DR351" s="71">
        <f t="shared" ref="DR351:DR382" si="109">DD351*0.001*3.412</f>
        <v>1313.62</v>
      </c>
      <c r="DS351" s="71"/>
      <c r="DW351" s="57"/>
      <c r="EA351">
        <f t="shared" si="80"/>
        <v>296.89882835223437</v>
      </c>
      <c r="EB351" s="16" t="e">
        <f>SUMPRODUCT($D293:$D$397,EA$10:EA351)</f>
        <v>#VALUE!</v>
      </c>
      <c r="EE351">
        <f t="shared" si="84"/>
        <v>1974</v>
      </c>
      <c r="EF351" s="5" t="e">
        <f t="shared" si="85"/>
        <v>#VALUE!</v>
      </c>
      <c r="EO351" s="15"/>
      <c r="ES351">
        <f t="shared" si="81"/>
        <v>155.95192452086837</v>
      </c>
      <c r="ET351" s="16" t="e">
        <f>SUMPRODUCT($D293:$D$397,ES$10:ES351)</f>
        <v>#VALUE!</v>
      </c>
      <c r="EW351">
        <f t="shared" si="86"/>
        <v>1974</v>
      </c>
      <c r="EX351" s="5" t="e">
        <f t="shared" si="87"/>
        <v>#VALUE!</v>
      </c>
    </row>
    <row r="352" spans="1:154" x14ac:dyDescent="0.2">
      <c r="A352">
        <f t="shared" si="88"/>
        <v>1975</v>
      </c>
      <c r="C352">
        <f t="shared" si="76"/>
        <v>45</v>
      </c>
      <c r="D352" s="63">
        <f t="shared" si="89"/>
        <v>0.87100002680838728</v>
      </c>
      <c r="E352" s="18">
        <f t="shared" si="90"/>
        <v>1.1481055903801844</v>
      </c>
      <c r="F352">
        <f t="shared" si="77"/>
        <v>1975</v>
      </c>
      <c r="G352" s="19">
        <f>Dodge_to_CBECS!C72</f>
        <v>122.2</v>
      </c>
      <c r="H352" s="19">
        <f>Dodge_to_CBECS!D72</f>
        <v>149.28</v>
      </c>
      <c r="I352" s="19">
        <f>Dodge_to_CBECS!E72</f>
        <v>20.526</v>
      </c>
      <c r="J352" s="19">
        <f>Dodge_to_CBECS!F72</f>
        <v>16.794</v>
      </c>
      <c r="K352" s="19">
        <f>Dodge_to_CBECS!G72</f>
        <v>106</v>
      </c>
      <c r="L352" s="19">
        <f>Dodge_to_CBECS!H72</f>
        <v>121.6</v>
      </c>
      <c r="M352" s="19">
        <f>Dodge_to_CBECS!I72</f>
        <v>47.25</v>
      </c>
      <c r="N352" s="19">
        <f>Dodge_to_CBECS!J72</f>
        <v>55.270170531555728</v>
      </c>
      <c r="O352" s="19">
        <f>Dodge_to_CBECS!K72</f>
        <v>28</v>
      </c>
      <c r="P352" s="19">
        <f>Dodge_to_CBECS!L72</f>
        <v>64.899999999999991</v>
      </c>
      <c r="Q352" s="19">
        <f>Dodge_to_CBECS!M72</f>
        <v>110.69999999999999</v>
      </c>
      <c r="T352">
        <f t="shared" si="91"/>
        <v>842.52017053155578</v>
      </c>
      <c r="U352">
        <f t="shared" si="99"/>
        <v>993.04569358535207</v>
      </c>
      <c r="AB352">
        <f t="shared" si="92"/>
        <v>1975</v>
      </c>
      <c r="AD352">
        <f t="shared" si="78"/>
        <v>1261.4786757856546</v>
      </c>
      <c r="AH352">
        <f t="shared" si="93"/>
        <v>1261.4786757856546</v>
      </c>
      <c r="AI352">
        <f t="shared" si="95"/>
        <v>48478.406456760917</v>
      </c>
      <c r="AL352" s="87">
        <f t="shared" si="94"/>
        <v>1261.4786757856546</v>
      </c>
      <c r="AM352" s="87">
        <f t="shared" si="96"/>
        <v>48478.406456760917</v>
      </c>
      <c r="AO352" s="19">
        <f t="shared" si="97"/>
        <v>-325.44097419706486</v>
      </c>
      <c r="AP352" s="23">
        <f t="shared" si="98"/>
        <v>6.7131120427263566E-3</v>
      </c>
      <c r="AQ352" s="23"/>
      <c r="AR352" s="23"/>
      <c r="AS352" s="23"/>
      <c r="AT352" s="93">
        <f t="shared" si="100"/>
        <v>48478.406456760917</v>
      </c>
      <c r="AU352" s="87"/>
      <c r="AV352" s="87"/>
      <c r="AW352" s="35"/>
      <c r="AX352">
        <v>835</v>
      </c>
      <c r="AZ352">
        <v>1975</v>
      </c>
      <c r="BA352">
        <v>1103.035735570026</v>
      </c>
      <c r="BB352">
        <v>47864.581692323598</v>
      </c>
      <c r="BE352">
        <v>1103.035735570026</v>
      </c>
      <c r="BF352">
        <v>47864.581692323598</v>
      </c>
      <c r="BI352">
        <v>1103.035735570026</v>
      </c>
      <c r="BJ352">
        <v>47864.581692323598</v>
      </c>
      <c r="BL352">
        <v>-334.42703048040198</v>
      </c>
      <c r="BM352">
        <v>6.9869414639434019E-3</v>
      </c>
      <c r="BZ352">
        <f t="shared" si="79"/>
        <v>1975</v>
      </c>
      <c r="CA352" s="5">
        <f t="shared" si="83"/>
        <v>48.478406456760915</v>
      </c>
      <c r="CB352" s="5"/>
      <c r="CF352" s="70" t="e">
        <f>#REF!*0.001</f>
        <v>#REF!</v>
      </c>
      <c r="CG352" t="e">
        <f t="shared" si="101"/>
        <v>#REF!</v>
      </c>
      <c r="DC352" t="e">
        <f t="shared" si="102"/>
        <v>#REF!</v>
      </c>
      <c r="DD352">
        <v>403000</v>
      </c>
      <c r="DF352">
        <f t="shared" si="103"/>
        <v>403000</v>
      </c>
      <c r="DH352">
        <f t="shared" si="104"/>
        <v>1975</v>
      </c>
      <c r="DI352" t="e">
        <f t="shared" si="105"/>
        <v>#REF!</v>
      </c>
      <c r="DJ352">
        <f t="shared" si="106"/>
        <v>8.3129795192308062</v>
      </c>
      <c r="DP352">
        <f t="shared" si="107"/>
        <v>1975</v>
      </c>
      <c r="DQ352" s="71" t="e">
        <f t="shared" si="108"/>
        <v>#REF!</v>
      </c>
      <c r="DR352" s="71">
        <f t="shared" si="109"/>
        <v>1375.0360000000001</v>
      </c>
      <c r="DS352" s="71"/>
      <c r="DW352" s="57"/>
      <c r="EA352">
        <f t="shared" si="80"/>
        <v>227.98897683344416</v>
      </c>
      <c r="EB352" s="16" t="e">
        <f>SUMPRODUCT($D292:$D$397,EA$10:EA352)</f>
        <v>#VALUE!</v>
      </c>
      <c r="EE352">
        <f t="shared" si="84"/>
        <v>1975</v>
      </c>
      <c r="EF352" s="5" t="e">
        <f t="shared" si="85"/>
        <v>#VALUE!</v>
      </c>
      <c r="EO352" s="15"/>
      <c r="ES352">
        <f t="shared" si="81"/>
        <v>134.68575299529542</v>
      </c>
      <c r="ET352" s="16" t="e">
        <f>SUMPRODUCT($D292:$D$397,ES$10:ES352)</f>
        <v>#VALUE!</v>
      </c>
      <c r="EW352">
        <f t="shared" si="86"/>
        <v>1975</v>
      </c>
      <c r="EX352" s="5" t="e">
        <f t="shared" si="87"/>
        <v>#VALUE!</v>
      </c>
    </row>
    <row r="353" spans="1:155" x14ac:dyDescent="0.2">
      <c r="A353">
        <f t="shared" si="88"/>
        <v>1976</v>
      </c>
      <c r="C353">
        <f t="shared" si="76"/>
        <v>44</v>
      </c>
      <c r="D353" s="63">
        <f t="shared" si="89"/>
        <v>0.88058540865796442</v>
      </c>
      <c r="E353" s="18">
        <f t="shared" si="90"/>
        <v>1.1356081876532869</v>
      </c>
      <c r="F353">
        <f t="shared" si="77"/>
        <v>1976</v>
      </c>
      <c r="G353" s="19">
        <f>Dodge_to_CBECS!C73</f>
        <v>117.8</v>
      </c>
      <c r="H353" s="19">
        <f>Dodge_to_CBECS!D73</f>
        <v>164</v>
      </c>
      <c r="I353" s="19">
        <f>Dodge_to_CBECS!E73</f>
        <v>22.55</v>
      </c>
      <c r="J353" s="19">
        <f>Dodge_to_CBECS!F73</f>
        <v>18.45</v>
      </c>
      <c r="K353" s="19">
        <f>Dodge_to_CBECS!G73</f>
        <v>122</v>
      </c>
      <c r="L353" s="19">
        <f>Dodge_to_CBECS!H73</f>
        <v>94.399999999999991</v>
      </c>
      <c r="M353" s="19">
        <f>Dodge_to_CBECS!I73</f>
        <v>53.25</v>
      </c>
      <c r="N353" s="19">
        <f>Dodge_to_CBECS!J73</f>
        <v>60.265586879913251</v>
      </c>
      <c r="O353" s="19">
        <f>Dodge_to_CBECS!K73</f>
        <v>31</v>
      </c>
      <c r="P353" s="19">
        <f>Dodge_to_CBECS!L73</f>
        <v>59</v>
      </c>
      <c r="Q353" s="19">
        <f>Dodge_to_CBECS!M73</f>
        <v>100.80000000000001</v>
      </c>
      <c r="T353">
        <f t="shared" si="91"/>
        <v>843.51558687991337</v>
      </c>
      <c r="U353">
        <f t="shared" si="99"/>
        <v>842.91833707089881</v>
      </c>
      <c r="AB353">
        <f t="shared" si="92"/>
        <v>1976</v>
      </c>
      <c r="AD353">
        <f t="shared" si="78"/>
        <v>1070.7699701154295</v>
      </c>
      <c r="AH353">
        <f t="shared" si="93"/>
        <v>1070.7699701154295</v>
      </c>
      <c r="AI353">
        <f t="shared" si="95"/>
        <v>49218.818000569161</v>
      </c>
      <c r="AL353" s="87">
        <f t="shared" si="94"/>
        <v>1070.7699701154295</v>
      </c>
      <c r="AM353" s="87">
        <f t="shared" si="96"/>
        <v>49218.818000569161</v>
      </c>
      <c r="AO353" s="19">
        <f t="shared" si="97"/>
        <v>-330.35842630718503</v>
      </c>
      <c r="AP353" s="23">
        <f t="shared" si="98"/>
        <v>6.7120349436950071E-3</v>
      </c>
      <c r="AQ353" s="23"/>
      <c r="AR353" s="23"/>
      <c r="AS353" s="23"/>
      <c r="AT353" s="93">
        <f t="shared" si="100"/>
        <v>49218.818000569161</v>
      </c>
      <c r="AU353" s="87"/>
      <c r="AV353" s="87"/>
      <c r="AW353" s="35"/>
      <c r="AX353">
        <v>835</v>
      </c>
      <c r="AZ353">
        <v>1976</v>
      </c>
      <c r="BA353">
        <v>1103.035735570026</v>
      </c>
      <c r="BB353">
        <v>48626.500449343243</v>
      </c>
      <c r="BE353">
        <v>1103.035735570026</v>
      </c>
      <c r="BF353">
        <v>48626.500449343243</v>
      </c>
      <c r="BI353">
        <v>1103.035735570026</v>
      </c>
      <c r="BJ353">
        <v>48626.500449343243</v>
      </c>
      <c r="BL353">
        <v>-341.11697855038142</v>
      </c>
      <c r="BM353">
        <v>7.0150427318071296E-3</v>
      </c>
      <c r="BZ353">
        <f t="shared" si="79"/>
        <v>1976</v>
      </c>
      <c r="CA353" s="5">
        <f t="shared" si="83"/>
        <v>49.218818000569165</v>
      </c>
      <c r="CB353" s="5"/>
      <c r="CF353" s="70" t="e">
        <f>#REF!*0.001</f>
        <v>#REF!</v>
      </c>
      <c r="CG353" t="e">
        <f t="shared" si="101"/>
        <v>#REF!</v>
      </c>
      <c r="DC353" t="e">
        <f t="shared" si="102"/>
        <v>#REF!</v>
      </c>
      <c r="DD353">
        <v>425000</v>
      </c>
      <c r="DF353">
        <f t="shared" si="103"/>
        <v>425000</v>
      </c>
      <c r="DH353">
        <f t="shared" si="104"/>
        <v>1976</v>
      </c>
      <c r="DI353" t="e">
        <f t="shared" si="105"/>
        <v>#REF!</v>
      </c>
      <c r="DJ353">
        <f t="shared" si="106"/>
        <v>8.634908704940564</v>
      </c>
      <c r="DP353">
        <f t="shared" si="107"/>
        <v>1976</v>
      </c>
      <c r="DQ353" s="71" t="e">
        <f t="shared" si="108"/>
        <v>#REF!</v>
      </c>
      <c r="DR353" s="71">
        <f t="shared" si="109"/>
        <v>1450.1</v>
      </c>
      <c r="DS353" s="71"/>
      <c r="DW353" s="57"/>
      <c r="EA353">
        <f t="shared" si="80"/>
        <v>250.47020498851046</v>
      </c>
      <c r="EB353" s="16" t="e">
        <f>SUMPRODUCT($D291:$D$397,EA$10:EA353)</f>
        <v>#VALUE!</v>
      </c>
      <c r="EE353">
        <f t="shared" si="84"/>
        <v>1976</v>
      </c>
      <c r="EF353" s="5" t="e">
        <f t="shared" si="85"/>
        <v>#VALUE!</v>
      </c>
      <c r="EO353" s="15"/>
      <c r="ES353">
        <f t="shared" si="81"/>
        <v>104.55867666740039</v>
      </c>
      <c r="ET353" s="16" t="e">
        <f>SUMPRODUCT($D291:$D$397,ES$10:ES353)</f>
        <v>#VALUE!</v>
      </c>
      <c r="EW353">
        <f t="shared" si="86"/>
        <v>1976</v>
      </c>
      <c r="EX353" s="5" t="e">
        <f t="shared" si="87"/>
        <v>#VALUE!</v>
      </c>
    </row>
    <row r="354" spans="1:155" x14ac:dyDescent="0.2">
      <c r="A354">
        <f t="shared" si="88"/>
        <v>1977</v>
      </c>
      <c r="C354">
        <f t="shared" si="76"/>
        <v>43</v>
      </c>
      <c r="D354" s="63">
        <f t="shared" si="89"/>
        <v>0.88974783916898381</v>
      </c>
      <c r="E354" s="18">
        <f t="shared" si="90"/>
        <v>1.1239139405317249</v>
      </c>
      <c r="F354">
        <f t="shared" si="77"/>
        <v>1977</v>
      </c>
      <c r="G354" s="19">
        <f>Dodge_to_CBECS!C74</f>
        <v>148.19999999999999</v>
      </c>
      <c r="H354" s="19">
        <f>Dodge_to_CBECS!D74</f>
        <v>197.76</v>
      </c>
      <c r="I354" s="19">
        <f>Dodge_to_CBECS!E74</f>
        <v>27.192</v>
      </c>
      <c r="J354" s="19">
        <f>Dodge_to_CBECS!F74</f>
        <v>22.247999999999998</v>
      </c>
      <c r="K354" s="19">
        <f>Dodge_to_CBECS!G74</f>
        <v>170</v>
      </c>
      <c r="L354" s="19">
        <f>Dodge_to_CBECS!H74</f>
        <v>89.6</v>
      </c>
      <c r="M354" s="19">
        <f>Dodge_to_CBECS!I74</f>
        <v>49.5</v>
      </c>
      <c r="N354" s="19">
        <f>Dodge_to_CBECS!J74</f>
        <v>70.900625939525355</v>
      </c>
      <c r="O354" s="19">
        <f>Dodge_to_CBECS!K74</f>
        <v>32</v>
      </c>
      <c r="P354" s="19">
        <f>Dodge_to_CBECS!L74</f>
        <v>59.300000000000004</v>
      </c>
      <c r="Q354" s="19">
        <f>Dodge_to_CBECS!M74</f>
        <v>108.7</v>
      </c>
      <c r="T354">
        <f t="shared" si="91"/>
        <v>975.4006259395253</v>
      </c>
      <c r="U354">
        <f t="shared" si="99"/>
        <v>896.26960250375816</v>
      </c>
      <c r="AB354">
        <f t="shared" si="92"/>
        <v>1977</v>
      </c>
      <c r="AD354">
        <f t="shared" si="78"/>
        <v>1138.5427665783425</v>
      </c>
      <c r="AH354">
        <f t="shared" si="93"/>
        <v>1138.5427665783425</v>
      </c>
      <c r="AI354">
        <f t="shared" si="95"/>
        <v>50022.048157018362</v>
      </c>
      <c r="AL354" s="87">
        <f t="shared" si="94"/>
        <v>1138.5427665783425</v>
      </c>
      <c r="AM354" s="87">
        <f t="shared" si="96"/>
        <v>50022.048157018362</v>
      </c>
      <c r="AO354" s="19">
        <f t="shared" si="97"/>
        <v>-335.3126101291416</v>
      </c>
      <c r="AP354" s="23">
        <f t="shared" si="98"/>
        <v>6.703296295997337E-3</v>
      </c>
      <c r="AQ354" s="23"/>
      <c r="AR354" s="23"/>
      <c r="AS354" s="23"/>
      <c r="AT354" s="93">
        <f t="shared" si="100"/>
        <v>50022.048157018362</v>
      </c>
      <c r="AU354" s="87"/>
      <c r="AV354" s="87"/>
      <c r="AW354" s="35"/>
      <c r="AX354">
        <v>958</v>
      </c>
      <c r="AZ354">
        <v>1977</v>
      </c>
      <c r="BA354">
        <v>1265.5188439234548</v>
      </c>
      <c r="BB354">
        <v>49544.190710785246</v>
      </c>
      <c r="BE354">
        <v>1265.5188439234548</v>
      </c>
      <c r="BF354">
        <v>49544.190710785246</v>
      </c>
      <c r="BI354">
        <v>1265.5188439234548</v>
      </c>
      <c r="BJ354">
        <v>49544.190710785246</v>
      </c>
      <c r="BL354">
        <v>-347.82858248145158</v>
      </c>
      <c r="BM354">
        <v>7.0205724927853742E-3</v>
      </c>
      <c r="BZ354">
        <f t="shared" si="79"/>
        <v>1977</v>
      </c>
      <c r="CA354" s="5">
        <f t="shared" si="83"/>
        <v>50.022048157018361</v>
      </c>
      <c r="CB354" s="5"/>
      <c r="CF354" s="70" t="e">
        <f>#REF!*0.001</f>
        <v>#REF!</v>
      </c>
      <c r="CG354" t="e">
        <f t="shared" si="101"/>
        <v>#REF!</v>
      </c>
      <c r="DC354" t="e">
        <f t="shared" si="102"/>
        <v>#REF!</v>
      </c>
      <c r="DD354">
        <v>447000</v>
      </c>
      <c r="DF354">
        <f t="shared" si="103"/>
        <v>447000</v>
      </c>
      <c r="DH354">
        <f t="shared" si="104"/>
        <v>1977</v>
      </c>
      <c r="DI354" t="e">
        <f t="shared" si="105"/>
        <v>#REF!</v>
      </c>
      <c r="DJ354">
        <f t="shared" si="106"/>
        <v>8.9360595271284087</v>
      </c>
      <c r="DP354">
        <f t="shared" si="107"/>
        <v>1977</v>
      </c>
      <c r="DQ354" s="71" t="e">
        <f t="shared" si="108"/>
        <v>#REF!</v>
      </c>
      <c r="DR354" s="71">
        <f t="shared" si="109"/>
        <v>1525.164</v>
      </c>
      <c r="DS354" s="71"/>
      <c r="DW354" s="57"/>
      <c r="EA354">
        <f t="shared" si="80"/>
        <v>302.03041303980382</v>
      </c>
      <c r="EB354" s="16" t="e">
        <f>SUMPRODUCT($D290:$D$397,EA$10:EA354)</f>
        <v>#VALUE!</v>
      </c>
      <c r="EE354">
        <f t="shared" si="84"/>
        <v>1977</v>
      </c>
      <c r="EF354" s="5" t="e">
        <f t="shared" si="85"/>
        <v>#VALUE!</v>
      </c>
      <c r="EO354" s="15"/>
      <c r="ES354">
        <f t="shared" si="81"/>
        <v>99.242133786007159</v>
      </c>
      <c r="ET354" s="16" t="e">
        <f>SUMPRODUCT($D290:$D$397,ES$10:ES354)</f>
        <v>#VALUE!</v>
      </c>
      <c r="EW354">
        <f t="shared" si="86"/>
        <v>1977</v>
      </c>
      <c r="EX354" s="5" t="e">
        <f t="shared" si="87"/>
        <v>#VALUE!</v>
      </c>
    </row>
    <row r="355" spans="1:155" x14ac:dyDescent="0.2">
      <c r="A355">
        <f t="shared" si="88"/>
        <v>1978</v>
      </c>
      <c r="C355">
        <f t="shared" si="76"/>
        <v>42</v>
      </c>
      <c r="D355" s="63">
        <f t="shared" si="89"/>
        <v>0.898482184612997</v>
      </c>
      <c r="E355" s="18">
        <f t="shared" si="90"/>
        <v>1.1129881227758898</v>
      </c>
      <c r="F355">
        <f t="shared" si="77"/>
        <v>1978</v>
      </c>
      <c r="G355" s="19">
        <f>Dodge_to_CBECS!C75</f>
        <v>217.4</v>
      </c>
      <c r="H355" s="19">
        <f>Dodge_to_CBECS!D75</f>
        <v>230.72</v>
      </c>
      <c r="I355" s="19">
        <f>Dodge_to_CBECS!E75</f>
        <v>31.723999999999997</v>
      </c>
      <c r="J355" s="19">
        <f>Dodge_to_CBECS!F75</f>
        <v>25.955999999999996</v>
      </c>
      <c r="K355" s="19">
        <f>Dodge_to_CBECS!G75</f>
        <v>250</v>
      </c>
      <c r="L355" s="19">
        <f>Dodge_to_CBECS!H75</f>
        <v>83.199999999999989</v>
      </c>
      <c r="M355" s="19">
        <f>Dodge_to_CBECS!I75</f>
        <v>39.75</v>
      </c>
      <c r="N355" s="19">
        <f>Dodge_to_CBECS!J75</f>
        <v>86.39613470021439</v>
      </c>
      <c r="O355" s="19">
        <f>Dodge_to_CBECS!K75</f>
        <v>35</v>
      </c>
      <c r="P355" s="19">
        <f>Dodge_to_CBECS!L75</f>
        <v>62.5</v>
      </c>
      <c r="Q355" s="19">
        <f>Dodge_to_CBECS!M75</f>
        <v>77.5</v>
      </c>
      <c r="T355">
        <f t="shared" si="91"/>
        <v>1140.1461347002144</v>
      </c>
      <c r="U355">
        <f t="shared" si="99"/>
        <v>1041.298829443801</v>
      </c>
      <c r="AB355">
        <f t="shared" si="92"/>
        <v>1978</v>
      </c>
      <c r="AD355">
        <f t="shared" si="78"/>
        <v>1322.7752528902301</v>
      </c>
      <c r="AH355">
        <f t="shared" si="93"/>
        <v>1322.7752528902301</v>
      </c>
      <c r="AI355">
        <f t="shared" si="95"/>
        <v>51004.508012970276</v>
      </c>
      <c r="AL355" s="87">
        <f t="shared" si="94"/>
        <v>1322.7752528902301</v>
      </c>
      <c r="AM355" s="87">
        <f t="shared" si="96"/>
        <v>51004.508012970276</v>
      </c>
      <c r="AO355" s="19">
        <f t="shared" si="97"/>
        <v>-340.31539693831564</v>
      </c>
      <c r="AP355" s="23">
        <f t="shared" si="98"/>
        <v>6.6722611431086556E-3</v>
      </c>
      <c r="AQ355" s="23"/>
      <c r="AR355" s="23"/>
      <c r="AS355" s="23"/>
      <c r="AT355" s="93">
        <f t="shared" si="100"/>
        <v>51004.508012970276</v>
      </c>
      <c r="AU355" s="87"/>
      <c r="AV355" s="87"/>
      <c r="AW355" s="35"/>
      <c r="AX355">
        <v>1109</v>
      </c>
      <c r="AZ355">
        <v>1978</v>
      </c>
      <c r="BA355">
        <v>1464.989976942705</v>
      </c>
      <c r="BB355">
        <v>50653.92968630635</v>
      </c>
      <c r="BE355">
        <v>1464.989976942705</v>
      </c>
      <c r="BF355">
        <v>50653.92968630635</v>
      </c>
      <c r="BI355">
        <v>1464.989976942705</v>
      </c>
      <c r="BJ355">
        <v>50653.92968630635</v>
      </c>
      <c r="BL355">
        <v>-355.25100142160068</v>
      </c>
      <c r="BM355">
        <v>7.0132959796333095E-3</v>
      </c>
      <c r="BZ355">
        <f t="shared" si="79"/>
        <v>1978</v>
      </c>
      <c r="CA355" s="5">
        <f t="shared" si="83"/>
        <v>51.004508012970277</v>
      </c>
      <c r="CB355" s="5"/>
      <c r="CF355" s="70" t="e">
        <f>#REF!*0.001</f>
        <v>#REF!</v>
      </c>
      <c r="CG355" t="e">
        <f t="shared" si="101"/>
        <v>#REF!</v>
      </c>
      <c r="CL355" t="s">
        <v>433</v>
      </c>
      <c r="DC355" t="e">
        <f t="shared" si="102"/>
        <v>#REF!</v>
      </c>
      <c r="DD355">
        <v>461000</v>
      </c>
      <c r="DF355">
        <f t="shared" si="103"/>
        <v>461000</v>
      </c>
      <c r="DH355">
        <f t="shared" si="104"/>
        <v>1978</v>
      </c>
      <c r="DI355" t="e">
        <f t="shared" si="105"/>
        <v>#REF!</v>
      </c>
      <c r="DJ355">
        <f t="shared" si="106"/>
        <v>9.0384167588239315</v>
      </c>
      <c r="DP355">
        <f t="shared" si="107"/>
        <v>1978</v>
      </c>
      <c r="DQ355" s="71" t="e">
        <f t="shared" si="108"/>
        <v>#REF!</v>
      </c>
      <c r="DR355" s="71">
        <f t="shared" si="109"/>
        <v>1572.932</v>
      </c>
      <c r="DS355" s="71"/>
      <c r="DW355" s="57"/>
      <c r="EA355">
        <f t="shared" si="80"/>
        <v>352.36881521310448</v>
      </c>
      <c r="EB355" s="16" t="e">
        <f>SUMPRODUCT($D289:$D$397,EA$10:EA355)</f>
        <v>#VALUE!</v>
      </c>
      <c r="EE355">
        <f t="shared" si="84"/>
        <v>1978</v>
      </c>
      <c r="EF355" s="5" t="e">
        <f t="shared" si="85"/>
        <v>#VALUE!</v>
      </c>
      <c r="EO355" s="15"/>
      <c r="ES355">
        <f t="shared" si="81"/>
        <v>92.153409944149502</v>
      </c>
      <c r="ET355" s="16" t="e">
        <f>SUMPRODUCT($D289:$D$397,ES$10:ES355)</f>
        <v>#VALUE!</v>
      </c>
      <c r="EW355">
        <f t="shared" si="86"/>
        <v>1978</v>
      </c>
      <c r="EX355" s="5" t="e">
        <f t="shared" si="87"/>
        <v>#VALUE!</v>
      </c>
    </row>
    <row r="356" spans="1:155" x14ac:dyDescent="0.2">
      <c r="A356">
        <f t="shared" si="88"/>
        <v>1979</v>
      </c>
      <c r="C356">
        <f t="shared" si="76"/>
        <v>41</v>
      </c>
      <c r="D356" s="63">
        <f t="shared" si="89"/>
        <v>0.90678541092628584</v>
      </c>
      <c r="E356" s="18">
        <f t="shared" si="90"/>
        <v>1.1027967454598713</v>
      </c>
      <c r="F356">
        <f t="shared" si="77"/>
        <v>1979</v>
      </c>
      <c r="G356" s="19">
        <f>Dodge_to_CBECS!C76</f>
        <v>245.2</v>
      </c>
      <c r="H356" s="19">
        <f>Dodge_to_CBECS!D76</f>
        <v>245.44000000000003</v>
      </c>
      <c r="I356" s="19">
        <f>Dodge_to_CBECS!E76</f>
        <v>33.748000000000005</v>
      </c>
      <c r="J356" s="19">
        <f>Dodge_to_CBECS!F76</f>
        <v>27.611999999999998</v>
      </c>
      <c r="K356" s="19">
        <f>Dodge_to_CBECS!G76</f>
        <v>260</v>
      </c>
      <c r="L356" s="19">
        <f>Dodge_to_CBECS!H76</f>
        <v>81.599999999999994</v>
      </c>
      <c r="M356" s="19">
        <f>Dodge_to_CBECS!I76</f>
        <v>42.75</v>
      </c>
      <c r="N356" s="19">
        <f>Dodge_to_CBECS!J76</f>
        <v>93.097088395475481</v>
      </c>
      <c r="O356" s="19">
        <f>Dodge_to_CBECS!K76</f>
        <v>34</v>
      </c>
      <c r="P356" s="19">
        <f>Dodge_to_CBECS!L76</f>
        <v>63.4</v>
      </c>
      <c r="Q356" s="19">
        <f>Dodge_to_CBECS!M76</f>
        <v>87</v>
      </c>
      <c r="T356">
        <f t="shared" si="91"/>
        <v>1213.8470883954756</v>
      </c>
      <c r="U356">
        <f t="shared" si="99"/>
        <v>1169.626516178319</v>
      </c>
      <c r="V356">
        <f>SUM(T347:T356)</f>
        <v>10460.787155918086</v>
      </c>
      <c r="AB356">
        <f t="shared" si="92"/>
        <v>1979</v>
      </c>
      <c r="AD356">
        <f t="shared" si="78"/>
        <v>1485.7915585589303</v>
      </c>
      <c r="AH356">
        <f t="shared" si="93"/>
        <v>1485.7915585589303</v>
      </c>
      <c r="AI356">
        <f t="shared" si="95"/>
        <v>52144.920365325939</v>
      </c>
      <c r="AL356" s="87">
        <f t="shared" si="94"/>
        <v>1485.7915585589303</v>
      </c>
      <c r="AM356" s="87">
        <f t="shared" si="96"/>
        <v>52144.920365325939</v>
      </c>
      <c r="AO356" s="19">
        <f t="shared" si="97"/>
        <v>-345.37920620326759</v>
      </c>
      <c r="AP356" s="23">
        <f t="shared" si="98"/>
        <v>6.623448722973397E-3</v>
      </c>
      <c r="AQ356" s="23"/>
      <c r="AR356" s="23"/>
      <c r="AS356" s="23"/>
      <c r="AT356" s="93">
        <f t="shared" si="100"/>
        <v>52144.920365325939</v>
      </c>
      <c r="AU356" s="87"/>
      <c r="AV356" s="87"/>
      <c r="AW356" s="35"/>
      <c r="AX356">
        <v>1191</v>
      </c>
      <c r="AZ356">
        <v>1979</v>
      </c>
      <c r="BA356">
        <v>1573.3120491783243</v>
      </c>
      <c r="BB356">
        <v>51863.691556339138</v>
      </c>
      <c r="BE356">
        <v>1573.3120491783243</v>
      </c>
      <c r="BF356">
        <v>51863.691556339138</v>
      </c>
      <c r="BI356">
        <v>1573.3120491783243</v>
      </c>
      <c r="BJ356">
        <v>51863.691556339138</v>
      </c>
      <c r="BL356">
        <v>-363.55017914553673</v>
      </c>
      <c r="BM356">
        <v>7.0097243029955724E-3</v>
      </c>
      <c r="BZ356">
        <f t="shared" si="79"/>
        <v>1979</v>
      </c>
      <c r="CA356" s="5">
        <f t="shared" si="83"/>
        <v>52.144920365325937</v>
      </c>
      <c r="CB356" s="5"/>
      <c r="CC356">
        <v>51.088000000000001</v>
      </c>
      <c r="CF356" s="70" t="e">
        <f>#REF!*0.001</f>
        <v>#REF!</v>
      </c>
      <c r="CG356" t="e">
        <f t="shared" si="101"/>
        <v>#REF!</v>
      </c>
      <c r="CL356">
        <f>CL310</f>
        <v>-191.82951741296213</v>
      </c>
      <c r="CM356">
        <f>CK310</f>
        <v>0.10283439270412005</v>
      </c>
      <c r="DC356" t="e">
        <f t="shared" si="102"/>
        <v>#REF!</v>
      </c>
      <c r="DD356">
        <v>473000</v>
      </c>
      <c r="DF356">
        <f t="shared" si="103"/>
        <v>473000</v>
      </c>
      <c r="DH356">
        <f t="shared" si="104"/>
        <v>1979</v>
      </c>
      <c r="DI356" t="e">
        <f t="shared" si="105"/>
        <v>#REF!</v>
      </c>
      <c r="DJ356">
        <f t="shared" si="106"/>
        <v>9.0708739544748465</v>
      </c>
      <c r="DP356">
        <f t="shared" si="107"/>
        <v>1979</v>
      </c>
      <c r="DQ356" s="71" t="e">
        <f t="shared" si="108"/>
        <v>#REF!</v>
      </c>
      <c r="DR356" s="71">
        <f t="shared" si="109"/>
        <v>1613.876</v>
      </c>
      <c r="DS356" s="71"/>
      <c r="DT356">
        <v>2239</v>
      </c>
      <c r="DW356" s="57"/>
      <c r="EA356">
        <f t="shared" si="80"/>
        <v>374.85004336817082</v>
      </c>
      <c r="EB356" s="16" t="e">
        <f>SUMPRODUCT($D288:$D$397,EA$10:EA356)</f>
        <v>#VALUE!</v>
      </c>
      <c r="EE356">
        <f t="shared" si="84"/>
        <v>1979</v>
      </c>
      <c r="EF356" s="5" t="e">
        <f t="shared" si="85"/>
        <v>#VALUE!</v>
      </c>
      <c r="EO356" s="15"/>
      <c r="ES356">
        <f t="shared" si="81"/>
        <v>90.381228983685091</v>
      </c>
      <c r="ET356" s="16" t="e">
        <f>SUMPRODUCT($D288:$D$397,ES$10:ES356)</f>
        <v>#VALUE!</v>
      </c>
      <c r="EW356">
        <f t="shared" si="86"/>
        <v>1979</v>
      </c>
      <c r="EX356" s="5" t="e">
        <f t="shared" si="87"/>
        <v>#VALUE!</v>
      </c>
    </row>
    <row r="357" spans="1:155" x14ac:dyDescent="0.2">
      <c r="A357">
        <f t="shared" si="88"/>
        <v>1980</v>
      </c>
      <c r="C357">
        <f t="shared" si="76"/>
        <v>40</v>
      </c>
      <c r="D357" s="63">
        <f t="shared" si="89"/>
        <v>0.91465654568384147</v>
      </c>
      <c r="E357" s="18">
        <f t="shared" si="90"/>
        <v>1.0933065583129367</v>
      </c>
      <c r="F357">
        <f t="shared" si="77"/>
        <v>1980</v>
      </c>
      <c r="G357" s="19">
        <f>Dodge_to_CBECS!C77</f>
        <v>253.3</v>
      </c>
      <c r="H357" s="19">
        <f>Dodge_to_CBECS!D77</f>
        <v>188.64000000000001</v>
      </c>
      <c r="I357" s="19">
        <f>Dodge_to_CBECS!E77</f>
        <v>25.938000000000002</v>
      </c>
      <c r="J357" s="19">
        <f>Dodge_to_CBECS!F77</f>
        <v>21.222000000000001</v>
      </c>
      <c r="K357" s="19">
        <f>Dodge_to_CBECS!G77</f>
        <v>196</v>
      </c>
      <c r="L357" s="19">
        <f>Dodge_to_CBECS!H77</f>
        <v>82.399999999999991</v>
      </c>
      <c r="M357" s="19">
        <f>Dodge_to_CBECS!I77</f>
        <v>41.25</v>
      </c>
      <c r="N357" s="19">
        <f>Dodge_to_CBECS!J77</f>
        <v>63.75</v>
      </c>
      <c r="O357" s="19">
        <f>Dodge_to_CBECS!K77</f>
        <v>28</v>
      </c>
      <c r="P357" s="19">
        <f>Dodge_to_CBECS!L77</f>
        <v>59.35</v>
      </c>
      <c r="Q357" s="19">
        <f>Dodge_to_CBECS!M77</f>
        <v>83.15000000000002</v>
      </c>
      <c r="T357">
        <f t="shared" si="91"/>
        <v>1043</v>
      </c>
      <c r="U357">
        <f t="shared" si="99"/>
        <v>1145.5082530372854</v>
      </c>
      <c r="AB357">
        <f t="shared" si="92"/>
        <v>1980</v>
      </c>
      <c r="AD357">
        <f t="shared" si="78"/>
        <v>1455.153819685552</v>
      </c>
      <c r="AH357">
        <f t="shared" si="93"/>
        <v>1455.153819685552</v>
      </c>
      <c r="AI357">
        <f t="shared" si="95"/>
        <v>53249.557142872116</v>
      </c>
      <c r="AL357" s="87">
        <f t="shared" si="94"/>
        <v>1455.153819685552</v>
      </c>
      <c r="AM357" s="87">
        <f t="shared" si="96"/>
        <v>53249.557142872116</v>
      </c>
      <c r="AO357" s="19">
        <f t="shared" si="97"/>
        <v>-350.51704213937523</v>
      </c>
      <c r="AP357" s="23">
        <f t="shared" si="98"/>
        <v>6.5825344086696278E-3</v>
      </c>
      <c r="AQ357" s="23"/>
      <c r="AR357" s="23"/>
      <c r="AS357" s="23"/>
      <c r="AT357" s="93">
        <f t="shared" si="100"/>
        <v>53249.557142872116</v>
      </c>
      <c r="AU357" s="87"/>
      <c r="AV357" s="87"/>
      <c r="AW357" s="35"/>
      <c r="AX357">
        <v>1050</v>
      </c>
      <c r="AZ357">
        <v>1980</v>
      </c>
      <c r="BA357">
        <v>1387.0509249682959</v>
      </c>
      <c r="BB357">
        <v>52878.392459343355</v>
      </c>
      <c r="BE357">
        <v>1387.0509249682959</v>
      </c>
      <c r="BF357">
        <v>52878.392459343355</v>
      </c>
      <c r="BI357">
        <v>1387.0509249682959</v>
      </c>
      <c r="BJ357">
        <v>52878.392459343355</v>
      </c>
      <c r="BL357">
        <v>-372.35002196407868</v>
      </c>
      <c r="BM357">
        <v>7.0416290028175064E-3</v>
      </c>
      <c r="BZ357">
        <f t="shared" si="79"/>
        <v>1980</v>
      </c>
      <c r="CA357" s="5">
        <f t="shared" si="83"/>
        <v>53.249557142872121</v>
      </c>
      <c r="CB357" s="5"/>
      <c r="CF357" s="70" t="e">
        <f>#REF!*0.001</f>
        <v>#REF!</v>
      </c>
      <c r="CG357" t="e">
        <f t="shared" si="101"/>
        <v>#REF!</v>
      </c>
      <c r="CL357">
        <v>-199.5</v>
      </c>
      <c r="CM357">
        <v>0.10655000000000001</v>
      </c>
      <c r="DC357" t="e">
        <f t="shared" si="102"/>
        <v>#REF!</v>
      </c>
      <c r="DD357">
        <v>488000</v>
      </c>
      <c r="DF357">
        <f t="shared" si="103"/>
        <v>488000</v>
      </c>
      <c r="DH357">
        <f t="shared" si="104"/>
        <v>1980</v>
      </c>
      <c r="DI357" t="e">
        <f t="shared" si="105"/>
        <v>#REF!</v>
      </c>
      <c r="DJ357">
        <f t="shared" si="106"/>
        <v>9.1643954651240271</v>
      </c>
      <c r="DP357">
        <f t="shared" si="107"/>
        <v>1980</v>
      </c>
      <c r="DQ357" s="71" t="e">
        <f t="shared" si="108"/>
        <v>#REF!</v>
      </c>
      <c r="DR357" s="71">
        <f t="shared" si="109"/>
        <v>1665.056</v>
      </c>
      <c r="DS357" s="71"/>
      <c r="DW357" s="57"/>
      <c r="EA357">
        <f t="shared" si="80"/>
        <v>288.10182603068671</v>
      </c>
      <c r="EB357" s="16" t="e">
        <f>SUMPRODUCT($D287:$D$397,EA$10:EA357)</f>
        <v>#VALUE!</v>
      </c>
      <c r="EE357">
        <f t="shared" si="84"/>
        <v>1980</v>
      </c>
      <c r="EF357" s="5" t="e">
        <f t="shared" si="85"/>
        <v>#VALUE!</v>
      </c>
      <c r="EO357" s="15"/>
      <c r="ES357">
        <f t="shared" si="81"/>
        <v>91.267319463917289</v>
      </c>
      <c r="ET357" s="16" t="e">
        <f>SUMPRODUCT($D287:$D$397,ES$10:ES357)</f>
        <v>#VALUE!</v>
      </c>
      <c r="EW357">
        <f t="shared" si="86"/>
        <v>1980</v>
      </c>
      <c r="EX357" s="5" t="e">
        <f t="shared" si="87"/>
        <v>#VALUE!</v>
      </c>
    </row>
    <row r="358" spans="1:155" x14ac:dyDescent="0.2">
      <c r="A358">
        <f t="shared" si="88"/>
        <v>1981</v>
      </c>
      <c r="C358">
        <f t="shared" si="76"/>
        <v>39</v>
      </c>
      <c r="D358" s="63">
        <f t="shared" si="89"/>
        <v>0.9220966199483297</v>
      </c>
      <c r="E358" s="18">
        <f t="shared" si="90"/>
        <v>1.0844850510958772</v>
      </c>
      <c r="F358">
        <f t="shared" si="77"/>
        <v>1981</v>
      </c>
      <c r="G358" s="19">
        <f>Dodge_to_CBECS!C78</f>
        <v>336.3</v>
      </c>
      <c r="H358" s="19">
        <f>Dodge_to_CBECS!D78</f>
        <v>167.20000000000002</v>
      </c>
      <c r="I358" s="19">
        <f>Dodge_to_CBECS!E78</f>
        <v>22.99</v>
      </c>
      <c r="J358" s="19">
        <f>Dodge_to_CBECS!F78</f>
        <v>18.809999999999999</v>
      </c>
      <c r="K358" s="19">
        <f>Dodge_to_CBECS!G78</f>
        <v>181</v>
      </c>
      <c r="L358" s="19">
        <f>Dodge_to_CBECS!H78</f>
        <v>66.399999999999991</v>
      </c>
      <c r="M358" s="19">
        <f>Dodge_to_CBECS!I78</f>
        <v>45</v>
      </c>
      <c r="N358" s="19">
        <f>Dodge_to_CBECS!J78</f>
        <v>70</v>
      </c>
      <c r="O358" s="19">
        <f>Dodge_to_CBECS!K78</f>
        <v>25</v>
      </c>
      <c r="P358" s="19">
        <f>Dodge_to_CBECS!L78</f>
        <v>54.25</v>
      </c>
      <c r="Q358" s="19">
        <f>Dodge_to_CBECS!M78</f>
        <v>69.05</v>
      </c>
      <c r="T358">
        <f t="shared" si="91"/>
        <v>1056</v>
      </c>
      <c r="U358">
        <f t="shared" si="99"/>
        <v>1048.2</v>
      </c>
      <c r="AB358">
        <f t="shared" si="92"/>
        <v>1981</v>
      </c>
      <c r="AD358">
        <f t="shared" si="78"/>
        <v>1331.541898323406</v>
      </c>
      <c r="AH358">
        <f t="shared" si="93"/>
        <v>1331.541898323406</v>
      </c>
      <c r="AI358">
        <f t="shared" si="95"/>
        <v>54225.356492580366</v>
      </c>
      <c r="AL358" s="87">
        <f t="shared" si="94"/>
        <v>1331.541898323406</v>
      </c>
      <c r="AM358" s="87">
        <f t="shared" si="96"/>
        <v>54225.356492580366</v>
      </c>
      <c r="AO358" s="19">
        <f t="shared" si="97"/>
        <v>-355.74254861515624</v>
      </c>
      <c r="AP358" s="23">
        <f t="shared" si="98"/>
        <v>6.5604464705332523E-3</v>
      </c>
      <c r="AQ358" s="23"/>
      <c r="AR358" s="23"/>
      <c r="AS358" s="23"/>
      <c r="AT358" s="93">
        <f t="shared" si="100"/>
        <v>54225.356492580366</v>
      </c>
      <c r="AU358" s="87"/>
      <c r="AV358" s="87"/>
      <c r="AW358" s="35"/>
      <c r="AX358">
        <v>1061</v>
      </c>
      <c r="AZ358">
        <v>1981</v>
      </c>
      <c r="BA358">
        <v>1401.5819346584401</v>
      </c>
      <c r="BB358">
        <v>53899.569624096148</v>
      </c>
      <c r="BE358">
        <v>1401.5819346584401</v>
      </c>
      <c r="BF358">
        <v>53899.569624096148</v>
      </c>
      <c r="BI358">
        <v>1401.5819346584401</v>
      </c>
      <c r="BJ358">
        <v>53899.569624096148</v>
      </c>
      <c r="BL358">
        <v>-380.40476990564707</v>
      </c>
      <c r="BM358">
        <v>7.0576587634863909E-3</v>
      </c>
      <c r="BZ358">
        <f t="shared" si="79"/>
        <v>1981</v>
      </c>
      <c r="CA358" s="5">
        <f t="shared" si="83"/>
        <v>54.225356492580367</v>
      </c>
      <c r="CB358" s="5"/>
      <c r="CF358" s="70" t="e">
        <f>#REF!*0.001</f>
        <v>#REF!</v>
      </c>
      <c r="CG358" t="e">
        <f t="shared" si="101"/>
        <v>#REF!</v>
      </c>
      <c r="CJ358" t="s">
        <v>408</v>
      </c>
      <c r="DC358" t="e">
        <f t="shared" si="102"/>
        <v>#REF!</v>
      </c>
      <c r="DD358">
        <v>514000</v>
      </c>
      <c r="DF358">
        <f t="shared" si="103"/>
        <v>514000</v>
      </c>
      <c r="DH358">
        <f t="shared" si="104"/>
        <v>1981</v>
      </c>
      <c r="DI358" t="e">
        <f t="shared" si="105"/>
        <v>#REF!</v>
      </c>
      <c r="DJ358">
        <f t="shared" si="106"/>
        <v>9.4789602733239828</v>
      </c>
      <c r="DP358">
        <f t="shared" si="107"/>
        <v>1981</v>
      </c>
      <c r="DQ358" s="71" t="e">
        <f t="shared" si="108"/>
        <v>#REF!</v>
      </c>
      <c r="DR358" s="71">
        <f t="shared" si="109"/>
        <v>1753.768</v>
      </c>
      <c r="DS358" s="71"/>
      <c r="DW358" s="57"/>
      <c r="EA358">
        <f t="shared" si="80"/>
        <v>255.35742850048143</v>
      </c>
      <c r="EB358" s="16" t="e">
        <f>SUMPRODUCT($D286:$D$397,EA$10:EA358)</f>
        <v>#VALUE!</v>
      </c>
      <c r="EE358">
        <f t="shared" si="84"/>
        <v>1981</v>
      </c>
      <c r="EF358" s="5" t="e">
        <f t="shared" si="85"/>
        <v>#VALUE!</v>
      </c>
      <c r="EO358" s="15"/>
      <c r="ES358">
        <f t="shared" si="81"/>
        <v>73.545509859273153</v>
      </c>
      <c r="ET358" s="16" t="e">
        <f>SUMPRODUCT($D286:$D$397,ES$10:ES358)</f>
        <v>#VALUE!</v>
      </c>
      <c r="EW358">
        <f t="shared" si="86"/>
        <v>1981</v>
      </c>
      <c r="EX358" s="5" t="e">
        <f t="shared" si="87"/>
        <v>#VALUE!</v>
      </c>
    </row>
    <row r="359" spans="1:155" x14ac:dyDescent="0.2">
      <c r="A359">
        <f t="shared" si="88"/>
        <v>1982</v>
      </c>
      <c r="C359">
        <f t="shared" si="76"/>
        <v>38</v>
      </c>
      <c r="D359" s="63">
        <f t="shared" si="89"/>
        <v>0.92910859169614757</v>
      </c>
      <c r="E359" s="18">
        <f t="shared" si="90"/>
        <v>1.0763004550140212</v>
      </c>
      <c r="F359">
        <f t="shared" si="77"/>
        <v>1982</v>
      </c>
      <c r="G359" s="19">
        <f>Dodge_to_CBECS!C79</f>
        <v>272.2</v>
      </c>
      <c r="H359" s="19">
        <f>Dodge_to_CBECS!D79</f>
        <v>129.08959999999999</v>
      </c>
      <c r="I359" s="19">
        <f>Dodge_to_CBECS!E79</f>
        <v>17.74982</v>
      </c>
      <c r="J359" s="19">
        <f>Dodge_to_CBECS!F79</f>
        <v>14.52258</v>
      </c>
      <c r="K359" s="19">
        <f>Dodge_to_CBECS!G79</f>
        <v>136.75</v>
      </c>
      <c r="L359" s="19">
        <f>Dodge_to_CBECS!H79</f>
        <v>65.599999999999994</v>
      </c>
      <c r="M359" s="19">
        <f>Dodge_to_CBECS!I79</f>
        <v>53.25</v>
      </c>
      <c r="N359" s="19">
        <f>Dodge_to_CBECS!J79</f>
        <v>77.75</v>
      </c>
      <c r="O359" s="19">
        <f>Dodge_to_CBECS!K79</f>
        <v>25</v>
      </c>
      <c r="P359" s="19">
        <f>Dodge_to_CBECS!L79</f>
        <v>45.1</v>
      </c>
      <c r="Q359" s="19">
        <f>Dodge_to_CBECS!M79</f>
        <v>58.988</v>
      </c>
      <c r="T359">
        <f t="shared" si="91"/>
        <v>896</v>
      </c>
      <c r="U359">
        <f t="shared" si="99"/>
        <v>992</v>
      </c>
      <c r="AB359">
        <f t="shared" si="92"/>
        <v>1982</v>
      </c>
      <c r="AD359">
        <f t="shared" si="78"/>
        <v>1260.1503178179917</v>
      </c>
      <c r="AH359">
        <f t="shared" si="93"/>
        <v>1260.1503178179917</v>
      </c>
      <c r="AI359">
        <f t="shared" si="95"/>
        <v>55124.436870888363</v>
      </c>
      <c r="AL359" s="87">
        <f t="shared" si="94"/>
        <v>1260.1503178179917</v>
      </c>
      <c r="AM359" s="87">
        <f t="shared" si="96"/>
        <v>55124.436870888363</v>
      </c>
      <c r="AO359" s="19">
        <f t="shared" si="97"/>
        <v>-361.06993950999436</v>
      </c>
      <c r="AP359" s="23">
        <f t="shared" si="98"/>
        <v>6.550088490802854E-3</v>
      </c>
      <c r="AQ359" s="23"/>
      <c r="AR359" s="23"/>
      <c r="AS359" s="23"/>
      <c r="AT359" s="93">
        <f t="shared" si="100"/>
        <v>55124.436870888363</v>
      </c>
      <c r="AU359" s="87"/>
      <c r="AV359" s="87"/>
      <c r="AW359" s="35"/>
      <c r="AX359">
        <v>896</v>
      </c>
      <c r="AZ359">
        <v>1982</v>
      </c>
      <c r="BA359">
        <v>1183.6167893062793</v>
      </c>
      <c r="BB359">
        <v>54694.631434421477</v>
      </c>
      <c r="BE359">
        <v>1183.6167893062793</v>
      </c>
      <c r="BF359">
        <v>54694.631434421477</v>
      </c>
      <c r="BI359">
        <v>1183.6167893062793</v>
      </c>
      <c r="BJ359">
        <v>54694.631434421477</v>
      </c>
      <c r="BL359">
        <v>-388.55497898095018</v>
      </c>
      <c r="BM359">
        <v>7.1040789340874374E-3</v>
      </c>
      <c r="BZ359">
        <f t="shared" si="79"/>
        <v>1982</v>
      </c>
      <c r="CA359" s="5">
        <f t="shared" si="83"/>
        <v>55.124436870888367</v>
      </c>
      <c r="CB359" s="5"/>
      <c r="CF359" s="70" t="e">
        <f>#REF!*0.001</f>
        <v>#REF!</v>
      </c>
      <c r="CG359" t="e">
        <f t="shared" si="101"/>
        <v>#REF!</v>
      </c>
      <c r="CS359" t="s">
        <v>425</v>
      </c>
      <c r="CT359" t="s">
        <v>243</v>
      </c>
      <c r="CU359" t="s">
        <v>437</v>
      </c>
      <c r="DC359" t="e">
        <f t="shared" si="102"/>
        <v>#REF!</v>
      </c>
      <c r="DD359">
        <v>526000</v>
      </c>
      <c r="DF359">
        <f t="shared" si="103"/>
        <v>526000</v>
      </c>
      <c r="DH359">
        <f t="shared" si="104"/>
        <v>1982</v>
      </c>
      <c r="DI359" t="e">
        <f t="shared" si="105"/>
        <v>#REF!</v>
      </c>
      <c r="DJ359">
        <f t="shared" si="106"/>
        <v>9.5420475901094335</v>
      </c>
      <c r="DP359">
        <f t="shared" si="107"/>
        <v>1982</v>
      </c>
      <c r="DQ359" s="71" t="e">
        <f t="shared" si="108"/>
        <v>#REF!</v>
      </c>
      <c r="DR359" s="71">
        <f t="shared" si="109"/>
        <v>1794.712</v>
      </c>
      <c r="DS359" s="71"/>
      <c r="DW359" s="57"/>
      <c r="EA359">
        <f t="shared" si="80"/>
        <v>197.15304008466353</v>
      </c>
      <c r="EB359" s="16" t="e">
        <f>SUMPRODUCT($D285:$D$397,EA$10:EA359)</f>
        <v>#VALUE!</v>
      </c>
      <c r="EE359">
        <f t="shared" si="84"/>
        <v>1982</v>
      </c>
      <c r="EF359" s="5" t="e">
        <f t="shared" si="85"/>
        <v>#VALUE!</v>
      </c>
      <c r="EO359" s="15"/>
      <c r="ES359">
        <f t="shared" si="81"/>
        <v>72.659419379040955</v>
      </c>
      <c r="ET359" s="16" t="e">
        <f>SUMPRODUCT($D285:$D$397,ES$10:ES359)</f>
        <v>#VALUE!</v>
      </c>
      <c r="EW359">
        <f t="shared" si="86"/>
        <v>1982</v>
      </c>
      <c r="EX359" s="5" t="e">
        <f t="shared" si="87"/>
        <v>#VALUE!</v>
      </c>
    </row>
    <row r="360" spans="1:155" x14ac:dyDescent="0.2">
      <c r="A360">
        <f t="shared" si="88"/>
        <v>1983</v>
      </c>
      <c r="C360">
        <f>C359-1</f>
        <v>37</v>
      </c>
      <c r="D360" s="63">
        <f t="shared" si="89"/>
        <v>0.93569725277529137</v>
      </c>
      <c r="E360" s="18">
        <f t="shared" si="90"/>
        <v>1.0687217441688386</v>
      </c>
      <c r="F360">
        <f>F359+1</f>
        <v>1983</v>
      </c>
      <c r="G360" s="19">
        <f>Dodge_to_CBECS!C80</f>
        <v>288.39999999999998</v>
      </c>
      <c r="H360" s="19">
        <f>Dodge_to_CBECS!D80</f>
        <v>154.3152</v>
      </c>
      <c r="I360" s="19">
        <f>Dodge_to_CBECS!E80</f>
        <v>21.218340000000001</v>
      </c>
      <c r="J360" s="19">
        <f>Dodge_to_CBECS!F80</f>
        <v>17.36046</v>
      </c>
      <c r="K360" s="19">
        <f>Dodge_to_CBECS!G80</f>
        <v>163.47999999999999</v>
      </c>
      <c r="L360" s="19">
        <f>Dodge_to_CBECS!H80</f>
        <v>67.199999999999989</v>
      </c>
      <c r="M360" s="19">
        <f>Dodge_to_CBECS!I80</f>
        <v>63</v>
      </c>
      <c r="N360" s="19">
        <f>Dodge_to_CBECS!J80</f>
        <v>90</v>
      </c>
      <c r="O360" s="19">
        <f>Dodge_to_CBECS!K80</f>
        <v>29</v>
      </c>
      <c r="P360" s="19">
        <f>Dodge_to_CBECS!L80</f>
        <v>43.300000000000004</v>
      </c>
      <c r="Q360" s="19">
        <f>Dodge_to_CBECS!M80</f>
        <v>62.726000000000006</v>
      </c>
      <c r="T360">
        <f t="shared" si="91"/>
        <v>999.99999999999989</v>
      </c>
      <c r="U360">
        <f t="shared" si="99"/>
        <v>937.6</v>
      </c>
      <c r="AB360">
        <f t="shared" si="92"/>
        <v>1983</v>
      </c>
      <c r="AD360">
        <f t="shared" si="78"/>
        <v>1191.045300389263</v>
      </c>
      <c r="AH360">
        <f t="shared" si="93"/>
        <v>1191.045300389263</v>
      </c>
      <c r="AI360">
        <f t="shared" si="95"/>
        <v>55948.968379792685</v>
      </c>
      <c r="AL360" s="87">
        <f t="shared" si="94"/>
        <v>1191.045300389263</v>
      </c>
      <c r="AM360" s="87">
        <f t="shared" si="96"/>
        <v>55948.968379792685</v>
      </c>
      <c r="AO360" s="19">
        <f>AM360-AM359-AL360</f>
        <v>-366.51379148494152</v>
      </c>
      <c r="AP360" s="23">
        <f t="shared" si="98"/>
        <v>6.5508587932662718E-3</v>
      </c>
      <c r="AQ360" s="23"/>
      <c r="AR360" s="23"/>
      <c r="AS360" s="23"/>
      <c r="AT360" s="93">
        <f t="shared" si="100"/>
        <v>55948.968379792685</v>
      </c>
      <c r="AU360" s="87"/>
      <c r="AV360" s="87"/>
      <c r="AW360" s="35"/>
      <c r="AX360">
        <v>1000</v>
      </c>
      <c r="AZ360">
        <v>1983</v>
      </c>
      <c r="BA360">
        <v>1321.0008809221865</v>
      </c>
      <c r="BB360">
        <v>55619.819469409231</v>
      </c>
      <c r="BE360">
        <v>1321.0008809221865</v>
      </c>
      <c r="BF360">
        <v>55619.819469409231</v>
      </c>
      <c r="BI360">
        <v>1321.0008809221865</v>
      </c>
      <c r="BJ360">
        <v>55619.819469409231</v>
      </c>
      <c r="BL360">
        <v>-395.81284593443274</v>
      </c>
      <c r="BM360">
        <v>7.1163993286984485E-3</v>
      </c>
      <c r="BZ360">
        <f t="shared" si="79"/>
        <v>1983</v>
      </c>
      <c r="CA360" s="5">
        <f t="shared" si="83"/>
        <v>55.948968379792689</v>
      </c>
      <c r="CB360" s="5"/>
      <c r="CC360">
        <v>56.116</v>
      </c>
      <c r="CF360" s="70" t="e">
        <f>#REF!*0.001</f>
        <v>#REF!</v>
      </c>
      <c r="CG360" t="e">
        <f t="shared" si="101"/>
        <v>#REF!</v>
      </c>
      <c r="CI360">
        <f>2415/56116*1000/3.412</f>
        <v>12.613087427257739</v>
      </c>
      <c r="CJ360">
        <f>2237/51146*1000/3.412</f>
        <v>12.818738476601636</v>
      </c>
      <c r="CK360">
        <f t="shared" ref="CK360:CK382" si="110">$CL$356+$CM$356*A360</f>
        <v>12.091083319307927</v>
      </c>
      <c r="CQ360">
        <f>[1]Summary_adjust!N5</f>
        <v>548.63939093913439</v>
      </c>
      <c r="CR360">
        <f>A360</f>
        <v>1983</v>
      </c>
      <c r="CS360">
        <f>CQ360/(CA360*0.975)</f>
        <v>10.057505686434007</v>
      </c>
      <c r="CT360">
        <f>CI360</f>
        <v>12.613087427257739</v>
      </c>
      <c r="CZ360" t="s">
        <v>411</v>
      </c>
      <c r="DB360" t="s">
        <v>385</v>
      </c>
      <c r="DC360" t="e">
        <f t="shared" si="102"/>
        <v>#REF!</v>
      </c>
      <c r="DD360">
        <v>544000</v>
      </c>
      <c r="DF360">
        <f t="shared" si="103"/>
        <v>544000</v>
      </c>
      <c r="DH360">
        <f t="shared" si="104"/>
        <v>1983</v>
      </c>
      <c r="DI360" t="e">
        <f t="shared" si="105"/>
        <v>#REF!</v>
      </c>
      <c r="DJ360">
        <f t="shared" si="106"/>
        <v>9.7231462125846573</v>
      </c>
      <c r="DL360">
        <f>CJ360</f>
        <v>12.818738476601636</v>
      </c>
      <c r="DP360">
        <f t="shared" si="107"/>
        <v>1983</v>
      </c>
      <c r="DQ360" s="71" t="e">
        <f t="shared" si="108"/>
        <v>#REF!</v>
      </c>
      <c r="DR360" s="71">
        <f t="shared" si="109"/>
        <v>1856.1279999999999</v>
      </c>
      <c r="DS360">
        <v>2237</v>
      </c>
      <c r="DT360">
        <v>2415</v>
      </c>
      <c r="DW360" s="57"/>
      <c r="EA360">
        <f t="shared" si="80"/>
        <v>235.67902302953044</v>
      </c>
      <c r="EB360" s="16" t="e">
        <f>SUMPRODUCT($D284:$D$397,EA$10:EA360)</f>
        <v>#VALUE!</v>
      </c>
      <c r="EE360">
        <f t="shared" si="84"/>
        <v>1983</v>
      </c>
      <c r="EF360" s="5" t="e">
        <f t="shared" si="85"/>
        <v>#VALUE!</v>
      </c>
      <c r="EG360">
        <f>10427*56116/52325</f>
        <v>11182.446860965121</v>
      </c>
      <c r="EO360" s="15"/>
      <c r="ES360">
        <f t="shared" si="81"/>
        <v>74.431600339505366</v>
      </c>
      <c r="ET360" s="16" t="e">
        <f>SUMPRODUCT($D284:$D$397,ES$10:ES360)</f>
        <v>#VALUE!</v>
      </c>
      <c r="EW360">
        <f t="shared" si="86"/>
        <v>1983</v>
      </c>
      <c r="EX360" s="5" t="e">
        <f t="shared" si="87"/>
        <v>#VALUE!</v>
      </c>
      <c r="EY360">
        <f>6044*56116/52325</f>
        <v>6481.8940086000957</v>
      </c>
    </row>
    <row r="361" spans="1:155" ht="13.5" thickBot="1" x14ac:dyDescent="0.25">
      <c r="A361">
        <f t="shared" si="88"/>
        <v>1984</v>
      </c>
      <c r="C361">
        <f t="shared" si="76"/>
        <v>36</v>
      </c>
      <c r="D361" s="63">
        <f t="shared" si="89"/>
        <v>0.94186912153892333</v>
      </c>
      <c r="E361" s="18">
        <f t="shared" si="90"/>
        <v>1.0617186370502267</v>
      </c>
      <c r="F361">
        <f t="shared" si="77"/>
        <v>1984</v>
      </c>
      <c r="G361" s="19">
        <f>Dodge_to_CBECS!C81</f>
        <v>320</v>
      </c>
      <c r="H361" s="19">
        <f>Dodge_to_CBECS!D81</f>
        <v>209.40160000000003</v>
      </c>
      <c r="I361" s="19">
        <f>Dodge_to_CBECS!E81</f>
        <v>28.792720000000003</v>
      </c>
      <c r="J361" s="19">
        <f>Dodge_to_CBECS!F81</f>
        <v>23.557680000000001</v>
      </c>
      <c r="K361" s="19">
        <f>Dodge_to_CBECS!G81</f>
        <v>221.84</v>
      </c>
      <c r="L361" s="19">
        <f>Dodge_to_CBECS!H81</f>
        <v>80</v>
      </c>
      <c r="M361" s="19">
        <f>Dodge_to_CBECS!I81</f>
        <v>52.5</v>
      </c>
      <c r="N361" s="19">
        <f>Dodge_to_CBECS!J81</f>
        <v>110.4899999999999</v>
      </c>
      <c r="O361" s="19">
        <f>Dodge_to_CBECS!K81</f>
        <v>29</v>
      </c>
      <c r="P361" s="19">
        <f>Dodge_to_CBECS!L81</f>
        <v>45.4</v>
      </c>
      <c r="Q361" s="19">
        <f>Dodge_to_CBECS!M81</f>
        <v>73.018000000000001</v>
      </c>
      <c r="T361">
        <f t="shared" si="91"/>
        <v>1194</v>
      </c>
      <c r="U361">
        <f t="shared" si="99"/>
        <v>1077.5999999999999</v>
      </c>
      <c r="AB361">
        <f t="shared" si="92"/>
        <v>1984</v>
      </c>
      <c r="AD361">
        <f t="shared" si="78"/>
        <v>1368.8890952426084</v>
      </c>
      <c r="AH361">
        <f t="shared" si="93"/>
        <v>1368.8890952426084</v>
      </c>
      <c r="AI361">
        <f t="shared" si="95"/>
        <v>56945.76865771367</v>
      </c>
      <c r="AL361" s="87">
        <f t="shared" si="94"/>
        <v>1368.8890952426084</v>
      </c>
      <c r="AM361" s="87">
        <f t="shared" si="96"/>
        <v>56945.76865771367</v>
      </c>
      <c r="AO361" s="19">
        <f t="shared" si="97"/>
        <v>-372.08881732162286</v>
      </c>
      <c r="AP361" s="23">
        <f t="shared" si="98"/>
        <v>6.5340906987866433E-3</v>
      </c>
      <c r="AQ361" s="23"/>
      <c r="AR361" s="23"/>
      <c r="AS361" s="23"/>
      <c r="AT361" s="93">
        <f t="shared" si="100"/>
        <v>56945.76865771367</v>
      </c>
      <c r="AU361" s="87"/>
      <c r="AV361" s="87"/>
      <c r="AW361" s="35"/>
      <c r="AX361">
        <v>1194</v>
      </c>
      <c r="AZ361">
        <v>1984</v>
      </c>
      <c r="BA361">
        <v>1577.275051821091</v>
      </c>
      <c r="BB361">
        <v>56793.421088446776</v>
      </c>
      <c r="BE361">
        <v>1577.275051821091</v>
      </c>
      <c r="BF361">
        <v>56793.421088446776</v>
      </c>
      <c r="BI361">
        <v>1577.275051821091</v>
      </c>
      <c r="BJ361">
        <v>56793.421088446776</v>
      </c>
      <c r="BL361">
        <v>-403.6734327835461</v>
      </c>
      <c r="BM361">
        <v>7.1077498950959219E-3</v>
      </c>
      <c r="BZ361">
        <f t="shared" si="79"/>
        <v>1984</v>
      </c>
      <c r="CA361" s="5">
        <f t="shared" si="83"/>
        <v>56.945768657713671</v>
      </c>
      <c r="CB361" s="5"/>
      <c r="CF361" s="70" t="e">
        <f>#REF!*0.001</f>
        <v>#REF!</v>
      </c>
      <c r="CG361" t="e">
        <f t="shared" si="101"/>
        <v>#REF!</v>
      </c>
      <c r="CK361">
        <f t="shared" si="110"/>
        <v>12.193917712012052</v>
      </c>
      <c r="CQ361">
        <f>[1]Summary_adjust!N6</f>
        <v>597.84010839388247</v>
      </c>
      <c r="CR361">
        <f t="shared" ref="CR361:CR382" si="111">A361</f>
        <v>1984</v>
      </c>
      <c r="CS361">
        <f t="shared" ref="CS361:CS382" si="112">CQ361/(CA361*0.975)</f>
        <v>10.767601463561698</v>
      </c>
      <c r="CY361" s="21" t="s">
        <v>389</v>
      </c>
      <c r="CZ361" s="21" t="s">
        <v>383</v>
      </c>
      <c r="DA361" s="21" t="s">
        <v>384</v>
      </c>
      <c r="DB361" s="62" t="s">
        <v>386</v>
      </c>
      <c r="DC361" t="e">
        <f t="shared" si="102"/>
        <v>#REF!</v>
      </c>
      <c r="DD361" s="43">
        <v>583000</v>
      </c>
      <c r="DE361" s="43"/>
      <c r="DF361">
        <f t="shared" si="103"/>
        <v>583000</v>
      </c>
      <c r="DH361">
        <f t="shared" si="104"/>
        <v>1984</v>
      </c>
      <c r="DI361" t="e">
        <f t="shared" si="105"/>
        <v>#REF!</v>
      </c>
      <c r="DJ361">
        <f t="shared" si="106"/>
        <v>10.23781070555501</v>
      </c>
      <c r="DM361" t="e">
        <f>LN(DI381/DI361)/20</f>
        <v>#REF!</v>
      </c>
      <c r="DN361" t="e">
        <f>LN(DK381/DJ361)/20</f>
        <v>#REF!</v>
      </c>
      <c r="DP361">
        <f t="shared" si="107"/>
        <v>1984</v>
      </c>
      <c r="DQ361" s="71" t="e">
        <f t="shared" si="108"/>
        <v>#REF!</v>
      </c>
      <c r="DR361" s="71">
        <f t="shared" si="109"/>
        <v>1989.1959999999999</v>
      </c>
      <c r="DS361" s="71"/>
      <c r="DW361" s="57"/>
      <c r="EA361">
        <f t="shared" si="80"/>
        <v>319.81013217635416</v>
      </c>
      <c r="EB361" s="16" t="e">
        <f>SUMPRODUCT($D283:$D$397,EA$10:EA361)</f>
        <v>#VALUE!</v>
      </c>
      <c r="EE361">
        <f t="shared" si="84"/>
        <v>1984</v>
      </c>
      <c r="EF361" s="5" t="e">
        <f t="shared" si="85"/>
        <v>#VALUE!</v>
      </c>
      <c r="EO361" s="15"/>
      <c r="ES361">
        <f t="shared" si="81"/>
        <v>88.60904802322068</v>
      </c>
      <c r="ET361" s="16" t="e">
        <f>SUMPRODUCT($D283:$D$397,ES$10:ES361)</f>
        <v>#VALUE!</v>
      </c>
      <c r="EW361">
        <f t="shared" si="86"/>
        <v>1984</v>
      </c>
      <c r="EX361" s="5" t="e">
        <f t="shared" si="87"/>
        <v>#VALUE!</v>
      </c>
    </row>
    <row r="362" spans="1:155" x14ac:dyDescent="0.2">
      <c r="A362">
        <f t="shared" si="88"/>
        <v>1985</v>
      </c>
      <c r="C362">
        <f t="shared" ref="C362:C397" si="113">C361-1</f>
        <v>35</v>
      </c>
      <c r="D362" s="63">
        <f t="shared" si="89"/>
        <v>0.94763232342320536</v>
      </c>
      <c r="E362" s="18">
        <f t="shared" si="90"/>
        <v>1.0552615980717319</v>
      </c>
      <c r="F362">
        <f t="shared" si="77"/>
        <v>1985</v>
      </c>
      <c r="G362" s="19">
        <f>Dodge_to_CBECS!C82</f>
        <v>372.26000000000005</v>
      </c>
      <c r="H362" s="19">
        <f>Dodge_to_CBECS!D82</f>
        <v>242.96799999999999</v>
      </c>
      <c r="I362" s="19">
        <f>Dodge_to_CBECS!E82</f>
        <v>33.408099999999997</v>
      </c>
      <c r="J362" s="19">
        <f>Dodge_to_CBECS!F82</f>
        <v>27.333899999999996</v>
      </c>
      <c r="K362" s="19">
        <f>Dodge_to_CBECS!G82</f>
        <v>257.39999999999998</v>
      </c>
      <c r="L362" s="19">
        <f>Dodge_to_CBECS!H82</f>
        <v>88.8</v>
      </c>
      <c r="M362" s="19">
        <f>Dodge_to_CBECS!I82</f>
        <v>54.75</v>
      </c>
      <c r="N362" s="19">
        <f>Dodge_to_CBECS!J82</f>
        <v>118.25</v>
      </c>
      <c r="O362" s="19">
        <f>Dodge_to_CBECS!K82</f>
        <v>32</v>
      </c>
      <c r="P362" s="19">
        <f>Dodge_to_CBECS!L82</f>
        <v>53.349999999999994</v>
      </c>
      <c r="Q362" s="19">
        <f>Dodge_to_CBECS!M82</f>
        <v>84.48</v>
      </c>
      <c r="T362">
        <f t="shared" si="91"/>
        <v>1365</v>
      </c>
      <c r="U362">
        <f t="shared" si="99"/>
        <v>1262.4000000000001</v>
      </c>
      <c r="AB362">
        <f t="shared" si="92"/>
        <v>1985</v>
      </c>
      <c r="AD362">
        <f t="shared" si="78"/>
        <v>1603.6429044490249</v>
      </c>
      <c r="AH362">
        <f t="shared" si="93"/>
        <v>1603.6429044490249</v>
      </c>
      <c r="AI362">
        <f t="shared" si="95"/>
        <v>58171.601888383011</v>
      </c>
      <c r="AL362" s="87">
        <f t="shared" si="94"/>
        <v>1603.6429044490249</v>
      </c>
      <c r="AM362" s="87">
        <f t="shared" si="96"/>
        <v>58171.601888383011</v>
      </c>
      <c r="AO362" s="19">
        <f t="shared" si="97"/>
        <v>-377.80967377968386</v>
      </c>
      <c r="AP362" s="23">
        <f t="shared" si="98"/>
        <v>6.4947441967406648E-3</v>
      </c>
      <c r="AQ362" s="23"/>
      <c r="AR362" s="23"/>
      <c r="AS362" s="23"/>
      <c r="AT362" s="93">
        <f t="shared" si="100"/>
        <v>58171.601888383011</v>
      </c>
      <c r="AU362" s="87"/>
      <c r="AV362" s="87"/>
      <c r="AW362" s="35"/>
      <c r="AX362">
        <v>1365</v>
      </c>
      <c r="AZ362">
        <v>1985</v>
      </c>
      <c r="BA362">
        <v>1803.1662024587845</v>
      </c>
      <c r="BB362">
        <v>58183.938374762271</v>
      </c>
      <c r="BE362">
        <v>1803.1662024587845</v>
      </c>
      <c r="BF362">
        <v>58183.938374762271</v>
      </c>
      <c r="BI362">
        <v>1803.1662024587845</v>
      </c>
      <c r="BJ362">
        <v>58183.938374762271</v>
      </c>
      <c r="BL362">
        <v>-412.64891614328963</v>
      </c>
      <c r="BM362">
        <v>7.0921448026673847E-3</v>
      </c>
      <c r="BZ362">
        <f t="shared" si="79"/>
        <v>1985</v>
      </c>
      <c r="CA362" s="5">
        <f t="shared" si="83"/>
        <v>58.171601888383009</v>
      </c>
      <c r="CB362" s="5"/>
      <c r="CF362" s="70" t="e">
        <f>#REF!*0.001</f>
        <v>#REF!</v>
      </c>
      <c r="CG362" t="e">
        <f t="shared" si="101"/>
        <v>#REF!</v>
      </c>
      <c r="CK362">
        <f t="shared" si="110"/>
        <v>12.296752104716177</v>
      </c>
      <c r="CL362">
        <f>A362-1985</f>
        <v>0</v>
      </c>
      <c r="CQ362">
        <f>[1]Summary_adjust!N7</f>
        <v>622.69625956232744</v>
      </c>
      <c r="CR362">
        <f t="shared" si="111"/>
        <v>1985</v>
      </c>
      <c r="CS362">
        <f t="shared" si="112"/>
        <v>10.978945217045469</v>
      </c>
      <c r="CY362" t="s">
        <v>409</v>
      </c>
      <c r="CZ362" s="69" t="e">
        <f>CG383</f>
        <v>#REF!</v>
      </c>
      <c r="DA362" s="69" t="e">
        <f>CH383</f>
        <v>#REF!</v>
      </c>
      <c r="DB362" s="69">
        <f>CM383</f>
        <v>7.7612752997812291E-3</v>
      </c>
      <c r="DC362" t="e">
        <f t="shared" si="102"/>
        <v>#REF!</v>
      </c>
      <c r="DD362" s="43">
        <v>606000</v>
      </c>
      <c r="DE362" s="69"/>
      <c r="DF362">
        <f t="shared" si="103"/>
        <v>606000</v>
      </c>
      <c r="DH362">
        <f t="shared" si="104"/>
        <v>1985</v>
      </c>
      <c r="DI362" t="e">
        <f t="shared" si="105"/>
        <v>#REF!</v>
      </c>
      <c r="DJ362">
        <f t="shared" si="106"/>
        <v>10.417454227283699</v>
      </c>
      <c r="DM362" s="18"/>
      <c r="DN362" s="18"/>
      <c r="DO362" s="18"/>
      <c r="DP362">
        <f t="shared" si="107"/>
        <v>1985</v>
      </c>
      <c r="DQ362" s="71" t="e">
        <f t="shared" si="108"/>
        <v>#REF!</v>
      </c>
      <c r="DR362" s="71">
        <f t="shared" si="109"/>
        <v>2067.672</v>
      </c>
      <c r="DS362" s="71"/>
      <c r="DT362" s="18"/>
      <c r="DU362" s="18"/>
      <c r="DV362" s="18"/>
      <c r="DW362" s="57"/>
      <c r="EA362">
        <f t="shared" si="80"/>
        <v>371.07466320517324</v>
      </c>
      <c r="EB362" s="16" t="e">
        <f>SUMPRODUCT($D282:$D$397,EA$10:EA362)</f>
        <v>#VALUE!</v>
      </c>
      <c r="EE362">
        <f t="shared" si="84"/>
        <v>1985</v>
      </c>
      <c r="EF362" s="5" t="e">
        <f t="shared" si="85"/>
        <v>#VALUE!</v>
      </c>
      <c r="EO362" s="15"/>
      <c r="ES362">
        <f t="shared" si="81"/>
        <v>98.356043305774946</v>
      </c>
      <c r="ET362" s="16" t="e">
        <f>SUMPRODUCT($D282:$D$397,ES$10:ES362)</f>
        <v>#VALUE!</v>
      </c>
      <c r="EW362">
        <f t="shared" si="86"/>
        <v>1985</v>
      </c>
      <c r="EX362" s="5" t="e">
        <f t="shared" si="87"/>
        <v>#VALUE!</v>
      </c>
    </row>
    <row r="363" spans="1:155" x14ac:dyDescent="0.2">
      <c r="A363">
        <f t="shared" si="88"/>
        <v>1986</v>
      </c>
      <c r="C363">
        <f t="shared" si="113"/>
        <v>34</v>
      </c>
      <c r="D363" s="63">
        <f t="shared" si="89"/>
        <v>0.95299646179949982</v>
      </c>
      <c r="E363" s="18">
        <f t="shared" si="90"/>
        <v>1.0493218391511607</v>
      </c>
      <c r="F363">
        <f t="shared" ref="F363:F397" si="114">F362+1</f>
        <v>1986</v>
      </c>
      <c r="G363" s="19">
        <f>Dodge_to_CBECS!C83</f>
        <v>333.35999999999996</v>
      </c>
      <c r="H363" s="19">
        <f>Dodge_to_CBECS!D83</f>
        <v>230.64800000000002</v>
      </c>
      <c r="I363" s="19">
        <f>Dodge_to_CBECS!E83</f>
        <v>31.714100000000002</v>
      </c>
      <c r="J363" s="19">
        <f>Dodge_to_CBECS!F83</f>
        <v>25.947900000000001</v>
      </c>
      <c r="K363" s="19">
        <f>Dodge_to_CBECS!G83</f>
        <v>244.35</v>
      </c>
      <c r="L363" s="19">
        <f>Dodge_to_CBECS!H83</f>
        <v>103.19999999999999</v>
      </c>
      <c r="M363" s="19">
        <f>Dodge_to_CBECS!I83</f>
        <v>54.75</v>
      </c>
      <c r="N363" s="19">
        <f>Dodge_to_CBECS!J83</f>
        <v>109.25</v>
      </c>
      <c r="O363" s="19">
        <f>Dodge_to_CBECS!K83</f>
        <v>32</v>
      </c>
      <c r="P363" s="19">
        <f>Dodge_to_CBECS!L83</f>
        <v>54.35</v>
      </c>
      <c r="Q363" s="19">
        <f>Dodge_to_CBECS!M83</f>
        <v>87.429999999999993</v>
      </c>
      <c r="T363">
        <f t="shared" si="91"/>
        <v>1307</v>
      </c>
      <c r="U363">
        <f t="shared" si="99"/>
        <v>1341.8000000000002</v>
      </c>
      <c r="AB363">
        <f t="shared" si="92"/>
        <v>1986</v>
      </c>
      <c r="AD363">
        <f t="shared" si="78"/>
        <v>1704.5057423872795</v>
      </c>
      <c r="AH363">
        <f t="shared" si="93"/>
        <v>1704.5057423872795</v>
      </c>
      <c r="AI363">
        <f t="shared" si="95"/>
        <v>59492.416736089981</v>
      </c>
      <c r="AL363" s="87">
        <f t="shared" si="94"/>
        <v>1704.5057423872795</v>
      </c>
      <c r="AM363" s="87">
        <f t="shared" si="96"/>
        <v>59492.416736089981</v>
      </c>
      <c r="AO363" s="19">
        <f t="shared" si="97"/>
        <v>-383.69089468030961</v>
      </c>
      <c r="AP363" s="23">
        <f t="shared" si="98"/>
        <v>6.4494084411190269E-3</v>
      </c>
      <c r="AQ363" s="23"/>
      <c r="AR363" s="23"/>
      <c r="AS363" s="23"/>
      <c r="AT363" s="93">
        <f t="shared" si="100"/>
        <v>59492.416736089981</v>
      </c>
      <c r="AU363" s="87"/>
      <c r="AV363" s="87"/>
      <c r="AW363" s="35"/>
      <c r="AX363">
        <v>1307</v>
      </c>
      <c r="AZ363">
        <v>1986</v>
      </c>
      <c r="BA363">
        <v>1726.5481513652981</v>
      </c>
      <c r="BB363">
        <v>59487.861899430907</v>
      </c>
      <c r="BE363">
        <v>1726.5481513652981</v>
      </c>
      <c r="BF363">
        <v>59487.861899430907</v>
      </c>
      <c r="BI363">
        <v>1726.5481513652981</v>
      </c>
      <c r="BJ363">
        <v>59487.861899430907</v>
      </c>
      <c r="BL363">
        <v>-422.62462669666138</v>
      </c>
      <c r="BM363">
        <v>7.1043842088515949E-3</v>
      </c>
      <c r="BZ363">
        <f t="shared" si="79"/>
        <v>1986</v>
      </c>
      <c r="CA363" s="5">
        <f t="shared" si="83"/>
        <v>59.492416736089979</v>
      </c>
      <c r="CB363" s="5"/>
      <c r="CC363">
        <v>58.198999999999998</v>
      </c>
      <c r="CF363" s="70" t="e">
        <f>#REF!*0.001</f>
        <v>#REF!</v>
      </c>
      <c r="CG363" t="e">
        <f t="shared" si="101"/>
        <v>#REF!</v>
      </c>
      <c r="CI363">
        <f>2390/56508*1000/3.412</f>
        <v>12.395925057992182</v>
      </c>
      <c r="CK363">
        <f t="shared" si="110"/>
        <v>12.399586497420302</v>
      </c>
      <c r="CL363">
        <f t="shared" ref="CL363:CL382" si="115">A363-1985</f>
        <v>1</v>
      </c>
      <c r="CQ363">
        <f>[1]Summary_adjust!N8</f>
        <v>647.63474523853404</v>
      </c>
      <c r="CR363">
        <f t="shared" si="111"/>
        <v>1986</v>
      </c>
      <c r="CS363">
        <f t="shared" si="112"/>
        <v>11.16513331932379</v>
      </c>
      <c r="CT363">
        <f>CI363</f>
        <v>12.395925057992182</v>
      </c>
      <c r="CY363" t="s">
        <v>374</v>
      </c>
      <c r="CZ363" s="69" t="e">
        <f>CN368</f>
        <v>#REF!</v>
      </c>
      <c r="DA363" s="69" t="e">
        <f>CN368</f>
        <v>#REF!</v>
      </c>
      <c r="DB363" s="69"/>
      <c r="DC363" t="e">
        <f t="shared" si="102"/>
        <v>#REF!</v>
      </c>
      <c r="DD363" s="43">
        <v>631000</v>
      </c>
      <c r="DE363" s="69"/>
      <c r="DF363">
        <f t="shared" si="103"/>
        <v>631000</v>
      </c>
      <c r="DH363">
        <f t="shared" si="104"/>
        <v>1986</v>
      </c>
      <c r="DI363" t="e">
        <f t="shared" si="105"/>
        <v>#REF!</v>
      </c>
      <c r="DJ363">
        <f t="shared" si="106"/>
        <v>10.606393799719612</v>
      </c>
      <c r="DL363">
        <f>CI363</f>
        <v>12.395925057992182</v>
      </c>
      <c r="DP363">
        <f t="shared" si="107"/>
        <v>1986</v>
      </c>
      <c r="DQ363" s="71" t="e">
        <f t="shared" si="108"/>
        <v>#REF!</v>
      </c>
      <c r="DR363" s="71">
        <f t="shared" si="109"/>
        <v>2152.9719999999998</v>
      </c>
      <c r="DS363">
        <v>2390</v>
      </c>
      <c r="DT363">
        <v>2390</v>
      </c>
      <c r="DW363" s="57"/>
      <c r="EA363">
        <f t="shared" si="80"/>
        <v>352.25885268408518</v>
      </c>
      <c r="EB363" s="16" t="e">
        <f>SUMPRODUCT($D281:$D$397,EA$10:EA363)</f>
        <v>#VALUE!</v>
      </c>
      <c r="EE363">
        <f t="shared" si="84"/>
        <v>1986</v>
      </c>
      <c r="EF363" s="5" t="e">
        <f t="shared" si="85"/>
        <v>#VALUE!</v>
      </c>
      <c r="EG363">
        <v>12805</v>
      </c>
      <c r="EO363" s="15"/>
      <c r="ES363">
        <f t="shared" si="81"/>
        <v>114.30567194995467</v>
      </c>
      <c r="ET363" s="16" t="e">
        <f>SUMPRODUCT($D281:$D$397,ES$10:ES363)</f>
        <v>#VALUE!</v>
      </c>
      <c r="EW363">
        <f t="shared" si="86"/>
        <v>1986</v>
      </c>
      <c r="EX363" s="5" t="e">
        <f t="shared" si="87"/>
        <v>#VALUE!</v>
      </c>
      <c r="EY363">
        <v>7321</v>
      </c>
    </row>
    <row r="364" spans="1:155" x14ac:dyDescent="0.2">
      <c r="A364">
        <f t="shared" si="88"/>
        <v>1987</v>
      </c>
      <c r="C364">
        <f t="shared" si="113"/>
        <v>33</v>
      </c>
      <c r="D364" s="63">
        <f t="shared" si="89"/>
        <v>0.95797248143291314</v>
      </c>
      <c r="E364" s="18">
        <f t="shared" si="90"/>
        <v>1.0438713213392341</v>
      </c>
      <c r="F364">
        <f t="shared" si="114"/>
        <v>1987</v>
      </c>
      <c r="G364" s="19">
        <f>Dodge_to_CBECS!C84</f>
        <v>301.97999999999996</v>
      </c>
      <c r="H364" s="19">
        <f>Dodge_to_CBECS!D84</f>
        <v>240.05760000000001</v>
      </c>
      <c r="I364" s="19">
        <f>Dodge_to_CBECS!E84</f>
        <v>33.007919999999999</v>
      </c>
      <c r="J364" s="19">
        <f>Dodge_to_CBECS!F84</f>
        <v>27.00648</v>
      </c>
      <c r="K364" s="19">
        <f>Dodge_to_CBECS!G84</f>
        <v>254.32</v>
      </c>
      <c r="L364" s="19">
        <f>Dodge_to_CBECS!H84</f>
        <v>111.19999999999999</v>
      </c>
      <c r="M364" s="19">
        <f>Dodge_to_CBECS!I84</f>
        <v>58.5</v>
      </c>
      <c r="N364" s="19">
        <f>Dodge_to_CBECS!J84</f>
        <v>93.5</v>
      </c>
      <c r="O364" s="19">
        <f>Dodge_to_CBECS!K84</f>
        <v>32</v>
      </c>
      <c r="P364" s="19">
        <f>Dodge_to_CBECS!L84</f>
        <v>56.75</v>
      </c>
      <c r="Q364" s="19">
        <f>Dodge_to_CBECS!M84</f>
        <v>99.677999999999997</v>
      </c>
      <c r="T364">
        <f t="shared" si="91"/>
        <v>1308</v>
      </c>
      <c r="U364">
        <f t="shared" si="99"/>
        <v>1307.4000000000001</v>
      </c>
      <c r="X364" t="s">
        <v>452</v>
      </c>
      <c r="AA364" s="84">
        <v>2</v>
      </c>
      <c r="AB364">
        <f t="shared" si="92"/>
        <v>1987</v>
      </c>
      <c r="AD364">
        <f t="shared" si="78"/>
        <v>1660.8069813661716</v>
      </c>
      <c r="AH364">
        <f t="shared" si="93"/>
        <v>1660.8069813661716</v>
      </c>
      <c r="AI364">
        <f t="shared" si="95"/>
        <v>60763.476770077759</v>
      </c>
      <c r="AL364" s="87">
        <f t="shared" si="94"/>
        <v>1660.8069813661716</v>
      </c>
      <c r="AM364" s="87">
        <f t="shared" si="96"/>
        <v>60763.476770077759</v>
      </c>
      <c r="AN364" s="37" t="s">
        <v>322</v>
      </c>
      <c r="AO364" s="19">
        <f t="shared" si="97"/>
        <v>-389.74694737839332</v>
      </c>
      <c r="AP364" s="23">
        <f t="shared" si="98"/>
        <v>6.4141646939188885E-3</v>
      </c>
      <c r="AQ364" s="23"/>
      <c r="AR364" s="23"/>
      <c r="AS364" s="23"/>
      <c r="AT364" s="93">
        <f t="shared" si="100"/>
        <v>60763.476770077759</v>
      </c>
      <c r="AU364" s="87"/>
      <c r="AV364" s="87"/>
      <c r="AW364" s="35"/>
      <c r="AX364">
        <v>1308</v>
      </c>
      <c r="AZ364">
        <v>1987</v>
      </c>
      <c r="BA364">
        <v>1727.8691522462202</v>
      </c>
      <c r="BB364">
        <v>60783.402907245407</v>
      </c>
      <c r="BE364">
        <v>1727.8691522462202</v>
      </c>
      <c r="BF364">
        <v>60783.402907245407</v>
      </c>
      <c r="BI364">
        <v>1727.8691522462202</v>
      </c>
      <c r="BJ364">
        <v>60783.402907245407</v>
      </c>
      <c r="BL364">
        <v>-432.3281444317206</v>
      </c>
      <c r="BM364">
        <v>7.1126018576394461E-3</v>
      </c>
      <c r="BZ364">
        <f t="shared" si="79"/>
        <v>1987</v>
      </c>
      <c r="CA364" s="5">
        <f t="shared" si="83"/>
        <v>60.763476770077759</v>
      </c>
      <c r="CB364" s="5"/>
      <c r="CF364" s="70" t="e">
        <f>#REF!*0.001</f>
        <v>#REF!</v>
      </c>
      <c r="CG364" t="e">
        <f t="shared" si="101"/>
        <v>#REF!</v>
      </c>
      <c r="CK364">
        <f t="shared" si="110"/>
        <v>12.502420890124398</v>
      </c>
      <c r="CL364">
        <f t="shared" si="115"/>
        <v>2</v>
      </c>
      <c r="CQ364">
        <f>[1]Summary_adjust!N9</f>
        <v>677.00198422483527</v>
      </c>
      <c r="CR364">
        <f t="shared" si="111"/>
        <v>1987</v>
      </c>
      <c r="CS364">
        <f t="shared" si="112"/>
        <v>11.427275830327392</v>
      </c>
      <c r="CY364" t="s">
        <v>410</v>
      </c>
      <c r="CZ364" s="72" t="e">
        <f>CN377</f>
        <v>#REF!</v>
      </c>
      <c r="DA364" s="72" t="e">
        <f>CO377</f>
        <v>#REF!</v>
      </c>
      <c r="DB364" s="69"/>
      <c r="DC364" t="e">
        <f t="shared" si="102"/>
        <v>#REF!</v>
      </c>
      <c r="DD364" s="43">
        <v>660000</v>
      </c>
      <c r="DE364" s="69"/>
      <c r="DF364">
        <f t="shared" si="103"/>
        <v>660000</v>
      </c>
      <c r="DH364">
        <f t="shared" si="104"/>
        <v>1987</v>
      </c>
      <c r="DI364" t="e">
        <f t="shared" si="105"/>
        <v>#REF!</v>
      </c>
      <c r="DJ364">
        <f t="shared" si="106"/>
        <v>10.861787953598618</v>
      </c>
      <c r="DP364">
        <f t="shared" si="107"/>
        <v>1987</v>
      </c>
      <c r="DQ364" s="71" t="e">
        <f t="shared" si="108"/>
        <v>#REF!</v>
      </c>
      <c r="DR364" s="71">
        <f t="shared" si="109"/>
        <v>2251.92</v>
      </c>
      <c r="DW364" s="57"/>
      <c r="EA364">
        <f t="shared" si="80"/>
        <v>366.62973342103567</v>
      </c>
      <c r="EB364" s="16" t="e">
        <f>SUMPRODUCT($D280:$D$397,EA$10:EA364)</f>
        <v>#VALUE!</v>
      </c>
      <c r="EC364" s="37" t="s">
        <v>322</v>
      </c>
      <c r="EE364">
        <f t="shared" si="84"/>
        <v>1987</v>
      </c>
      <c r="EF364" s="5" t="e">
        <f t="shared" si="85"/>
        <v>#VALUE!</v>
      </c>
      <c r="EO364" s="15"/>
      <c r="ES364">
        <f t="shared" si="81"/>
        <v>123.16657675227674</v>
      </c>
      <c r="ET364" s="16" t="e">
        <f>SUMPRODUCT($D280:$D$397,ES$10:ES364)</f>
        <v>#VALUE!</v>
      </c>
      <c r="EW364">
        <f t="shared" si="86"/>
        <v>1987</v>
      </c>
      <c r="EX364" s="5" t="e">
        <f t="shared" si="87"/>
        <v>#VALUE!</v>
      </c>
    </row>
    <row r="365" spans="1:155" x14ac:dyDescent="0.2">
      <c r="A365">
        <f t="shared" si="88"/>
        <v>1988</v>
      </c>
      <c r="C365">
        <f t="shared" si="113"/>
        <v>32</v>
      </c>
      <c r="D365" s="63">
        <f t="shared" si="89"/>
        <v>0.96257252682658867</v>
      </c>
      <c r="E365" s="18">
        <f t="shared" si="90"/>
        <v>1.0388827564991931</v>
      </c>
      <c r="F365">
        <f t="shared" si="114"/>
        <v>1988</v>
      </c>
      <c r="G365" s="19">
        <f>Dodge_to_CBECS!C85</f>
        <v>308.06</v>
      </c>
      <c r="H365" s="19">
        <f>Dodge_to_CBECS!D85</f>
        <v>219.12960000000004</v>
      </c>
      <c r="I365" s="19">
        <f>Dodge_to_CBECS!E85</f>
        <v>30.130320000000005</v>
      </c>
      <c r="J365" s="19">
        <f>Dodge_to_CBECS!F85</f>
        <v>24.652080000000002</v>
      </c>
      <c r="K365" s="19">
        <f>Dodge_to_CBECS!G85</f>
        <v>232.14</v>
      </c>
      <c r="L365" s="19">
        <f>Dodge_to_CBECS!H85</f>
        <v>113.6</v>
      </c>
      <c r="M365" s="19">
        <f>Dodge_to_CBECS!I85</f>
        <v>53.25</v>
      </c>
      <c r="N365" s="19">
        <f>Dodge_to_CBECS!J85</f>
        <v>85.75</v>
      </c>
      <c r="O365" s="19">
        <f>Dodge_to_CBECS!K85</f>
        <v>32</v>
      </c>
      <c r="P365" s="19">
        <f>Dodge_to_CBECS!L85</f>
        <v>59.800000000000004</v>
      </c>
      <c r="Q365" s="19">
        <f>Dodge_to_CBECS!M85</f>
        <v>93.488</v>
      </c>
      <c r="T365">
        <f t="shared" si="91"/>
        <v>1252</v>
      </c>
      <c r="U365">
        <f t="shared" si="99"/>
        <v>1285.5999999999999</v>
      </c>
      <c r="AB365">
        <f t="shared" si="92"/>
        <v>1988</v>
      </c>
      <c r="AD365">
        <f t="shared" si="78"/>
        <v>1633.1141618818647</v>
      </c>
      <c r="AH365">
        <f t="shared" si="93"/>
        <v>1633.1141618818647</v>
      </c>
      <c r="AI365">
        <f t="shared" si="95"/>
        <v>62000.598696130473</v>
      </c>
      <c r="AJ365" t="s">
        <v>160</v>
      </c>
      <c r="AL365" s="87">
        <f t="shared" si="94"/>
        <v>1633.1141618818647</v>
      </c>
      <c r="AM365" s="87">
        <f t="shared" si="96"/>
        <v>62000.598696130473</v>
      </c>
      <c r="AN365" s="37" t="s">
        <v>324</v>
      </c>
      <c r="AO365" s="19">
        <f t="shared" si="97"/>
        <v>-395.99223582915056</v>
      </c>
      <c r="AP365" s="23">
        <f t="shared" si="98"/>
        <v>6.3869098711439518E-3</v>
      </c>
      <c r="AQ365" s="23"/>
      <c r="AR365" s="23"/>
      <c r="AS365" s="23"/>
      <c r="AT365" s="93">
        <f t="shared" si="100"/>
        <v>62000.598696130473</v>
      </c>
      <c r="AU365" s="87"/>
      <c r="AV365" s="87"/>
      <c r="AW365" s="35"/>
      <c r="AX365">
        <v>1252</v>
      </c>
      <c r="AZ365">
        <v>1988</v>
      </c>
      <c r="BA365">
        <v>1653.8931029145779</v>
      </c>
      <c r="BB365">
        <v>61995.211290077605</v>
      </c>
      <c r="BE365">
        <v>1653.8931029145779</v>
      </c>
      <c r="BF365">
        <v>61995.211290077605</v>
      </c>
      <c r="BG365" t="s">
        <v>160</v>
      </c>
      <c r="BI365">
        <v>1653.8931029145779</v>
      </c>
      <c r="BJ365">
        <v>61995.211290077605</v>
      </c>
      <c r="BK365" t="s">
        <v>169</v>
      </c>
      <c r="BL365">
        <v>-442.08472008238004</v>
      </c>
      <c r="BM365">
        <v>7.1309494859828982E-3</v>
      </c>
      <c r="BZ365">
        <f t="shared" si="79"/>
        <v>1988</v>
      </c>
      <c r="CA365" s="5">
        <f t="shared" si="83"/>
        <v>62.000598696130474</v>
      </c>
      <c r="CB365" s="5"/>
      <c r="CF365" s="70" t="e">
        <f>#REF!*0.001</f>
        <v>#REF!</v>
      </c>
      <c r="CG365" t="e">
        <f t="shared" si="101"/>
        <v>#REF!</v>
      </c>
      <c r="CK365">
        <f t="shared" si="110"/>
        <v>12.605255282828523</v>
      </c>
      <c r="CL365">
        <f t="shared" si="115"/>
        <v>3</v>
      </c>
      <c r="CQ365">
        <f>[1]Summary_adjust!N10</f>
        <v>717.13627156983114</v>
      </c>
      <c r="CR365">
        <f t="shared" si="111"/>
        <v>1988</v>
      </c>
      <c r="CS365">
        <f t="shared" si="112"/>
        <v>11.863181913808965</v>
      </c>
      <c r="DC365" t="e">
        <f t="shared" si="102"/>
        <v>#REF!</v>
      </c>
      <c r="DD365" s="43">
        <v>699000</v>
      </c>
      <c r="DF365">
        <f t="shared" si="103"/>
        <v>699000</v>
      </c>
      <c r="DH365">
        <f t="shared" si="104"/>
        <v>1988</v>
      </c>
      <c r="DI365" t="e">
        <f t="shared" si="105"/>
        <v>#REF!</v>
      </c>
      <c r="DJ365">
        <f t="shared" si="106"/>
        <v>11.274084681437525</v>
      </c>
      <c r="DP365">
        <f t="shared" si="107"/>
        <v>1988</v>
      </c>
      <c r="DQ365" s="71" t="e">
        <f t="shared" si="108"/>
        <v>#REF!</v>
      </c>
      <c r="DR365" s="71">
        <f t="shared" si="109"/>
        <v>2384.9879999999998</v>
      </c>
      <c r="DW365" s="57"/>
      <c r="EA365">
        <f t="shared" si="80"/>
        <v>334.6672916527458</v>
      </c>
      <c r="EB365" s="16" t="e">
        <f>SUMPRODUCT($D279:$D$397,EA$10:EA365)</f>
        <v>#VALUE!</v>
      </c>
      <c r="EC365" s="37" t="s">
        <v>324</v>
      </c>
      <c r="EE365">
        <f t="shared" si="84"/>
        <v>1988</v>
      </c>
      <c r="EF365" s="5" t="e">
        <f t="shared" si="85"/>
        <v>#VALUE!</v>
      </c>
      <c r="EO365" s="15"/>
      <c r="ES365">
        <f t="shared" si="81"/>
        <v>125.82484819297336</v>
      </c>
      <c r="ET365" s="16" t="e">
        <f>SUMPRODUCT($D279:$D$397,ES$10:ES365)</f>
        <v>#VALUE!</v>
      </c>
      <c r="EW365">
        <f t="shared" si="86"/>
        <v>1988</v>
      </c>
      <c r="EX365" s="5" t="e">
        <f t="shared" si="87"/>
        <v>#VALUE!</v>
      </c>
    </row>
    <row r="366" spans="1:155" x14ac:dyDescent="0.2">
      <c r="A366">
        <f t="shared" si="88"/>
        <v>1989</v>
      </c>
      <c r="C366">
        <f t="shared" si="113"/>
        <v>31</v>
      </c>
      <c r="D366" s="63">
        <f t="shared" si="89"/>
        <v>0.96680979763079788</v>
      </c>
      <c r="E366" s="18">
        <f t="shared" si="90"/>
        <v>1.0343296090405123</v>
      </c>
      <c r="F366">
        <f t="shared" si="114"/>
        <v>1989</v>
      </c>
      <c r="G366" s="19">
        <f>Dodge_to_CBECS!C86</f>
        <v>304.75</v>
      </c>
      <c r="H366" s="19">
        <f>Dodge_to_CBECS!D86</f>
        <v>207.02080000000001</v>
      </c>
      <c r="I366" s="19">
        <f>Dodge_to_CBECS!E86</f>
        <v>28.46536</v>
      </c>
      <c r="J366" s="19">
        <f>Dodge_to_CBECS!F86</f>
        <v>23.289840000000002</v>
      </c>
      <c r="K366" s="19">
        <f>Dodge_to_CBECS!G86</f>
        <v>219.32</v>
      </c>
      <c r="L366" s="19">
        <f>Dodge_to_CBECS!H86</f>
        <v>120.79999999999998</v>
      </c>
      <c r="M366" s="19">
        <f>Dodge_to_CBECS!I86</f>
        <v>54</v>
      </c>
      <c r="N366" s="19">
        <f>Dodge_to_CBECS!J86</f>
        <v>103</v>
      </c>
      <c r="O366" s="19">
        <f>Dodge_to_CBECS!K86</f>
        <v>27</v>
      </c>
      <c r="P366" s="19">
        <f>Dodge_to_CBECS!L86</f>
        <v>59.05</v>
      </c>
      <c r="Q366" s="19">
        <f>Dodge_to_CBECS!M86</f>
        <v>94.303999999999988</v>
      </c>
      <c r="T366">
        <f t="shared" si="91"/>
        <v>1241</v>
      </c>
      <c r="U366">
        <f t="shared" si="99"/>
        <v>1247.5999999999999</v>
      </c>
      <c r="V366">
        <f>SUM(T357:T366)</f>
        <v>11662</v>
      </c>
      <c r="Y366" s="83" t="s">
        <v>459</v>
      </c>
      <c r="Z366" s="83" t="s">
        <v>459</v>
      </c>
      <c r="AB366">
        <f t="shared" si="92"/>
        <v>1989</v>
      </c>
      <c r="AC366" s="79" t="s">
        <v>453</v>
      </c>
      <c r="AD366">
        <f t="shared" si="78"/>
        <v>1584.8422747073853</v>
      </c>
      <c r="AH366">
        <f t="shared" si="93"/>
        <v>1584.8422747073853</v>
      </c>
      <c r="AI366">
        <f t="shared" si="95"/>
        <v>63183.000000000015</v>
      </c>
      <c r="AJ366">
        <f>LN(AI366/AI356)/10</f>
        <v>1.9200850523300977E-2</v>
      </c>
      <c r="AK366">
        <f>SUM(AL357:AL366)</f>
        <v>14793.692496250547</v>
      </c>
      <c r="AL366" s="87">
        <f t="shared" si="94"/>
        <v>1584.8422747073853</v>
      </c>
      <c r="AM366" s="87">
        <f t="shared" si="96"/>
        <v>63183.000000000015</v>
      </c>
      <c r="AN366" s="67">
        <f>LN(AM366/AM356)/10</f>
        <v>1.9200850523300977E-2</v>
      </c>
      <c r="AO366" s="19">
        <f t="shared" si="97"/>
        <v>-402.44097083784413</v>
      </c>
      <c r="AP366" s="23">
        <f t="shared" si="98"/>
        <v>6.369450181818591E-3</v>
      </c>
      <c r="AQ366" s="23"/>
      <c r="AR366" s="23"/>
      <c r="AS366" s="23"/>
      <c r="AT366" s="93">
        <f t="shared" si="100"/>
        <v>63183.000000000015</v>
      </c>
      <c r="AU366" s="87"/>
      <c r="AV366" s="87"/>
      <c r="AW366" s="35"/>
      <c r="AX366">
        <v>1241</v>
      </c>
      <c r="AZ366">
        <v>1989</v>
      </c>
      <c r="BA366">
        <v>1639.3620932244337</v>
      </c>
      <c r="BB366">
        <v>63183</v>
      </c>
      <c r="BD366">
        <v>1.9741631693542653E-2</v>
      </c>
      <c r="BE366">
        <v>1639.3620932244337</v>
      </c>
      <c r="BF366">
        <v>63183</v>
      </c>
      <c r="BG366">
        <v>1.9741631693542653E-2</v>
      </c>
      <c r="BI366">
        <v>1639.3620932244337</v>
      </c>
      <c r="BJ366">
        <v>63183</v>
      </c>
      <c r="BK366">
        <v>1.9741631693542653E-2</v>
      </c>
      <c r="BL366">
        <v>-451.57338330207472</v>
      </c>
      <c r="BM366">
        <v>7.1470709415835743E-3</v>
      </c>
      <c r="BZ366">
        <f t="shared" si="79"/>
        <v>1989</v>
      </c>
      <c r="CA366" s="5">
        <f t="shared" si="83"/>
        <v>63.183000000000014</v>
      </c>
      <c r="CB366" s="5"/>
      <c r="CC366">
        <v>63.183999999999997</v>
      </c>
      <c r="CF366" s="70" t="e">
        <f>#REF!*0.001</f>
        <v>#REF!</v>
      </c>
      <c r="CG366" t="e">
        <f t="shared" si="101"/>
        <v>#REF!</v>
      </c>
      <c r="CI366">
        <f>2773/61563*1000/3.412</f>
        <v>13.201432880573222</v>
      </c>
      <c r="CK366">
        <f t="shared" si="110"/>
        <v>12.708089675532648</v>
      </c>
      <c r="CL366">
        <f t="shared" si="115"/>
        <v>4</v>
      </c>
      <c r="CQ366">
        <f>[1]Summary_adjust!N11</f>
        <v>743.43887604942984</v>
      </c>
      <c r="CR366">
        <f t="shared" si="111"/>
        <v>1989</v>
      </c>
      <c r="CS366">
        <f t="shared" si="112"/>
        <v>12.068141926352791</v>
      </c>
      <c r="CT366">
        <f>CI366</f>
        <v>13.201432880573222</v>
      </c>
      <c r="CU366">
        <f>CT366-0.5</f>
        <v>12.701432880573222</v>
      </c>
      <c r="DC366" t="e">
        <f t="shared" si="102"/>
        <v>#REF!</v>
      </c>
      <c r="DD366" s="43">
        <v>726000</v>
      </c>
      <c r="DF366">
        <f t="shared" si="103"/>
        <v>726000</v>
      </c>
      <c r="DH366">
        <f t="shared" si="104"/>
        <v>1989</v>
      </c>
      <c r="DI366" t="e">
        <f t="shared" si="105"/>
        <v>#REF!</v>
      </c>
      <c r="DJ366">
        <f t="shared" si="106"/>
        <v>11.490432553060156</v>
      </c>
      <c r="DL366">
        <f>CI366</f>
        <v>13.201432880573222</v>
      </c>
      <c r="DP366">
        <f t="shared" si="107"/>
        <v>1989</v>
      </c>
      <c r="DQ366" s="71" t="e">
        <f t="shared" si="108"/>
        <v>#REF!</v>
      </c>
      <c r="DR366" s="71">
        <f t="shared" si="109"/>
        <v>2477.1120000000001</v>
      </c>
      <c r="DS366">
        <v>2773</v>
      </c>
      <c r="DT366">
        <v>2773</v>
      </c>
      <c r="DW366" s="57"/>
      <c r="EA366">
        <f t="shared" si="80"/>
        <v>316.17403788344774</v>
      </c>
      <c r="EB366" s="16" t="e">
        <f>SUMPRODUCT($D278:$D$397,EA$10:EA366)</f>
        <v>#VALUE!</v>
      </c>
      <c r="EC366" s="67" t="e">
        <f>LN(EB366/EB356)/10</f>
        <v>#VALUE!</v>
      </c>
      <c r="EE366">
        <f t="shared" si="84"/>
        <v>1989</v>
      </c>
      <c r="EF366" s="5" t="e">
        <f t="shared" si="85"/>
        <v>#VALUE!</v>
      </c>
      <c r="EG366">
        <v>12365</v>
      </c>
      <c r="EO366" s="15"/>
      <c r="ES366">
        <f t="shared" si="81"/>
        <v>133.7996625150632</v>
      </c>
      <c r="ET366" s="16" t="e">
        <f>SUMPRODUCT($D278:$D$397,ES$10:ES366)</f>
        <v>#VALUE!</v>
      </c>
      <c r="EW366">
        <f t="shared" si="86"/>
        <v>1989</v>
      </c>
      <c r="EX366" s="5" t="e">
        <f t="shared" si="87"/>
        <v>#VALUE!</v>
      </c>
      <c r="EY366">
        <v>8148</v>
      </c>
    </row>
    <row r="367" spans="1:155" x14ac:dyDescent="0.2">
      <c r="A367">
        <f t="shared" si="88"/>
        <v>1990</v>
      </c>
      <c r="C367">
        <f t="shared" si="113"/>
        <v>30</v>
      </c>
      <c r="D367" s="63">
        <f t="shared" si="89"/>
        <v>0.97069840315522438</v>
      </c>
      <c r="E367" s="18">
        <f t="shared" si="90"/>
        <v>1.0301860977101969</v>
      </c>
      <c r="F367">
        <f t="shared" si="114"/>
        <v>1990</v>
      </c>
      <c r="G367" s="19">
        <f>Dodge_to_CBECS!C87</f>
        <v>245.42805211448101</v>
      </c>
      <c r="H367" s="19">
        <f>Dodge_to_CBECS!D87</f>
        <v>168.95298077744553</v>
      </c>
      <c r="I367" s="19">
        <f>Dodge_to_CBECS!E87</f>
        <v>23.231034856898759</v>
      </c>
      <c r="J367" s="19">
        <f>Dodge_to_CBECS!F87</f>
        <v>19.00721033746262</v>
      </c>
      <c r="K367" s="19">
        <f>Dodge_to_CBECS!G87</f>
        <v>178.98885519008968</v>
      </c>
      <c r="L367" s="19">
        <f>Dodge_to_CBECS!H87</f>
        <v>121.6</v>
      </c>
      <c r="M367" s="19">
        <f>Dodge_to_CBECS!I87</f>
        <v>51.75</v>
      </c>
      <c r="N367" s="19">
        <f>Dodge_to_CBECS!J87</f>
        <v>79.208991883810342</v>
      </c>
      <c r="O367" s="19">
        <f>Dodge_to_CBECS!K87</f>
        <v>29</v>
      </c>
      <c r="P367" s="19">
        <f>Dodge_to_CBECS!L87</f>
        <v>61.800000000000004</v>
      </c>
      <c r="Q367" s="19">
        <f>Dodge_to_CBECS!M87</f>
        <v>95.032874839812038</v>
      </c>
      <c r="T367">
        <f t="shared" si="91"/>
        <v>1074</v>
      </c>
      <c r="U367">
        <f t="shared" ref="U367:U394" si="116">$W$210*T367+$W$211*T366</f>
        <v>1174.2</v>
      </c>
      <c r="X367" s="23">
        <f>$T$488</f>
        <v>1.2568608232338658</v>
      </c>
      <c r="Y367" s="23">
        <v>1.2</v>
      </c>
      <c r="Z367">
        <f>1.25</f>
        <v>1.25</v>
      </c>
      <c r="AA367">
        <f>CHOOSE($AA$364,X367,Y367,Z367)</f>
        <v>1.2</v>
      </c>
      <c r="AB367">
        <f t="shared" si="92"/>
        <v>1990</v>
      </c>
      <c r="AC367">
        <f>T367*AA367</f>
        <v>1288.8</v>
      </c>
      <c r="AD367">
        <f>U367*AA367</f>
        <v>1409.04</v>
      </c>
      <c r="AH367">
        <f t="shared" ref="AH367:AH378" si="117">1.15*T367</f>
        <v>1235.0999999999999</v>
      </c>
      <c r="AI367">
        <f t="shared" si="95"/>
        <v>64005.593191506239</v>
      </c>
      <c r="AL367" s="87">
        <f t="shared" ref="AL367:AL381" si="118">AD367</f>
        <v>1409.04</v>
      </c>
      <c r="AM367" s="87">
        <f t="shared" si="96"/>
        <v>64179.533191506242</v>
      </c>
      <c r="AN367">
        <f>SUM(AL217:AL367)</f>
        <v>82017.668122868781</v>
      </c>
      <c r="AO367" s="19">
        <f t="shared" si="97"/>
        <v>-412.50680849377295</v>
      </c>
      <c r="AP367" s="23">
        <f t="shared" si="98"/>
        <v>6.4273887325245558E-3</v>
      </c>
      <c r="AQ367" s="23"/>
      <c r="AR367" s="23"/>
      <c r="AS367" s="23"/>
      <c r="AT367" s="93">
        <f t="shared" si="100"/>
        <v>64179.533191506242</v>
      </c>
      <c r="AU367" s="87"/>
      <c r="AV367" s="87"/>
      <c r="AW367" s="35"/>
      <c r="AX367">
        <v>1074</v>
      </c>
      <c r="AZ367">
        <v>1990</v>
      </c>
      <c r="BA367">
        <v>1418.7549461104286</v>
      </c>
      <c r="BB367">
        <v>64140.71404237095</v>
      </c>
      <c r="BE367">
        <v>1235.0999999999999</v>
      </c>
      <c r="BF367">
        <v>63957.05909626052</v>
      </c>
      <c r="BI367">
        <v>1374.72</v>
      </c>
      <c r="BJ367">
        <v>64096.679096260523</v>
      </c>
      <c r="BL367">
        <v>-461.04090373944086</v>
      </c>
      <c r="BM367">
        <v>7.1928984502777236E-3</v>
      </c>
      <c r="BZ367">
        <f t="shared" si="79"/>
        <v>1990</v>
      </c>
      <c r="CA367" s="5">
        <f t="shared" si="83"/>
        <v>64.179533191506238</v>
      </c>
      <c r="CB367" s="5">
        <v>64.005381847309593</v>
      </c>
      <c r="CF367" s="70" t="e">
        <f>#REF!*0.001</f>
        <v>#REF!</v>
      </c>
      <c r="CG367" t="e">
        <f t="shared" si="101"/>
        <v>#REF!</v>
      </c>
      <c r="CH367" t="e">
        <f>CF367/CB367/3.412</f>
        <v>#REF!</v>
      </c>
      <c r="CK367">
        <f t="shared" si="110"/>
        <v>12.810924068236773</v>
      </c>
      <c r="CL367">
        <f t="shared" si="115"/>
        <v>5</v>
      </c>
      <c r="CQ367">
        <f>[1]Summary_adjust!N12</f>
        <v>770.13668411758317</v>
      </c>
      <c r="CR367">
        <f t="shared" si="111"/>
        <v>1990</v>
      </c>
      <c r="CS367">
        <f t="shared" si="112"/>
        <v>12.307409220712014</v>
      </c>
      <c r="CZ367" t="s">
        <v>382</v>
      </c>
      <c r="DB367" t="s">
        <v>385</v>
      </c>
      <c r="DC367" t="e">
        <f t="shared" si="102"/>
        <v>#REF!</v>
      </c>
      <c r="DD367" s="43">
        <v>751000</v>
      </c>
      <c r="DF367">
        <f t="shared" si="103"/>
        <v>751000</v>
      </c>
      <c r="DH367">
        <f t="shared" si="104"/>
        <v>1990</v>
      </c>
      <c r="DI367" t="e">
        <f t="shared" si="105"/>
        <v>#REF!</v>
      </c>
      <c r="DJ367">
        <f t="shared" si="106"/>
        <v>11.701549741084595</v>
      </c>
      <c r="DP367">
        <f t="shared" si="107"/>
        <v>1990</v>
      </c>
      <c r="DQ367" s="71" t="e">
        <f t="shared" si="108"/>
        <v>#REF!</v>
      </c>
      <c r="DR367" s="71">
        <f t="shared" si="109"/>
        <v>2562.4119999999998</v>
      </c>
      <c r="DW367" s="57"/>
      <c r="EA367">
        <f>1.28*H367</f>
        <v>216.25981539513029</v>
      </c>
      <c r="EB367" s="16" t="e">
        <f>SUMPRODUCT($D277:$D$397,EA$10:EA367)</f>
        <v>#VALUE!</v>
      </c>
      <c r="EE367">
        <f t="shared" si="84"/>
        <v>1990</v>
      </c>
      <c r="EF367" s="5" t="e">
        <f t="shared" si="85"/>
        <v>#VALUE!</v>
      </c>
      <c r="EO367" s="15"/>
      <c r="ES367">
        <f>1.28*L367</f>
        <v>155.648</v>
      </c>
      <c r="ET367" s="16" t="e">
        <f>SUMPRODUCT($D277:$D$397,ES$10:ES367)</f>
        <v>#VALUE!</v>
      </c>
      <c r="EW367">
        <f t="shared" si="86"/>
        <v>1990</v>
      </c>
      <c r="EX367" s="5" t="e">
        <f t="shared" si="87"/>
        <v>#VALUE!</v>
      </c>
    </row>
    <row r="368" spans="1:155" ht="13.5" thickBot="1" x14ac:dyDescent="0.25">
      <c r="A368">
        <f t="shared" si="88"/>
        <v>1991</v>
      </c>
      <c r="C368">
        <f t="shared" si="113"/>
        <v>29</v>
      </c>
      <c r="D368" s="63">
        <f t="shared" si="89"/>
        <v>0.9742532178500003</v>
      </c>
      <c r="E368" s="18">
        <f t="shared" si="90"/>
        <v>1.0264271974454631</v>
      </c>
      <c r="F368">
        <f t="shared" si="114"/>
        <v>1991</v>
      </c>
      <c r="G368" s="19">
        <f>Dodge_to_CBECS!C88</f>
        <v>175.60857753096968</v>
      </c>
      <c r="H368" s="19">
        <f>Dodge_to_CBECS!D88</f>
        <v>115.881295173003</v>
      </c>
      <c r="I368" s="19">
        <f>Dodge_to_CBECS!E88</f>
        <v>15.933678086287911</v>
      </c>
      <c r="J368" s="19">
        <f>Dodge_to_CBECS!F88</f>
        <v>13.036645706962837</v>
      </c>
      <c r="K368" s="19">
        <f>Dodge_to_CBECS!G88</f>
        <v>122.76469030328919</v>
      </c>
      <c r="L368" s="19">
        <f>Dodge_to_CBECS!H88</f>
        <v>141.6</v>
      </c>
      <c r="M368" s="19">
        <f>Dodge_to_CBECS!I88</f>
        <v>54</v>
      </c>
      <c r="N368" s="19">
        <f>Dodge_to_CBECS!J88</f>
        <v>60.496369073045706</v>
      </c>
      <c r="O368" s="19">
        <f>Dodge_to_CBECS!K88</f>
        <v>29</v>
      </c>
      <c r="P368" s="19">
        <f>Dodge_to_CBECS!L88</f>
        <v>57.15</v>
      </c>
      <c r="Q368" s="19">
        <f>Dodge_to_CBECS!M88</f>
        <v>96.52874412644168</v>
      </c>
      <c r="T368">
        <f t="shared" si="91"/>
        <v>881.99999999999989</v>
      </c>
      <c r="U368">
        <f t="shared" si="116"/>
        <v>997.19999999999993</v>
      </c>
      <c r="X368" s="23">
        <f t="shared" ref="X368:X397" si="119">$T$488</f>
        <v>1.2568608232338658</v>
      </c>
      <c r="Y368" s="23">
        <v>1.2</v>
      </c>
      <c r="Z368">
        <v>1.24</v>
      </c>
      <c r="AA368">
        <f t="shared" ref="AA368:AA381" si="120">CHOOSE($AA$364,X368,Y368,Z368)</f>
        <v>1.2</v>
      </c>
      <c r="AB368">
        <f t="shared" si="92"/>
        <v>1991</v>
      </c>
      <c r="AC368">
        <f t="shared" ref="AC368:AC395" si="121">T368*AA368</f>
        <v>1058.3999999999999</v>
      </c>
      <c r="AD368">
        <f t="shared" ref="AD368:AD395" si="122">U368*AA368</f>
        <v>1196.6399999999999</v>
      </c>
      <c r="AH368">
        <f t="shared" si="117"/>
        <v>1014.2999999999998</v>
      </c>
      <c r="AI368">
        <f t="shared" si="95"/>
        <v>64600.522605345046</v>
      </c>
      <c r="AL368" s="87">
        <f t="shared" si="118"/>
        <v>1196.6399999999999</v>
      </c>
      <c r="AM368" s="87">
        <f t="shared" si="96"/>
        <v>64956.802596915419</v>
      </c>
      <c r="AO368" s="19">
        <f t="shared" si="97"/>
        <v>-419.37059459082275</v>
      </c>
      <c r="AP368" s="23">
        <f t="shared" si="98"/>
        <v>6.4561458973465121E-3</v>
      </c>
      <c r="AQ368" s="23"/>
      <c r="AR368" s="23"/>
      <c r="AS368" s="23"/>
      <c r="AT368" s="93">
        <f t="shared" si="100"/>
        <v>64956.802596915419</v>
      </c>
      <c r="AU368" s="87"/>
      <c r="AV368" s="87"/>
      <c r="AW368" s="35"/>
      <c r="AX368">
        <v>883</v>
      </c>
      <c r="AZ368">
        <v>1991</v>
      </c>
      <c r="BA368">
        <v>1166.4437778542908</v>
      </c>
      <c r="BB368">
        <v>64837.548070538665</v>
      </c>
      <c r="BE368">
        <v>1015.45</v>
      </c>
      <c r="BF368">
        <v>64503.679466736423</v>
      </c>
      <c r="BI368">
        <v>1130.24</v>
      </c>
      <c r="BJ368">
        <v>64757.496395983944</v>
      </c>
      <c r="BL368">
        <v>-469.42270027657855</v>
      </c>
      <c r="BM368">
        <v>7.2489321916665494E-3</v>
      </c>
      <c r="BZ368">
        <f t="shared" si="79"/>
        <v>1991</v>
      </c>
      <c r="CA368" s="5">
        <f t="shared" si="83"/>
        <v>64.956802596915423</v>
      </c>
      <c r="CB368" s="5">
        <v>64.599887907905497</v>
      </c>
      <c r="CF368" s="70" t="e">
        <f>#REF!*0.001</f>
        <v>#REF!</v>
      </c>
      <c r="CG368" t="e">
        <f t="shared" si="101"/>
        <v>#REF!</v>
      </c>
      <c r="CH368" t="e">
        <f t="shared" ref="CH368:CH382" si="123">CF368/CB368/3.412</f>
        <v>#REF!</v>
      </c>
      <c r="CK368">
        <f t="shared" si="110"/>
        <v>12.913758460940898</v>
      </c>
      <c r="CL368">
        <f t="shared" si="115"/>
        <v>6</v>
      </c>
      <c r="CN368" t="e">
        <f>LN(CG368/CG361)/7</f>
        <v>#REF!</v>
      </c>
      <c r="CO368" t="e">
        <f>LN(CH368/CH361)/7</f>
        <v>#REF!</v>
      </c>
      <c r="CP368" t="s">
        <v>374</v>
      </c>
      <c r="CQ368">
        <f>[1]Summary_adjust!N13</f>
        <v>786.35245722733282</v>
      </c>
      <c r="CR368">
        <f t="shared" si="111"/>
        <v>1991</v>
      </c>
      <c r="CS368">
        <f t="shared" si="112"/>
        <v>12.416179807229012</v>
      </c>
      <c r="CY368" s="21" t="s">
        <v>389</v>
      </c>
      <c r="CZ368" s="21" t="s">
        <v>398</v>
      </c>
      <c r="DA368" s="21" t="s">
        <v>399</v>
      </c>
      <c r="DB368" s="21" t="s">
        <v>386</v>
      </c>
      <c r="DC368" t="e">
        <f t="shared" si="102"/>
        <v>#REF!</v>
      </c>
      <c r="DD368">
        <v>765664</v>
      </c>
      <c r="DF368">
        <f t="shared" si="103"/>
        <v>765664</v>
      </c>
      <c r="DH368">
        <f t="shared" si="104"/>
        <v>1991</v>
      </c>
      <c r="DI368" t="e">
        <f t="shared" si="105"/>
        <v>#REF!</v>
      </c>
      <c r="DJ368">
        <f t="shared" si="106"/>
        <v>11.787279690339295</v>
      </c>
      <c r="DM368" t="e">
        <f>LN(DI368/DI361)/7</f>
        <v>#REF!</v>
      </c>
      <c r="DN368">
        <f>LN(DJ368/DJ361)/7</f>
        <v>2.0133308458319073E-2</v>
      </c>
      <c r="DP368">
        <f t="shared" si="107"/>
        <v>1991</v>
      </c>
      <c r="DQ368" s="71" t="e">
        <f t="shared" si="108"/>
        <v>#REF!</v>
      </c>
      <c r="DR368" s="71">
        <f t="shared" si="109"/>
        <v>2612.4455680000001</v>
      </c>
      <c r="DW368" s="57"/>
      <c r="EA368">
        <f t="shared" ref="EA368:EA378" si="124">1.28*H368</f>
        <v>148.32805782144385</v>
      </c>
      <c r="EB368" s="16" t="e">
        <f>SUMPRODUCT($D276:$D$397,EA$10:EA368)</f>
        <v>#VALUE!</v>
      </c>
      <c r="EE368">
        <f t="shared" si="84"/>
        <v>1991</v>
      </c>
      <c r="EF368" s="5" t="e">
        <f t="shared" si="85"/>
        <v>#VALUE!</v>
      </c>
      <c r="EO368" s="15"/>
      <c r="ES368">
        <f t="shared" ref="ES368:ES378" si="125">1.28*L368</f>
        <v>181.24799999999999</v>
      </c>
      <c r="ET368" s="16" t="e">
        <f>SUMPRODUCT($D276:$D$397,ES$10:ES368)</f>
        <v>#VALUE!</v>
      </c>
      <c r="EW368">
        <f t="shared" si="86"/>
        <v>1991</v>
      </c>
      <c r="EX368" s="5" t="e">
        <f t="shared" si="87"/>
        <v>#VALUE!</v>
      </c>
    </row>
    <row r="369" spans="1:155" x14ac:dyDescent="0.2">
      <c r="A369">
        <f t="shared" si="88"/>
        <v>1992</v>
      </c>
      <c r="C369">
        <f t="shared" si="113"/>
        <v>28</v>
      </c>
      <c r="D369" s="63">
        <f t="shared" si="89"/>
        <v>0.97748973942419259</v>
      </c>
      <c r="E369" s="18">
        <f t="shared" si="90"/>
        <v>1.0230286412919971</v>
      </c>
      <c r="F369">
        <f t="shared" si="114"/>
        <v>1992</v>
      </c>
      <c r="G369" s="19">
        <f>Dodge_to_CBECS!C89</f>
        <v>168.86420760358823</v>
      </c>
      <c r="H369" s="19">
        <f>Dodge_to_CBECS!D89</f>
        <v>112.47302178556173</v>
      </c>
      <c r="I369" s="19">
        <f>Dodge_to_CBECS!E89</f>
        <v>15.465040495514737</v>
      </c>
      <c r="J369" s="19">
        <f>Dodge_to_CBECS!F89</f>
        <v>12.653214950875693</v>
      </c>
      <c r="K369" s="19">
        <f>Dodge_to_CBECS!G89</f>
        <v>119.15396411789833</v>
      </c>
      <c r="L369" s="19">
        <f>Dodge_to_CBECS!H89</f>
        <v>124.79999999999998</v>
      </c>
      <c r="M369" s="19">
        <f>Dodge_to_CBECS!I89</f>
        <v>57.75</v>
      </c>
      <c r="N369" s="19">
        <f>Dodge_to_CBECS!J89</f>
        <v>60.496475865014951</v>
      </c>
      <c r="O369" s="19">
        <f>Dodge_to_CBECS!K89</f>
        <v>30</v>
      </c>
      <c r="P369" s="19">
        <f>Dodge_to_CBECS!L89</f>
        <v>53</v>
      </c>
      <c r="Q369" s="19">
        <f>Dodge_to_CBECS!M89</f>
        <v>85.344075181546344</v>
      </c>
      <c r="T369">
        <f t="shared" si="91"/>
        <v>840.00000000000011</v>
      </c>
      <c r="U369">
        <f t="shared" si="116"/>
        <v>865.2</v>
      </c>
      <c r="X369" s="23">
        <f t="shared" si="119"/>
        <v>1.2568608232338658</v>
      </c>
      <c r="Y369" s="23">
        <v>1.2</v>
      </c>
      <c r="Z369">
        <v>1.23</v>
      </c>
      <c r="AA369">
        <f t="shared" si="120"/>
        <v>1.2</v>
      </c>
      <c r="AB369">
        <f t="shared" si="92"/>
        <v>1992</v>
      </c>
      <c r="AC369">
        <f t="shared" si="121"/>
        <v>1008.0000000000001</v>
      </c>
      <c r="AD369">
        <f t="shared" si="122"/>
        <v>1038.24</v>
      </c>
      <c r="AH369">
        <f t="shared" si="117"/>
        <v>966</v>
      </c>
      <c r="AI369">
        <f t="shared" si="95"/>
        <v>65140.011973476554</v>
      </c>
      <c r="AL369" s="87">
        <f t="shared" si="118"/>
        <v>1038.24</v>
      </c>
      <c r="AM369" s="87">
        <f t="shared" si="96"/>
        <v>65568.531836796683</v>
      </c>
      <c r="AO369" s="19">
        <f t="shared" si="97"/>
        <v>-426.51076011873579</v>
      </c>
      <c r="AP369" s="23">
        <f t="shared" si="98"/>
        <v>6.5048087576574411E-3</v>
      </c>
      <c r="AQ369" s="23"/>
      <c r="AR369" s="23"/>
      <c r="AS369" s="23"/>
      <c r="AT369" s="93">
        <f t="shared" si="100"/>
        <v>65568.531836796683</v>
      </c>
      <c r="AU369" s="87"/>
      <c r="AV369" s="87"/>
      <c r="AW369" s="35"/>
      <c r="AX369">
        <v>840</v>
      </c>
      <c r="AZ369">
        <v>1992</v>
      </c>
      <c r="BA369">
        <v>1109.6407399746367</v>
      </c>
      <c r="BB369">
        <v>65470.058291618196</v>
      </c>
      <c r="BE369">
        <v>966</v>
      </c>
      <c r="BF369">
        <v>64993.981613910822</v>
      </c>
      <c r="BI369">
        <v>1075.2</v>
      </c>
      <c r="BJ369">
        <v>65355.909387429849</v>
      </c>
      <c r="BL369">
        <v>-476.78700855409556</v>
      </c>
      <c r="BM369">
        <v>7.2952394515345513E-3</v>
      </c>
      <c r="BZ369">
        <f t="shared" si="79"/>
        <v>1992</v>
      </c>
      <c r="CA369" s="5">
        <f t="shared" si="83"/>
        <v>65.56853183679668</v>
      </c>
      <c r="CB369" s="5">
        <v>65.1389156122559</v>
      </c>
      <c r="CC369">
        <v>67.876000000000005</v>
      </c>
      <c r="CF369" s="70" t="e">
        <f>#REF!*0.001</f>
        <v>#REF!</v>
      </c>
      <c r="CG369" t="e">
        <f t="shared" si="101"/>
        <v>#REF!</v>
      </c>
      <c r="CH369" t="e">
        <f t="shared" si="123"/>
        <v>#REF!</v>
      </c>
      <c r="CI369">
        <f>(2609/66525)/3.412*1000</f>
        <v>11.494237681803023</v>
      </c>
      <c r="CK369">
        <f t="shared" si="110"/>
        <v>13.016592853644994</v>
      </c>
      <c r="CL369">
        <f t="shared" si="115"/>
        <v>7</v>
      </c>
      <c r="CQ369">
        <f>[1]Summary_adjust!N14</f>
        <v>785.6963961892551</v>
      </c>
      <c r="CR369">
        <f t="shared" si="111"/>
        <v>1992</v>
      </c>
      <c r="CS369">
        <f t="shared" si="112"/>
        <v>12.290079327012949</v>
      </c>
      <c r="CT369">
        <f>CI369</f>
        <v>11.494237681803023</v>
      </c>
      <c r="CU369">
        <f>CT369+0.25</f>
        <v>11.744237681803023</v>
      </c>
      <c r="CY369" t="s">
        <v>387</v>
      </c>
      <c r="CZ369" s="69" t="e">
        <f>DM361</f>
        <v>#REF!</v>
      </c>
      <c r="DA369" s="69" t="e">
        <f>DN361</f>
        <v>#REF!</v>
      </c>
      <c r="DB369" s="69">
        <f>CM383</f>
        <v>7.7612752997812291E-3</v>
      </c>
      <c r="DC369" t="e">
        <f t="shared" si="102"/>
        <v>#REF!</v>
      </c>
      <c r="DD369">
        <v>761271</v>
      </c>
      <c r="DF369">
        <f t="shared" si="103"/>
        <v>761271</v>
      </c>
      <c r="DH369">
        <f t="shared" si="104"/>
        <v>1992</v>
      </c>
      <c r="DI369" t="e">
        <f t="shared" si="105"/>
        <v>#REF!</v>
      </c>
      <c r="DJ369">
        <f t="shared" si="106"/>
        <v>11.610310291754606</v>
      </c>
      <c r="DL369">
        <f>CI369</f>
        <v>11.494237681803023</v>
      </c>
      <c r="DP369">
        <f t="shared" si="107"/>
        <v>1992</v>
      </c>
      <c r="DQ369" s="71" t="e">
        <f t="shared" si="108"/>
        <v>#REF!</v>
      </c>
      <c r="DR369" s="71">
        <f t="shared" si="109"/>
        <v>2597.4566520000003</v>
      </c>
      <c r="DS369">
        <v>2609</v>
      </c>
      <c r="DT369">
        <v>2609</v>
      </c>
      <c r="DV369" t="e">
        <f>DQ369/DT369</f>
        <v>#REF!</v>
      </c>
      <c r="DW369" s="57"/>
      <c r="EA369">
        <f t="shared" si="124"/>
        <v>143.96546788551902</v>
      </c>
      <c r="EB369" s="16" t="e">
        <f>SUMPRODUCT($D275:$D$397,EA$10:EA369)</f>
        <v>#VALUE!</v>
      </c>
      <c r="EE369">
        <f t="shared" si="84"/>
        <v>1992</v>
      </c>
      <c r="EF369" s="5" t="e">
        <f t="shared" si="85"/>
        <v>#VALUE!</v>
      </c>
      <c r="EG369">
        <v>12402</v>
      </c>
      <c r="EO369" s="15"/>
      <c r="ES369">
        <f t="shared" si="125"/>
        <v>159.74399999999997</v>
      </c>
      <c r="ET369" s="16" t="e">
        <f>SUMPRODUCT($D275:$D$397,ES$10:ES369)</f>
        <v>#VALUE!</v>
      </c>
      <c r="EW369">
        <f t="shared" si="86"/>
        <v>1992</v>
      </c>
      <c r="EX369" s="5" t="e">
        <f t="shared" si="87"/>
        <v>#VALUE!</v>
      </c>
      <c r="EY369">
        <v>8470</v>
      </c>
    </row>
    <row r="370" spans="1:155" x14ac:dyDescent="0.2">
      <c r="A370">
        <f t="shared" si="88"/>
        <v>1993</v>
      </c>
      <c r="C370">
        <f t="shared" si="113"/>
        <v>27</v>
      </c>
      <c r="D370" s="63">
        <f t="shared" si="89"/>
        <v>0.98042395105756286</v>
      </c>
      <c r="E370" s="18">
        <f t="shared" si="90"/>
        <v>1.019966922392421</v>
      </c>
      <c r="F370">
        <f t="shared" si="114"/>
        <v>1993</v>
      </c>
      <c r="G370" s="19">
        <f>Dodge_to_CBECS!C90</f>
        <v>176.06728107646308</v>
      </c>
      <c r="H370" s="19">
        <f>Dodge_to_CBECS!D90</f>
        <v>117.09853566851771</v>
      </c>
      <c r="I370" s="19">
        <f>Dodge_to_CBECS!E90</f>
        <v>16.101048654421184</v>
      </c>
      <c r="J370" s="19">
        <f>Dodge_to_CBECS!F90</f>
        <v>13.173585262708242</v>
      </c>
      <c r="K370" s="19">
        <f>Dodge_to_CBECS!G90</f>
        <v>124.0542353695002</v>
      </c>
      <c r="L370" s="19">
        <f>Dodge_to_CBECS!H90</f>
        <v>132</v>
      </c>
      <c r="M370" s="19">
        <f>Dodge_to_CBECS!I90</f>
        <v>56.25</v>
      </c>
      <c r="N370" s="19">
        <f>Dodge_to_CBECS!J90</f>
        <v>61.692759504485259</v>
      </c>
      <c r="O370" s="19">
        <f>Dodge_to_CBECS!K90</f>
        <v>30</v>
      </c>
      <c r="P370" s="19">
        <f>Dodge_to_CBECS!L90</f>
        <v>62.15</v>
      </c>
      <c r="Q370" s="19">
        <f>Dodge_to_CBECS!M90</f>
        <v>72.412554463904314</v>
      </c>
      <c r="T370">
        <f t="shared" si="91"/>
        <v>861</v>
      </c>
      <c r="U370">
        <f t="shared" si="116"/>
        <v>848.40000000000009</v>
      </c>
      <c r="X370" s="23">
        <f t="shared" si="119"/>
        <v>1.2568608232338658</v>
      </c>
      <c r="Y370" s="23">
        <v>1.2</v>
      </c>
      <c r="Z370">
        <v>1.22</v>
      </c>
      <c r="AA370">
        <f t="shared" si="120"/>
        <v>1.2</v>
      </c>
      <c r="AB370">
        <f t="shared" si="92"/>
        <v>1993</v>
      </c>
      <c r="AC370">
        <f t="shared" si="121"/>
        <v>1033.2</v>
      </c>
      <c r="AD370">
        <f t="shared" si="122"/>
        <v>1018.08</v>
      </c>
      <c r="AH370">
        <f t="shared" si="117"/>
        <v>990.15</v>
      </c>
      <c r="AI370">
        <f t="shared" si="95"/>
        <v>65696.202951913074</v>
      </c>
      <c r="AL370" s="87">
        <f t="shared" si="118"/>
        <v>1018.08</v>
      </c>
      <c r="AM370" s="87">
        <f t="shared" si="96"/>
        <v>66152.652187145024</v>
      </c>
      <c r="AO370" s="19">
        <f t="shared" si="97"/>
        <v>-433.95964965165888</v>
      </c>
      <c r="AP370" s="23">
        <f t="shared" si="98"/>
        <v>6.5599735657459728E-3</v>
      </c>
      <c r="AQ370" s="23"/>
      <c r="AR370" s="23"/>
      <c r="AS370" s="23"/>
      <c r="AT370" s="93">
        <f t="shared" si="100"/>
        <v>66152.652187145024</v>
      </c>
      <c r="AU370" s="87"/>
      <c r="AV370" s="87"/>
      <c r="AW370" s="35"/>
      <c r="AX370">
        <v>861</v>
      </c>
      <c r="AZ370">
        <v>1993</v>
      </c>
      <c r="BA370">
        <v>1137.3817584740027</v>
      </c>
      <c r="BB370">
        <v>66123.02309663099</v>
      </c>
      <c r="BE370">
        <v>990.15</v>
      </c>
      <c r="BF370">
        <v>65501.777846882185</v>
      </c>
      <c r="BI370">
        <v>1102.08</v>
      </c>
      <c r="BJ370">
        <v>65974.067124175999</v>
      </c>
      <c r="BL370">
        <v>-483.92226325384945</v>
      </c>
      <c r="BM370">
        <v>7.3350376041394242E-3</v>
      </c>
      <c r="BZ370">
        <f t="shared" si="79"/>
        <v>1993</v>
      </c>
      <c r="CA370" s="5">
        <f t="shared" si="83"/>
        <v>66.152652187145023</v>
      </c>
      <c r="CB370" s="5">
        <v>65.6945963686357</v>
      </c>
      <c r="CF370" s="70" t="e">
        <f>#REF!*0.001</f>
        <v>#REF!</v>
      </c>
      <c r="CG370" t="e">
        <f t="shared" si="101"/>
        <v>#REF!</v>
      </c>
      <c r="CH370" t="e">
        <f t="shared" si="123"/>
        <v>#REF!</v>
      </c>
      <c r="CK370">
        <f t="shared" si="110"/>
        <v>13.119427246349119</v>
      </c>
      <c r="CL370">
        <f t="shared" si="115"/>
        <v>8</v>
      </c>
      <c r="CQ370">
        <f>[1]Summary_adjust!N15</f>
        <v>815.10325998561893</v>
      </c>
      <c r="CR370">
        <f t="shared" si="111"/>
        <v>1993</v>
      </c>
      <c r="CS370">
        <f t="shared" si="112"/>
        <v>12.637487930339525</v>
      </c>
      <c r="CY370" t="s">
        <v>374</v>
      </c>
      <c r="CZ370" s="69" t="e">
        <f>DM368</f>
        <v>#REF!</v>
      </c>
      <c r="DA370" s="69">
        <f>DN368</f>
        <v>2.0133308458319073E-2</v>
      </c>
      <c r="DB370" s="69"/>
      <c r="DC370" t="e">
        <f t="shared" si="102"/>
        <v>#REF!</v>
      </c>
      <c r="DD370">
        <v>794573</v>
      </c>
      <c r="DE370">
        <f>25/3.412*1000</f>
        <v>7327.0808909730367</v>
      </c>
      <c r="DF370">
        <f>DD370-DE370</f>
        <v>787245.91910902702</v>
      </c>
      <c r="DH370">
        <f t="shared" si="104"/>
        <v>1993</v>
      </c>
      <c r="DI370" t="e">
        <f t="shared" si="105"/>
        <v>#REF!</v>
      </c>
      <c r="DJ370">
        <f t="shared" si="106"/>
        <v>12.011203991521958</v>
      </c>
      <c r="DK370">
        <f>DF370/CA370*0.001</f>
        <v>11.900443792970208</v>
      </c>
      <c r="DP370">
        <f t="shared" si="107"/>
        <v>1993</v>
      </c>
      <c r="DQ370" s="71" t="e">
        <f t="shared" si="108"/>
        <v>#REF!</v>
      </c>
      <c r="DR370" s="71">
        <f t="shared" si="109"/>
        <v>2711.0830759999999</v>
      </c>
      <c r="DS370" s="71"/>
      <c r="DW370" s="57"/>
      <c r="EA370">
        <f t="shared" si="124"/>
        <v>149.88612565570267</v>
      </c>
      <c r="EB370" s="16" t="e">
        <f>SUMPRODUCT($D274:$D$397,EA$10:EA370)</f>
        <v>#VALUE!</v>
      </c>
      <c r="EE370">
        <f t="shared" si="84"/>
        <v>1993</v>
      </c>
      <c r="EF370" s="5" t="e">
        <f t="shared" si="85"/>
        <v>#VALUE!</v>
      </c>
      <c r="EO370" s="15"/>
      <c r="ES370">
        <f t="shared" si="125"/>
        <v>168.96</v>
      </c>
      <c r="ET370" s="16" t="e">
        <f>SUMPRODUCT($D274:$D$397,ES$10:ES370)</f>
        <v>#VALUE!</v>
      </c>
      <c r="EW370">
        <f t="shared" si="86"/>
        <v>1993</v>
      </c>
      <c r="EX370" s="5" t="e">
        <f t="shared" si="87"/>
        <v>#VALUE!</v>
      </c>
    </row>
    <row r="371" spans="1:155" x14ac:dyDescent="0.2">
      <c r="A371">
        <f t="shared" si="88"/>
        <v>1994</v>
      </c>
      <c r="C371">
        <f t="shared" si="113"/>
        <v>26</v>
      </c>
      <c r="D371" s="63">
        <f t="shared" si="89"/>
        <v>0.98307218894002268</v>
      </c>
      <c r="E371" s="18">
        <f t="shared" si="90"/>
        <v>1.0172192960500992</v>
      </c>
      <c r="F371">
        <f t="shared" si="114"/>
        <v>1994</v>
      </c>
      <c r="G371" s="19">
        <f>Dodge_to_CBECS!C91</f>
        <v>216.24442545920547</v>
      </c>
      <c r="H371" s="19">
        <f>Dodge_to_CBECS!D91</f>
        <v>146.06885946176848</v>
      </c>
      <c r="I371" s="19">
        <f>Dodge_to_CBECS!E91</f>
        <v>20.084468175993166</v>
      </c>
      <c r="J371" s="19">
        <f>Dodge_to_CBECS!F91</f>
        <v>16.432746689448955</v>
      </c>
      <c r="K371" s="19">
        <f>Dodge_to_CBECS!G91</f>
        <v>154.74540794532251</v>
      </c>
      <c r="L371" s="19">
        <f>Dodge_to_CBECS!H91</f>
        <v>137.6</v>
      </c>
      <c r="M371" s="19">
        <f>Dodge_to_CBECS!I91</f>
        <v>54</v>
      </c>
      <c r="N371" s="19">
        <f>Dodge_to_CBECS!J91</f>
        <v>71.566851772746688</v>
      </c>
      <c r="O371" s="19">
        <f>Dodge_to_CBECS!K91</f>
        <v>30</v>
      </c>
      <c r="P371" s="19">
        <f>Dodge_to_CBECS!L91</f>
        <v>62.7</v>
      </c>
      <c r="Q371" s="19">
        <f>Dodge_to_CBECS!M91</f>
        <v>91.557240495514733</v>
      </c>
      <c r="T371">
        <f t="shared" si="91"/>
        <v>1001</v>
      </c>
      <c r="U371">
        <f t="shared" si="116"/>
        <v>917</v>
      </c>
      <c r="X371" s="23">
        <f t="shared" si="119"/>
        <v>1.2568608232338658</v>
      </c>
      <c r="Y371" s="23">
        <v>1.2</v>
      </c>
      <c r="Z371">
        <v>1.21</v>
      </c>
      <c r="AA371">
        <f t="shared" si="120"/>
        <v>1.2</v>
      </c>
      <c r="AB371">
        <f t="shared" si="92"/>
        <v>1994</v>
      </c>
      <c r="AC371">
        <f t="shared" si="121"/>
        <v>1201.2</v>
      </c>
      <c r="AD371">
        <f t="shared" si="122"/>
        <v>1100.3999999999999</v>
      </c>
      <c r="AH371">
        <f t="shared" si="117"/>
        <v>1151.1499999999999</v>
      </c>
      <c r="AI371">
        <f t="shared" si="95"/>
        <v>66405.596797735154</v>
      </c>
      <c r="AL371" s="87">
        <f t="shared" si="118"/>
        <v>1100.3999999999999</v>
      </c>
      <c r="AM371" s="87">
        <f t="shared" si="96"/>
        <v>66811.294146901753</v>
      </c>
      <c r="AO371" s="19">
        <f t="shared" si="97"/>
        <v>-441.75804024327067</v>
      </c>
      <c r="AP371" s="23">
        <f t="shared" si="98"/>
        <v>6.6120263929022602E-3</v>
      </c>
      <c r="AQ371" s="23"/>
      <c r="AR371" s="23"/>
      <c r="AS371" s="23"/>
      <c r="AT371" s="93">
        <f t="shared" si="100"/>
        <v>66811.294146901753</v>
      </c>
      <c r="AU371" s="87"/>
      <c r="AV371" s="87"/>
      <c r="AW371" s="35"/>
      <c r="AX371">
        <v>1001</v>
      </c>
      <c r="AZ371">
        <v>1994</v>
      </c>
      <c r="BA371">
        <v>1322.3218818031089</v>
      </c>
      <c r="BB371">
        <v>66953.521715926719</v>
      </c>
      <c r="BE371">
        <v>1151.1500000000001</v>
      </c>
      <c r="BF371">
        <v>66163.822326972644</v>
      </c>
      <c r="BI371">
        <v>1281.28</v>
      </c>
      <c r="BJ371">
        <v>66764.175494806594</v>
      </c>
      <c r="BL371">
        <v>-491.17162936940554</v>
      </c>
      <c r="BM371">
        <v>7.3568141256775115E-3</v>
      </c>
      <c r="BZ371">
        <f t="shared" si="79"/>
        <v>1994</v>
      </c>
      <c r="CA371" s="5">
        <f t="shared" si="83"/>
        <v>66.811294146901758</v>
      </c>
      <c r="CB371" s="5">
        <v>66.403611208314203</v>
      </c>
      <c r="CF371" s="70" t="e">
        <f>#REF!*0.001</f>
        <v>#REF!</v>
      </c>
      <c r="CG371" t="e">
        <f t="shared" si="101"/>
        <v>#REF!</v>
      </c>
      <c r="CH371" t="e">
        <f t="shared" si="123"/>
        <v>#REF!</v>
      </c>
      <c r="CK371">
        <f t="shared" si="110"/>
        <v>13.222261639053244</v>
      </c>
      <c r="CL371">
        <f t="shared" si="115"/>
        <v>9</v>
      </c>
      <c r="CQ371">
        <f>[1]Summary_adjust!N16</f>
        <v>841.46690167784357</v>
      </c>
      <c r="CR371">
        <f t="shared" si="111"/>
        <v>1994</v>
      </c>
      <c r="CS371">
        <f t="shared" si="112"/>
        <v>12.917620996567113</v>
      </c>
      <c r="CY371" t="s">
        <v>381</v>
      </c>
      <c r="CZ371" s="69" t="e">
        <f>DM378</f>
        <v>#REF!</v>
      </c>
      <c r="DA371" s="69">
        <f>DN378</f>
        <v>1.779578026926518E-2</v>
      </c>
      <c r="DB371" s="69"/>
      <c r="DC371" t="e">
        <f t="shared" si="102"/>
        <v>#REF!</v>
      </c>
      <c r="DD371">
        <v>820269</v>
      </c>
      <c r="DE371">
        <f>45/3.412*1000</f>
        <v>13188.745603751466</v>
      </c>
      <c r="DF371">
        <f t="shared" ref="DF371:DF381" si="126">DD371-DE371</f>
        <v>807080.25439624849</v>
      </c>
      <c r="DH371">
        <f t="shared" si="104"/>
        <v>1994</v>
      </c>
      <c r="DI371" t="e">
        <f t="shared" si="105"/>
        <v>#REF!</v>
      </c>
      <c r="DJ371">
        <f t="shared" si="106"/>
        <v>12.277400258052603</v>
      </c>
      <c r="DK371">
        <f t="shared" ref="DK371:DK381" si="127">DF371/CA371*0.001</f>
        <v>12.079997322334089</v>
      </c>
      <c r="DP371">
        <f t="shared" si="107"/>
        <v>1994</v>
      </c>
      <c r="DQ371" s="71" t="e">
        <f t="shared" si="108"/>
        <v>#REF!</v>
      </c>
      <c r="DR371" s="71">
        <f t="shared" si="109"/>
        <v>2798.7578279999998</v>
      </c>
      <c r="DS371" s="71"/>
      <c r="DW371" s="57"/>
      <c r="EA371">
        <f t="shared" si="124"/>
        <v>186.96814011106366</v>
      </c>
      <c r="EB371" s="16" t="e">
        <f>SUMPRODUCT($D273:$D$397,EA$10:EA371)</f>
        <v>#VALUE!</v>
      </c>
      <c r="EE371">
        <f t="shared" si="84"/>
        <v>1994</v>
      </c>
      <c r="EF371" s="5" t="e">
        <f t="shared" si="85"/>
        <v>#VALUE!</v>
      </c>
      <c r="EO371" s="15"/>
      <c r="ES371">
        <f t="shared" si="125"/>
        <v>176.12799999999999</v>
      </c>
      <c r="ET371" s="16" t="e">
        <f>SUMPRODUCT($D273:$D$397,ES$10:ES371)</f>
        <v>#VALUE!</v>
      </c>
      <c r="EW371">
        <f t="shared" si="86"/>
        <v>1994</v>
      </c>
      <c r="EX371" s="5" t="e">
        <f t="shared" si="87"/>
        <v>#VALUE!</v>
      </c>
    </row>
    <row r="372" spans="1:155" x14ac:dyDescent="0.2">
      <c r="A372">
        <f t="shared" si="88"/>
        <v>1995</v>
      </c>
      <c r="C372">
        <f t="shared" si="113"/>
        <v>25</v>
      </c>
      <c r="D372" s="63">
        <f t="shared" si="89"/>
        <v>0.98545101615005803</v>
      </c>
      <c r="E372" s="18">
        <f t="shared" si="90"/>
        <v>1.0147637818739907</v>
      </c>
      <c r="F372">
        <f t="shared" si="114"/>
        <v>1995</v>
      </c>
      <c r="G372" s="19">
        <f>Dodge_to_CBECS!C92</f>
        <v>250.81849636907307</v>
      </c>
      <c r="H372" s="19">
        <f>Dodge_to_CBECS!D92</f>
        <v>170.41366937206323</v>
      </c>
      <c r="I372" s="19">
        <f>Dodge_to_CBECS!E92</f>
        <v>23.431879538658691</v>
      </c>
      <c r="J372" s="19">
        <f>Dodge_to_CBECS!F92</f>
        <v>19.171537804357111</v>
      </c>
      <c r="K372" s="19">
        <f>Dodge_to_CBECS!G92</f>
        <v>180.53630926954293</v>
      </c>
      <c r="L372" s="19">
        <f>Dodge_to_CBECS!H92</f>
        <v>148.79999999999998</v>
      </c>
      <c r="M372" s="19">
        <f>Dodge_to_CBECS!I92</f>
        <v>52.5</v>
      </c>
      <c r="N372" s="19">
        <f>Dodge_to_CBECS!J92</f>
        <v>79.9946604015378</v>
      </c>
      <c r="O372" s="19">
        <f>Dodge_to_CBECS!K92</f>
        <v>33</v>
      </c>
      <c r="P372" s="19">
        <f>Dodge_to_CBECS!L92</f>
        <v>68.599999999999994</v>
      </c>
      <c r="Q372" s="19">
        <f>Dodge_to_CBECS!M92</f>
        <v>90.733447244767191</v>
      </c>
      <c r="T372">
        <f t="shared" si="91"/>
        <v>1118</v>
      </c>
      <c r="U372">
        <f t="shared" si="116"/>
        <v>1047.8000000000002</v>
      </c>
      <c r="X372" s="23">
        <f t="shared" si="119"/>
        <v>1.2568608232338658</v>
      </c>
      <c r="Y372" s="23">
        <v>1.2</v>
      </c>
      <c r="Z372">
        <v>1.2</v>
      </c>
      <c r="AA372">
        <f t="shared" si="120"/>
        <v>1.2</v>
      </c>
      <c r="AB372">
        <f t="shared" si="92"/>
        <v>1995</v>
      </c>
      <c r="AC372">
        <f t="shared" si="121"/>
        <v>1341.6</v>
      </c>
      <c r="AD372">
        <f t="shared" si="122"/>
        <v>1257.3600000000001</v>
      </c>
      <c r="AH372">
        <f t="shared" si="117"/>
        <v>1285.6999999999998</v>
      </c>
      <c r="AI372">
        <f t="shared" si="95"/>
        <v>67241.450080870593</v>
      </c>
      <c r="AL372" s="87">
        <f t="shared" si="118"/>
        <v>1257.3600000000001</v>
      </c>
      <c r="AM372" s="87">
        <f t="shared" si="96"/>
        <v>67618.803117271193</v>
      </c>
      <c r="AO372" s="19">
        <f t="shared" si="97"/>
        <v>-449.85102963056079</v>
      </c>
      <c r="AP372" s="23">
        <f t="shared" si="98"/>
        <v>6.6527505500265181E-3</v>
      </c>
      <c r="AQ372" s="23"/>
      <c r="AR372" s="23"/>
      <c r="AS372" s="23"/>
      <c r="AT372" s="93">
        <f t="shared" si="100"/>
        <v>67618.803117271193</v>
      </c>
      <c r="AU372" s="87"/>
      <c r="AV372" s="87"/>
      <c r="AW372" s="35"/>
      <c r="AX372">
        <v>1118</v>
      </c>
      <c r="AZ372">
        <v>1995</v>
      </c>
      <c r="BA372">
        <v>1476.8789848710048</v>
      </c>
      <c r="BB372">
        <v>67930.383314115839</v>
      </c>
      <c r="BE372">
        <v>1285.7</v>
      </c>
      <c r="BF372">
        <v>66952.987946115012</v>
      </c>
      <c r="BI372">
        <v>1431.04</v>
      </c>
      <c r="BJ372">
        <v>67696.033228425149</v>
      </c>
      <c r="BL372">
        <v>-499.18226638144461</v>
      </c>
      <c r="BM372">
        <v>7.3738776494785968E-3</v>
      </c>
      <c r="BZ372">
        <f t="shared" si="79"/>
        <v>1995</v>
      </c>
      <c r="CA372" s="5">
        <f t="shared" si="83"/>
        <v>67.618803117271199</v>
      </c>
      <c r="CB372" s="5">
        <v>67.239195176019805</v>
      </c>
      <c r="CC372" s="34">
        <f>CJ413</f>
        <v>62.54402843918848</v>
      </c>
      <c r="CF372" s="70" t="e">
        <f>#REF!*0.001</f>
        <v>#REF!</v>
      </c>
      <c r="CG372" t="e">
        <f t="shared" si="101"/>
        <v>#REF!</v>
      </c>
      <c r="CH372" t="e">
        <f t="shared" si="123"/>
        <v>#REF!</v>
      </c>
      <c r="CI372" s="73">
        <f>DA411</f>
        <v>13.281063740703914</v>
      </c>
      <c r="CK372">
        <f t="shared" si="110"/>
        <v>13.325096031757369</v>
      </c>
      <c r="CL372">
        <f t="shared" si="115"/>
        <v>10</v>
      </c>
      <c r="CM372">
        <f>LN(CI372/CI363)/9</f>
        <v>7.6634941722546444E-3</v>
      </c>
      <c r="CQ372">
        <f>[1]Summary_adjust!N17</f>
        <v>868.97366420085382</v>
      </c>
      <c r="CR372">
        <f t="shared" si="111"/>
        <v>1995</v>
      </c>
      <c r="CS372">
        <f t="shared" si="112"/>
        <v>13.180579944017961</v>
      </c>
      <c r="CT372">
        <f>CI372</f>
        <v>13.281063740703914</v>
      </c>
      <c r="DC372" t="e">
        <f t="shared" si="102"/>
        <v>#REF!</v>
      </c>
      <c r="DD372">
        <v>862685</v>
      </c>
      <c r="DE372">
        <f>60/3.412*1000</f>
        <v>17584.994138335285</v>
      </c>
      <c r="DF372">
        <f t="shared" si="126"/>
        <v>845100.00586166466</v>
      </c>
      <c r="DH372">
        <f t="shared" si="104"/>
        <v>1995</v>
      </c>
      <c r="DI372" t="e">
        <f t="shared" si="105"/>
        <v>#REF!</v>
      </c>
      <c r="DJ372">
        <f t="shared" si="106"/>
        <v>12.758063737150842</v>
      </c>
      <c r="DK372">
        <f t="shared" si="127"/>
        <v>12.498003024336423</v>
      </c>
      <c r="DL372">
        <f>CI372</f>
        <v>13.281063740703914</v>
      </c>
      <c r="DP372">
        <f t="shared" si="107"/>
        <v>1995</v>
      </c>
      <c r="DQ372" s="71" t="e">
        <f t="shared" si="108"/>
        <v>#REF!</v>
      </c>
      <c r="DR372" s="71">
        <f t="shared" si="109"/>
        <v>2943.4812200000001</v>
      </c>
      <c r="DS372">
        <v>2608</v>
      </c>
      <c r="DT372">
        <f>DJ411</f>
        <v>2754.656756046395</v>
      </c>
      <c r="DV372" t="e">
        <f>DQ372/DT372</f>
        <v>#REF!</v>
      </c>
      <c r="DW372" s="57"/>
      <c r="EA372">
        <f t="shared" si="124"/>
        <v>218.12949679624094</v>
      </c>
      <c r="EB372" s="16" t="e">
        <f>SUMPRODUCT($D272:$D$397,EA$10:EA372)</f>
        <v>#VALUE!</v>
      </c>
      <c r="EE372">
        <f t="shared" si="84"/>
        <v>1995</v>
      </c>
      <c r="EF372" s="5" t="e">
        <f t="shared" si="85"/>
        <v>#VALUE!</v>
      </c>
      <c r="EG372">
        <v>12728</v>
      </c>
      <c r="EO372" s="15"/>
      <c r="ES372">
        <f t="shared" si="125"/>
        <v>190.46399999999997</v>
      </c>
      <c r="ET372" s="16" t="e">
        <f>SUMPRODUCT($D272:$D$397,ES$10:ES372)</f>
        <v>#VALUE!</v>
      </c>
      <c r="EW372">
        <f t="shared" si="86"/>
        <v>1995</v>
      </c>
      <c r="EX372" s="5" t="e">
        <f t="shared" si="87"/>
        <v>#VALUE!</v>
      </c>
      <c r="EY372">
        <v>7740</v>
      </c>
    </row>
    <row r="373" spans="1:155" x14ac:dyDescent="0.2">
      <c r="A373">
        <f t="shared" si="88"/>
        <v>1996</v>
      </c>
      <c r="C373">
        <f t="shared" si="113"/>
        <v>24</v>
      </c>
      <c r="D373" s="63">
        <f t="shared" si="89"/>
        <v>0.98757710366441731</v>
      </c>
      <c r="E373" s="18">
        <f t="shared" si="90"/>
        <v>1.0125791660109245</v>
      </c>
      <c r="F373">
        <f t="shared" si="114"/>
        <v>1996</v>
      </c>
      <c r="G373" s="19">
        <f>Dodge_to_CBECS!C93</f>
        <v>257.54853267834261</v>
      </c>
      <c r="H373" s="19">
        <f>Dodge_to_CBECS!D93</f>
        <v>176.01297565143102</v>
      </c>
      <c r="I373" s="19">
        <f>Dodge_to_CBECS!E93</f>
        <v>24.201784152071763</v>
      </c>
      <c r="J373" s="19">
        <f>Dodge_to_CBECS!F93</f>
        <v>19.801459760785985</v>
      </c>
      <c r="K373" s="19">
        <f>Dodge_to_CBECS!G93</f>
        <v>186.46821657411363</v>
      </c>
      <c r="L373" s="19">
        <f>Dodge_to_CBECS!H93</f>
        <v>141.6</v>
      </c>
      <c r="M373" s="19">
        <f>Dodge_to_CBECS!I93</f>
        <v>57.75</v>
      </c>
      <c r="N373" s="19">
        <f>Dodge_to_CBECS!J93</f>
        <v>83.798056386159757</v>
      </c>
      <c r="O373" s="19">
        <f>Dodge_to_CBECS!K93</f>
        <v>32</v>
      </c>
      <c r="P373" s="19">
        <f>Dodge_to_CBECS!L93</f>
        <v>72.149999999999991</v>
      </c>
      <c r="Q373" s="19">
        <f>Dodge_to_CBECS!M93</f>
        <v>91.668974797095245</v>
      </c>
      <c r="T373">
        <f t="shared" si="91"/>
        <v>1143</v>
      </c>
      <c r="U373">
        <f t="shared" si="116"/>
        <v>1128</v>
      </c>
      <c r="X373" s="23">
        <f t="shared" si="119"/>
        <v>1.2568608232338658</v>
      </c>
      <c r="Y373" s="23">
        <v>1.2</v>
      </c>
      <c r="Z373">
        <v>1.19</v>
      </c>
      <c r="AA373">
        <f t="shared" si="120"/>
        <v>1.2</v>
      </c>
      <c r="AB373">
        <f t="shared" si="92"/>
        <v>1996</v>
      </c>
      <c r="AC373">
        <f t="shared" si="121"/>
        <v>1371.6</v>
      </c>
      <c r="AD373">
        <f t="shared" si="122"/>
        <v>1353.6</v>
      </c>
      <c r="AH373">
        <f t="shared" si="117"/>
        <v>1314.4499999999998</v>
      </c>
      <c r="AI373">
        <f t="shared" si="95"/>
        <v>68097.662273463226</v>
      </c>
      <c r="AL373" s="87">
        <f t="shared" si="118"/>
        <v>1353.6</v>
      </c>
      <c r="AM373" s="87">
        <f t="shared" si="96"/>
        <v>68514.157016594836</v>
      </c>
      <c r="AO373" s="19">
        <f t="shared" si="97"/>
        <v>-458.24610067635649</v>
      </c>
      <c r="AP373" s="23">
        <f t="shared" si="98"/>
        <v>6.688341805991491E-3</v>
      </c>
      <c r="AQ373" s="23"/>
      <c r="AR373" s="23"/>
      <c r="AS373" s="23"/>
      <c r="AT373" s="93">
        <f t="shared" si="100"/>
        <v>68514.157016594836</v>
      </c>
      <c r="AU373" s="87"/>
      <c r="AV373" s="87"/>
      <c r="AW373" s="35"/>
      <c r="AX373">
        <v>1143</v>
      </c>
      <c r="AZ373">
        <v>1996</v>
      </c>
      <c r="BA373">
        <v>1509.9040068940592</v>
      </c>
      <c r="BB373">
        <v>68931.407312495692</v>
      </c>
      <c r="BE373">
        <v>1314.45</v>
      </c>
      <c r="BF373">
        <v>67762.901673764762</v>
      </c>
      <c r="BI373">
        <v>1463.04</v>
      </c>
      <c r="BJ373">
        <v>68651.234717523446</v>
      </c>
      <c r="BL373">
        <v>-507.83851090170242</v>
      </c>
      <c r="BM373">
        <v>7.3973689328572997E-3</v>
      </c>
      <c r="BZ373">
        <f t="shared" si="79"/>
        <v>1996</v>
      </c>
      <c r="CA373" s="5">
        <f t="shared" si="83"/>
        <v>68.514157016594837</v>
      </c>
      <c r="CB373" s="5">
        <v>68.095159518788606</v>
      </c>
      <c r="CF373" s="70" t="e">
        <f>#REF!*0.001</f>
        <v>#REF!</v>
      </c>
      <c r="CG373" t="e">
        <f t="shared" si="101"/>
        <v>#REF!</v>
      </c>
      <c r="CH373" t="e">
        <f t="shared" si="123"/>
        <v>#REF!</v>
      </c>
      <c r="CK373">
        <f t="shared" si="110"/>
        <v>13.427930424461493</v>
      </c>
      <c r="CL373">
        <f t="shared" si="115"/>
        <v>11</v>
      </c>
      <c r="CQ373">
        <f>[1]Summary_adjust!N18</f>
        <v>896.09929059565582</v>
      </c>
      <c r="CR373">
        <f t="shared" si="111"/>
        <v>1996</v>
      </c>
      <c r="CS373">
        <f t="shared" si="112"/>
        <v>13.414398359453131</v>
      </c>
      <c r="DC373" t="e">
        <f t="shared" si="102"/>
        <v>#REF!</v>
      </c>
      <c r="DD373">
        <v>887445</v>
      </c>
      <c r="DE373">
        <f>70/3.412*1000</f>
        <v>20515.826494724504</v>
      </c>
      <c r="DF373">
        <f t="shared" si="126"/>
        <v>866929.17350527551</v>
      </c>
      <c r="DH373">
        <f t="shared" si="104"/>
        <v>1996</v>
      </c>
      <c r="DI373" t="e">
        <f t="shared" si="105"/>
        <v>#REF!</v>
      </c>
      <c r="DJ373">
        <f t="shared" si="106"/>
        <v>12.952724497289687</v>
      </c>
      <c r="DK373">
        <f t="shared" si="127"/>
        <v>12.653285266215802</v>
      </c>
      <c r="DP373">
        <f t="shared" si="107"/>
        <v>1996</v>
      </c>
      <c r="DQ373" s="71" t="e">
        <f t="shared" si="108"/>
        <v>#REF!</v>
      </c>
      <c r="DR373" s="71">
        <f t="shared" si="109"/>
        <v>3027.96234</v>
      </c>
      <c r="DW373" s="57"/>
      <c r="EA373">
        <f t="shared" si="124"/>
        <v>225.2966088338317</v>
      </c>
      <c r="EB373" s="16" t="e">
        <f>SUMPRODUCT($D271:$D$397,EA$10:EA373)</f>
        <v>#VALUE!</v>
      </c>
      <c r="EE373">
        <f t="shared" si="84"/>
        <v>1996</v>
      </c>
      <c r="EF373" s="5" t="e">
        <f t="shared" si="85"/>
        <v>#VALUE!</v>
      </c>
      <c r="EO373" s="15"/>
      <c r="ES373">
        <f t="shared" si="125"/>
        <v>181.24799999999999</v>
      </c>
      <c r="ET373" s="16" t="e">
        <f>SUMPRODUCT($D271:$D$397,ES$10:ES373)</f>
        <v>#VALUE!</v>
      </c>
      <c r="EW373">
        <f t="shared" si="86"/>
        <v>1996</v>
      </c>
      <c r="EX373" s="5" t="e">
        <f t="shared" si="87"/>
        <v>#VALUE!</v>
      </c>
    </row>
    <row r="374" spans="1:155" x14ac:dyDescent="0.2">
      <c r="A374">
        <f t="shared" si="88"/>
        <v>1997</v>
      </c>
      <c r="C374">
        <f t="shared" si="113"/>
        <v>23</v>
      </c>
      <c r="D374" s="63">
        <f t="shared" si="89"/>
        <v>0.98946711908151352</v>
      </c>
      <c r="E374" s="18">
        <f t="shared" si="90"/>
        <v>1.0106450034724386</v>
      </c>
      <c r="F374">
        <f t="shared" si="114"/>
        <v>1997</v>
      </c>
      <c r="G374" s="19">
        <f>Dodge_to_CBECS!C94</f>
        <v>304.03830627936782</v>
      </c>
      <c r="H374" s="19">
        <f>Dodge_to_CBECS!D94</f>
        <v>208.14812473302004</v>
      </c>
      <c r="I374" s="19">
        <f>Dodge_to_CBECS!E94</f>
        <v>28.620367150790255</v>
      </c>
      <c r="J374" s="19">
        <f>Dodge_to_CBECS!F94</f>
        <v>23.416664032464755</v>
      </c>
      <c r="K374" s="19">
        <f>Dodge_to_CBECS!G94</f>
        <v>220.51220632208455</v>
      </c>
      <c r="L374" s="19">
        <f>Dodge_to_CBECS!H94</f>
        <v>163.19999999999999</v>
      </c>
      <c r="M374" s="19">
        <f>Dodge_to_CBECS!I94</f>
        <v>66.75</v>
      </c>
      <c r="N374" s="19">
        <f>Dodge_to_CBECS!J94</f>
        <v>98.582763776164029</v>
      </c>
      <c r="O374" s="19">
        <f>Dodge_to_CBECS!K94</f>
        <v>42</v>
      </c>
      <c r="P374" s="19">
        <f>Dodge_to_CBECS!L94</f>
        <v>90.7</v>
      </c>
      <c r="Q374" s="19">
        <f>Dodge_to_CBECS!M94</f>
        <v>104.0315677061085</v>
      </c>
      <c r="T374">
        <f t="shared" si="91"/>
        <v>1350</v>
      </c>
      <c r="U374">
        <f t="shared" si="116"/>
        <v>1225.8</v>
      </c>
      <c r="X374" s="23">
        <f t="shared" si="119"/>
        <v>1.2568608232338658</v>
      </c>
      <c r="Y374" s="23">
        <v>1.2</v>
      </c>
      <c r="Z374">
        <v>1.18</v>
      </c>
      <c r="AA374">
        <f t="shared" si="120"/>
        <v>1.2</v>
      </c>
      <c r="AB374">
        <f t="shared" si="92"/>
        <v>1997</v>
      </c>
      <c r="AC374">
        <f t="shared" si="121"/>
        <v>1620</v>
      </c>
      <c r="AD374">
        <f t="shared" si="122"/>
        <v>1470.9599999999998</v>
      </c>
      <c r="AH374">
        <f t="shared" si="117"/>
        <v>1552.4999999999998</v>
      </c>
      <c r="AI374">
        <f t="shared" si="95"/>
        <v>69183.239566712349</v>
      </c>
      <c r="AL374" s="87">
        <f t="shared" si="118"/>
        <v>1470.9599999999998</v>
      </c>
      <c r="AM374" s="87">
        <f t="shared" si="96"/>
        <v>69518.180139864577</v>
      </c>
      <c r="AN374" s="37" t="s">
        <v>322</v>
      </c>
      <c r="AO374" s="19">
        <f t="shared" si="97"/>
        <v>-466.9368767302592</v>
      </c>
      <c r="AP374" s="23">
        <f t="shared" si="98"/>
        <v>6.7167592101925353E-3</v>
      </c>
      <c r="AQ374" s="23"/>
      <c r="AR374" s="23"/>
      <c r="AS374" s="23"/>
      <c r="AT374" s="93">
        <f t="shared" si="100"/>
        <v>69518.180139864577</v>
      </c>
      <c r="AU374" s="87"/>
      <c r="AV374" s="87"/>
      <c r="AW374" s="35"/>
      <c r="AX374">
        <v>1350</v>
      </c>
      <c r="AZ374">
        <v>1997</v>
      </c>
      <c r="BA374">
        <v>1783.3511892449521</v>
      </c>
      <c r="BB374">
        <v>70196.855699810869</v>
      </c>
      <c r="BE374">
        <v>1552.5</v>
      </c>
      <c r="BF374">
        <v>68802.733206637218</v>
      </c>
      <c r="BI374">
        <v>1728</v>
      </c>
      <c r="BJ374">
        <v>69862.586952040132</v>
      </c>
      <c r="BL374">
        <v>-516.64776548331429</v>
      </c>
      <c r="BM374">
        <v>7.3951994625962971E-3</v>
      </c>
      <c r="BZ374">
        <f t="shared" si="79"/>
        <v>1997</v>
      </c>
      <c r="CA374" s="5">
        <f t="shared" si="83"/>
        <v>69.518180139864583</v>
      </c>
      <c r="CB374" s="5">
        <v>69.180705681428407</v>
      </c>
      <c r="CF374" s="70" t="e">
        <f>#REF!*0.001</f>
        <v>#REF!</v>
      </c>
      <c r="CG374" t="e">
        <f t="shared" si="101"/>
        <v>#REF!</v>
      </c>
      <c r="CH374" t="e">
        <f t="shared" si="123"/>
        <v>#REF!</v>
      </c>
      <c r="CK374">
        <f t="shared" si="110"/>
        <v>13.530764817165618</v>
      </c>
      <c r="CL374">
        <f t="shared" si="115"/>
        <v>12</v>
      </c>
      <c r="CQ374">
        <f>[1]Summary_adjust!N19</f>
        <v>921.08073949714117</v>
      </c>
      <c r="CR374">
        <f t="shared" si="111"/>
        <v>1997</v>
      </c>
      <c r="CS374">
        <f t="shared" si="112"/>
        <v>13.589225040922976</v>
      </c>
      <c r="DC374" t="e">
        <f t="shared" si="102"/>
        <v>#REF!</v>
      </c>
      <c r="DD374">
        <v>928633</v>
      </c>
      <c r="DE374">
        <f>80/3.412*1000</f>
        <v>23446.658851113716</v>
      </c>
      <c r="DF374">
        <f t="shared" si="126"/>
        <v>905186.34114888625</v>
      </c>
      <c r="DH374">
        <f t="shared" si="104"/>
        <v>1997</v>
      </c>
      <c r="DI374" t="e">
        <f t="shared" si="105"/>
        <v>#REF!</v>
      </c>
      <c r="DJ374">
        <f t="shared" si="106"/>
        <v>13.358131615811439</v>
      </c>
      <c r="DK374">
        <f t="shared" si="127"/>
        <v>13.020857843627802</v>
      </c>
      <c r="DP374">
        <f t="shared" si="107"/>
        <v>1997</v>
      </c>
      <c r="DQ374" s="71" t="e">
        <f t="shared" si="108"/>
        <v>#REF!</v>
      </c>
      <c r="DR374" s="71">
        <f t="shared" si="109"/>
        <v>3168.4957960000002</v>
      </c>
      <c r="DW374" s="57"/>
      <c r="EA374">
        <f t="shared" si="124"/>
        <v>266.42959965826566</v>
      </c>
      <c r="EB374" s="16" t="e">
        <f>SUMPRODUCT($D270:$D$397,EA$10:EA374)</f>
        <v>#VALUE!</v>
      </c>
      <c r="EC374" s="37" t="s">
        <v>322</v>
      </c>
      <c r="EE374">
        <f t="shared" si="84"/>
        <v>1997</v>
      </c>
      <c r="EF374" s="5" t="e">
        <f t="shared" si="85"/>
        <v>#VALUE!</v>
      </c>
      <c r="EO374" s="15"/>
      <c r="ES374">
        <f t="shared" si="125"/>
        <v>208.89599999999999</v>
      </c>
      <c r="ET374" s="16" t="e">
        <f>SUMPRODUCT($D270:$D$397,ES$10:ES374)</f>
        <v>#VALUE!</v>
      </c>
      <c r="EW374">
        <f t="shared" si="86"/>
        <v>1997</v>
      </c>
      <c r="EX374" s="5" t="e">
        <f t="shared" si="87"/>
        <v>#VALUE!</v>
      </c>
    </row>
    <row r="375" spans="1:155" x14ac:dyDescent="0.2">
      <c r="A375">
        <f t="shared" ref="A375:A397" si="128">F375</f>
        <v>1998</v>
      </c>
      <c r="C375">
        <f t="shared" si="113"/>
        <v>22</v>
      </c>
      <c r="D375" s="63">
        <f t="shared" ref="D375:D390" si="129">PRODUCT(1/(1+(C375/$C$4)^$C$3))</f>
        <v>0.9911376234442244</v>
      </c>
      <c r="E375" s="18">
        <f t="shared" ref="E375:E390" si="130">1/D375</f>
        <v>1.0089416205642348</v>
      </c>
      <c r="F375">
        <f t="shared" si="114"/>
        <v>1998</v>
      </c>
      <c r="G375" s="19">
        <f>Dodge_to_CBECS!C95</f>
        <v>389.13696497223413</v>
      </c>
      <c r="H375" s="19">
        <f>Dodge_to_CBECS!D95</f>
        <v>269.49704570696281</v>
      </c>
      <c r="I375" s="19">
        <f>Dodge_to_CBECS!E95</f>
        <v>37.055843784707385</v>
      </c>
      <c r="J375" s="19">
        <f>Dodge_to_CBECS!F95</f>
        <v>30.318417642033314</v>
      </c>
      <c r="K375" s="19">
        <f>Dodge_to_CBECS!G95</f>
        <v>285.50527765912</v>
      </c>
      <c r="L375" s="19">
        <f>Dodge_to_CBECS!H95</f>
        <v>175.2</v>
      </c>
      <c r="M375" s="19">
        <f>Dodge_to_CBECS!I95</f>
        <v>72</v>
      </c>
      <c r="N375" s="19">
        <f>Dodge_to_CBECS!J95</f>
        <v>122.83084152071764</v>
      </c>
      <c r="O375" s="19">
        <f>Dodge_to_CBECS!K95</f>
        <v>47</v>
      </c>
      <c r="P375" s="19">
        <f>Dodge_to_CBECS!L95</f>
        <v>99.350000000000009</v>
      </c>
      <c r="Q375" s="19">
        <f>Dodge_to_CBECS!M95</f>
        <v>102.10560871422469</v>
      </c>
      <c r="T375">
        <f t="shared" ref="T375:T394" si="131">SUM(G375:Q375)</f>
        <v>1630</v>
      </c>
      <c r="U375">
        <f t="shared" si="116"/>
        <v>1462</v>
      </c>
      <c r="X375" s="23">
        <f t="shared" si="119"/>
        <v>1.2568608232338658</v>
      </c>
      <c r="Y375" s="23">
        <v>1.2</v>
      </c>
      <c r="Z375">
        <v>1.17</v>
      </c>
      <c r="AA375">
        <f t="shared" si="120"/>
        <v>1.2</v>
      </c>
      <c r="AB375">
        <f t="shared" ref="AB375:AB397" si="132">F375</f>
        <v>1998</v>
      </c>
      <c r="AC375">
        <f t="shared" si="121"/>
        <v>1956</v>
      </c>
      <c r="AD375">
        <f t="shared" si="122"/>
        <v>1754.3999999999999</v>
      </c>
      <c r="AH375">
        <f t="shared" si="117"/>
        <v>1874.4999999999998</v>
      </c>
      <c r="AI375">
        <f t="shared" si="95"/>
        <v>70581.871432116284</v>
      </c>
      <c r="AL375" s="87">
        <f t="shared" si="118"/>
        <v>1754.3999999999999</v>
      </c>
      <c r="AM375" s="87">
        <f t="shared" si="96"/>
        <v>70796.689723326577</v>
      </c>
      <c r="AN375" s="37" t="s">
        <v>323</v>
      </c>
      <c r="AO375" s="19">
        <f t="shared" si="97"/>
        <v>-475.89041653799927</v>
      </c>
      <c r="AP375" s="23">
        <f t="shared" si="98"/>
        <v>6.7219303388022624E-3</v>
      </c>
      <c r="AQ375" s="23"/>
      <c r="AR375" s="23"/>
      <c r="AS375" s="23"/>
      <c r="AT375" s="93">
        <f t="shared" si="100"/>
        <v>70796.689723326577</v>
      </c>
      <c r="AU375" s="89" t="s">
        <v>476</v>
      </c>
      <c r="AV375" s="87"/>
      <c r="AW375" s="35"/>
      <c r="AX375">
        <v>1629</v>
      </c>
      <c r="AZ375">
        <v>1998</v>
      </c>
      <c r="BA375">
        <v>2151.9104350222419</v>
      </c>
      <c r="BB375">
        <v>71820.658582445103</v>
      </c>
      <c r="BE375">
        <v>1873.35</v>
      </c>
      <c r="BF375">
        <v>70154.262924254639</v>
      </c>
      <c r="BI375">
        <v>2085.12</v>
      </c>
      <c r="BJ375">
        <v>71421.106898370417</v>
      </c>
      <c r="BK375" t="s">
        <v>170</v>
      </c>
      <c r="BL375">
        <v>-526.60005366971473</v>
      </c>
      <c r="BM375">
        <v>7.3731712730110309E-3</v>
      </c>
      <c r="BZ375">
        <f t="shared" si="79"/>
        <v>1998</v>
      </c>
      <c r="CA375" s="5">
        <f t="shared" si="83"/>
        <v>70.79668972332658</v>
      </c>
      <c r="CB375" s="5">
        <v>70.579622412509494</v>
      </c>
      <c r="CF375" s="70" t="e">
        <f>#REF!*0.001</f>
        <v>#REF!</v>
      </c>
      <c r="CG375" t="e">
        <f t="shared" si="101"/>
        <v>#REF!</v>
      </c>
      <c r="CH375" t="e">
        <f t="shared" si="123"/>
        <v>#REF!</v>
      </c>
      <c r="CK375">
        <f t="shared" si="110"/>
        <v>13.633599209869715</v>
      </c>
      <c r="CL375">
        <f t="shared" si="115"/>
        <v>13</v>
      </c>
      <c r="CQ375">
        <f>[1]Summary_adjust!N20</f>
        <v>971.36471133854423</v>
      </c>
      <c r="CR375">
        <f t="shared" si="111"/>
        <v>1998</v>
      </c>
      <c r="CS375">
        <f t="shared" si="112"/>
        <v>14.07228929349934</v>
      </c>
      <c r="DC375" t="e">
        <f t="shared" si="102"/>
        <v>#REF!</v>
      </c>
      <c r="DD375">
        <v>979401</v>
      </c>
      <c r="DE375">
        <f>100/3.412*1000</f>
        <v>29308.323563892147</v>
      </c>
      <c r="DF375">
        <f t="shared" si="126"/>
        <v>950092.67643610784</v>
      </c>
      <c r="DH375">
        <f t="shared" si="104"/>
        <v>1998</v>
      </c>
      <c r="DI375" t="e">
        <f t="shared" si="105"/>
        <v>#REF!</v>
      </c>
      <c r="DJ375">
        <f t="shared" si="106"/>
        <v>13.833994270459517</v>
      </c>
      <c r="DK375">
        <f t="shared" si="127"/>
        <v>13.420015542380153</v>
      </c>
      <c r="DP375">
        <f t="shared" si="107"/>
        <v>1998</v>
      </c>
      <c r="DQ375" s="71" t="e">
        <f t="shared" si="108"/>
        <v>#REF!</v>
      </c>
      <c r="DR375" s="71">
        <f t="shared" si="109"/>
        <v>3341.7162120000003</v>
      </c>
      <c r="DS375" s="71"/>
      <c r="DW375" s="57"/>
      <c r="EA375">
        <f t="shared" si="124"/>
        <v>344.95621850491239</v>
      </c>
      <c r="EB375" s="16" t="e">
        <f>SUMPRODUCT($D269:$D$397,EA$10:EA375)</f>
        <v>#VALUE!</v>
      </c>
      <c r="EC375" s="37" t="s">
        <v>323</v>
      </c>
      <c r="EE375">
        <f t="shared" si="84"/>
        <v>1998</v>
      </c>
      <c r="EF375" s="5" t="e">
        <f t="shared" si="85"/>
        <v>#VALUE!</v>
      </c>
      <c r="EO375" s="15"/>
      <c r="ES375">
        <f t="shared" si="125"/>
        <v>224.256</v>
      </c>
      <c r="ET375" s="16" t="e">
        <f>SUMPRODUCT($D269:$D$397,ES$10:ES375)</f>
        <v>#VALUE!</v>
      </c>
      <c r="EW375">
        <f t="shared" si="86"/>
        <v>1998</v>
      </c>
      <c r="EX375" s="5" t="e">
        <f t="shared" si="87"/>
        <v>#VALUE!</v>
      </c>
    </row>
    <row r="376" spans="1:155" x14ac:dyDescent="0.2">
      <c r="A376">
        <f t="shared" si="128"/>
        <v>1999</v>
      </c>
      <c r="C376">
        <f t="shared" si="113"/>
        <v>21</v>
      </c>
      <c r="D376" s="63">
        <f t="shared" si="129"/>
        <v>0.99260497636709277</v>
      </c>
      <c r="E376" s="18">
        <f t="shared" si="130"/>
        <v>1.0074501174273505</v>
      </c>
      <c r="F376">
        <f t="shared" si="114"/>
        <v>1999</v>
      </c>
      <c r="G376" s="19">
        <f>Dodge_to_CBECS!C96</f>
        <v>395.99089064502357</v>
      </c>
      <c r="H376" s="19">
        <f>Dodge_to_CBECS!D96</f>
        <v>271.4446304997864</v>
      </c>
      <c r="I376" s="19">
        <f>Dodge_to_CBECS!E96</f>
        <v>37.32363669372063</v>
      </c>
      <c r="J376" s="19">
        <f>Dodge_to_CBECS!F96</f>
        <v>30.53752093122597</v>
      </c>
      <c r="K376" s="19">
        <f>Dodge_to_CBECS!G96</f>
        <v>287.56854976505764</v>
      </c>
      <c r="L376" s="19">
        <f>Dodge_to_CBECS!H96</f>
        <v>208.79999999999998</v>
      </c>
      <c r="M376" s="19">
        <f>Dodge_to_CBECS!I96</f>
        <v>73.5</v>
      </c>
      <c r="N376" s="19">
        <f>Dodge_to_CBECS!J96</f>
        <v>124.04506621102092</v>
      </c>
      <c r="O376" s="19">
        <f>Dodge_to_CBECS!K96</f>
        <v>48</v>
      </c>
      <c r="P376" s="19">
        <f>Dodge_to_CBECS!L96</f>
        <v>103.95</v>
      </c>
      <c r="Q376" s="19">
        <f>Dodge_to_CBECS!M96</f>
        <v>115.83970525416487</v>
      </c>
      <c r="T376">
        <f t="shared" si="131"/>
        <v>1697</v>
      </c>
      <c r="U376">
        <f t="shared" si="116"/>
        <v>1656.8000000000002</v>
      </c>
      <c r="V376">
        <f>SUM(T367:T376)</f>
        <v>11596</v>
      </c>
      <c r="X376" s="23">
        <f t="shared" si="119"/>
        <v>1.2568608232338658</v>
      </c>
      <c r="Y376" s="23">
        <v>1.2</v>
      </c>
      <c r="Z376">
        <v>1.1599999999999999</v>
      </c>
      <c r="AA376">
        <f t="shared" si="120"/>
        <v>1.2</v>
      </c>
      <c r="AB376">
        <f t="shared" si="132"/>
        <v>1999</v>
      </c>
      <c r="AC376">
        <f t="shared" si="121"/>
        <v>2036.3999999999999</v>
      </c>
      <c r="AD376">
        <f t="shared" si="122"/>
        <v>1988.16</v>
      </c>
      <c r="AH376">
        <f t="shared" si="117"/>
        <v>1951.55</v>
      </c>
      <c r="AI376">
        <f>SUMPRODUCT($D$247:$D$397,AH226:AH376)</f>
        <v>72048.330766260362</v>
      </c>
      <c r="AJ376">
        <f>LN(AI376/AI366)/10</f>
        <v>1.313018768364497E-2</v>
      </c>
      <c r="AK376">
        <f>SUM(AL367:AL376)</f>
        <v>13586.88</v>
      </c>
      <c r="AL376" s="87">
        <f t="shared" si="118"/>
        <v>1988.16</v>
      </c>
      <c r="AM376" s="87">
        <f t="shared" ref="AM376:AM382" si="133">SUMPRODUCT($D$247:$D$397,AL226:AL376)</f>
        <v>72299.726123506509</v>
      </c>
      <c r="AN376" s="67">
        <f>LN(AM376/AM366)/10</f>
        <v>1.3478506347347005E-2</v>
      </c>
      <c r="AO376" s="19">
        <f t="shared" si="97"/>
        <v>-485.12359982006842</v>
      </c>
      <c r="AP376" s="23">
        <f t="shared" ref="AP376:AP381" si="134">(-AO376/AM376)</f>
        <v>6.7098954011437428E-3</v>
      </c>
      <c r="AQ376" s="23"/>
      <c r="AR376" s="23"/>
      <c r="AS376" s="23"/>
      <c r="AT376" s="93">
        <f t="shared" si="100"/>
        <v>72299.726123506509</v>
      </c>
      <c r="AU376" s="87">
        <f t="shared" ref="AU376:AU395" si="135">AT376-AT375</f>
        <v>1503.0364001799317</v>
      </c>
      <c r="AV376" s="90">
        <f>AU376/AL376</f>
        <v>0.75599368269149947</v>
      </c>
      <c r="AW376" s="35"/>
      <c r="AX376">
        <v>1704</v>
      </c>
      <c r="AZ376">
        <v>1999</v>
      </c>
      <c r="BA376">
        <v>2250.9855010914061</v>
      </c>
      <c r="BB376">
        <v>73531.730683471877</v>
      </c>
      <c r="BD376">
        <v>1.5168174541060295E-2</v>
      </c>
      <c r="BE376">
        <v>1959.6</v>
      </c>
      <c r="BF376">
        <v>71581.506520012976</v>
      </c>
      <c r="BG376">
        <v>1.248014741502065E-2</v>
      </c>
      <c r="BI376">
        <v>2181.12</v>
      </c>
      <c r="BJ376">
        <v>73064.125439181153</v>
      </c>
      <c r="BK376">
        <v>1.4530220860022161E-2</v>
      </c>
      <c r="BL376">
        <v>-538.10145918926446</v>
      </c>
      <c r="BM376">
        <v>7.3647834139502853E-3</v>
      </c>
      <c r="BZ376">
        <f t="shared" si="79"/>
        <v>1999</v>
      </c>
      <c r="CA376" s="5">
        <f t="shared" si="83"/>
        <v>72.299726123506517</v>
      </c>
      <c r="CB376" s="5">
        <v>72.046414550969502</v>
      </c>
      <c r="CC376" s="34">
        <f>CJ414</f>
        <v>71.496480181304321</v>
      </c>
      <c r="CF376" s="70" t="e">
        <f>#REF!*0.001</f>
        <v>#REF!</v>
      </c>
      <c r="CG376" t="e">
        <f t="shared" si="101"/>
        <v>#REF!</v>
      </c>
      <c r="CH376" t="e">
        <f t="shared" si="123"/>
        <v>#REF!</v>
      </c>
      <c r="CI376" s="73">
        <f>DA412</f>
        <v>13.689814267424223</v>
      </c>
      <c r="CK376">
        <f t="shared" si="110"/>
        <v>13.73643360257384</v>
      </c>
      <c r="CL376">
        <f t="shared" si="115"/>
        <v>14</v>
      </c>
      <c r="CQ376">
        <f>[1]Summary_adjust!N21</f>
        <v>994.92010020383748</v>
      </c>
      <c r="CR376">
        <f t="shared" si="111"/>
        <v>1999</v>
      </c>
      <c r="CS376">
        <f t="shared" si="112"/>
        <v>14.113896783796632</v>
      </c>
      <c r="CT376">
        <f>CI376</f>
        <v>13.689814267424223</v>
      </c>
      <c r="DC376" t="e">
        <f t="shared" si="102"/>
        <v>#REF!</v>
      </c>
      <c r="DD376">
        <v>1001996</v>
      </c>
      <c r="DE376">
        <f>125/3.412*1000</f>
        <v>36635.40445486518</v>
      </c>
      <c r="DF376">
        <f t="shared" si="126"/>
        <v>965360.59554513486</v>
      </c>
      <c r="DH376">
        <f t="shared" si="104"/>
        <v>1999</v>
      </c>
      <c r="DI376" t="e">
        <f t="shared" si="105"/>
        <v>#REF!</v>
      </c>
      <c r="DJ376">
        <f t="shared" si="106"/>
        <v>13.858918335158467</v>
      </c>
      <c r="DK376">
        <f t="shared" si="127"/>
        <v>13.352202661128352</v>
      </c>
      <c r="DL376">
        <f>CI376</f>
        <v>13.689814267424223</v>
      </c>
      <c r="DP376">
        <f t="shared" si="107"/>
        <v>1999</v>
      </c>
      <c r="DQ376" s="71" t="e">
        <f t="shared" si="108"/>
        <v>#REF!</v>
      </c>
      <c r="DR376" s="71">
        <f t="shared" si="109"/>
        <v>3418.810352</v>
      </c>
      <c r="DS376">
        <v>3098</v>
      </c>
      <c r="DT376">
        <f>DJ412</f>
        <v>3261.0590349410204</v>
      </c>
      <c r="DV376" t="e">
        <f>DQ376/DT376</f>
        <v>#REF!</v>
      </c>
      <c r="DW376" s="57"/>
      <c r="EA376">
        <f t="shared" si="124"/>
        <v>347.44912703972659</v>
      </c>
      <c r="EB376" s="16" t="e">
        <f>SUMPRODUCT($D268:$D$397,EA$10:EA376)</f>
        <v>#VALUE!</v>
      </c>
      <c r="EC376" s="67" t="e">
        <f>LN(EB376/EB366)/10</f>
        <v>#VALUE!</v>
      </c>
      <c r="EE376">
        <f t="shared" si="84"/>
        <v>1999</v>
      </c>
      <c r="EF376" s="5" t="e">
        <f t="shared" si="85"/>
        <v>#VALUE!</v>
      </c>
      <c r="EG376">
        <f>10398+3388</f>
        <v>13786</v>
      </c>
      <c r="EO376" s="15"/>
      <c r="ES376">
        <f t="shared" si="125"/>
        <v>267.26400000000001</v>
      </c>
      <c r="ET376" s="16" t="e">
        <f>SUMPRODUCT($D268:$D$397,ES$10:ES376)</f>
        <v>#VALUE!</v>
      </c>
      <c r="EW376">
        <f t="shared" si="86"/>
        <v>1999</v>
      </c>
      <c r="EX376" s="5" t="e">
        <f t="shared" si="87"/>
        <v>#VALUE!</v>
      </c>
      <c r="EY376">
        <v>8651</v>
      </c>
    </row>
    <row r="377" spans="1:155" x14ac:dyDescent="0.2">
      <c r="A377">
        <f t="shared" si="128"/>
        <v>2000</v>
      </c>
      <c r="C377">
        <f t="shared" si="113"/>
        <v>20</v>
      </c>
      <c r="D377" s="63">
        <f t="shared" si="129"/>
        <v>0.99388524951035251</v>
      </c>
      <c r="E377" s="18">
        <f t="shared" si="130"/>
        <v>1.0061523707014064</v>
      </c>
      <c r="F377">
        <f t="shared" si="114"/>
        <v>2000</v>
      </c>
      <c r="G377" s="19">
        <f>Dodge_to_CBECS!C97</f>
        <v>418.75403673643746</v>
      </c>
      <c r="H377" s="19">
        <f>Dodge_to_CBECS!D97</f>
        <v>287.26875694147805</v>
      </c>
      <c r="I377" s="19">
        <f>Dodge_to_CBECS!E97</f>
        <v>39.49945407945323</v>
      </c>
      <c r="J377" s="19">
        <f>Dodge_to_CBECS!F97</f>
        <v>32.317735155916274</v>
      </c>
      <c r="K377" s="19">
        <f>Dodge_to_CBECS!G97</f>
        <v>304.33263562580089</v>
      </c>
      <c r="L377" s="19">
        <f>Dodge_to_CBECS!H97</f>
        <v>218.39999999999998</v>
      </c>
      <c r="M377" s="19">
        <f>Dodge_to_CBECS!I97</f>
        <v>66</v>
      </c>
      <c r="N377" s="19">
        <f>Dodge_to_CBECS!J97</f>
        <v>127.34814181973515</v>
      </c>
      <c r="O377" s="19">
        <f>Dodge_to_CBECS!K97</f>
        <v>49</v>
      </c>
      <c r="P377" s="19">
        <f>Dodge_to_CBECS!L97</f>
        <v>110.55000000000001</v>
      </c>
      <c r="Q377" s="19">
        <f>Dodge_to_CBECS!M97</f>
        <v>103.52923964117898</v>
      </c>
      <c r="T377">
        <f t="shared" si="131"/>
        <v>1757</v>
      </c>
      <c r="U377">
        <f t="shared" si="116"/>
        <v>1721</v>
      </c>
      <c r="X377" s="23">
        <f t="shared" si="119"/>
        <v>1.2568608232338658</v>
      </c>
      <c r="Y377" s="23">
        <v>1.2</v>
      </c>
      <c r="Z377">
        <v>1.1499999999999999</v>
      </c>
      <c r="AA377">
        <f t="shared" si="120"/>
        <v>1.2</v>
      </c>
      <c r="AB377">
        <f t="shared" si="132"/>
        <v>2000</v>
      </c>
      <c r="AC377">
        <f t="shared" si="121"/>
        <v>2108.4</v>
      </c>
      <c r="AD377">
        <f t="shared" si="122"/>
        <v>2065.1999999999998</v>
      </c>
      <c r="AH377">
        <f t="shared" si="117"/>
        <v>2020.55</v>
      </c>
      <c r="AI377">
        <f>SUMPRODUCT($D$247:$D$397,AH227:AH377)</f>
        <v>73574.249881154028</v>
      </c>
      <c r="AL377" s="87">
        <f t="shared" si="118"/>
        <v>2065.1999999999998</v>
      </c>
      <c r="AM377" s="87">
        <f t="shared" si="133"/>
        <v>73870.248903781947</v>
      </c>
      <c r="AO377" s="19">
        <f t="shared" si="97"/>
        <v>-494.67721972456184</v>
      </c>
      <c r="AP377" s="23">
        <f t="shared" si="134"/>
        <v>6.6965690120916292E-3</v>
      </c>
      <c r="AQ377" s="23"/>
      <c r="AR377" s="23"/>
      <c r="AS377" s="23"/>
      <c r="AT377" s="93">
        <f t="shared" si="100"/>
        <v>73870.248903781947</v>
      </c>
      <c r="AU377" s="87">
        <f t="shared" si="135"/>
        <v>1570.522780275438</v>
      </c>
      <c r="AV377" s="90">
        <f t="shared" ref="AV377:AV394" si="136">AU377/AL377</f>
        <v>0.76047006598655731</v>
      </c>
      <c r="AW377" s="35"/>
      <c r="AX377">
        <v>1752</v>
      </c>
      <c r="AZ377">
        <v>2000</v>
      </c>
      <c r="BA377">
        <v>2314.3935433756706</v>
      </c>
      <c r="BB377">
        <v>75293.927650499361</v>
      </c>
      <c r="BE377">
        <v>2014.8</v>
      </c>
      <c r="BF377">
        <v>73053.008180287477</v>
      </c>
      <c r="BI377">
        <v>2242.56</v>
      </c>
      <c r="BJ377">
        <v>74756.622393012542</v>
      </c>
      <c r="BL377">
        <v>-550.06304616861053</v>
      </c>
      <c r="BM377">
        <v>7.3580510804354448E-3</v>
      </c>
      <c r="BZ377">
        <f t="shared" si="79"/>
        <v>2000</v>
      </c>
      <c r="CA377" s="5">
        <f t="shared" si="83"/>
        <v>73.870248903781942</v>
      </c>
      <c r="CB377" s="5">
        <v>73.577348835321203</v>
      </c>
      <c r="CF377" s="70" t="e">
        <f>#REF!*0.001</f>
        <v>#REF!</v>
      </c>
      <c r="CG377" t="e">
        <f t="shared" si="101"/>
        <v>#REF!</v>
      </c>
      <c r="CH377" t="e">
        <f t="shared" si="123"/>
        <v>#REF!</v>
      </c>
      <c r="CK377">
        <f t="shared" si="110"/>
        <v>13.839267995277964</v>
      </c>
      <c r="CL377">
        <f t="shared" si="115"/>
        <v>15</v>
      </c>
      <c r="CN377" t="e">
        <f>LN(CG380/CG370)/10</f>
        <v>#REF!</v>
      </c>
      <c r="CO377" t="e">
        <f>LN(CH380/CH370)/10</f>
        <v>#REF!</v>
      </c>
      <c r="CP377" t="s">
        <v>410</v>
      </c>
      <c r="CQ377">
        <f>[1]Summary_adjust!N22</f>
        <v>1040.081389249433</v>
      </c>
      <c r="CR377">
        <f t="shared" si="111"/>
        <v>2000</v>
      </c>
      <c r="CS377">
        <f t="shared" si="112"/>
        <v>14.44086298137973</v>
      </c>
      <c r="DC377" t="e">
        <f t="shared" si="102"/>
        <v>#REF!</v>
      </c>
      <c r="DD377">
        <v>1055232</v>
      </c>
      <c r="DE377">
        <f>145/3.412*1000</f>
        <v>42497.069167643611</v>
      </c>
      <c r="DF377">
        <f t="shared" si="126"/>
        <v>1012734.9308323564</v>
      </c>
      <c r="DH377">
        <f t="shared" si="104"/>
        <v>2000</v>
      </c>
      <c r="DI377" t="e">
        <f t="shared" si="105"/>
        <v>#REF!</v>
      </c>
      <c r="DJ377">
        <f t="shared" si="106"/>
        <v>14.284939006696311</v>
      </c>
      <c r="DK377">
        <f t="shared" si="127"/>
        <v>13.709645572623856</v>
      </c>
      <c r="DP377">
        <f t="shared" si="107"/>
        <v>2000</v>
      </c>
      <c r="DQ377" s="71" t="e">
        <f t="shared" si="108"/>
        <v>#REF!</v>
      </c>
      <c r="DR377" s="71">
        <f t="shared" si="109"/>
        <v>3600.4515839999999</v>
      </c>
      <c r="DS377" s="71"/>
      <c r="DW377" s="57"/>
      <c r="EA377">
        <f t="shared" si="124"/>
        <v>367.70400888509192</v>
      </c>
      <c r="EB377" s="16" t="e">
        <f>SUMPRODUCT($D267:$D$397,EA$10:EA377)</f>
        <v>#VALUE!</v>
      </c>
      <c r="EE377">
        <f t="shared" si="84"/>
        <v>2000</v>
      </c>
      <c r="EF377" s="5" t="e">
        <f t="shared" si="85"/>
        <v>#VALUE!</v>
      </c>
      <c r="EO377" s="15"/>
      <c r="ES377">
        <f t="shared" si="125"/>
        <v>279.55199999999996</v>
      </c>
      <c r="ET377" s="16" t="e">
        <f>SUMPRODUCT($D267:$D$397,ES$10:ES377)</f>
        <v>#VALUE!</v>
      </c>
      <c r="EW377">
        <f t="shared" si="86"/>
        <v>2000</v>
      </c>
      <c r="EX377" s="5" t="e">
        <f t="shared" si="87"/>
        <v>#VALUE!</v>
      </c>
    </row>
    <row r="378" spans="1:155" x14ac:dyDescent="0.2">
      <c r="A378">
        <f t="shared" si="128"/>
        <v>2001</v>
      </c>
      <c r="C378">
        <f t="shared" si="113"/>
        <v>19</v>
      </c>
      <c r="D378" s="63">
        <f t="shared" si="129"/>
        <v>0.99499414829994903</v>
      </c>
      <c r="E378" s="18">
        <f t="shared" si="130"/>
        <v>1.0050310363217754</v>
      </c>
      <c r="F378">
        <f t="shared" si="114"/>
        <v>2001</v>
      </c>
      <c r="G378" s="19">
        <f>Dodge_to_CBECS!C98</f>
        <v>357.25982058949171</v>
      </c>
      <c r="H378" s="19">
        <f>Dodge_to_CBECS!D98</f>
        <v>240.52672191371209</v>
      </c>
      <c r="I378" s="19">
        <f>Dodge_to_CBECS!E98</f>
        <v>33.07242426313541</v>
      </c>
      <c r="J378" s="19">
        <f>Dodge_to_CBECS!F98</f>
        <v>27.059256215292606</v>
      </c>
      <c r="K378" s="19">
        <f>Dodge_to_CBECS!G98</f>
        <v>254.8141050832977</v>
      </c>
      <c r="L378" s="19">
        <f>Dodge_to_CBECS!H98</f>
        <v>235.99999999999997</v>
      </c>
      <c r="M378" s="19">
        <f>Dodge_to_CBECS!I98</f>
        <v>69</v>
      </c>
      <c r="N378" s="19">
        <f>Dodge_to_CBECS!J98</f>
        <v>111.20674925245621</v>
      </c>
      <c r="O378" s="19">
        <f>Dodge_to_CBECS!K98</f>
        <v>50</v>
      </c>
      <c r="P378" s="19">
        <f>Dodge_to_CBECS!L98</f>
        <v>98.45</v>
      </c>
      <c r="Q378" s="19">
        <f>Dodge_to_CBECS!M98</f>
        <v>99.610922682614259</v>
      </c>
      <c r="T378">
        <f t="shared" si="131"/>
        <v>1577</v>
      </c>
      <c r="U378">
        <f t="shared" si="116"/>
        <v>1685</v>
      </c>
      <c r="X378" s="23">
        <f t="shared" si="119"/>
        <v>1.2568608232338658</v>
      </c>
      <c r="Y378" s="23">
        <v>1.2</v>
      </c>
      <c r="Z378">
        <v>1.1499999999999999</v>
      </c>
      <c r="AA378">
        <f t="shared" si="120"/>
        <v>1.2</v>
      </c>
      <c r="AB378">
        <f t="shared" si="132"/>
        <v>2001</v>
      </c>
      <c r="AC378">
        <f t="shared" si="121"/>
        <v>1892.3999999999999</v>
      </c>
      <c r="AD378">
        <f t="shared" si="122"/>
        <v>2022</v>
      </c>
      <c r="AH378">
        <f t="shared" si="117"/>
        <v>1813.55</v>
      </c>
      <c r="AI378">
        <f>SUMPRODUCT($D$247:$D$397,AH228:AH378)</f>
        <v>74883.347359146894</v>
      </c>
      <c r="AL378" s="87">
        <f t="shared" si="118"/>
        <v>2022</v>
      </c>
      <c r="AM378" s="87">
        <f t="shared" si="133"/>
        <v>75387.733723424317</v>
      </c>
      <c r="AO378" s="19">
        <f t="shared" si="97"/>
        <v>-504.51518035763002</v>
      </c>
      <c r="AP378" s="23">
        <f t="shared" si="134"/>
        <v>6.6922714802457066E-3</v>
      </c>
      <c r="AQ378" s="23"/>
      <c r="AR378" s="23"/>
      <c r="AS378" s="23"/>
      <c r="AT378" s="93">
        <f t="shared" si="100"/>
        <v>75387.733723424317</v>
      </c>
      <c r="AU378" s="87">
        <f t="shared" si="135"/>
        <v>1517.48481964237</v>
      </c>
      <c r="AV378" s="90">
        <f t="shared" si="136"/>
        <v>0.75048705224647383</v>
      </c>
      <c r="AW378" s="35"/>
      <c r="AX378">
        <v>1745.6130428934232</v>
      </c>
      <c r="AZ378">
        <v>2001</v>
      </c>
      <c r="BA378">
        <v>2305.9563674114711</v>
      </c>
      <c r="BB378">
        <v>77035.073853952388</v>
      </c>
      <c r="BE378">
        <v>2007.4549993274366</v>
      </c>
      <c r="BF378">
        <v>74505.945180310082</v>
      </c>
      <c r="BI378">
        <v>2234.3846949035819</v>
      </c>
      <c r="BJ378">
        <v>76428.664676258821</v>
      </c>
      <c r="BL378">
        <v>-562.34241165730282</v>
      </c>
      <c r="BM378">
        <v>7.3577422036523463E-3</v>
      </c>
      <c r="BZ378">
        <f t="shared" si="79"/>
        <v>2001</v>
      </c>
      <c r="CA378" s="5">
        <f t="shared" si="83"/>
        <v>75.387733723424319</v>
      </c>
      <c r="CB378" s="5">
        <v>74.886705401082907</v>
      </c>
      <c r="CF378" s="70" t="e">
        <f>#REF!*0.001</f>
        <v>#REF!</v>
      </c>
      <c r="CG378" t="e">
        <f t="shared" si="101"/>
        <v>#REF!</v>
      </c>
      <c r="CH378" t="e">
        <f t="shared" si="123"/>
        <v>#REF!</v>
      </c>
      <c r="CK378">
        <f t="shared" si="110"/>
        <v>13.942102387982089</v>
      </c>
      <c r="CL378">
        <f t="shared" si="115"/>
        <v>16</v>
      </c>
      <c r="CQ378">
        <f>[1]Summary_adjust!N23</f>
        <v>1066.6973470813246</v>
      </c>
      <c r="CR378">
        <f t="shared" si="111"/>
        <v>2001</v>
      </c>
      <c r="CS378">
        <f t="shared" si="112"/>
        <v>14.512288764678841</v>
      </c>
      <c r="DC378" t="e">
        <f t="shared" si="102"/>
        <v>#REF!</v>
      </c>
      <c r="DD378">
        <v>1088000</v>
      </c>
      <c r="DE378">
        <f>150/3.412*1000</f>
        <v>43962.48534583822</v>
      </c>
      <c r="DF378">
        <f t="shared" si="126"/>
        <v>1044037.5146541618</v>
      </c>
      <c r="DH378">
        <f t="shared" si="104"/>
        <v>2001</v>
      </c>
      <c r="DI378" t="e">
        <f t="shared" si="105"/>
        <v>#REF!</v>
      </c>
      <c r="DJ378">
        <f t="shared" si="106"/>
        <v>14.432056068850082</v>
      </c>
      <c r="DK378">
        <f t="shared" si="127"/>
        <v>13.848904365323301</v>
      </c>
      <c r="DM378" t="e">
        <f>LN(DI378/DI370)/8</f>
        <v>#REF!</v>
      </c>
      <c r="DN378">
        <f>LN(DK378/DJ370)/8</f>
        <v>1.779578026926518E-2</v>
      </c>
      <c r="DP378">
        <f t="shared" si="107"/>
        <v>2001</v>
      </c>
      <c r="DQ378" s="71" t="e">
        <f t="shared" si="108"/>
        <v>#REF!</v>
      </c>
      <c r="DR378" s="71">
        <f t="shared" si="109"/>
        <v>3712.2559999999999</v>
      </c>
      <c r="DS378" s="71"/>
      <c r="DW378" s="57"/>
      <c r="EA378">
        <f t="shared" si="124"/>
        <v>307.87420404955151</v>
      </c>
      <c r="EB378" s="16" t="e">
        <f>SUMPRODUCT($D266:$D$397,EA$10:EA378)</f>
        <v>#VALUE!</v>
      </c>
      <c r="EE378">
        <f t="shared" si="84"/>
        <v>2001</v>
      </c>
      <c r="EF378" s="5" t="e">
        <f t="shared" si="85"/>
        <v>#VALUE!</v>
      </c>
      <c r="EO378" s="15"/>
      <c r="ES378">
        <f t="shared" si="125"/>
        <v>302.08</v>
      </c>
      <c r="ET378" s="16" t="e">
        <f>SUMPRODUCT($D266:$D$397,ES$10:ES378)</f>
        <v>#VALUE!</v>
      </c>
      <c r="EW378">
        <f t="shared" si="86"/>
        <v>2001</v>
      </c>
      <c r="EX378" s="5" t="e">
        <f t="shared" si="87"/>
        <v>#VALUE!</v>
      </c>
    </row>
    <row r="379" spans="1:155" x14ac:dyDescent="0.2">
      <c r="A379">
        <f t="shared" si="128"/>
        <v>2002</v>
      </c>
      <c r="C379">
        <f t="shared" si="113"/>
        <v>18</v>
      </c>
      <c r="D379" s="63">
        <f t="shared" si="129"/>
        <v>0.99594694166920961</v>
      </c>
      <c r="E379" s="18">
        <f t="shared" si="130"/>
        <v>1.0040695524643084</v>
      </c>
      <c r="F379">
        <f t="shared" si="114"/>
        <v>2002</v>
      </c>
      <c r="G379" s="19">
        <f>Dodge_to_CBECS!C99</f>
        <v>296.4099743699274</v>
      </c>
      <c r="H379" s="19">
        <f>Dodge_to_CBECS!D99</f>
        <v>197.19296027338746</v>
      </c>
      <c r="I379" s="19">
        <f>Dodge_to_CBECS!E99</f>
        <v>27.114032037590771</v>
      </c>
      <c r="J379" s="19">
        <f>Dodge_to_CBECS!F99</f>
        <v>22.184208030756086</v>
      </c>
      <c r="K379" s="19">
        <f>Dodge_to_CBECS!G99</f>
        <v>208.90630072618538</v>
      </c>
      <c r="L379" s="19">
        <f>Dodge_to_CBECS!H99</f>
        <v>221.6</v>
      </c>
      <c r="M379" s="19">
        <f>Dodge_to_CBECS!I99</f>
        <v>72.75</v>
      </c>
      <c r="N379" s="19">
        <f>Dodge_to_CBECS!J99</f>
        <v>96.565249893208033</v>
      </c>
      <c r="O379" s="19">
        <f>Dodge_to_CBECS!K99</f>
        <v>52</v>
      </c>
      <c r="P379" s="19">
        <f>Dodge_to_CBECS!L99</f>
        <v>87.449999999999989</v>
      </c>
      <c r="Q379" s="19">
        <f>Dodge_to_CBECS!M99</f>
        <v>87.827274668944909</v>
      </c>
      <c r="T379">
        <f t="shared" si="131"/>
        <v>1370.0000000000002</v>
      </c>
      <c r="U379">
        <f t="shared" si="116"/>
        <v>1494.2</v>
      </c>
      <c r="X379" s="23">
        <f t="shared" si="119"/>
        <v>1.2568608232338658</v>
      </c>
      <c r="Y379" s="23">
        <v>1.2</v>
      </c>
      <c r="Z379">
        <v>1.1499999999999999</v>
      </c>
      <c r="AA379">
        <f t="shared" si="120"/>
        <v>1.2</v>
      </c>
      <c r="AB379">
        <f t="shared" si="132"/>
        <v>2002</v>
      </c>
      <c r="AC379">
        <f t="shared" si="121"/>
        <v>1644.0000000000002</v>
      </c>
      <c r="AD379">
        <f t="shared" si="122"/>
        <v>1793.04</v>
      </c>
      <c r="AI379">
        <f>SUMPRODUCT($D$247:$D$397,AH229:AH379)</f>
        <v>74368.79318950836</v>
      </c>
      <c r="AK379" s="19"/>
      <c r="AL379" s="87">
        <f t="shared" si="118"/>
        <v>1793.04</v>
      </c>
      <c r="AM379" s="87">
        <f t="shared" si="133"/>
        <v>76666.137428142072</v>
      </c>
      <c r="AO379" s="19">
        <f t="shared" ref="AO379:AO386" si="137">AM379-AM378-AL379</f>
        <v>-514.63629528224465</v>
      </c>
      <c r="AP379" s="23">
        <f t="shared" si="134"/>
        <v>6.7126936682391876E-3</v>
      </c>
      <c r="AQ379" s="23"/>
      <c r="AR379" s="23"/>
      <c r="AS379" s="23"/>
      <c r="AT379" s="93">
        <f t="shared" si="100"/>
        <v>76666.137428142072</v>
      </c>
      <c r="AU379" s="87">
        <f t="shared" si="135"/>
        <v>1278.4037047177553</v>
      </c>
      <c r="AV379" s="90">
        <f t="shared" si="136"/>
        <v>0.71298114080988451</v>
      </c>
      <c r="AW379" s="35"/>
      <c r="AX379">
        <v>107.13628909399034</v>
      </c>
      <c r="AZ379">
        <v>2002</v>
      </c>
      <c r="BA379">
        <v>141.52713227189531</v>
      </c>
      <c r="BZ379">
        <f t="shared" si="79"/>
        <v>2002</v>
      </c>
      <c r="CA379" s="5">
        <f t="shared" si="83"/>
        <v>76.666137428142079</v>
      </c>
      <c r="CB379" s="5">
        <v>75.946582656401901</v>
      </c>
      <c r="CF379" s="70" t="e">
        <f>#REF!*0.001</f>
        <v>#REF!</v>
      </c>
      <c r="CG379" t="e">
        <f t="shared" si="101"/>
        <v>#REF!</v>
      </c>
      <c r="CH379" t="e">
        <f t="shared" si="123"/>
        <v>#REF!</v>
      </c>
      <c r="CK379">
        <f t="shared" si="110"/>
        <v>14.044936780686214</v>
      </c>
      <c r="CL379">
        <f t="shared" si="115"/>
        <v>17</v>
      </c>
      <c r="CQ379">
        <f>[1]Summary_adjust!N24</f>
        <v>1084.1605648525533</v>
      </c>
      <c r="CR379">
        <f t="shared" si="111"/>
        <v>2002</v>
      </c>
      <c r="CS379">
        <f t="shared" si="112"/>
        <v>14.503920387761129</v>
      </c>
      <c r="DC379" t="e">
        <f t="shared" si="102"/>
        <v>#REF!</v>
      </c>
      <c r="DD379">
        <v>1105000</v>
      </c>
      <c r="DE379">
        <f>140/3.412*1000</f>
        <v>41031.652989449009</v>
      </c>
      <c r="DF379">
        <f t="shared" si="126"/>
        <v>1063968.347010551</v>
      </c>
      <c r="DH379">
        <f t="shared" si="104"/>
        <v>2002</v>
      </c>
      <c r="DI379" t="e">
        <f t="shared" si="105"/>
        <v>#REF!</v>
      </c>
      <c r="DJ379">
        <f t="shared" si="106"/>
        <v>14.413142973789419</v>
      </c>
      <c r="DK379">
        <f t="shared" si="127"/>
        <v>13.877943805474629</v>
      </c>
      <c r="DP379">
        <f t="shared" si="107"/>
        <v>2002</v>
      </c>
      <c r="DQ379" s="71" t="e">
        <f t="shared" si="108"/>
        <v>#REF!</v>
      </c>
      <c r="DR379" s="71">
        <f t="shared" si="109"/>
        <v>3770.2599999999998</v>
      </c>
      <c r="DS379" s="71"/>
      <c r="DW379" s="57"/>
      <c r="EO379" s="15"/>
    </row>
    <row r="380" spans="1:155" x14ac:dyDescent="0.2">
      <c r="A380">
        <f t="shared" si="128"/>
        <v>2003</v>
      </c>
      <c r="C380">
        <f t="shared" si="113"/>
        <v>17</v>
      </c>
      <c r="D380" s="63">
        <f t="shared" si="129"/>
        <v>0.99675839949385381</v>
      </c>
      <c r="E380" s="18">
        <f t="shared" si="130"/>
        <v>1.0032521426534176</v>
      </c>
      <c r="F380">
        <f t="shared" si="114"/>
        <v>2003</v>
      </c>
      <c r="G380" s="19">
        <f>Dodge_to_CBECS!C100</f>
        <v>290.40212302434861</v>
      </c>
      <c r="H380" s="19">
        <f>Dodge_to_CBECS!D100</f>
        <v>193.2977906877403</v>
      </c>
      <c r="I380" s="19">
        <f>Dodge_to_CBECS!E100</f>
        <v>26.578446219564288</v>
      </c>
      <c r="J380" s="19">
        <f>Dodge_to_CBECS!F100</f>
        <v>21.746001452370781</v>
      </c>
      <c r="K380" s="19">
        <f>Dodge_to_CBECS!G100</f>
        <v>204.77975651431009</v>
      </c>
      <c r="L380" s="19">
        <f>Dodge_to_CBECS!H100</f>
        <v>215.99999999999997</v>
      </c>
      <c r="M380" s="19">
        <f>Dodge_to_CBECS!I100</f>
        <v>69</v>
      </c>
      <c r="N380" s="19">
        <f>Dodge_to_CBECS!J100</f>
        <v>93.886800512601454</v>
      </c>
      <c r="O380" s="19">
        <f>Dodge_to_CBECS!K100</f>
        <v>45</v>
      </c>
      <c r="P380" s="19">
        <f>Dodge_to_CBECS!L100</f>
        <v>83.1</v>
      </c>
      <c r="Q380" s="19">
        <f>Dodge_to_CBECS!M100</f>
        <v>85.20908158906451</v>
      </c>
      <c r="T380">
        <f t="shared" si="131"/>
        <v>1329</v>
      </c>
      <c r="U380">
        <f t="shared" si="116"/>
        <v>1353.6000000000001</v>
      </c>
      <c r="X380" s="23">
        <f t="shared" si="119"/>
        <v>1.2568608232338658</v>
      </c>
      <c r="Y380" s="23">
        <v>1.2</v>
      </c>
      <c r="Z380">
        <v>1.1499999999999999</v>
      </c>
      <c r="AA380">
        <f t="shared" si="120"/>
        <v>1.2</v>
      </c>
      <c r="AB380">
        <f t="shared" si="132"/>
        <v>2003</v>
      </c>
      <c r="AC380">
        <f t="shared" si="121"/>
        <v>1594.8</v>
      </c>
      <c r="AD380">
        <f t="shared" si="122"/>
        <v>1624.3200000000002</v>
      </c>
      <c r="AI380">
        <f>SUMPRODUCT($D$247:$D$397,AH230:AH380)</f>
        <v>73843.919733739749</v>
      </c>
      <c r="AK380" s="19"/>
      <c r="AL380" s="87">
        <f t="shared" si="118"/>
        <v>1624.3200000000002</v>
      </c>
      <c r="AM380" s="87">
        <f t="shared" si="133"/>
        <v>77765.478809122593</v>
      </c>
      <c r="AO380" s="19">
        <f t="shared" si="137"/>
        <v>-524.97861901947954</v>
      </c>
      <c r="AP380" s="23">
        <f t="shared" si="134"/>
        <v>6.7507926017925423E-3</v>
      </c>
      <c r="AQ380" s="23"/>
      <c r="AR380" s="23"/>
      <c r="AS380" s="23"/>
      <c r="AT380" s="93">
        <f t="shared" si="100"/>
        <v>77765.478809122593</v>
      </c>
      <c r="AU380" s="87">
        <f t="shared" si="135"/>
        <v>1099.3413809805206</v>
      </c>
      <c r="AV380" s="90">
        <f t="shared" si="136"/>
        <v>0.67680098809379952</v>
      </c>
      <c r="AW380" s="35"/>
      <c r="AX380">
        <v>0</v>
      </c>
      <c r="AZ380">
        <v>2003</v>
      </c>
      <c r="BA380">
        <v>0</v>
      </c>
      <c r="BY380">
        <f>CA380/CA369</f>
        <v>1.1860183022350528</v>
      </c>
      <c r="BZ380">
        <f t="shared" si="79"/>
        <v>2003</v>
      </c>
      <c r="CA380" s="5">
        <f t="shared" si="83"/>
        <v>77.765478809122598</v>
      </c>
      <c r="CB380" s="5">
        <v>76.931799971321496</v>
      </c>
      <c r="CC380" s="34">
        <f>CJ415</f>
        <v>76.285679062717193</v>
      </c>
      <c r="CF380" s="70" t="e">
        <f>#REF!*0.001</f>
        <v>#REF!</v>
      </c>
      <c r="CG380" t="e">
        <f t="shared" si="101"/>
        <v>#REF!</v>
      </c>
      <c r="CH380" t="e">
        <f t="shared" si="123"/>
        <v>#REF!</v>
      </c>
      <c r="CI380" s="73">
        <f>DA414</f>
        <v>14.749092097872971</v>
      </c>
      <c r="CK380">
        <f t="shared" si="110"/>
        <v>14.147771173390339</v>
      </c>
      <c r="CL380">
        <f t="shared" si="115"/>
        <v>18</v>
      </c>
      <c r="CQ380">
        <f>[1]Summary_adjust!N25</f>
        <v>1087.7998328297374</v>
      </c>
      <c r="CR380">
        <f t="shared" si="111"/>
        <v>2003</v>
      </c>
      <c r="CS380">
        <f t="shared" si="112"/>
        <v>14.346881846816936</v>
      </c>
      <c r="CT380">
        <f>CI380</f>
        <v>14.749092097872971</v>
      </c>
      <c r="DC380" t="e">
        <f t="shared" si="102"/>
        <v>#REF!</v>
      </c>
      <c r="DD380">
        <f>1199718-103000</f>
        <v>1096718</v>
      </c>
      <c r="DE380">
        <f>130/3.412*1000</f>
        <v>38100.82063305979</v>
      </c>
      <c r="DF380">
        <f t="shared" si="126"/>
        <v>1058617.1793669402</v>
      </c>
      <c r="DH380">
        <f t="shared" si="104"/>
        <v>2003</v>
      </c>
      <c r="DI380" t="e">
        <f t="shared" si="105"/>
        <v>#REF!</v>
      </c>
      <c r="DJ380">
        <f t="shared" si="106"/>
        <v>14.102890084325502</v>
      </c>
      <c r="DK380">
        <f t="shared" si="127"/>
        <v>13.612944915639801</v>
      </c>
      <c r="DL380">
        <f>DB413</f>
        <v>13.83915</v>
      </c>
      <c r="DP380">
        <f t="shared" si="107"/>
        <v>2003</v>
      </c>
      <c r="DQ380" s="71" t="e">
        <f t="shared" si="108"/>
        <v>#REF!</v>
      </c>
      <c r="DR380" s="71">
        <f t="shared" si="109"/>
        <v>3742.001816</v>
      </c>
      <c r="DS380">
        <f>3037/(1-0.097)</f>
        <v>3363.2336655592467</v>
      </c>
      <c r="DT380">
        <f>DJ413</f>
        <v>3566.2160629104628</v>
      </c>
      <c r="DV380" t="e">
        <f>DQ380/DT380</f>
        <v>#REF!</v>
      </c>
      <c r="DW380" s="57"/>
      <c r="DY380" s="39"/>
      <c r="DZ380" s="40"/>
      <c r="EA380" s="40"/>
      <c r="EB380" s="40"/>
      <c r="EC380" s="40"/>
      <c r="ED380" s="40"/>
      <c r="EE380" s="41"/>
      <c r="EO380" s="15"/>
      <c r="EQ380" s="39"/>
      <c r="ER380" s="40"/>
      <c r="ES380" s="40"/>
      <c r="ET380" s="40"/>
      <c r="EU380" s="40"/>
      <c r="EV380" s="40"/>
      <c r="EW380" s="41"/>
    </row>
    <row r="381" spans="1:155" x14ac:dyDescent="0.2">
      <c r="A381">
        <f t="shared" si="128"/>
        <v>2004</v>
      </c>
      <c r="C381">
        <f t="shared" si="113"/>
        <v>16</v>
      </c>
      <c r="D381" s="63">
        <f t="shared" si="129"/>
        <v>0.99744273730685318</v>
      </c>
      <c r="E381" s="18">
        <f t="shared" si="130"/>
        <v>1.0025638190519603</v>
      </c>
      <c r="F381">
        <f t="shared" si="114"/>
        <v>2004</v>
      </c>
      <c r="G381" s="19">
        <f>Dodge_to_CBECS!C101</f>
        <v>313.37312046134139</v>
      </c>
      <c r="H381" s="19">
        <f>Dodge_to_CBECS!D101</f>
        <v>213.01708671507902</v>
      </c>
      <c r="I381" s="19">
        <f>Dodge_to_CBECS!E101</f>
        <v>29.289849423323361</v>
      </c>
      <c r="J381" s="19">
        <f>Dodge_to_CBECS!F101</f>
        <v>23.964422255446387</v>
      </c>
      <c r="K381" s="19">
        <f>Dodge_to_CBECS!G101</f>
        <v>225.67038658692866</v>
      </c>
      <c r="L381" s="19">
        <f>Dodge_to_CBECS!H101</f>
        <v>184.79999999999998</v>
      </c>
      <c r="M381" s="19">
        <f>Dodge_to_CBECS!I101</f>
        <v>70.5</v>
      </c>
      <c r="N381" s="19">
        <f>Dodge_to_CBECS!J101</f>
        <v>101.61832550192226</v>
      </c>
      <c r="O381" s="19">
        <f>Dodge_to_CBECS!K101</f>
        <v>43</v>
      </c>
      <c r="P381" s="19">
        <f>Dodge_to_CBECS!L101</f>
        <v>82.25</v>
      </c>
      <c r="Q381" s="19">
        <f>Dodge_to_CBECS!M101</f>
        <v>84.516809055958987</v>
      </c>
      <c r="T381">
        <f t="shared" si="131"/>
        <v>1372</v>
      </c>
      <c r="U381">
        <f t="shared" si="116"/>
        <v>1346.2</v>
      </c>
      <c r="X381" s="23">
        <f t="shared" si="119"/>
        <v>1.2568608232338658</v>
      </c>
      <c r="Y381" s="23">
        <v>1.2</v>
      </c>
      <c r="Z381">
        <v>1.1499999999999999</v>
      </c>
      <c r="AA381">
        <f t="shared" si="120"/>
        <v>1.2</v>
      </c>
      <c r="AB381">
        <f t="shared" si="132"/>
        <v>2004</v>
      </c>
      <c r="AC381">
        <f t="shared" si="121"/>
        <v>1646.3999999999999</v>
      </c>
      <c r="AD381">
        <f t="shared" si="122"/>
        <v>1615.44</v>
      </c>
      <c r="AK381" s="19"/>
      <c r="AL381" s="87">
        <f t="shared" si="118"/>
        <v>1615.44</v>
      </c>
      <c r="AM381" s="87">
        <f t="shared" si="133"/>
        <v>78845.410774692748</v>
      </c>
      <c r="AO381" s="19">
        <f t="shared" si="137"/>
        <v>-535.50803442984534</v>
      </c>
      <c r="AP381" s="23">
        <f t="shared" si="134"/>
        <v>6.7918732259522833E-3</v>
      </c>
      <c r="AQ381" s="85" t="s">
        <v>475</v>
      </c>
      <c r="AS381" s="23"/>
      <c r="AT381" s="93">
        <f t="shared" si="100"/>
        <v>78845.410774692748</v>
      </c>
      <c r="AU381" s="87">
        <f t="shared" si="135"/>
        <v>1079.9319655701547</v>
      </c>
      <c r="AV381" s="90">
        <f t="shared" si="136"/>
        <v>0.66850639180047211</v>
      </c>
      <c r="AW381" s="35"/>
      <c r="AX381">
        <v>0</v>
      </c>
      <c r="AZ381">
        <v>2004</v>
      </c>
      <c r="BA381">
        <v>0</v>
      </c>
      <c r="BZ381">
        <v>2004</v>
      </c>
      <c r="CA381" s="5">
        <f t="shared" si="83"/>
        <v>78.845410774692752</v>
      </c>
      <c r="CB381" s="5">
        <v>77.927699105922599</v>
      </c>
      <c r="CF381" s="70" t="e">
        <f>#REF!*0.001</f>
        <v>#REF!</v>
      </c>
      <c r="CG381" t="e">
        <f t="shared" si="101"/>
        <v>#REF!</v>
      </c>
      <c r="CH381" t="e">
        <f t="shared" si="123"/>
        <v>#REF!</v>
      </c>
      <c r="CK381">
        <f t="shared" si="110"/>
        <v>14.250605566094436</v>
      </c>
      <c r="CL381">
        <f t="shared" si="115"/>
        <v>19</v>
      </c>
      <c r="CM381" t="e">
        <f>LN(CG381/CG356)/25</f>
        <v>#REF!</v>
      </c>
      <c r="CQ381">
        <f>[1]Summary_adjust!N26</f>
        <v>1120.9276188644394</v>
      </c>
      <c r="CR381">
        <f t="shared" si="111"/>
        <v>2004</v>
      </c>
      <c r="CS381">
        <f t="shared" si="112"/>
        <v>14.581309696854154</v>
      </c>
      <c r="DC381" t="e">
        <f t="shared" si="102"/>
        <v>#REF!</v>
      </c>
      <c r="DD381" t="e">
        <f>DC381-103000</f>
        <v>#REF!</v>
      </c>
      <c r="DE381">
        <f>130/3.412*1000</f>
        <v>38100.82063305979</v>
      </c>
      <c r="DF381" t="e">
        <f t="shared" si="126"/>
        <v>#REF!</v>
      </c>
      <c r="DH381">
        <f t="shared" si="104"/>
        <v>2004</v>
      </c>
      <c r="DI381" t="e">
        <f t="shared" si="105"/>
        <v>#REF!</v>
      </c>
      <c r="DJ381" t="e">
        <f t="shared" si="106"/>
        <v>#REF!</v>
      </c>
      <c r="DK381" t="e">
        <f t="shared" si="127"/>
        <v>#REF!</v>
      </c>
      <c r="DP381">
        <f t="shared" si="107"/>
        <v>2004</v>
      </c>
      <c r="DQ381" s="71" t="e">
        <f t="shared" si="108"/>
        <v>#REF!</v>
      </c>
      <c r="DR381" s="71" t="e">
        <f t="shared" si="109"/>
        <v>#REF!</v>
      </c>
      <c r="DS381" s="71"/>
      <c r="DW381" s="57"/>
      <c r="DY381" s="42"/>
      <c r="DZ381" s="43"/>
      <c r="EA381" s="43"/>
      <c r="EB381" s="43"/>
      <c r="EC381" s="43"/>
      <c r="ED381" s="43"/>
      <c r="EE381" s="44"/>
      <c r="EO381" s="15"/>
      <c r="EQ381" s="42"/>
      <c r="ER381" s="43"/>
      <c r="ES381" s="43"/>
      <c r="ET381" s="43"/>
      <c r="EU381" s="43"/>
      <c r="EV381" s="43"/>
      <c r="EW381" s="44"/>
    </row>
    <row r="382" spans="1:155" x14ac:dyDescent="0.2">
      <c r="A382">
        <f t="shared" si="128"/>
        <v>2005</v>
      </c>
      <c r="C382">
        <f t="shared" si="113"/>
        <v>15</v>
      </c>
      <c r="D382" s="63">
        <f t="shared" si="129"/>
        <v>0.99801356781208517</v>
      </c>
      <c r="E382" s="18">
        <f t="shared" si="130"/>
        <v>1.0019903859546415</v>
      </c>
      <c r="F382">
        <f t="shared" si="114"/>
        <v>2005</v>
      </c>
      <c r="G382" s="19">
        <f>Dodge_to_CBECS!C102</f>
        <v>332.12363733447251</v>
      </c>
      <c r="H382" s="19">
        <f>Dodge_to_CBECS!D102</f>
        <v>225.67638786843227</v>
      </c>
      <c r="I382" s="19">
        <f>Dodge_to_CBECS!E102</f>
        <v>31.030503331909436</v>
      </c>
      <c r="J382" s="19">
        <f>Dodge_to_CBECS!F102</f>
        <v>25.388593635198628</v>
      </c>
      <c r="K382" s="19">
        <f>Dodge_to_CBECS!G102</f>
        <v>239.08165527552327</v>
      </c>
      <c r="L382" s="19">
        <f>Dodge_to_CBECS!H102</f>
        <v>196.79999999999998</v>
      </c>
      <c r="M382" s="19">
        <f>Dodge_to_CBECS!I102</f>
        <v>81</v>
      </c>
      <c r="N382" s="19">
        <f>Dodge_to_CBECS!J102</f>
        <v>109.76078598889363</v>
      </c>
      <c r="O382" s="19">
        <f>Dodge_to_CBECS!K102</f>
        <v>37</v>
      </c>
      <c r="P382" s="19">
        <f>Dodge_to_CBECS!L102</f>
        <v>82.2</v>
      </c>
      <c r="Q382" s="19">
        <f>Dodge_to_CBECS!M102</f>
        <v>86.938436565570257</v>
      </c>
      <c r="T382">
        <f t="shared" si="131"/>
        <v>1447</v>
      </c>
      <c r="U382">
        <f t="shared" si="116"/>
        <v>1402</v>
      </c>
      <c r="X382" s="23">
        <f t="shared" si="119"/>
        <v>1.2568608232338658</v>
      </c>
      <c r="Y382" s="23">
        <v>1.2</v>
      </c>
      <c r="Z382">
        <v>1.1499999999999999</v>
      </c>
      <c r="AA382">
        <f t="shared" ref="AA382:AA387" si="138">CHOOSE($AA$364,X382,Y382,Z382)</f>
        <v>1.2</v>
      </c>
      <c r="AB382">
        <f t="shared" si="132"/>
        <v>2005</v>
      </c>
      <c r="AC382">
        <f t="shared" si="121"/>
        <v>1736.3999999999999</v>
      </c>
      <c r="AD382">
        <f t="shared" si="122"/>
        <v>1682.3999999999999</v>
      </c>
      <c r="AK382" s="19"/>
      <c r="AL382" s="87">
        <f t="shared" ref="AL382:AL387" si="139">AD382</f>
        <v>1682.3999999999999</v>
      </c>
      <c r="AM382" s="87">
        <f t="shared" si="133"/>
        <v>79981.502570981233</v>
      </c>
      <c r="AO382" s="19">
        <f t="shared" si="137"/>
        <v>-546.30820371151481</v>
      </c>
      <c r="AP382" s="23">
        <f t="shared" ref="AP382:AP390" si="140">(-AO382/AM382)</f>
        <v>6.8304318642511417E-3</v>
      </c>
      <c r="AQ382" s="88">
        <v>1</v>
      </c>
      <c r="AR382" s="85"/>
      <c r="AS382" s="23"/>
      <c r="AT382" s="93">
        <f t="shared" si="100"/>
        <v>79981.502570981233</v>
      </c>
      <c r="AU382" s="87">
        <f t="shared" si="135"/>
        <v>1136.0917962884851</v>
      </c>
      <c r="AV382" s="90">
        <f t="shared" si="136"/>
        <v>0.67528043050908537</v>
      </c>
      <c r="AW382" s="35"/>
      <c r="AX382">
        <v>0</v>
      </c>
      <c r="AZ382">
        <v>2005</v>
      </c>
      <c r="BA382">
        <v>0</v>
      </c>
      <c r="BZ382">
        <v>2005</v>
      </c>
      <c r="CA382" s="5">
        <f t="shared" si="83"/>
        <v>79.981502570981235</v>
      </c>
      <c r="CB382" s="5">
        <v>78.900000000000006</v>
      </c>
      <c r="CF382" s="70" t="e">
        <f>#REF!*0.001</f>
        <v>#REF!</v>
      </c>
      <c r="CG382" t="e">
        <f t="shared" si="101"/>
        <v>#REF!</v>
      </c>
      <c r="CH382" t="e">
        <f t="shared" si="123"/>
        <v>#REF!</v>
      </c>
      <c r="CK382">
        <f t="shared" si="110"/>
        <v>14.35343995879856</v>
      </c>
      <c r="CL382">
        <f t="shared" si="115"/>
        <v>20</v>
      </c>
      <c r="CQ382">
        <f>[1]Summary_adjust!N27</f>
        <v>1157.6557590930604</v>
      </c>
      <c r="CR382">
        <f t="shared" si="111"/>
        <v>2005</v>
      </c>
      <c r="CS382">
        <f t="shared" si="112"/>
        <v>14.845172970359213</v>
      </c>
      <c r="DC382" t="e">
        <f>CF382/3.412*1000</f>
        <v>#REF!</v>
      </c>
      <c r="DD382" t="e">
        <f>DC382-103000</f>
        <v>#REF!</v>
      </c>
      <c r="DE382">
        <f>130/3.412*1000</f>
        <v>38100.82063305979</v>
      </c>
      <c r="DF382" t="e">
        <f>DD382-DE382</f>
        <v>#REF!</v>
      </c>
      <c r="DH382">
        <f>BZ382</f>
        <v>2005</v>
      </c>
      <c r="DI382" t="e">
        <f>DC382/$CA382*0.001</f>
        <v>#REF!</v>
      </c>
      <c r="DJ382" t="e">
        <f>DD382/$CA382*0.001</f>
        <v>#REF!</v>
      </c>
      <c r="DK382" t="e">
        <f>DF382/CA382*0.001</f>
        <v>#REF!</v>
      </c>
      <c r="DP382">
        <f t="shared" si="107"/>
        <v>2005</v>
      </c>
      <c r="DQ382" s="71" t="e">
        <f t="shared" si="108"/>
        <v>#REF!</v>
      </c>
      <c r="DR382" s="71" t="e">
        <f t="shared" si="109"/>
        <v>#REF!</v>
      </c>
      <c r="DS382" s="71"/>
      <c r="DW382" s="57"/>
      <c r="DY382" s="42"/>
      <c r="DZ382" s="43"/>
      <c r="EA382" s="43"/>
      <c r="EB382" s="43"/>
      <c r="EC382" s="43"/>
      <c r="ED382" s="43"/>
      <c r="EE382" s="44"/>
      <c r="EO382" s="15"/>
      <c r="EQ382" s="42"/>
      <c r="ER382" s="43"/>
      <c r="ES382" s="43"/>
      <c r="ET382" s="43"/>
      <c r="EU382" s="43"/>
      <c r="EV382" s="43"/>
      <c r="EW382" s="44"/>
    </row>
    <row r="383" spans="1:155" x14ac:dyDescent="0.2">
      <c r="A383">
        <f t="shared" si="128"/>
        <v>2006</v>
      </c>
      <c r="C383">
        <f t="shared" si="113"/>
        <v>14</v>
      </c>
      <c r="D383" s="63">
        <f t="shared" si="129"/>
        <v>0.9984838586642506</v>
      </c>
      <c r="E383" s="18">
        <f t="shared" si="130"/>
        <v>1.0015184435107221</v>
      </c>
      <c r="F383">
        <f t="shared" si="114"/>
        <v>2006</v>
      </c>
      <c r="G383" s="19">
        <f>Dodge_to_CBECS!C103</f>
        <v>362.1168197351559</v>
      </c>
      <c r="H383" s="19">
        <f>Dodge_to_CBECS!D103</f>
        <v>247.09982058949169</v>
      </c>
      <c r="I383" s="19">
        <f>Dodge_to_CBECS!E103</f>
        <v>33.976225331055105</v>
      </c>
      <c r="J383" s="19">
        <f>Dodge_to_CBECS!F103</f>
        <v>27.798729816317813</v>
      </c>
      <c r="K383" s="19">
        <f>Dodge_to_CBECS!G103</f>
        <v>261.77764844083725</v>
      </c>
      <c r="L383" s="19">
        <f>Dodge_to_CBECS!H103</f>
        <v>203.2</v>
      </c>
      <c r="M383" s="19">
        <f>Dodge_to_CBECS!I103</f>
        <v>82.5</v>
      </c>
      <c r="N383" s="19">
        <f>Dodge_to_CBECS!J103</f>
        <v>118.11725758222981</v>
      </c>
      <c r="O383" s="19">
        <f>Dodge_to_CBECS!K103</f>
        <v>35</v>
      </c>
      <c r="P383" s="19">
        <f>Dodge_to_CBECS!L103</f>
        <v>89</v>
      </c>
      <c r="Q383" s="19">
        <f>Dodge_to_CBECS!M103</f>
        <v>92.413498504912425</v>
      </c>
      <c r="T383">
        <f t="shared" si="131"/>
        <v>1553</v>
      </c>
      <c r="U383">
        <f t="shared" si="116"/>
        <v>1489.4</v>
      </c>
      <c r="X383" s="23">
        <f t="shared" si="119"/>
        <v>1.2568608232338658</v>
      </c>
      <c r="Y383" s="23">
        <v>1.2</v>
      </c>
      <c r="Z383">
        <v>1.1499999999999999</v>
      </c>
      <c r="AA383">
        <f t="shared" si="138"/>
        <v>1.2</v>
      </c>
      <c r="AB383">
        <f t="shared" si="132"/>
        <v>2006</v>
      </c>
      <c r="AC383">
        <f t="shared" si="121"/>
        <v>1863.6</v>
      </c>
      <c r="AD383">
        <f t="shared" si="122"/>
        <v>1787.28</v>
      </c>
      <c r="AK383" s="19"/>
      <c r="AL383" s="87">
        <f t="shared" si="139"/>
        <v>1787.28</v>
      </c>
      <c r="AM383" s="87">
        <f t="shared" ref="AM383:AM392" si="141">SUMPRODUCT($D$247:$D$397,AL233:AL383)</f>
        <v>81211.409424915444</v>
      </c>
      <c r="AO383" s="19">
        <f t="shared" si="137"/>
        <v>-557.37314606578843</v>
      </c>
      <c r="AP383" s="23">
        <f t="shared" si="140"/>
        <v>6.8632369517131891E-3</v>
      </c>
      <c r="AQ383" s="85" t="s">
        <v>480</v>
      </c>
      <c r="AR383" s="23"/>
      <c r="AS383" s="23"/>
      <c r="AT383" s="93">
        <f t="shared" si="100"/>
        <v>81211.409424915444</v>
      </c>
      <c r="AU383" s="87">
        <f t="shared" si="135"/>
        <v>1229.9068539342115</v>
      </c>
      <c r="AV383" s="90">
        <f t="shared" si="136"/>
        <v>0.68814447312911886</v>
      </c>
      <c r="AW383" s="35"/>
      <c r="AX383">
        <v>0</v>
      </c>
      <c r="AZ383">
        <v>2006</v>
      </c>
      <c r="BA383">
        <v>0</v>
      </c>
      <c r="BZ383">
        <v>2006</v>
      </c>
      <c r="CA383" s="5">
        <f t="shared" si="83"/>
        <v>81.211409424915445</v>
      </c>
      <c r="CB383" s="5">
        <v>78.900000000000006</v>
      </c>
      <c r="CG383" s="74" t="e">
        <f>EXP(LN(CG382/CG362)/20)</f>
        <v>#REF!</v>
      </c>
      <c r="CH383" t="e">
        <f>LN(CH382/CH362)/20</f>
        <v>#REF!</v>
      </c>
      <c r="CM383">
        <f>LN(CK381/CK362)/19</f>
        <v>7.7612752997812291E-3</v>
      </c>
      <c r="DI383" t="e">
        <f>LN(DI381/DI366)/15</f>
        <v>#REF!</v>
      </c>
      <c r="DJ383" t="e">
        <f>LN(DJ381/DJ366)/15</f>
        <v>#REF!</v>
      </c>
      <c r="DW383" s="57"/>
      <c r="DY383" s="42"/>
      <c r="DZ383" s="45" t="s">
        <v>281</v>
      </c>
      <c r="EA383" s="43"/>
      <c r="EB383" s="43"/>
      <c r="EC383" s="43"/>
      <c r="ED383" s="43"/>
      <c r="EE383" s="44"/>
      <c r="EO383" s="15"/>
      <c r="EQ383" s="42"/>
      <c r="ER383" s="45" t="s">
        <v>281</v>
      </c>
      <c r="ES383" s="43"/>
      <c r="ET383" s="43"/>
      <c r="EU383" s="43"/>
      <c r="EV383" s="43"/>
      <c r="EW383" s="44"/>
    </row>
    <row r="384" spans="1:155" x14ac:dyDescent="0.2">
      <c r="A384">
        <f t="shared" si="128"/>
        <v>2007</v>
      </c>
      <c r="C384">
        <f t="shared" si="113"/>
        <v>13</v>
      </c>
      <c r="D384" s="63">
        <f t="shared" si="129"/>
        <v>0.99886589594533581</v>
      </c>
      <c r="E384" s="18">
        <f t="shared" si="130"/>
        <v>1.0011353917070027</v>
      </c>
      <c r="F384">
        <f t="shared" si="114"/>
        <v>2007</v>
      </c>
      <c r="G384" s="19">
        <f>Dodge_to_CBECS!C104</f>
        <v>373.35948526270829</v>
      </c>
      <c r="H384" s="19">
        <f>Dodge_to_CBECS!D104</f>
        <v>255.86395215719779</v>
      </c>
      <c r="I384" s="19">
        <f>Dodge_to_CBECS!E104</f>
        <v>35.18129342161469</v>
      </c>
      <c r="J384" s="19">
        <f>Dodge_to_CBECS!F104</f>
        <v>28.784694617684746</v>
      </c>
      <c r="K384" s="19">
        <f>Dodge_to_CBECS!G104</f>
        <v>271.06237291755656</v>
      </c>
      <c r="L384" s="19">
        <f>Dodge_to_CBECS!H104</f>
        <v>197.6</v>
      </c>
      <c r="M384" s="19">
        <f>Dodge_to_CBECS!I104</f>
        <v>78</v>
      </c>
      <c r="N384" s="19">
        <f>Dodge_to_CBECS!J104</f>
        <v>119.83126868859462</v>
      </c>
      <c r="O384" s="19">
        <f>Dodge_to_CBECS!K104</f>
        <v>31</v>
      </c>
      <c r="P384" s="19">
        <f>Dodge_to_CBECS!L104</f>
        <v>81.050000000000011</v>
      </c>
      <c r="Q384" s="19">
        <f>Dodge_to_CBECS!M104</f>
        <v>105.26693293464331</v>
      </c>
      <c r="T384">
        <f t="shared" si="131"/>
        <v>1577</v>
      </c>
      <c r="U384">
        <f t="shared" si="116"/>
        <v>1562.6</v>
      </c>
      <c r="X384" s="23">
        <f t="shared" si="119"/>
        <v>1.2568608232338658</v>
      </c>
      <c r="Y384" s="23">
        <v>1.2</v>
      </c>
      <c r="Z384">
        <v>1.1499999999999999</v>
      </c>
      <c r="AA384">
        <f t="shared" si="138"/>
        <v>1.2</v>
      </c>
      <c r="AB384">
        <f t="shared" si="132"/>
        <v>2007</v>
      </c>
      <c r="AC384">
        <f t="shared" si="121"/>
        <v>1892.3999999999999</v>
      </c>
      <c r="AD384">
        <f t="shared" si="122"/>
        <v>1875.12</v>
      </c>
      <c r="AG384" t="s">
        <v>469</v>
      </c>
      <c r="AK384" s="19"/>
      <c r="AL384" s="87">
        <f t="shared" si="139"/>
        <v>1875.12</v>
      </c>
      <c r="AM384" s="87">
        <f t="shared" si="141"/>
        <v>82517.823695937244</v>
      </c>
      <c r="AN384" s="37" t="s">
        <v>322</v>
      </c>
      <c r="AO384" s="19">
        <f t="shared" si="137"/>
        <v>-568.70572897819966</v>
      </c>
      <c r="AP384" s="23">
        <f t="shared" si="140"/>
        <v>6.8919138133571476E-3</v>
      </c>
      <c r="AR384" s="23"/>
      <c r="AT384" s="93">
        <f>AM384-AR384</f>
        <v>82517.823695937244</v>
      </c>
      <c r="AU384" s="87">
        <f t="shared" si="135"/>
        <v>1306.4142710218002</v>
      </c>
      <c r="AV384" s="90">
        <f t="shared" si="136"/>
        <v>0.69670968845823222</v>
      </c>
      <c r="AW384" s="35"/>
      <c r="AX384">
        <v>0</v>
      </c>
      <c r="AZ384">
        <v>2007</v>
      </c>
      <c r="BA384">
        <v>0</v>
      </c>
      <c r="BZ384">
        <v>2007</v>
      </c>
      <c r="CA384" s="5">
        <f t="shared" si="83"/>
        <v>82.517823695937253</v>
      </c>
      <c r="CB384" s="5">
        <v>78.900000000000006</v>
      </c>
      <c r="CG384" s="74" t="e">
        <f>(CG382/CG362)^(1/20)</f>
        <v>#REF!</v>
      </c>
      <c r="CM384">
        <f>LN(CK380/CK370)/10</f>
        <v>7.5462969875384669E-3</v>
      </c>
      <c r="CQ384" t="s">
        <v>410</v>
      </c>
      <c r="CS384">
        <f>LN(CS380/CS370)/10</f>
        <v>1.2686499641032942E-2</v>
      </c>
      <c r="DW384" s="57"/>
      <c r="DY384" s="42"/>
      <c r="DZ384" s="43"/>
      <c r="EA384" s="43"/>
      <c r="EB384" s="43" t="s">
        <v>265</v>
      </c>
      <c r="EC384" s="43"/>
      <c r="ED384" s="43"/>
      <c r="EE384" s="44"/>
      <c r="EO384" s="15"/>
      <c r="EQ384" s="42"/>
      <c r="ER384" s="43"/>
      <c r="ES384" s="43"/>
      <c r="ET384" s="43" t="s">
        <v>265</v>
      </c>
      <c r="EU384" s="43"/>
      <c r="EV384" s="43"/>
      <c r="EW384" s="44"/>
    </row>
    <row r="385" spans="1:153" x14ac:dyDescent="0.2">
      <c r="A385">
        <f t="shared" si="128"/>
        <v>2008</v>
      </c>
      <c r="C385">
        <f t="shared" si="113"/>
        <v>12</v>
      </c>
      <c r="D385" s="63">
        <f t="shared" si="129"/>
        <v>0.99917125274301088</v>
      </c>
      <c r="E385" s="18">
        <f t="shared" si="130"/>
        <v>1.000829434648679</v>
      </c>
      <c r="F385">
        <f t="shared" si="114"/>
        <v>2008</v>
      </c>
      <c r="G385" s="19">
        <f>Dodge_to_CBECS!C105</f>
        <v>281.40382742417773</v>
      </c>
      <c r="H385" s="19">
        <f>Dodge_to_CBECS!D105</f>
        <v>187.94193250747546</v>
      </c>
      <c r="I385" s="19">
        <f>Dodge_to_CBECS!E105</f>
        <v>25.842015719777873</v>
      </c>
      <c r="J385" s="19">
        <f>Dodge_to_CBECS!F105</f>
        <v>21.143467407090988</v>
      </c>
      <c r="K385" s="19">
        <f>Dodge_to_CBECS!G105</f>
        <v>199.10575822298162</v>
      </c>
      <c r="L385" s="19">
        <f>Dodge_to_CBECS!H105</f>
        <v>202.39999999999998</v>
      </c>
      <c r="M385" s="19">
        <f>Dodge_to_CBECS!I105</f>
        <v>81.75</v>
      </c>
      <c r="N385" s="19">
        <f>Dodge_to_CBECS!J105</f>
        <v>96.172682614267401</v>
      </c>
      <c r="O385" s="19">
        <f>Dodge_to_CBECS!K105</f>
        <v>28</v>
      </c>
      <c r="P385" s="19">
        <f>Dodge_to_CBECS!L105</f>
        <v>74.45</v>
      </c>
      <c r="Q385" s="19">
        <f>Dodge_to_CBECS!M105</f>
        <v>99.790316104228964</v>
      </c>
      <c r="T385">
        <f t="shared" si="131"/>
        <v>1298</v>
      </c>
      <c r="U385">
        <f t="shared" si="116"/>
        <v>1465.4</v>
      </c>
      <c r="X385" s="23">
        <f t="shared" si="119"/>
        <v>1.2568608232338658</v>
      </c>
      <c r="Y385" s="23">
        <v>1.2</v>
      </c>
      <c r="Z385">
        <v>1.1499999999999999</v>
      </c>
      <c r="AA385">
        <f t="shared" si="138"/>
        <v>1.2</v>
      </c>
      <c r="AB385">
        <f t="shared" si="132"/>
        <v>2008</v>
      </c>
      <c r="AC385">
        <f t="shared" si="121"/>
        <v>1557.6</v>
      </c>
      <c r="AD385">
        <f t="shared" si="122"/>
        <v>1758.48</v>
      </c>
      <c r="AG385" t="s">
        <v>470</v>
      </c>
      <c r="AH385" t="s">
        <v>250</v>
      </c>
      <c r="AJ385" t="s">
        <v>462</v>
      </c>
      <c r="AK385" s="19" t="s">
        <v>463</v>
      </c>
      <c r="AL385" s="87">
        <f t="shared" si="139"/>
        <v>1758.48</v>
      </c>
      <c r="AM385" s="87">
        <f t="shared" si="141"/>
        <v>83695.975468329925</v>
      </c>
      <c r="AN385" s="37" t="s">
        <v>456</v>
      </c>
      <c r="AO385" s="19">
        <f t="shared" si="137"/>
        <v>-580.32822760731915</v>
      </c>
      <c r="AP385" s="23">
        <f t="shared" si="140"/>
        <v>6.9337650270521311E-3</v>
      </c>
      <c r="AQ385" s="85" t="s">
        <v>461</v>
      </c>
      <c r="AR385" s="23"/>
      <c r="AS385" s="23" t="s">
        <v>464</v>
      </c>
      <c r="AT385" s="93">
        <f>AM385-AR385</f>
        <v>83695.975468329925</v>
      </c>
      <c r="AU385" s="87">
        <f t="shared" si="135"/>
        <v>1178.1517723926809</v>
      </c>
      <c r="AV385" s="90">
        <f t="shared" si="136"/>
        <v>0.66998303784670898</v>
      </c>
      <c r="AW385" s="35"/>
      <c r="AX385">
        <v>0</v>
      </c>
      <c r="AZ385">
        <v>2008</v>
      </c>
      <c r="BA385">
        <v>0</v>
      </c>
      <c r="BZ385">
        <v>2008</v>
      </c>
      <c r="CA385" s="5">
        <f t="shared" si="83"/>
        <v>83.695975468329934</v>
      </c>
      <c r="CB385" s="5">
        <v>78.900000000000006</v>
      </c>
      <c r="CG385" t="e">
        <f>LN(CG382/CG362)/20</f>
        <v>#REF!</v>
      </c>
      <c r="CS385" s="74">
        <f>EXP(LN(CS382/CS362)/20)</f>
        <v>1.0151991190149101</v>
      </c>
      <c r="CT385" t="s">
        <v>436</v>
      </c>
      <c r="DW385" s="57"/>
      <c r="DY385" s="42"/>
      <c r="DZ385" s="43" t="s">
        <v>264</v>
      </c>
      <c r="EA385" s="46" t="s">
        <v>201</v>
      </c>
      <c r="EB385" s="46" t="s">
        <v>266</v>
      </c>
      <c r="EC385" s="43" t="s">
        <v>298</v>
      </c>
      <c r="ED385" s="43" t="s">
        <v>295</v>
      </c>
      <c r="EE385" s="44"/>
      <c r="EO385" s="15"/>
      <c r="EQ385" s="42"/>
      <c r="ER385" s="43" t="s">
        <v>264</v>
      </c>
      <c r="ES385" s="46" t="s">
        <v>201</v>
      </c>
      <c r="ET385" s="46" t="s">
        <v>266</v>
      </c>
      <c r="EU385" s="43" t="s">
        <v>298</v>
      </c>
      <c r="EV385" s="43" t="s">
        <v>295</v>
      </c>
      <c r="EW385" s="44"/>
    </row>
    <row r="386" spans="1:153" x14ac:dyDescent="0.2">
      <c r="A386">
        <f t="shared" si="128"/>
        <v>2009</v>
      </c>
      <c r="C386">
        <f t="shared" si="113"/>
        <v>11</v>
      </c>
      <c r="D386" s="63">
        <f t="shared" si="129"/>
        <v>0.99941076222153036</v>
      </c>
      <c r="E386" s="18">
        <f t="shared" si="130"/>
        <v>1.0005895851843338</v>
      </c>
      <c r="F386">
        <f t="shared" si="114"/>
        <v>2009</v>
      </c>
      <c r="G386" s="19">
        <f>Dodge_to_CBECS!C106</f>
        <v>130.03791542076036</v>
      </c>
      <c r="H386" s="19">
        <f>Dodge_to_CBECS!D106</f>
        <v>80.824768902178562</v>
      </c>
      <c r="I386" s="19">
        <f>Dodge_to_CBECS!E106</f>
        <v>11.113405724049551</v>
      </c>
      <c r="J386" s="19">
        <f>Dodge_to_CBECS!F106</f>
        <v>9.0927865014950857</v>
      </c>
      <c r="K386" s="19">
        <f>Dodge_to_CBECS!G106</f>
        <v>85.625792396411782</v>
      </c>
      <c r="L386" s="19">
        <f>Dodge_to_CBECS!H106</f>
        <v>159.19999999999999</v>
      </c>
      <c r="M386" s="19">
        <f>Dodge_to_CBECS!I106</f>
        <v>51</v>
      </c>
      <c r="N386" s="19">
        <f>Dodge_to_CBECS!J106</f>
        <v>46.640324647586496</v>
      </c>
      <c r="O386" s="19">
        <f>Dodge_to_CBECS!K106</f>
        <v>25</v>
      </c>
      <c r="P386" s="19">
        <f>Dodge_to_CBECS!L106</f>
        <v>54.550000000000004</v>
      </c>
      <c r="Q386" s="19">
        <f>Dodge_to_CBECS!M106</f>
        <v>86.915006407518163</v>
      </c>
      <c r="T386">
        <f t="shared" si="131"/>
        <v>739.99999999999989</v>
      </c>
      <c r="U386" s="5">
        <f t="shared" si="116"/>
        <v>1074.8</v>
      </c>
      <c r="X386" s="23">
        <f t="shared" si="119"/>
        <v>1.2568608232338658</v>
      </c>
      <c r="Y386" s="23">
        <v>1.2</v>
      </c>
      <c r="Z386">
        <v>1.1499999999999999</v>
      </c>
      <c r="AA386">
        <f t="shared" si="138"/>
        <v>1.2</v>
      </c>
      <c r="AB386">
        <f t="shared" si="132"/>
        <v>2009</v>
      </c>
      <c r="AC386">
        <f t="shared" si="121"/>
        <v>887.99999999999989</v>
      </c>
      <c r="AD386">
        <f t="shared" si="122"/>
        <v>1289.76</v>
      </c>
      <c r="AF386" t="s">
        <v>471</v>
      </c>
      <c r="AG386">
        <v>6524</v>
      </c>
      <c r="AH386" s="19">
        <f>SUM(AL381:AL384)</f>
        <v>6960.24</v>
      </c>
      <c r="AJ386" s="18">
        <f>AM386/AM381</f>
        <v>1.0703668619343722</v>
      </c>
      <c r="AK386" s="18">
        <f>AT386/AT381</f>
        <v>1.0726202101775104</v>
      </c>
      <c r="AL386" s="87">
        <f t="shared" si="139"/>
        <v>1289.76</v>
      </c>
      <c r="AM386" s="87">
        <f t="shared" si="141"/>
        <v>84393.514908834419</v>
      </c>
      <c r="AN386" s="67">
        <f>LN(AM386/AM376)/10</f>
        <v>1.5467021997577574E-2</v>
      </c>
      <c r="AO386" s="19">
        <f t="shared" si="137"/>
        <v>-592.22055949550645</v>
      </c>
      <c r="AP386" s="23">
        <f t="shared" si="140"/>
        <v>7.0173704713596668E-3</v>
      </c>
      <c r="AQ386" s="92">
        <f>0.3*$AQ382</f>
        <v>0.3</v>
      </c>
      <c r="AR386" s="23">
        <f>AQ386*AO386</f>
        <v>-177.66616784865192</v>
      </c>
      <c r="AS386" s="23">
        <f>AR386</f>
        <v>-177.66616784865192</v>
      </c>
      <c r="AT386" s="93">
        <f>AM386-AS386</f>
        <v>84571.181076683075</v>
      </c>
      <c r="AU386" s="87">
        <f t="shared" si="135"/>
        <v>875.20560835314973</v>
      </c>
      <c r="AV386" s="90">
        <f t="shared" si="136"/>
        <v>0.67858020744413672</v>
      </c>
      <c r="AW386" s="35"/>
      <c r="AX386">
        <v>0</v>
      </c>
      <c r="AZ386">
        <v>2009</v>
      </c>
      <c r="BA386">
        <v>0</v>
      </c>
      <c r="BZ386">
        <v>2009</v>
      </c>
      <c r="CA386" s="5">
        <f t="shared" si="83"/>
        <v>84.571181076683075</v>
      </c>
      <c r="CB386" s="5">
        <v>78.900000000000006</v>
      </c>
      <c r="CG386" t="e">
        <f>LN(CG382/CG372)/10</f>
        <v>#REF!</v>
      </c>
      <c r="CL386" t="s">
        <v>426</v>
      </c>
      <c r="CM386" t="e">
        <f>EXP(LN(CG382/CG362)/20)</f>
        <v>#REF!</v>
      </c>
      <c r="CS386">
        <f>LN(CS382/CS372)/10</f>
        <v>1.1893022997801744E-2</v>
      </c>
      <c r="DW386" s="57"/>
      <c r="DY386" s="42"/>
      <c r="DZ386" s="43" t="s">
        <v>206</v>
      </c>
      <c r="EA386" s="13" t="e">
        <f>SUMPRODUCT($D278:$D$327,EA$10:EA296)</f>
        <v>#VALUE!</v>
      </c>
      <c r="EB386" s="47" t="e">
        <f>SUMPRODUCT($D268:$D$317,EA$10:EA296)</f>
        <v>#VALUE!</v>
      </c>
      <c r="ED386" s="13">
        <f>818+114</f>
        <v>932</v>
      </c>
      <c r="EE386" s="44"/>
      <c r="EO386" s="15"/>
      <c r="EQ386" s="42"/>
      <c r="ER386" s="43" t="s">
        <v>206</v>
      </c>
      <c r="ES386" s="13" t="e">
        <f>SUMPRODUCT($D278:$D$327,ES$10:ES296)</f>
        <v>#VALUE!</v>
      </c>
      <c r="ET386" s="47" t="e">
        <f>SUMPRODUCT($D268:$D$317,ES$10:ES296)</f>
        <v>#VALUE!</v>
      </c>
      <c r="EV386" s="13">
        <f>L429</f>
        <v>278</v>
      </c>
      <c r="EW386" s="44"/>
    </row>
    <row r="387" spans="1:153" x14ac:dyDescent="0.2">
      <c r="A387">
        <f t="shared" si="128"/>
        <v>2010</v>
      </c>
      <c r="C387">
        <f t="shared" si="113"/>
        <v>10</v>
      </c>
      <c r="D387" s="63">
        <f t="shared" si="129"/>
        <v>0.99959449456848715</v>
      </c>
      <c r="E387" s="18">
        <f t="shared" si="130"/>
        <v>1.0004056699328741</v>
      </c>
      <c r="F387">
        <f t="shared" si="114"/>
        <v>2010</v>
      </c>
      <c r="G387" s="19">
        <f>Dodge_to_CBECS!C107</f>
        <v>110.05565783853055</v>
      </c>
      <c r="H387" s="19">
        <f>Dodge_to_CBECS!D107</f>
        <v>67.922019649722344</v>
      </c>
      <c r="I387" s="19">
        <f>Dodge_to_CBECS!E107</f>
        <v>9.3392777018368207</v>
      </c>
      <c r="J387" s="19">
        <f>Dodge_to_CBECS!F107</f>
        <v>7.6412272105937626</v>
      </c>
      <c r="K387" s="19">
        <f>Dodge_to_CBECS!G107</f>
        <v>71.956614694574967</v>
      </c>
      <c r="L387" s="19">
        <f>Dodge_to_CBECS!H107</f>
        <v>140</v>
      </c>
      <c r="M387" s="19">
        <f>Dodge_to_CBECS!I107</f>
        <v>54.75</v>
      </c>
      <c r="N387" s="19">
        <f>Dodge_to_CBECS!J107</f>
        <v>43.158586074327211</v>
      </c>
      <c r="O387" s="19">
        <f>Dodge_to_CBECS!K107</f>
        <v>15</v>
      </c>
      <c r="P387" s="19">
        <f>Dodge_to_CBECS!L107</f>
        <v>45.95</v>
      </c>
      <c r="Q387" s="19">
        <f>Dodge_to_CBECS!M107</f>
        <v>67.226616830414343</v>
      </c>
      <c r="T387">
        <f t="shared" si="131"/>
        <v>633</v>
      </c>
      <c r="U387" s="5">
        <f t="shared" si="116"/>
        <v>697.19999999999993</v>
      </c>
      <c r="X387" s="23">
        <f t="shared" si="119"/>
        <v>1.2568608232338658</v>
      </c>
      <c r="Y387" s="23">
        <v>1.2</v>
      </c>
      <c r="Z387">
        <v>1.1499999999999999</v>
      </c>
      <c r="AA387">
        <f t="shared" si="138"/>
        <v>1.2</v>
      </c>
      <c r="AB387">
        <f t="shared" si="132"/>
        <v>2010</v>
      </c>
      <c r="AC387">
        <f t="shared" si="121"/>
        <v>759.6</v>
      </c>
      <c r="AD387">
        <f t="shared" si="122"/>
        <v>836.63999999999987</v>
      </c>
      <c r="AF387" t="s">
        <v>472</v>
      </c>
      <c r="AG387">
        <v>5723</v>
      </c>
      <c r="AH387" s="19">
        <f>SUM(AL385:AL389)</f>
        <v>5465.7599999999993</v>
      </c>
      <c r="AJ387" s="19"/>
      <c r="AL387" s="87">
        <f t="shared" si="139"/>
        <v>836.63999999999987</v>
      </c>
      <c r="AM387" s="87">
        <f t="shared" si="141"/>
        <v>84625.813544172197</v>
      </c>
      <c r="AO387" s="19">
        <f>AM387-AM386-AL387</f>
        <v>-604.34136466222162</v>
      </c>
      <c r="AP387" s="23">
        <f t="shared" si="140"/>
        <v>7.1413359511961812E-3</v>
      </c>
      <c r="AQ387" s="92">
        <f>0.4*$AQ$382</f>
        <v>0.4</v>
      </c>
      <c r="AR387" s="23">
        <f>AQ387*AO387</f>
        <v>-241.73654586488865</v>
      </c>
      <c r="AS387" s="23">
        <f>AS386+AR387</f>
        <v>-419.40271371354061</v>
      </c>
      <c r="AT387" s="93">
        <f>AM387-AS387</f>
        <v>85045.216257885739</v>
      </c>
      <c r="AU387" s="87">
        <f t="shared" si="135"/>
        <v>474.03518120266381</v>
      </c>
      <c r="AV387" s="90">
        <f t="shared" si="136"/>
        <v>0.56659397256007826</v>
      </c>
      <c r="AW387" s="35"/>
      <c r="AX387">
        <v>0</v>
      </c>
      <c r="AZ387">
        <v>2010</v>
      </c>
      <c r="BA387">
        <v>0</v>
      </c>
      <c r="BZ387">
        <v>2010</v>
      </c>
      <c r="CA387" s="5">
        <f t="shared" si="83"/>
        <v>85.045216257885741</v>
      </c>
      <c r="CB387" s="5">
        <v>78.900000000000006</v>
      </c>
      <c r="CF387" t="s">
        <v>374</v>
      </c>
      <c r="CG387" t="e">
        <f>LN(CG368/CG361)/7</f>
        <v>#REF!</v>
      </c>
      <c r="CM387">
        <f>EXP(LN(CK382/CK362)/20)</f>
        <v>1.0077626977590197</v>
      </c>
      <c r="CN387" s="76" t="e">
        <f>CM386/CM387</f>
        <v>#REF!</v>
      </c>
      <c r="DW387" s="57"/>
      <c r="DY387" s="42"/>
      <c r="DZ387" s="43" t="s">
        <v>296</v>
      </c>
      <c r="EA387" s="13">
        <f>SUMPRODUCT($D328:$D$353,EA$297:EA322)</f>
        <v>1322.0000000000005</v>
      </c>
      <c r="EB387" s="47">
        <f>SUMPRODUCT($D318:$D$343,EA$297:EA322)</f>
        <v>1065.9985755061577</v>
      </c>
      <c r="ED387" s="13">
        <f>381+629</f>
        <v>1010</v>
      </c>
      <c r="EE387" s="44"/>
      <c r="EO387" s="15"/>
      <c r="EQ387" s="42"/>
      <c r="ER387" s="43" t="s">
        <v>296</v>
      </c>
      <c r="ES387" s="13">
        <f>SUMPRODUCT($D328:$D$353,ES$297:ES322)</f>
        <v>1244.0000000000005</v>
      </c>
      <c r="ET387" s="47">
        <f>SUMPRODUCT($D318:$D$343,ES$297:ES322)</f>
        <v>1005.410451609168</v>
      </c>
      <c r="EV387" s="13">
        <f>L447</f>
        <v>1138</v>
      </c>
      <c r="EW387" s="44"/>
    </row>
    <row r="388" spans="1:153" x14ac:dyDescent="0.2">
      <c r="A388">
        <f t="shared" si="128"/>
        <v>2011</v>
      </c>
      <c r="C388">
        <f t="shared" si="113"/>
        <v>9</v>
      </c>
      <c r="D388" s="63">
        <f t="shared" si="129"/>
        <v>0.99973173719832764</v>
      </c>
      <c r="E388" s="18">
        <f t="shared" si="130"/>
        <v>1.0002683347859138</v>
      </c>
      <c r="F388">
        <f t="shared" si="114"/>
        <v>2011</v>
      </c>
      <c r="G388" s="19">
        <f>Dodge_to_CBECS!C108</f>
        <v>123.51573045706964</v>
      </c>
      <c r="H388" s="19">
        <f>Dodge_to_CBECS!D108</f>
        <v>79.12063220845792</v>
      </c>
      <c r="I388" s="19">
        <f>Dodge_to_CBECS!E108</f>
        <v>10.879086928662963</v>
      </c>
      <c r="J388" s="19">
        <f>Dodge_to_CBECS!F108</f>
        <v>8.9010711234515156</v>
      </c>
      <c r="K388" s="19">
        <f>Dodge_to_CBECS!G108</f>
        <v>83.820429303716352</v>
      </c>
      <c r="L388" s="19">
        <f>Dodge_to_CBECS!H108</f>
        <v>125.6</v>
      </c>
      <c r="M388" s="19">
        <f>Dodge_to_CBECS!I108</f>
        <v>57</v>
      </c>
      <c r="N388" s="19">
        <f>Dodge_to_CBECS!J108</f>
        <v>48.015378043571118</v>
      </c>
      <c r="O388" s="19">
        <f>Dodge_to_CBECS!K108</f>
        <v>14</v>
      </c>
      <c r="P388" s="19">
        <f>Dodge_to_CBECS!L108</f>
        <v>42.65</v>
      </c>
      <c r="Q388" s="19">
        <f>Dodge_to_CBECS!M108</f>
        <v>56.497671935070485</v>
      </c>
      <c r="S388" t="s">
        <v>455</v>
      </c>
      <c r="T388">
        <f t="shared" si="131"/>
        <v>649.99999999999989</v>
      </c>
      <c r="U388" s="5">
        <f t="shared" si="116"/>
        <v>639.79999999999995</v>
      </c>
      <c r="X388" s="23">
        <f t="shared" si="119"/>
        <v>1.2568608232338658</v>
      </c>
      <c r="Y388" s="23">
        <v>1.2</v>
      </c>
      <c r="Z388">
        <v>1.1499999999999999</v>
      </c>
      <c r="AA388">
        <f t="shared" ref="AA388" si="142">CHOOSE($AA$364,X388,Y388,Z388)</f>
        <v>1.2</v>
      </c>
      <c r="AB388">
        <f t="shared" si="132"/>
        <v>2011</v>
      </c>
      <c r="AC388">
        <f t="shared" si="121"/>
        <v>779.99999999999989</v>
      </c>
      <c r="AD388">
        <f t="shared" si="122"/>
        <v>767.75999999999988</v>
      </c>
      <c r="AG388" s="19">
        <f>AG387/AG386</f>
        <v>0.87722256284488043</v>
      </c>
      <c r="AH388" s="19">
        <f>AH387/AH386</f>
        <v>0.78528326609427257</v>
      </c>
      <c r="AJ388" s="19"/>
      <c r="AL388" s="87">
        <f t="shared" ref="AL388" si="143">AD388</f>
        <v>767.75999999999988</v>
      </c>
      <c r="AM388" s="87">
        <f t="shared" si="141"/>
        <v>84776.863775145757</v>
      </c>
      <c r="AO388" s="19">
        <f t="shared" ref="AO388:AO390" si="144">AM388-AM387-AL388</f>
        <v>-616.70976902643963</v>
      </c>
      <c r="AP388" s="23">
        <f t="shared" si="140"/>
        <v>7.2745055851811532E-3</v>
      </c>
      <c r="AQ388" s="92">
        <f>0.4*$AQ$382</f>
        <v>0.4</v>
      </c>
      <c r="AR388" s="23">
        <f>AQ388*AO388</f>
        <v>-246.68390761057586</v>
      </c>
      <c r="AS388" s="23">
        <f>AS387+AR388</f>
        <v>-666.08662132411644</v>
      </c>
      <c r="AT388" s="93">
        <f>AM388-AS388</f>
        <v>85442.950396469867</v>
      </c>
      <c r="AU388" s="87">
        <f t="shared" si="135"/>
        <v>397.73413858412823</v>
      </c>
      <c r="AV388" s="90">
        <f t="shared" si="136"/>
        <v>0.51804488197370047</v>
      </c>
      <c r="AW388" s="35"/>
      <c r="AX388">
        <v>0</v>
      </c>
      <c r="AZ388">
        <v>2011</v>
      </c>
      <c r="BA388">
        <v>0</v>
      </c>
      <c r="BZ388">
        <v>2011</v>
      </c>
      <c r="CA388" s="5">
        <f t="shared" si="83"/>
        <v>85.442950396469868</v>
      </c>
      <c r="CB388" s="5">
        <v>78.900000000000006</v>
      </c>
      <c r="CF388" t="s">
        <v>427</v>
      </c>
      <c r="CG388" t="e">
        <f>LN(CG382/CG370)/12</f>
        <v>#REF!</v>
      </c>
      <c r="CK388">
        <f>LN(CK382/CK362)/19</f>
        <v>8.1397084673039913E-3</v>
      </c>
      <c r="DW388" s="57"/>
      <c r="DY388" s="42"/>
      <c r="DZ388" s="43" t="s">
        <v>151</v>
      </c>
      <c r="EA388" s="13">
        <f>SUMPRODUCT($D354:$D$367,EA$323:EA336)</f>
        <v>1694.0000000000002</v>
      </c>
      <c r="EB388" s="47">
        <f>SUMPRODUCT($D344:$D$357,EA$323:EA336)</f>
        <v>1553.559856197541</v>
      </c>
      <c r="ED388" s="13">
        <f>1384+541</f>
        <v>1925</v>
      </c>
      <c r="EE388" s="44"/>
      <c r="EO388" s="15"/>
      <c r="EQ388" s="42"/>
      <c r="ER388" s="43" t="s">
        <v>151</v>
      </c>
      <c r="ES388" s="13">
        <f>SUMPRODUCT($D354:$D$367,ES$323:ES336)</f>
        <v>2267</v>
      </c>
      <c r="ET388" s="47">
        <f>SUMPRODUCT($D344:$D$357,ES$323:ES336)</f>
        <v>2082.4615243265735</v>
      </c>
      <c r="EV388" s="13">
        <f>L465</f>
        <v>1831</v>
      </c>
      <c r="EW388" s="44"/>
    </row>
    <row r="389" spans="1:153" x14ac:dyDescent="0.2">
      <c r="A389">
        <f t="shared" si="128"/>
        <v>2012</v>
      </c>
      <c r="C389">
        <f t="shared" si="113"/>
        <v>8</v>
      </c>
      <c r="D389" s="63">
        <f t="shared" si="129"/>
        <v>0.99983097759237749</v>
      </c>
      <c r="E389" s="18">
        <f t="shared" si="130"/>
        <v>1.0001690509810264</v>
      </c>
      <c r="F389">
        <f t="shared" si="114"/>
        <v>2012</v>
      </c>
      <c r="G389" s="19">
        <f>Dodge_to_CBECS!C109</f>
        <v>153.59457923964118</v>
      </c>
      <c r="H389" s="19">
        <f>Dodge_to_CBECS!D109</f>
        <v>102.73509782144384</v>
      </c>
      <c r="I389" s="19">
        <f>Dodge_to_CBECS!E109</f>
        <v>14.126075950448527</v>
      </c>
      <c r="J389" s="19">
        <f>Dodge_to_CBECS!F109</f>
        <v>11.55769850491243</v>
      </c>
      <c r="K389" s="19">
        <f>Dodge_to_CBECS!G109</f>
        <v>108.83760358821016</v>
      </c>
      <c r="L389" s="19">
        <f>Dodge_to_CBECS!H109</f>
        <v>108.8</v>
      </c>
      <c r="M389" s="19">
        <f>Dodge_to_CBECS!I109</f>
        <v>54</v>
      </c>
      <c r="N389" s="19">
        <f>Dodge_to_CBECS!J109</f>
        <v>55.675352413498501</v>
      </c>
      <c r="O389" s="19">
        <f>Dodge_to_CBECS!K109</f>
        <v>13</v>
      </c>
      <c r="P389" s="19">
        <f>Dodge_to_CBECS!L109</f>
        <v>41.7</v>
      </c>
      <c r="Q389" s="19">
        <f>Dodge_to_CBECS!M109</f>
        <v>54.973592481845358</v>
      </c>
      <c r="T389">
        <f t="shared" si="131"/>
        <v>719</v>
      </c>
      <c r="U389" s="5">
        <f t="shared" si="116"/>
        <v>677.59999999999991</v>
      </c>
      <c r="X389" s="23">
        <f t="shared" si="119"/>
        <v>1.2568608232338658</v>
      </c>
      <c r="Y389" s="23">
        <v>1.2</v>
      </c>
      <c r="Z389">
        <v>1.1499999999999999</v>
      </c>
      <c r="AA389">
        <f t="shared" ref="AA389:AA397" si="145">CHOOSE($AA$364,X389,Y389,Z389)</f>
        <v>1.2</v>
      </c>
      <c r="AB389">
        <f t="shared" si="132"/>
        <v>2012</v>
      </c>
      <c r="AC389">
        <f t="shared" si="121"/>
        <v>862.8</v>
      </c>
      <c r="AD389">
        <f t="shared" si="122"/>
        <v>813.11999999999989</v>
      </c>
      <c r="AG389">
        <f>AH388*AG386</f>
        <v>5123.1880279990346</v>
      </c>
      <c r="AJ389" s="19"/>
      <c r="AL389" s="87">
        <f t="shared" ref="AL389:AL392" si="146">AD389</f>
        <v>813.11999999999989</v>
      </c>
      <c r="AM389" s="87">
        <f t="shared" si="141"/>
        <v>84960.669235808775</v>
      </c>
      <c r="AO389" s="19">
        <f t="shared" si="144"/>
        <v>-629.31453933698231</v>
      </c>
      <c r="AP389" s="23">
        <f t="shared" si="140"/>
        <v>7.4071278510097014E-3</v>
      </c>
      <c r="AQ389" s="92">
        <f>0.35*$AQ$382</f>
        <v>0.35</v>
      </c>
      <c r="AR389" s="23">
        <f t="shared" ref="AR389:AR392" si="147">AQ389*AO389</f>
        <v>-220.26008876794378</v>
      </c>
      <c r="AS389" s="23">
        <f>AS388+AR389</f>
        <v>-886.34671009206022</v>
      </c>
      <c r="AT389" s="93">
        <f t="shared" ref="AT389:AT392" si="148">AM389-AS389</f>
        <v>85847.015945900828</v>
      </c>
      <c r="AU389" s="87">
        <f t="shared" si="135"/>
        <v>404.06554943096125</v>
      </c>
      <c r="AV389" s="90">
        <f t="shared" si="136"/>
        <v>0.49693224792276824</v>
      </c>
      <c r="AW389" s="35"/>
      <c r="AX389">
        <v>0</v>
      </c>
      <c r="AZ389">
        <v>2012</v>
      </c>
      <c r="BA389">
        <v>0</v>
      </c>
      <c r="BZ389">
        <v>2012</v>
      </c>
      <c r="CA389" s="5">
        <f t="shared" si="83"/>
        <v>85.847015945900836</v>
      </c>
      <c r="CB389" s="5">
        <v>78.900000000000006</v>
      </c>
      <c r="CF389" t="s">
        <v>428</v>
      </c>
      <c r="CG389" t="e">
        <f>LN(CG382/CG361)/20</f>
        <v>#REF!</v>
      </c>
      <c r="DW389" s="57"/>
      <c r="DY389" s="42"/>
      <c r="DZ389" s="43" t="s">
        <v>114</v>
      </c>
      <c r="EA389" s="13">
        <f>SUMPRODUCT($D368:$D$397,EA$337:EA366)</f>
        <v>8407.9999999999982</v>
      </c>
      <c r="EB389" s="47">
        <f>SUMPRODUCT($D358:$D$387,EA$337:EA366)</f>
        <v>8283.1480910242062</v>
      </c>
      <c r="ED389" s="13">
        <f>(1305+1951+2529+608+645+515)</f>
        <v>7553</v>
      </c>
      <c r="EE389" s="44"/>
      <c r="EO389" s="15"/>
      <c r="EQ389" s="42"/>
      <c r="ER389" s="43" t="s">
        <v>114</v>
      </c>
      <c r="ES389" s="13">
        <f>SUMPRODUCT($D368:$D$397,ES$337:ES366)</f>
        <v>4184.9999999999991</v>
      </c>
      <c r="ET389" s="47">
        <f>SUMPRODUCT($D358:$D$387,ES$337:ES366)</f>
        <v>4096.4343248548348</v>
      </c>
      <c r="EV389" s="13">
        <f>L483</f>
        <v>4165</v>
      </c>
      <c r="EW389" s="44"/>
    </row>
    <row r="390" spans="1:153" x14ac:dyDescent="0.2">
      <c r="A390">
        <f t="shared" si="128"/>
        <v>2013</v>
      </c>
      <c r="C390">
        <f t="shared" si="113"/>
        <v>7</v>
      </c>
      <c r="D390" s="63">
        <f t="shared" si="129"/>
        <v>0.99989988815053987</v>
      </c>
      <c r="E390" s="18">
        <f t="shared" si="130"/>
        <v>1.000100121872846</v>
      </c>
      <c r="F390">
        <f t="shared" si="114"/>
        <v>2013</v>
      </c>
      <c r="G390" s="19">
        <f>Dodge_to_CBECS!C110</f>
        <v>190.58127936779155</v>
      </c>
      <c r="H390" s="19">
        <f>Dodge_to_CBECS!D110</f>
        <v>130.24473302007689</v>
      </c>
      <c r="I390" s="19">
        <f>Dodge_to_CBECS!E110</f>
        <v>17.908650790260573</v>
      </c>
      <c r="J390" s="19">
        <f>Dodge_to_CBECS!F110</f>
        <v>14.65253246475865</v>
      </c>
      <c r="K390" s="19">
        <f>Dodge_to_CBECS!G110</f>
        <v>137.98132208457923</v>
      </c>
      <c r="L390" s="19">
        <f>Dodge_to_CBECS!H110</f>
        <v>104.8</v>
      </c>
      <c r="M390" s="19">
        <f>Dodge_to_CBECS!I110</f>
        <v>54.75</v>
      </c>
      <c r="N390" s="19">
        <f>Dodge_to_CBECS!J110</f>
        <v>66.013776164032464</v>
      </c>
      <c r="O390" s="19">
        <f>Dodge_to_CBECS!K110</f>
        <v>11</v>
      </c>
      <c r="P390" s="19">
        <f>Dodge_to_CBECS!L110</f>
        <v>44.45</v>
      </c>
      <c r="Q390" s="19">
        <f>Dodge_to_CBECS!M110</f>
        <v>48.617706108500641</v>
      </c>
      <c r="T390">
        <f t="shared" si="131"/>
        <v>821.00000000000011</v>
      </c>
      <c r="U390" s="5">
        <f t="shared" si="116"/>
        <v>759.80000000000007</v>
      </c>
      <c r="X390" s="23">
        <f t="shared" si="119"/>
        <v>1.2568608232338658</v>
      </c>
      <c r="Y390" s="23">
        <v>1.2</v>
      </c>
      <c r="Z390">
        <v>1.1499999999999999</v>
      </c>
      <c r="AA390">
        <f t="shared" si="145"/>
        <v>1.2</v>
      </c>
      <c r="AB390">
        <f t="shared" si="132"/>
        <v>2013</v>
      </c>
      <c r="AC390">
        <f t="shared" si="121"/>
        <v>985.2</v>
      </c>
      <c r="AD390">
        <f t="shared" si="122"/>
        <v>911.7600000000001</v>
      </c>
      <c r="AJ390" s="19"/>
      <c r="AL390" s="87">
        <f t="shared" si="146"/>
        <v>911.7600000000001</v>
      </c>
      <c r="AM390" s="87">
        <f t="shared" si="141"/>
        <v>85230.340766823618</v>
      </c>
      <c r="AO390" s="19">
        <f t="shared" si="144"/>
        <v>-642.08846898515719</v>
      </c>
      <c r="AP390" s="23">
        <f t="shared" si="140"/>
        <v>7.5335668402618152E-3</v>
      </c>
      <c r="AQ390" s="92">
        <f>0.35*$AQ$382</f>
        <v>0.35</v>
      </c>
      <c r="AR390" s="23">
        <f t="shared" si="147"/>
        <v>-224.730964144805</v>
      </c>
      <c r="AS390" s="23">
        <f t="shared" ref="AS390:AS392" si="149">AS389+AR390</f>
        <v>-1111.0776742368653</v>
      </c>
      <c r="AT390" s="93">
        <f t="shared" si="148"/>
        <v>86341.418441060479</v>
      </c>
      <c r="AU390" s="87">
        <f t="shared" si="135"/>
        <v>494.40249515965115</v>
      </c>
      <c r="AV390" s="90">
        <f t="shared" si="136"/>
        <v>0.54225069663030967</v>
      </c>
      <c r="AW390" s="35"/>
      <c r="AX390">
        <v>0</v>
      </c>
      <c r="AZ390">
        <v>2013</v>
      </c>
      <c r="BA390">
        <v>0</v>
      </c>
      <c r="BZ390">
        <v>2013</v>
      </c>
      <c r="CA390" s="5">
        <f t="shared" si="83"/>
        <v>86.341418441060483</v>
      </c>
      <c r="CB390" s="5">
        <v>78.900000000000006</v>
      </c>
      <c r="DW390" s="57"/>
      <c r="DY390" s="42"/>
      <c r="DZ390" s="50" t="s">
        <v>297</v>
      </c>
      <c r="EA390" s="43" t="e">
        <f>SUM(EA386:EA389)</f>
        <v>#VALUE!</v>
      </c>
      <c r="EB390" s="43"/>
      <c r="ED390" s="43">
        <f>SUM(ED386:ED389)</f>
        <v>11420</v>
      </c>
      <c r="EE390" s="44"/>
      <c r="EO390" s="15"/>
      <c r="EQ390" s="42"/>
      <c r="ER390" s="50" t="s">
        <v>297</v>
      </c>
      <c r="ES390" s="43" t="e">
        <f>SUM(ES386:ES389)</f>
        <v>#VALUE!</v>
      </c>
      <c r="ET390" s="43" t="e">
        <f>SUM(ET386:ET389)</f>
        <v>#VALUE!</v>
      </c>
      <c r="EV390" s="43">
        <f>SUM(EV386:EV389)</f>
        <v>7412</v>
      </c>
      <c r="EW390" s="44"/>
    </row>
    <row r="391" spans="1:153" x14ac:dyDescent="0.2">
      <c r="A391">
        <f t="shared" si="128"/>
        <v>2014</v>
      </c>
      <c r="C391">
        <f t="shared" si="113"/>
        <v>6</v>
      </c>
      <c r="D391" s="63">
        <f t="shared" ref="D391:D397" si="150">PRODUCT(1/(1+(C391/$C$4)^$C$3))</f>
        <v>0.99994531241476103</v>
      </c>
      <c r="E391" s="18">
        <f t="shared" ref="E391:E397" si="151">1/D391</f>
        <v>1.0000546905761345</v>
      </c>
      <c r="F391">
        <f t="shared" si="114"/>
        <v>2014</v>
      </c>
      <c r="G391" s="19">
        <f>Dodge_to_CBECS!C111</f>
        <v>221.90620247757371</v>
      </c>
      <c r="H391" s="19">
        <f>Dodge_to_CBECS!D111</f>
        <v>151.91161384023923</v>
      </c>
      <c r="I391" s="19">
        <f>Dodge_to_CBECS!E111</f>
        <v>20.887846903032891</v>
      </c>
      <c r="J391" s="19">
        <f>Dodge_to_CBECS!F111</f>
        <v>17.090056557026912</v>
      </c>
      <c r="K391" s="19">
        <f>Dodge_to_CBECS!G111</f>
        <v>160.93522426313541</v>
      </c>
      <c r="L391" s="19">
        <f>Dodge_to_CBECS!H111</f>
        <v>119.19999999999999</v>
      </c>
      <c r="M391" s="19">
        <f>Dodge_to_CBECS!I111</f>
        <v>51</v>
      </c>
      <c r="N391" s="19">
        <f>Dodge_to_CBECS!J111</f>
        <v>72.709525843656564</v>
      </c>
      <c r="O391" s="19">
        <f>Dodge_to_CBECS!K111</f>
        <v>10</v>
      </c>
      <c r="P391" s="19">
        <f>Dodge_to_CBECS!L111</f>
        <v>54.550000000000004</v>
      </c>
      <c r="Q391" s="19">
        <f>Dodge_to_CBECS!M111</f>
        <v>52.809530115335335</v>
      </c>
      <c r="T391">
        <f t="shared" si="131"/>
        <v>933</v>
      </c>
      <c r="U391" s="5">
        <f t="shared" si="116"/>
        <v>865.80000000000007</v>
      </c>
      <c r="X391" s="23">
        <f t="shared" si="119"/>
        <v>1.2568608232338658</v>
      </c>
      <c r="Y391" s="23">
        <v>1.2</v>
      </c>
      <c r="Z391">
        <v>1.1499999999999999</v>
      </c>
      <c r="AA391">
        <f t="shared" si="145"/>
        <v>1.2</v>
      </c>
      <c r="AB391">
        <f t="shared" si="132"/>
        <v>2014</v>
      </c>
      <c r="AC391">
        <f t="shared" si="121"/>
        <v>1119.5999999999999</v>
      </c>
      <c r="AD391">
        <f t="shared" si="122"/>
        <v>1038.96</v>
      </c>
      <c r="AJ391" s="18">
        <f>AM391/AM386</f>
        <v>1.0144657130154551</v>
      </c>
      <c r="AK391" s="18">
        <f>AT391/AT386</f>
        <v>1.0281829408660752</v>
      </c>
      <c r="AL391" s="87">
        <f t="shared" si="146"/>
        <v>1038.96</v>
      </c>
      <c r="AM391" s="87">
        <f t="shared" si="141"/>
        <v>85614.327275871139</v>
      </c>
      <c r="AO391" s="19">
        <f t="shared" ref="AO391:AO392" si="152">AM391-AM390-AL391</f>
        <v>-654.97349095247864</v>
      </c>
      <c r="AP391" s="23">
        <f t="shared" ref="AP391:AP392" si="153">(-AO391/AM391)</f>
        <v>7.6502790104509902E-3</v>
      </c>
      <c r="AQ391" s="92">
        <f>0.35*$AQ$382</f>
        <v>0.35</v>
      </c>
      <c r="AR391" s="23">
        <f t="shared" si="147"/>
        <v>-229.2407218333675</v>
      </c>
      <c r="AS391" s="23">
        <f t="shared" si="149"/>
        <v>-1340.3183960702327</v>
      </c>
      <c r="AT391" s="93">
        <f t="shared" si="148"/>
        <v>86954.645671941369</v>
      </c>
      <c r="AU391" s="87">
        <f t="shared" si="135"/>
        <v>613.22723088088969</v>
      </c>
      <c r="AV391" s="90">
        <f t="shared" si="136"/>
        <v>0.59023179995465624</v>
      </c>
      <c r="AW391" s="35"/>
      <c r="AX391">
        <v>0</v>
      </c>
      <c r="AZ391">
        <v>2014</v>
      </c>
      <c r="BA391">
        <v>0</v>
      </c>
      <c r="BZ391">
        <v>2014</v>
      </c>
      <c r="CA391" s="5">
        <f t="shared" si="83"/>
        <v>86.954645671941364</v>
      </c>
      <c r="CB391" s="5">
        <v>78.900000000000006</v>
      </c>
      <c r="DW391" s="57"/>
      <c r="DY391" s="42"/>
      <c r="DZ391" s="43"/>
      <c r="EA391" s="43"/>
      <c r="EB391" s="43"/>
      <c r="EC391" s="43"/>
      <c r="ED391" s="43"/>
      <c r="EE391" s="44"/>
      <c r="EO391" s="15"/>
      <c r="EQ391" s="42"/>
      <c r="ER391" s="43"/>
      <c r="ES391" s="43"/>
      <c r="ET391" s="43"/>
      <c r="EU391" s="43"/>
      <c r="EV391" s="43"/>
      <c r="EW391" s="44"/>
    </row>
    <row r="392" spans="1:153" x14ac:dyDescent="0.2">
      <c r="A392">
        <f t="shared" si="128"/>
        <v>2015</v>
      </c>
      <c r="C392">
        <f t="shared" si="113"/>
        <v>5</v>
      </c>
      <c r="D392" s="63">
        <f t="shared" si="150"/>
        <v>0.99997325198682663</v>
      </c>
      <c r="E392" s="18">
        <f t="shared" si="151"/>
        <v>1.0000267487286487</v>
      </c>
      <c r="F392">
        <f t="shared" si="114"/>
        <v>2015</v>
      </c>
      <c r="G392" s="19">
        <f>Dodge_to_CBECS!C112</f>
        <v>235.27583084152073</v>
      </c>
      <c r="H392" s="19">
        <f>Dodge_to_CBECS!D112</f>
        <v>161.64953780435712</v>
      </c>
      <c r="I392" s="19">
        <f>Dodge_to_CBECS!E112</f>
        <v>22.226811448099102</v>
      </c>
      <c r="J392" s="19">
        <f>Dodge_to_CBECS!F112</f>
        <v>18.185573002990171</v>
      </c>
      <c r="K392" s="19">
        <f>Dodge_to_CBECS!G112</f>
        <v>171.25158479282356</v>
      </c>
      <c r="L392" s="19">
        <f>Dodge_to_CBECS!H112</f>
        <v>119.99999999999999</v>
      </c>
      <c r="M392" s="19">
        <f>Dodge_to_CBECS!I112</f>
        <v>54.75</v>
      </c>
      <c r="N392" s="19">
        <f>Dodge_to_CBECS!J112</f>
        <v>77.530649295172992</v>
      </c>
      <c r="O392" s="19">
        <f>Dodge_to_CBECS!K112</f>
        <v>11</v>
      </c>
      <c r="P392" s="19">
        <f>Dodge_to_CBECS!L112</f>
        <v>50.6</v>
      </c>
      <c r="Q392" s="19">
        <f>Dodge_to_CBECS!M112</f>
        <v>52.530012815036315</v>
      </c>
      <c r="T392">
        <f t="shared" si="131"/>
        <v>975</v>
      </c>
      <c r="U392" s="5">
        <f t="shared" si="116"/>
        <v>949.8</v>
      </c>
      <c r="X392" s="23">
        <f t="shared" si="119"/>
        <v>1.2568608232338658</v>
      </c>
      <c r="Y392" s="23">
        <v>1.2</v>
      </c>
      <c r="Z392">
        <v>1.1499999999999999</v>
      </c>
      <c r="AA392">
        <f t="shared" si="145"/>
        <v>1.2</v>
      </c>
      <c r="AB392">
        <f t="shared" si="132"/>
        <v>2015</v>
      </c>
      <c r="AC392">
        <f t="shared" si="121"/>
        <v>1170</v>
      </c>
      <c r="AD392">
        <f t="shared" si="122"/>
        <v>1139.76</v>
      </c>
      <c r="AL392" s="87">
        <f t="shared" si="146"/>
        <v>1139.76</v>
      </c>
      <c r="AM392" s="87">
        <f t="shared" si="141"/>
        <v>86086.076718016397</v>
      </c>
      <c r="AO392" s="19">
        <f t="shared" si="152"/>
        <v>-668.0105578547425</v>
      </c>
      <c r="AP392" s="23">
        <f t="shared" si="153"/>
        <v>7.7597979060293138E-3</v>
      </c>
      <c r="AQ392" s="92">
        <f>0.35*$AQ$382</f>
        <v>0.35</v>
      </c>
      <c r="AR392" s="23">
        <f t="shared" si="147"/>
        <v>-233.80369524915986</v>
      </c>
      <c r="AS392" s="23">
        <f t="shared" si="149"/>
        <v>-1574.1220913193924</v>
      </c>
      <c r="AT392" s="93">
        <f t="shared" si="148"/>
        <v>87660.198809335794</v>
      </c>
      <c r="AU392" s="87">
        <f t="shared" si="135"/>
        <v>705.55313739442499</v>
      </c>
      <c r="AV392" s="90">
        <f t="shared" si="136"/>
        <v>0.61903658436374764</v>
      </c>
      <c r="AW392" s="35"/>
      <c r="AX392">
        <v>0</v>
      </c>
      <c r="AZ392">
        <v>2015</v>
      </c>
      <c r="BA392">
        <v>0</v>
      </c>
      <c r="BZ392">
        <v>2015</v>
      </c>
      <c r="CA392" s="5">
        <f t="shared" ref="CA392:CA394" si="154">AT392*0.001</f>
        <v>87.660198809335796</v>
      </c>
      <c r="CB392" s="5">
        <v>78.900000000000006</v>
      </c>
      <c r="DW392" s="57"/>
      <c r="DY392" s="42"/>
      <c r="DZ392" s="43"/>
      <c r="EA392" t="s">
        <v>306</v>
      </c>
      <c r="ED392" s="44"/>
      <c r="EE392" s="44"/>
      <c r="EO392" s="15"/>
      <c r="EQ392" s="42"/>
      <c r="ER392" s="43"/>
      <c r="EV392" s="44"/>
      <c r="EW392" s="44"/>
    </row>
    <row r="393" spans="1:153" x14ac:dyDescent="0.2">
      <c r="A393">
        <f t="shared" si="128"/>
        <v>2016</v>
      </c>
      <c r="C393">
        <f t="shared" si="113"/>
        <v>4</v>
      </c>
      <c r="D393" s="63">
        <f t="shared" si="150"/>
        <v>0.99998885338042343</v>
      </c>
      <c r="E393" s="18">
        <f t="shared" si="151"/>
        <v>1.0000111467438251</v>
      </c>
      <c r="F393">
        <f t="shared" si="114"/>
        <v>2016</v>
      </c>
      <c r="G393" s="19">
        <f>Dodge_to_CBECS!C113</f>
        <v>261.2833468603161</v>
      </c>
      <c r="H393" s="19">
        <f>Dodge_to_CBECS!D113</f>
        <v>180.88193763348997</v>
      </c>
      <c r="I393" s="19">
        <f>Dodge_to_CBECS!E113</f>
        <v>24.871266424604869</v>
      </c>
      <c r="J393" s="19">
        <f>Dodge_to_CBECS!F113</f>
        <v>20.34921798376762</v>
      </c>
      <c r="K393" s="19">
        <f>Dodge_to_CBECS!G113</f>
        <v>191.6263968389577</v>
      </c>
      <c r="L393" s="19">
        <f>Dodge_to_CBECS!H113</f>
        <v>118.39999999999999</v>
      </c>
      <c r="M393" s="19">
        <f>Dodge_to_CBECS!I113</f>
        <v>58.5</v>
      </c>
      <c r="N393" s="19">
        <f>Dodge_to_CBECS!J113</f>
        <v>85.833618111917986</v>
      </c>
      <c r="O393" s="19">
        <f>Dodge_to_CBECS!K113</f>
        <v>10</v>
      </c>
      <c r="P393" s="19">
        <f>Dodge_to_CBECS!L113</f>
        <v>57.6</v>
      </c>
      <c r="Q393" s="19">
        <f>Dodge_to_CBECS!M113</f>
        <v>55.654216146945743</v>
      </c>
      <c r="T393">
        <f t="shared" si="131"/>
        <v>1065</v>
      </c>
      <c r="U393" s="5">
        <f t="shared" si="116"/>
        <v>1011</v>
      </c>
      <c r="X393" s="23">
        <f t="shared" si="119"/>
        <v>1.2568608232338658</v>
      </c>
      <c r="Y393" s="23">
        <v>1.2</v>
      </c>
      <c r="Z393">
        <v>1.1499999999999999</v>
      </c>
      <c r="AA393">
        <f t="shared" si="145"/>
        <v>1.2</v>
      </c>
      <c r="AB393">
        <f t="shared" si="132"/>
        <v>2016</v>
      </c>
      <c r="AC393">
        <f t="shared" si="121"/>
        <v>1278</v>
      </c>
      <c r="AD393">
        <f t="shared" si="122"/>
        <v>1213.2</v>
      </c>
      <c r="AL393" s="87">
        <f t="shared" ref="AL393:AL394" si="155">AD393</f>
        <v>1213.2</v>
      </c>
      <c r="AM393" s="87">
        <f t="shared" ref="AM393:AM394" si="156">SUMPRODUCT($D$247:$D$397,AL243:AL393)</f>
        <v>86618.094386492521</v>
      </c>
      <c r="AO393" s="19">
        <f t="shared" ref="AO393:AO394" si="157">AM393-AM392-AL393</f>
        <v>-681.18233152387552</v>
      </c>
      <c r="AP393" s="23">
        <f t="shared" ref="AP393:AP394" si="158">(-AO393/AM393)</f>
        <v>7.8642036210635115E-3</v>
      </c>
      <c r="AQ393" s="92">
        <f>0.3*$AQ$382</f>
        <v>0.3</v>
      </c>
      <c r="AR393" s="23">
        <f t="shared" ref="AR393:AR394" si="159">AQ393*AO393</f>
        <v>-204.35469945716264</v>
      </c>
      <c r="AS393" s="23">
        <f t="shared" ref="AS393:AS394" si="160">AS392+AR393</f>
        <v>-1778.4767907765552</v>
      </c>
      <c r="AT393" s="93">
        <f t="shared" ref="AT393:AT394" si="161">AM393-AS393</f>
        <v>88396.57117726907</v>
      </c>
      <c r="AU393" s="87">
        <f t="shared" si="135"/>
        <v>736.37236793327611</v>
      </c>
      <c r="AV393" s="90">
        <f t="shared" si="136"/>
        <v>0.60696700291236072</v>
      </c>
      <c r="AW393" s="35"/>
      <c r="AX393">
        <v>0</v>
      </c>
      <c r="AZ393">
        <v>2016</v>
      </c>
      <c r="BA393">
        <v>0</v>
      </c>
      <c r="BZ393">
        <v>2016</v>
      </c>
      <c r="CA393" s="5">
        <f t="shared" si="154"/>
        <v>88.396571177269067</v>
      </c>
      <c r="CB393" s="5">
        <v>78.900000000000006</v>
      </c>
    </row>
    <row r="394" spans="1:153" x14ac:dyDescent="0.2">
      <c r="A394">
        <f t="shared" si="128"/>
        <v>2017</v>
      </c>
      <c r="C394">
        <f t="shared" si="113"/>
        <v>3</v>
      </c>
      <c r="D394" s="63">
        <f t="shared" si="150"/>
        <v>0.99999639387101014</v>
      </c>
      <c r="E394" s="18">
        <f t="shared" si="151"/>
        <v>1.0000036061419941</v>
      </c>
      <c r="F394">
        <f t="shared" si="114"/>
        <v>2017</v>
      </c>
      <c r="G394" s="19">
        <f>Dodge_to_CBECS!C114</f>
        <v>271.04034600598038</v>
      </c>
      <c r="H394" s="19">
        <f>Dodge_to_CBECS!D114</f>
        <v>187.45503630926953</v>
      </c>
      <c r="I394" s="19">
        <f>Dodge_to_CBECS!E114</f>
        <v>25.77506749252456</v>
      </c>
      <c r="J394" s="19">
        <f>Dodge_to_CBECS!F114</f>
        <v>21.088691584792823</v>
      </c>
      <c r="K394" s="19">
        <f>Dodge_to_CBECS!G114</f>
        <v>198.5899401964972</v>
      </c>
      <c r="L394" s="19">
        <f>Dodge_to_CBECS!H114</f>
        <v>124.79999999999998</v>
      </c>
      <c r="M394" s="19">
        <f>Dodge_to_CBECS!I114</f>
        <v>63.75</v>
      </c>
      <c r="N394" s="19">
        <f>Dodge_to_CBECS!J114</f>
        <v>89.994126441691577</v>
      </c>
      <c r="O394" s="19">
        <f>Dodge_to_CBECS!K114</f>
        <v>11</v>
      </c>
      <c r="P394" s="19">
        <f>Dodge_to_CBECS!L114</f>
        <v>57.7</v>
      </c>
      <c r="Q394" s="19">
        <f>Dodge_to_CBECS!M114</f>
        <v>66.806791969243903</v>
      </c>
      <c r="T394">
        <f t="shared" si="131"/>
        <v>1118</v>
      </c>
      <c r="U394" s="5">
        <f t="shared" si="116"/>
        <v>1086.2</v>
      </c>
      <c r="X394" s="23">
        <f t="shared" si="119"/>
        <v>1.2568608232338658</v>
      </c>
      <c r="Y394" s="23">
        <v>1.2</v>
      </c>
      <c r="Z394">
        <v>1.1499999999999999</v>
      </c>
      <c r="AA394">
        <f t="shared" si="145"/>
        <v>1.2</v>
      </c>
      <c r="AB394">
        <f t="shared" si="132"/>
        <v>2017</v>
      </c>
      <c r="AC394">
        <f t="shared" si="121"/>
        <v>1341.6</v>
      </c>
      <c r="AD394">
        <f t="shared" si="122"/>
        <v>1303.44</v>
      </c>
      <c r="AL394" s="87">
        <f t="shared" si="155"/>
        <v>1303.44</v>
      </c>
      <c r="AM394" s="87">
        <f t="shared" si="156"/>
        <v>87227.04235341787</v>
      </c>
      <c r="AO394" s="19">
        <f t="shared" si="157"/>
        <v>-694.49203307465132</v>
      </c>
      <c r="AP394" s="23">
        <f t="shared" si="158"/>
        <v>7.9618890465273078E-3</v>
      </c>
      <c r="AQ394" s="92">
        <f>0.3*$AQ$382</f>
        <v>0.3</v>
      </c>
      <c r="AR394" s="23">
        <f t="shared" si="159"/>
        <v>-208.34760992239538</v>
      </c>
      <c r="AS394" s="23">
        <f t="shared" si="160"/>
        <v>-1986.8244006989505</v>
      </c>
      <c r="AT394" s="93">
        <f t="shared" si="161"/>
        <v>89213.866754116825</v>
      </c>
      <c r="AU394" s="87">
        <f t="shared" si="135"/>
        <v>817.295576847755</v>
      </c>
      <c r="AV394" s="90">
        <f t="shared" si="136"/>
        <v>0.62702968824629823</v>
      </c>
      <c r="AW394" s="35"/>
      <c r="AX394">
        <v>0</v>
      </c>
      <c r="AZ394">
        <v>2017</v>
      </c>
      <c r="BA394">
        <v>0</v>
      </c>
      <c r="BZ394">
        <v>2017</v>
      </c>
      <c r="CA394" s="5">
        <f t="shared" si="154"/>
        <v>89.213866754116822</v>
      </c>
      <c r="CB394" s="5">
        <v>78.900000000000006</v>
      </c>
    </row>
    <row r="395" spans="1:153" x14ac:dyDescent="0.2">
      <c r="A395">
        <f t="shared" si="128"/>
        <v>2018</v>
      </c>
      <c r="C395">
        <f t="shared" si="113"/>
        <v>2</v>
      </c>
      <c r="D395" s="63">
        <f t="shared" si="150"/>
        <v>0.99999926501576142</v>
      </c>
      <c r="E395" s="18">
        <f t="shared" si="151"/>
        <v>1.0000007349847788</v>
      </c>
      <c r="F395">
        <f t="shared" si="114"/>
        <v>2018</v>
      </c>
      <c r="G395" s="19">
        <f>Dodge_to_CBECS!C115</f>
        <v>266.06423536950024</v>
      </c>
      <c r="H395" s="19">
        <f>Dodge_to_CBECS!D115</f>
        <v>183.80331482272533</v>
      </c>
      <c r="I395" s="19">
        <f>Dodge_to_CBECS!E115</f>
        <v>25.27295578812473</v>
      </c>
      <c r="J395" s="19">
        <f>Dodge_to_CBECS!F115</f>
        <v>20.677872917556599</v>
      </c>
      <c r="K395" s="19">
        <f>Dodge_to_CBECS!G115</f>
        <v>194.72130499786414</v>
      </c>
      <c r="L395" s="19">
        <f>Dodge_to_CBECS!H115</f>
        <v>124.79999999999998</v>
      </c>
      <c r="M395" s="19">
        <f>Dodge_to_CBECS!I115</f>
        <v>60.75</v>
      </c>
      <c r="N395" s="19">
        <f>Dodge_to_CBECS!J115</f>
        <v>87.654955147372917</v>
      </c>
      <c r="O395" s="19">
        <f>Dodge_to_CBECS!K115</f>
        <v>9</v>
      </c>
      <c r="P395" s="19">
        <f>Dodge_to_CBECS!L115</f>
        <v>58.2</v>
      </c>
      <c r="Q395" s="19">
        <f>Dodge_to_CBECS!M115</f>
        <v>61.055360956856035</v>
      </c>
      <c r="T395">
        <f t="shared" ref="T395:T397" si="162">SUM(G395:Q395)</f>
        <v>1092</v>
      </c>
      <c r="U395" s="5">
        <f t="shared" ref="U395:U397" si="163">$W$210*T395+$W$211*T394</f>
        <v>1107.5999999999999</v>
      </c>
      <c r="X395" s="23">
        <f t="shared" si="119"/>
        <v>1.2568608232338658</v>
      </c>
      <c r="Y395" s="23">
        <v>1.2</v>
      </c>
      <c r="Z395">
        <v>1.1499999999999999</v>
      </c>
      <c r="AA395">
        <f t="shared" si="145"/>
        <v>1.2</v>
      </c>
      <c r="AB395">
        <f t="shared" si="132"/>
        <v>2018</v>
      </c>
      <c r="AC395">
        <f t="shared" si="121"/>
        <v>1310.3999999999999</v>
      </c>
      <c r="AD395">
        <f t="shared" si="122"/>
        <v>1329.12</v>
      </c>
      <c r="AL395" s="87">
        <f t="shared" ref="AL395" si="164">AD395</f>
        <v>1329.12</v>
      </c>
      <c r="AM395" s="87">
        <f t="shared" ref="AM395" si="165">SUMPRODUCT($D$247:$D$397,AL245:AL395)</f>
        <v>87848.176882540953</v>
      </c>
      <c r="AN395" s="67">
        <f>LN(AM395/AM386)/9</f>
        <v>4.4577223026036521E-3</v>
      </c>
      <c r="AO395" s="19">
        <f t="shared" ref="AO395" si="166">AM395-AM394-AL395</f>
        <v>-707.98547087691713</v>
      </c>
      <c r="AP395" s="23">
        <f t="shared" ref="AP395" si="167">(-AO395/AM395)</f>
        <v>8.0591936679977137E-3</v>
      </c>
      <c r="AQ395" s="92">
        <f>0.3*$AQ$382</f>
        <v>0.3</v>
      </c>
      <c r="AR395" s="23">
        <f t="shared" ref="AR395" si="168">AQ395*AO395</f>
        <v>-212.39564126307513</v>
      </c>
      <c r="AS395" s="23">
        <f t="shared" ref="AS395" si="169">AS394+AR395</f>
        <v>-2199.2200419620258</v>
      </c>
      <c r="AT395" s="93">
        <f t="shared" ref="AT395" si="170">AM395-AS395</f>
        <v>90047.396924502973</v>
      </c>
      <c r="AU395" s="87">
        <f t="shared" si="135"/>
        <v>833.5301703861478</v>
      </c>
      <c r="AV395" s="90">
        <f t="shared" ref="AV395" si="171">AU395/AL395</f>
        <v>0.62712935655632895</v>
      </c>
      <c r="AW395" s="35"/>
      <c r="AX395">
        <v>0</v>
      </c>
      <c r="AZ395">
        <v>2018</v>
      </c>
      <c r="BA395">
        <v>0</v>
      </c>
      <c r="BZ395">
        <v>2018</v>
      </c>
      <c r="CA395" s="5">
        <f t="shared" ref="CA395" si="172">AT395*0.001</f>
        <v>90.047396924502976</v>
      </c>
      <c r="CB395" s="5">
        <v>78.900000000000006</v>
      </c>
    </row>
    <row r="396" spans="1:153" x14ac:dyDescent="0.2">
      <c r="A396">
        <f t="shared" si="128"/>
        <v>2019</v>
      </c>
      <c r="C396">
        <f t="shared" si="113"/>
        <v>1</v>
      </c>
      <c r="D396" s="63">
        <f t="shared" si="150"/>
        <v>0.99999995153718368</v>
      </c>
      <c r="E396" s="18">
        <f t="shared" si="151"/>
        <v>1.0000000484628186</v>
      </c>
      <c r="F396">
        <f t="shared" si="114"/>
        <v>2019</v>
      </c>
      <c r="G396" s="19">
        <f>Dodge_to_CBECS!C116</f>
        <v>0</v>
      </c>
      <c r="H396" s="19">
        <f>Dodge_to_CBECS!D116</f>
        <v>0</v>
      </c>
      <c r="I396" s="19">
        <f>Dodge_to_CBECS!E116</f>
        <v>0</v>
      </c>
      <c r="J396" s="19">
        <f>Dodge_to_CBECS!F116</f>
        <v>0</v>
      </c>
      <c r="K396" s="19">
        <f>Dodge_to_CBECS!G116</f>
        <v>0</v>
      </c>
      <c r="L396" s="19">
        <f>Dodge_to_CBECS!H116</f>
        <v>0</v>
      </c>
      <c r="M396" s="19">
        <f>Dodge_to_CBECS!I116</f>
        <v>0</v>
      </c>
      <c r="N396" s="19">
        <f>Dodge_to_CBECS!J116</f>
        <v>0</v>
      </c>
      <c r="O396" s="19">
        <f>Dodge_to_CBECS!K116</f>
        <v>0</v>
      </c>
      <c r="P396" s="19">
        <f>Dodge_to_CBECS!L116</f>
        <v>0</v>
      </c>
      <c r="Q396" s="19">
        <f>Dodge_to_CBECS!M116</f>
        <v>0</v>
      </c>
      <c r="T396">
        <f t="shared" si="162"/>
        <v>0</v>
      </c>
      <c r="U396" s="5">
        <f t="shared" si="163"/>
        <v>655.19999999999993</v>
      </c>
      <c r="X396" s="23">
        <f t="shared" si="119"/>
        <v>1.2568608232338658</v>
      </c>
      <c r="Y396" s="23">
        <v>1.2</v>
      </c>
      <c r="Z396">
        <v>1.1499999999999999</v>
      </c>
      <c r="AA396">
        <f t="shared" si="145"/>
        <v>1.2</v>
      </c>
      <c r="AB396">
        <f t="shared" si="132"/>
        <v>2019</v>
      </c>
      <c r="AD396">
        <f t="shared" ref="AD396:AD397" si="173">$T$488*T396</f>
        <v>0</v>
      </c>
      <c r="AW396" s="35"/>
      <c r="AX396">
        <v>0</v>
      </c>
      <c r="AZ396">
        <v>2019</v>
      </c>
      <c r="BA396">
        <v>0</v>
      </c>
    </row>
    <row r="397" spans="1:153" x14ac:dyDescent="0.2">
      <c r="A397">
        <f t="shared" si="128"/>
        <v>2020</v>
      </c>
      <c r="C397">
        <f t="shared" si="113"/>
        <v>0</v>
      </c>
      <c r="D397" s="63">
        <f t="shared" si="150"/>
        <v>1</v>
      </c>
      <c r="E397" s="18">
        <f t="shared" si="151"/>
        <v>1</v>
      </c>
      <c r="F397">
        <f t="shared" si="114"/>
        <v>2020</v>
      </c>
      <c r="G397" s="19">
        <f>Dodge_to_CBECS!C117</f>
        <v>0</v>
      </c>
      <c r="H397" s="19" t="e">
        <f>Dodge_to_CBECS!D117</f>
        <v>#VALUE!</v>
      </c>
      <c r="I397" s="19" t="e">
        <f>Dodge_to_CBECS!E117</f>
        <v>#VALUE!</v>
      </c>
      <c r="J397" s="19" t="e">
        <f>Dodge_to_CBECS!F117</f>
        <v>#VALUE!</v>
      </c>
      <c r="K397" s="19">
        <f>Dodge_to_CBECS!G117</f>
        <v>0</v>
      </c>
      <c r="L397" s="19">
        <f>Dodge_to_CBECS!H117</f>
        <v>0</v>
      </c>
      <c r="M397" s="19">
        <f>Dodge_to_CBECS!I117</f>
        <v>0</v>
      </c>
      <c r="N397" s="19">
        <f>Dodge_to_CBECS!J117</f>
        <v>0</v>
      </c>
      <c r="O397" s="19">
        <f>Dodge_to_CBECS!K117</f>
        <v>0</v>
      </c>
      <c r="P397" s="19">
        <f>Dodge_to_CBECS!L117</f>
        <v>0</v>
      </c>
      <c r="Q397" s="19" t="e">
        <f>Dodge_to_CBECS!M117</f>
        <v>#VALUE!</v>
      </c>
      <c r="T397" t="e">
        <f t="shared" si="162"/>
        <v>#VALUE!</v>
      </c>
      <c r="U397" s="5" t="e">
        <f t="shared" si="163"/>
        <v>#VALUE!</v>
      </c>
      <c r="X397" s="23">
        <f t="shared" si="119"/>
        <v>1.2568608232338658</v>
      </c>
      <c r="Y397" s="23">
        <v>1.2</v>
      </c>
      <c r="Z397">
        <v>1.1499999999999999</v>
      </c>
      <c r="AA397">
        <f t="shared" si="145"/>
        <v>1.2</v>
      </c>
      <c r="AB397">
        <f t="shared" si="132"/>
        <v>2020</v>
      </c>
      <c r="AD397" t="e">
        <f t="shared" si="173"/>
        <v>#VALUE!</v>
      </c>
      <c r="AJ397" s="83" t="s">
        <v>477</v>
      </c>
      <c r="AL397" s="87">
        <f>SUM(AL381:AL389)</f>
        <v>12426</v>
      </c>
      <c r="AW397" s="35"/>
      <c r="AX397">
        <v>0</v>
      </c>
      <c r="AZ397">
        <v>2020</v>
      </c>
      <c r="BA397">
        <v>0</v>
      </c>
      <c r="BZ397" t="s">
        <v>325</v>
      </c>
      <c r="DW397" s="57"/>
      <c r="DY397" s="42"/>
      <c r="DZ397" s="43"/>
      <c r="EA397">
        <f>3388-629-541-608-645-515-336</f>
        <v>114</v>
      </c>
      <c r="ED397" s="44"/>
      <c r="EE397" s="44"/>
      <c r="EO397" s="15"/>
      <c r="EQ397" s="42"/>
      <c r="ER397" s="43"/>
      <c r="EV397" s="44"/>
      <c r="EW397" s="44"/>
    </row>
    <row r="398" spans="1:153" x14ac:dyDescent="0.2">
      <c r="Q398">
        <f>Dodge_to_CBECSOld!M111</f>
        <v>0</v>
      </c>
      <c r="AW398" s="35"/>
      <c r="BZ398" t="s">
        <v>326</v>
      </c>
      <c r="DW398" s="57"/>
      <c r="DY398" s="42"/>
      <c r="DZ398" s="43"/>
      <c r="EA398" s="43"/>
      <c r="EB398" s="43"/>
      <c r="EC398" s="43"/>
      <c r="ED398" s="44"/>
      <c r="EE398" s="44"/>
      <c r="EO398" s="15"/>
      <c r="EQ398" s="42"/>
      <c r="ER398" s="43"/>
      <c r="ES398" s="43"/>
      <c r="ET398" s="43"/>
      <c r="EU398" s="43"/>
      <c r="EV398" s="44"/>
      <c r="EW398" s="44"/>
    </row>
    <row r="399" spans="1:153" x14ac:dyDescent="0.2">
      <c r="G399" t="s">
        <v>111</v>
      </c>
      <c r="H399" t="s">
        <v>111</v>
      </c>
      <c r="I399" t="s">
        <v>111</v>
      </c>
      <c r="J399" t="s">
        <v>111</v>
      </c>
      <c r="K399" t="s">
        <v>111</v>
      </c>
      <c r="L399" t="s">
        <v>111</v>
      </c>
      <c r="M399" t="s">
        <v>111</v>
      </c>
      <c r="N399" t="s">
        <v>111</v>
      </c>
      <c r="O399" t="s">
        <v>111</v>
      </c>
      <c r="P399" t="s">
        <v>111</v>
      </c>
      <c r="Q399" t="s">
        <v>111</v>
      </c>
      <c r="T399" t="s">
        <v>111</v>
      </c>
      <c r="AW399" s="35"/>
      <c r="AX399" t="s">
        <v>111</v>
      </c>
      <c r="BZ399" t="s">
        <v>327</v>
      </c>
      <c r="DW399" s="57"/>
      <c r="DY399" s="42"/>
      <c r="DZ399" s="43"/>
      <c r="EA399" s="43"/>
      <c r="EB399" s="43"/>
      <c r="EC399" s="43"/>
      <c r="ED399" s="44"/>
      <c r="EE399" s="44"/>
      <c r="EO399" s="15"/>
      <c r="EQ399" s="42"/>
      <c r="ER399" s="43"/>
      <c r="ES399" s="43"/>
      <c r="ET399" s="43"/>
      <c r="EU399" s="43"/>
      <c r="EV399" s="44"/>
      <c r="EW399" s="44"/>
    </row>
    <row r="400" spans="1:153" x14ac:dyDescent="0.2">
      <c r="C400" t="s">
        <v>258</v>
      </c>
      <c r="T400">
        <f>SUM(T217:T296)</f>
        <v>10330.310216527558</v>
      </c>
      <c r="U400">
        <f>SUM(U217:U296)</f>
        <v>10232.01067970011</v>
      </c>
      <c r="AJ400" s="39"/>
      <c r="AK400" s="40"/>
      <c r="AL400" s="40"/>
      <c r="AM400" s="40"/>
      <c r="AN400" s="40"/>
      <c r="AO400" s="40"/>
      <c r="AP400" s="41"/>
      <c r="AQ400" s="43"/>
      <c r="AR400" t="s">
        <v>465</v>
      </c>
      <c r="AW400" s="35"/>
      <c r="BZ400" t="s">
        <v>328</v>
      </c>
      <c r="DW400" s="57"/>
      <c r="DY400" s="42"/>
      <c r="DZ400" s="43"/>
      <c r="EA400" s="43"/>
      <c r="EB400" s="43"/>
      <c r="EC400" s="43"/>
      <c r="ED400" s="44"/>
      <c r="EE400" s="44"/>
      <c r="EO400" s="15"/>
      <c r="EQ400" s="42"/>
      <c r="ER400" s="43"/>
      <c r="ES400" s="43"/>
      <c r="ET400" s="43"/>
      <c r="EU400" s="43"/>
      <c r="EV400" s="44"/>
      <c r="EW400" s="44"/>
    </row>
    <row r="401" spans="3:153" ht="13.5" thickBot="1" x14ac:dyDescent="0.25">
      <c r="C401" s="21" t="s">
        <v>448</v>
      </c>
      <c r="D401" s="21"/>
      <c r="E401" t="s">
        <v>262</v>
      </c>
      <c r="G401" t="e">
        <f>SUM(#REF!)</f>
        <v>#REF!</v>
      </c>
      <c r="H401" t="e">
        <f>SUM(#REF!)</f>
        <v>#REF!</v>
      </c>
      <c r="I401" t="e">
        <f>SUM(#REF!)</f>
        <v>#REF!</v>
      </c>
      <c r="J401" t="e">
        <f>SUM(#REF!)</f>
        <v>#REF!</v>
      </c>
      <c r="K401" t="e">
        <f>SUM(#REF!)</f>
        <v>#REF!</v>
      </c>
      <c r="L401" t="e">
        <f>SUM(#REF!)</f>
        <v>#REF!</v>
      </c>
      <c r="M401" t="e">
        <f>SUM(#REF!)</f>
        <v>#REF!</v>
      </c>
      <c r="N401" t="e">
        <f>SUM(#REF!)</f>
        <v>#REF!</v>
      </c>
      <c r="O401" t="e">
        <f>SUM(#REF!)</f>
        <v>#REF!</v>
      </c>
      <c r="P401" t="e">
        <f>SUM(#REF!)</f>
        <v>#REF!</v>
      </c>
      <c r="Q401" t="e">
        <f>SUM(#REF!)</f>
        <v>#REF!</v>
      </c>
      <c r="T401" t="e">
        <f>SUM(#REF!)</f>
        <v>#REF!</v>
      </c>
      <c r="AJ401" s="42"/>
      <c r="AK401" s="43"/>
      <c r="AL401" s="43"/>
      <c r="AM401" s="43"/>
      <c r="AN401" s="43"/>
      <c r="AO401" s="43"/>
      <c r="AP401" s="44"/>
      <c r="AQ401" s="43"/>
      <c r="AR401" t="s">
        <v>473</v>
      </c>
      <c r="AW401" s="35"/>
      <c r="AX401">
        <v>550</v>
      </c>
      <c r="BZ401" t="s">
        <v>329</v>
      </c>
      <c r="CA401" t="s">
        <v>330</v>
      </c>
      <c r="DW401" s="57"/>
      <c r="DY401" s="42"/>
      <c r="DZ401" s="43"/>
      <c r="EA401" s="43"/>
      <c r="EB401" s="43"/>
      <c r="EC401" s="43"/>
      <c r="ED401" s="44"/>
      <c r="EE401" s="44"/>
      <c r="EO401" s="15"/>
      <c r="EQ401" s="42"/>
      <c r="ER401" s="43"/>
      <c r="ES401" s="43"/>
      <c r="ET401" s="43"/>
      <c r="EU401" s="43"/>
      <c r="EV401" s="44"/>
      <c r="EW401" s="44"/>
    </row>
    <row r="402" spans="3:153" x14ac:dyDescent="0.2">
      <c r="D402" t="s">
        <v>109</v>
      </c>
      <c r="E402" t="s">
        <v>106</v>
      </c>
      <c r="F402" t="s">
        <v>110</v>
      </c>
      <c r="AJ402" s="42"/>
      <c r="AK402" s="43"/>
      <c r="AL402" s="43"/>
      <c r="AM402" s="43"/>
      <c r="AN402" s="43"/>
      <c r="AO402" s="43"/>
      <c r="AP402" s="44"/>
      <c r="AQ402" s="43"/>
      <c r="AR402" s="43" t="s">
        <v>466</v>
      </c>
      <c r="AS402" s="43"/>
      <c r="AT402" s="43"/>
      <c r="AU402" s="43"/>
      <c r="AW402" s="35"/>
      <c r="CA402" t="s">
        <v>331</v>
      </c>
      <c r="CX402" t="s">
        <v>91</v>
      </c>
      <c r="DW402" s="57"/>
      <c r="DY402" s="42"/>
      <c r="DZ402" s="43"/>
      <c r="EA402" s="50"/>
      <c r="EE402" s="44"/>
      <c r="EO402" s="15"/>
      <c r="EQ402" s="42"/>
      <c r="ER402" s="43"/>
      <c r="ES402" s="50"/>
      <c r="EW402" s="44"/>
    </row>
    <row r="403" spans="3:153" x14ac:dyDescent="0.2">
      <c r="C403" t="s">
        <v>250</v>
      </c>
      <c r="D403">
        <v>1989</v>
      </c>
      <c r="E403">
        <v>149</v>
      </c>
      <c r="F403">
        <v>90</v>
      </c>
      <c r="G403" s="19">
        <f>SUMPRODUCT($D247:$D307,G$216:G$276)</f>
        <v>8.8407374356231099</v>
      </c>
      <c r="H403" s="19">
        <f t="shared" ref="H403:U403" si="174">SUMPRODUCT($D247:$D307,H$216:H$276)</f>
        <v>8.8407374356231099</v>
      </c>
      <c r="I403" s="19">
        <f t="shared" si="174"/>
        <v>8.8407374356231099</v>
      </c>
      <c r="J403" s="19">
        <f t="shared" si="174"/>
        <v>8.8407374356231099</v>
      </c>
      <c r="K403" s="19">
        <f t="shared" si="174"/>
        <v>8.8407374356231099</v>
      </c>
      <c r="L403" s="19">
        <f t="shared" si="174"/>
        <v>8.8407374356231099</v>
      </c>
      <c r="M403" s="19">
        <f t="shared" si="174"/>
        <v>8.8407374356231099</v>
      </c>
      <c r="N403" s="19">
        <f t="shared" si="174"/>
        <v>8.8407374356231099</v>
      </c>
      <c r="O403" s="19">
        <f t="shared" si="174"/>
        <v>8.8407374356231099</v>
      </c>
      <c r="P403" s="19">
        <f t="shared" si="174"/>
        <v>8.8407374356231099</v>
      </c>
      <c r="Q403" s="19">
        <f t="shared" si="174"/>
        <v>8.8407374356231099</v>
      </c>
      <c r="R403" s="19"/>
      <c r="S403" s="19"/>
      <c r="T403" s="19">
        <f t="shared" si="174"/>
        <v>1089.3142936905588</v>
      </c>
      <c r="U403" s="19">
        <f t="shared" si="174"/>
        <v>1078.7968846738886</v>
      </c>
      <c r="V403" t="s">
        <v>449</v>
      </c>
      <c r="AJ403" s="42"/>
      <c r="AK403" s="45" t="s">
        <v>281</v>
      </c>
      <c r="AL403" s="43"/>
      <c r="AM403" s="43"/>
      <c r="AN403" s="43"/>
      <c r="AO403" s="43"/>
      <c r="AP403" s="44"/>
      <c r="AQ403" s="43"/>
      <c r="AR403" s="50" t="s">
        <v>467</v>
      </c>
      <c r="AS403" s="43"/>
      <c r="AT403" s="43"/>
      <c r="AU403" s="43"/>
      <c r="AW403" s="35"/>
      <c r="AX403">
        <v>230.76045227227129</v>
      </c>
      <c r="CA403" t="s">
        <v>332</v>
      </c>
      <c r="CX403">
        <f>0.3*2286</f>
        <v>685.8</v>
      </c>
      <c r="CZ403">
        <f>CN412/$CM412</f>
        <v>0.30070357907617007</v>
      </c>
      <c r="DA403">
        <f>CP412/$CM412</f>
        <v>0.48950749464668086</v>
      </c>
      <c r="DB403">
        <f>CX403/$CM412</f>
        <v>0.20978892627714896</v>
      </c>
      <c r="DW403" s="57"/>
      <c r="DY403" s="42"/>
      <c r="DZ403" s="43"/>
      <c r="EA403" s="50"/>
      <c r="EE403" s="44"/>
      <c r="EO403" s="15"/>
      <c r="EQ403" s="42"/>
      <c r="ER403" s="43"/>
      <c r="ES403" s="50"/>
      <c r="EW403" s="44"/>
    </row>
    <row r="404" spans="3:153" x14ac:dyDescent="0.2">
      <c r="C404" t="s">
        <v>250</v>
      </c>
      <c r="D404">
        <v>1992</v>
      </c>
      <c r="E404">
        <v>122</v>
      </c>
      <c r="F404">
        <v>73</v>
      </c>
      <c r="G404" s="19" t="e">
        <f t="shared" ref="G404:Q404" si="175">SUMPRODUCT($D258:$D307,G$167:G$296)</f>
        <v>#VALUE!</v>
      </c>
      <c r="H404" s="19" t="e">
        <f t="shared" si="175"/>
        <v>#VALUE!</v>
      </c>
      <c r="I404" s="19" t="e">
        <f t="shared" si="175"/>
        <v>#VALUE!</v>
      </c>
      <c r="J404" s="19" t="e">
        <f t="shared" si="175"/>
        <v>#VALUE!</v>
      </c>
      <c r="K404" s="19" t="e">
        <f t="shared" si="175"/>
        <v>#VALUE!</v>
      </c>
      <c r="L404" s="19" t="e">
        <f t="shared" si="175"/>
        <v>#VALUE!</v>
      </c>
      <c r="M404" s="19" t="e">
        <f t="shared" si="175"/>
        <v>#VALUE!</v>
      </c>
      <c r="N404" s="19" t="e">
        <f t="shared" si="175"/>
        <v>#VALUE!</v>
      </c>
      <c r="O404" s="19" t="e">
        <f t="shared" si="175"/>
        <v>#VALUE!</v>
      </c>
      <c r="P404" s="19" t="e">
        <f t="shared" si="175"/>
        <v>#VALUE!</v>
      </c>
      <c r="Q404" s="19" t="e">
        <f t="shared" si="175"/>
        <v>#VALUE!</v>
      </c>
      <c r="R404" s="19"/>
      <c r="S404" s="19"/>
      <c r="T404" s="19" t="e">
        <f>SUMPRODUCT($D258:$D307,T$167:T$296)</f>
        <v>#VALUE!</v>
      </c>
      <c r="U404" s="19"/>
      <c r="AJ404" s="42"/>
      <c r="AK404" s="43"/>
      <c r="AL404" s="43"/>
      <c r="AM404" s="43" t="s">
        <v>265</v>
      </c>
      <c r="AN404" s="43"/>
      <c r="AO404" s="43"/>
      <c r="AP404" s="44"/>
      <c r="AQ404" s="43"/>
      <c r="AR404" s="50" t="s">
        <v>468</v>
      </c>
      <c r="AS404" s="43"/>
      <c r="AT404" s="43"/>
      <c r="AU404" s="43"/>
      <c r="AW404" s="35"/>
      <c r="AX404">
        <v>224.04681610535982</v>
      </c>
      <c r="BZ404" s="34" t="s">
        <v>333</v>
      </c>
      <c r="CA404" t="s">
        <v>334</v>
      </c>
      <c r="CX404">
        <f>0.3*1957</f>
        <v>587.1</v>
      </c>
      <c r="CZ404">
        <f>CN413/$CM413</f>
        <v>0.50083534834402388</v>
      </c>
      <c r="DA404">
        <f>CP413/$CM413</f>
        <v>0.41531134606324355</v>
      </c>
      <c r="DB404">
        <f>CX404/$CM413</f>
        <v>0.17799057688424724</v>
      </c>
      <c r="DW404" s="57"/>
      <c r="DY404" s="42"/>
      <c r="DZ404" s="43"/>
      <c r="EA404" s="50"/>
      <c r="ED404" t="s">
        <v>303</v>
      </c>
      <c r="EE404" s="44"/>
      <c r="EO404" s="15"/>
      <c r="EQ404" s="42"/>
      <c r="ER404" s="43"/>
      <c r="ES404" s="50"/>
      <c r="EV404" t="s">
        <v>303</v>
      </c>
      <c r="EW404" s="44"/>
    </row>
    <row r="405" spans="3:153" x14ac:dyDescent="0.2">
      <c r="C405" t="s">
        <v>250</v>
      </c>
      <c r="D405">
        <v>1995</v>
      </c>
      <c r="E405">
        <v>125</v>
      </c>
      <c r="F405">
        <v>76</v>
      </c>
      <c r="G405" s="19" t="e">
        <f t="shared" ref="G405:Q405" si="176">SUMPRODUCT($D255:$D304,G$167:G$296)</f>
        <v>#VALUE!</v>
      </c>
      <c r="H405" s="19" t="e">
        <f t="shared" si="176"/>
        <v>#VALUE!</v>
      </c>
      <c r="I405" s="19" t="e">
        <f t="shared" si="176"/>
        <v>#VALUE!</v>
      </c>
      <c r="J405" s="19" t="e">
        <f t="shared" si="176"/>
        <v>#VALUE!</v>
      </c>
      <c r="K405" s="19" t="e">
        <f t="shared" si="176"/>
        <v>#VALUE!</v>
      </c>
      <c r="L405" s="19" t="e">
        <f t="shared" si="176"/>
        <v>#VALUE!</v>
      </c>
      <c r="M405" s="19" t="e">
        <f t="shared" si="176"/>
        <v>#VALUE!</v>
      </c>
      <c r="N405" s="19" t="e">
        <f t="shared" si="176"/>
        <v>#VALUE!</v>
      </c>
      <c r="O405" s="19" t="e">
        <f t="shared" si="176"/>
        <v>#VALUE!</v>
      </c>
      <c r="P405" s="19" t="e">
        <f t="shared" si="176"/>
        <v>#VALUE!</v>
      </c>
      <c r="Q405" s="19" t="e">
        <f t="shared" si="176"/>
        <v>#VALUE!</v>
      </c>
      <c r="R405" s="19"/>
      <c r="S405" s="19"/>
      <c r="T405" s="19" t="e">
        <f>SUMPRODUCT($D255:$D304,T$167:T$296)</f>
        <v>#VALUE!</v>
      </c>
      <c r="U405" s="19"/>
      <c r="AJ405" s="42"/>
      <c r="AK405" s="43" t="s">
        <v>264</v>
      </c>
      <c r="AL405" s="46" t="s">
        <v>201</v>
      </c>
      <c r="AM405" s="46" t="s">
        <v>266</v>
      </c>
      <c r="AN405" s="43" t="s">
        <v>273</v>
      </c>
      <c r="AO405" s="43" t="s">
        <v>274</v>
      </c>
      <c r="AP405" s="44"/>
      <c r="AQ405" s="43"/>
      <c r="AR405" s="43"/>
      <c r="AS405" s="43"/>
      <c r="AT405" s="43"/>
      <c r="AU405" s="43"/>
      <c r="AW405" s="35"/>
      <c r="AX405">
        <v>214.16025408322497</v>
      </c>
      <c r="BZ405" t="s">
        <v>335</v>
      </c>
      <c r="CA405" t="s">
        <v>336</v>
      </c>
      <c r="CX405">
        <f>DB$403*$CM414</f>
        <v>792.84332338399201</v>
      </c>
      <c r="DI405">
        <f>DH409/DI409</f>
        <v>1.0575597892176734</v>
      </c>
      <c r="DW405" s="57"/>
      <c r="DY405" s="42"/>
      <c r="DZ405" s="43"/>
      <c r="EA405" s="43"/>
      <c r="EB405" s="43"/>
      <c r="EC405" s="43"/>
      <c r="ED405" s="43" t="s">
        <v>304</v>
      </c>
      <c r="EE405" s="44" t="s">
        <v>305</v>
      </c>
      <c r="EO405" s="15"/>
      <c r="EQ405" s="42"/>
      <c r="ER405" s="43"/>
      <c r="ES405" s="43"/>
      <c r="ET405" s="43"/>
      <c r="EU405" s="43"/>
      <c r="EV405" s="43" t="s">
        <v>304</v>
      </c>
      <c r="EW405" s="44" t="s">
        <v>305</v>
      </c>
    </row>
    <row r="406" spans="3:153" ht="13.5" thickBot="1" x14ac:dyDescent="0.25">
      <c r="C406" t="s">
        <v>250</v>
      </c>
      <c r="D406" s="6">
        <v>1999</v>
      </c>
      <c r="E406" s="6">
        <v>129</v>
      </c>
      <c r="F406" s="6">
        <v>80</v>
      </c>
      <c r="G406" s="64" t="e">
        <f t="shared" ref="G406:Q406" si="177">SUMPRODUCT($D250:$D299,G$167:G$296)</f>
        <v>#VALUE!</v>
      </c>
      <c r="H406" s="64" t="e">
        <f t="shared" si="177"/>
        <v>#VALUE!</v>
      </c>
      <c r="I406" s="64" t="e">
        <f t="shared" si="177"/>
        <v>#VALUE!</v>
      </c>
      <c r="J406" s="64" t="e">
        <f t="shared" si="177"/>
        <v>#VALUE!</v>
      </c>
      <c r="K406" s="64" t="e">
        <f t="shared" si="177"/>
        <v>#VALUE!</v>
      </c>
      <c r="L406" s="64" t="e">
        <f t="shared" si="177"/>
        <v>#VALUE!</v>
      </c>
      <c r="M406" s="64" t="e">
        <f t="shared" si="177"/>
        <v>#VALUE!</v>
      </c>
      <c r="N406" s="64" t="e">
        <f t="shared" si="177"/>
        <v>#VALUE!</v>
      </c>
      <c r="O406" s="64" t="e">
        <f t="shared" si="177"/>
        <v>#VALUE!</v>
      </c>
      <c r="P406" s="64" t="e">
        <f t="shared" si="177"/>
        <v>#VALUE!</v>
      </c>
      <c r="Q406" s="64" t="e">
        <f t="shared" si="177"/>
        <v>#VALUE!</v>
      </c>
      <c r="R406" s="65" t="s">
        <v>307</v>
      </c>
      <c r="S406" s="65"/>
      <c r="T406" s="64" t="e">
        <f>SUMPRODUCT($D250:$D299,T$167:T$296)</f>
        <v>#VALUE!</v>
      </c>
      <c r="U406" s="68"/>
      <c r="AJ406" s="42"/>
      <c r="AK406" s="43" t="s">
        <v>206</v>
      </c>
      <c r="AL406" s="13">
        <f>SUMPRODUCT($D247:$D$327,AL$216:AL296)</f>
        <v>5898.9999999999973</v>
      </c>
      <c r="AM406" s="47">
        <f>SUMPRODUCT($D268:$D$317,AL$247:AL296)</f>
        <v>4176.722239882869</v>
      </c>
      <c r="AN406" s="43">
        <v>4034</v>
      </c>
      <c r="AO406" s="13">
        <f>$AO$416*AN406</f>
        <v>4156.7103269072177</v>
      </c>
      <c r="AP406" s="44"/>
      <c r="AQ406" s="43"/>
      <c r="AR406" s="43"/>
      <c r="AS406" s="43"/>
      <c r="AT406" s="43"/>
      <c r="AU406" s="43"/>
      <c r="AW406" s="35"/>
      <c r="AX406">
        <v>198.20655822867934</v>
      </c>
      <c r="CA406" t="s">
        <v>337</v>
      </c>
      <c r="CX406">
        <f>DB$403*$CM415</f>
        <v>843.70736979194737</v>
      </c>
      <c r="DW406" s="57"/>
      <c r="DY406" s="42"/>
      <c r="DZ406" s="43"/>
      <c r="EA406" s="21" t="s">
        <v>241</v>
      </c>
      <c r="EB406" s="21" t="s">
        <v>242</v>
      </c>
      <c r="EC406" s="43"/>
      <c r="ED406" s="58">
        <v>2.5</v>
      </c>
      <c r="EE406" s="59">
        <v>80</v>
      </c>
      <c r="EO406" s="15"/>
      <c r="EQ406" s="42"/>
      <c r="ER406" s="43"/>
      <c r="ES406" s="21" t="s">
        <v>241</v>
      </c>
      <c r="ET406" s="21" t="s">
        <v>242</v>
      </c>
      <c r="EU406" s="43"/>
      <c r="EV406" s="58">
        <v>4</v>
      </c>
      <c r="EW406" s="59">
        <v>70</v>
      </c>
    </row>
    <row r="407" spans="3:153" x14ac:dyDescent="0.2">
      <c r="C407" t="s">
        <v>243</v>
      </c>
      <c r="D407">
        <v>1989</v>
      </c>
      <c r="G407" s="10">
        <f>289+552</f>
        <v>841</v>
      </c>
      <c r="H407" s="10">
        <f>428+514</f>
        <v>942</v>
      </c>
      <c r="I407" s="10"/>
      <c r="J407" s="10"/>
      <c r="K407" s="12">
        <f>9253-348-1448-1279-1702-2178-650-1003-561+348</f>
        <v>432</v>
      </c>
      <c r="L407" s="12">
        <f>8148-435-1244-2267-2201-1391-155-158-280+435</f>
        <v>452</v>
      </c>
      <c r="M407" s="12">
        <v>0</v>
      </c>
      <c r="N407" s="12"/>
      <c r="O407" s="12">
        <f>0.55*(385+492)</f>
        <v>482.35</v>
      </c>
      <c r="P407" s="12">
        <f>0.45*(385+492)</f>
        <v>394.65000000000003</v>
      </c>
      <c r="Q407" s="12"/>
      <c r="T407" s="12">
        <f>1654</f>
        <v>1654</v>
      </c>
      <c r="U407" s="12">
        <f>1654</f>
        <v>1654</v>
      </c>
      <c r="V407" t="s">
        <v>450</v>
      </c>
      <c r="AJ407" s="42"/>
      <c r="AK407" s="43" t="s">
        <v>296</v>
      </c>
      <c r="AL407" s="13">
        <f>SUMPRODUCT($D328:$D$353,AL$297:AL322)</f>
        <v>8097.9999999999991</v>
      </c>
      <c r="AM407" s="47">
        <f>SUMPRODUCT($D318:$D$343,AL$297:AL322)</f>
        <v>6597.8861955987004</v>
      </c>
      <c r="AN407" s="43">
        <v>6445</v>
      </c>
      <c r="AO407" s="13">
        <f>$AO$416*AN407</f>
        <v>6641.0505842630191</v>
      </c>
      <c r="AP407" s="44"/>
      <c r="AQ407" s="43"/>
      <c r="AR407" s="43"/>
      <c r="AS407" s="43"/>
      <c r="AT407" s="43"/>
      <c r="AU407" s="43"/>
      <c r="AW407" s="35"/>
      <c r="AX407">
        <v>5899</v>
      </c>
      <c r="CA407" t="s">
        <v>338</v>
      </c>
      <c r="DH407" t="s">
        <v>402</v>
      </c>
      <c r="DW407" s="57"/>
      <c r="DY407" s="42"/>
      <c r="DZ407" s="43" t="s">
        <v>114</v>
      </c>
      <c r="EA407" s="47">
        <f>EB389/EA389</f>
        <v>0.98515081957947293</v>
      </c>
      <c r="EB407" s="13">
        <f>ED389/EA389</f>
        <v>0.89831113225499548</v>
      </c>
      <c r="EC407" s="43"/>
      <c r="ED407" s="43"/>
      <c r="EE407" s="44"/>
      <c r="EO407" s="15"/>
      <c r="EQ407" s="42"/>
      <c r="ER407" s="43" t="s">
        <v>114</v>
      </c>
      <c r="ES407" s="47">
        <f>ET389/ES389</f>
        <v>0.9788373536092797</v>
      </c>
      <c r="ET407" s="13">
        <f>EV389/ES389</f>
        <v>0.99522102747909225</v>
      </c>
      <c r="EU407" s="43"/>
      <c r="EV407" s="43"/>
      <c r="EW407" s="44"/>
    </row>
    <row r="408" spans="3:153" x14ac:dyDescent="0.2">
      <c r="C408" t="s">
        <v>243</v>
      </c>
      <c r="D408">
        <v>1992</v>
      </c>
      <c r="G408" s="10">
        <v>599</v>
      </c>
      <c r="H408" s="10">
        <v>661</v>
      </c>
      <c r="I408" s="10"/>
      <c r="J408" s="10"/>
      <c r="K408" s="13">
        <v>192</v>
      </c>
      <c r="L408" s="13"/>
      <c r="M408" s="13"/>
      <c r="N408" s="13"/>
      <c r="O408" s="13"/>
      <c r="P408" s="13"/>
      <c r="Q408" s="13"/>
      <c r="T408" s="13"/>
      <c r="U408" s="13"/>
      <c r="AJ408" s="42"/>
      <c r="AK408" s="43" t="s">
        <v>151</v>
      </c>
      <c r="AL408" s="13">
        <f>SUMPRODUCT($D354:$D$367,AL$323:AL336)</f>
        <v>10511</v>
      </c>
      <c r="AM408" s="47">
        <f>SUMPRODUCT($D344:$D$357,AL$323:AL336)</f>
        <v>9645.1499627004905</v>
      </c>
      <c r="AN408" s="43">
        <f>9127+150</f>
        <v>9277</v>
      </c>
      <c r="AO408" s="13">
        <f>$AO$416*AN408</f>
        <v>9559.197249062534</v>
      </c>
      <c r="AP408" s="44"/>
      <c r="AQ408" s="43"/>
      <c r="AR408" s="43"/>
      <c r="AS408" s="43"/>
      <c r="AT408" s="43"/>
      <c r="AU408" s="43"/>
      <c r="AW408" s="35"/>
      <c r="CA408" t="s">
        <v>339</v>
      </c>
      <c r="DH408" t="s">
        <v>404</v>
      </c>
      <c r="DI408" t="s">
        <v>403</v>
      </c>
      <c r="DJ408" t="s">
        <v>420</v>
      </c>
      <c r="DN408" t="s">
        <v>435</v>
      </c>
      <c r="DW408" s="57"/>
      <c r="DY408" s="42"/>
      <c r="DZ408" s="43" t="s">
        <v>151</v>
      </c>
      <c r="EA408" s="47">
        <f>EB388/EA388</f>
        <v>0.91709554675179505</v>
      </c>
      <c r="EB408" s="13">
        <f>ED388/EA388</f>
        <v>1.1363636363636362</v>
      </c>
      <c r="EC408" s="43"/>
      <c r="ED408" s="43"/>
      <c r="EE408" s="44"/>
      <c r="EO408" s="15"/>
      <c r="EQ408" s="42"/>
      <c r="ER408" s="43" t="s">
        <v>151</v>
      </c>
      <c r="ES408" s="47">
        <f>ET388/ES388</f>
        <v>0.918597937506208</v>
      </c>
      <c r="ET408" s="13">
        <f>EV388/ES388</f>
        <v>0.80767534186149093</v>
      </c>
      <c r="EU408" s="43"/>
      <c r="EV408" s="43"/>
      <c r="EW408" s="44"/>
    </row>
    <row r="409" spans="3:153" x14ac:dyDescent="0.2">
      <c r="C409" t="s">
        <v>243</v>
      </c>
      <c r="D409">
        <v>1995</v>
      </c>
      <c r="G409" s="10">
        <v>1151</v>
      </c>
      <c r="H409" s="10">
        <v>816</v>
      </c>
      <c r="I409" s="10"/>
      <c r="J409" s="10"/>
      <c r="K409" s="13">
        <v>269</v>
      </c>
      <c r="L409" s="13"/>
      <c r="M409" s="13"/>
      <c r="N409" s="13"/>
      <c r="O409" s="13"/>
      <c r="P409" s="13"/>
      <c r="Q409" s="13"/>
      <c r="T409" s="13"/>
      <c r="U409" s="13"/>
      <c r="AJ409" s="42"/>
      <c r="AK409" s="43" t="s">
        <v>114</v>
      </c>
      <c r="AL409" s="13">
        <f>SUMPRODUCT($D368:$D$397,AL$337:AL366)</f>
        <v>38675</v>
      </c>
      <c r="AM409" s="47">
        <f>SUMPRODUCT($D358:$D$387,AL$337:AL366)</f>
        <v>38096.57851742013</v>
      </c>
      <c r="AN409" s="43">
        <f>10866+11840+13931+700</f>
        <v>37337</v>
      </c>
      <c r="AO409" s="13">
        <f>$AO$416*AN409</f>
        <v>38472.754951843031</v>
      </c>
      <c r="AP409" s="44"/>
      <c r="AQ409" s="43"/>
      <c r="AR409" s="43"/>
      <c r="AS409" s="43"/>
      <c r="AT409" s="43"/>
      <c r="AU409" s="43"/>
      <c r="AW409" s="35"/>
      <c r="CA409" t="s">
        <v>340</v>
      </c>
      <c r="DA409" t="s">
        <v>422</v>
      </c>
      <c r="DC409" t="s">
        <v>432</v>
      </c>
      <c r="DE409" t="s">
        <v>401</v>
      </c>
      <c r="DH409">
        <v>2609</v>
      </c>
      <c r="DI409">
        <v>2467</v>
      </c>
      <c r="DL409" t="s">
        <v>419</v>
      </c>
      <c r="DN409" t="s">
        <v>434</v>
      </c>
      <c r="DW409" s="57"/>
      <c r="DY409" s="42"/>
      <c r="DZ409" s="43" t="s">
        <v>296</v>
      </c>
      <c r="EA409" s="47">
        <f>EB387/EA387</f>
        <v>0.8063529315477741</v>
      </c>
      <c r="EB409" s="13">
        <f>ED387/EA387</f>
        <v>0.76399394856278335</v>
      </c>
      <c r="EC409" s="43"/>
      <c r="ED409" s="43"/>
      <c r="EE409" s="44"/>
      <c r="EO409" s="15"/>
      <c r="EQ409" s="42"/>
      <c r="ER409" s="43" t="s">
        <v>296</v>
      </c>
      <c r="ES409" s="47">
        <f>ET387/ES387</f>
        <v>0.80820775852826987</v>
      </c>
      <c r="ET409" s="13">
        <f>EV387/ES387</f>
        <v>0.91479099678456555</v>
      </c>
      <c r="EU409" s="43"/>
      <c r="EV409" s="43"/>
      <c r="EW409" s="44"/>
    </row>
    <row r="410" spans="3:153" x14ac:dyDescent="0.2">
      <c r="C410" t="s">
        <v>243</v>
      </c>
      <c r="D410" s="6">
        <v>1999</v>
      </c>
      <c r="E410" s="6"/>
      <c r="F410" s="6"/>
      <c r="G410" s="10">
        <v>702</v>
      </c>
      <c r="H410" s="10">
        <f>818+114</f>
        <v>932</v>
      </c>
      <c r="I410" s="11"/>
      <c r="J410" s="11"/>
      <c r="K410" s="11">
        <v>380</v>
      </c>
      <c r="L410" s="11">
        <v>278</v>
      </c>
      <c r="M410" s="11">
        <v>0</v>
      </c>
      <c r="N410" s="11"/>
      <c r="O410" s="11">
        <f>385</f>
        <v>385</v>
      </c>
      <c r="P410" s="11">
        <f>292</f>
        <v>292</v>
      </c>
      <c r="Q410" s="11"/>
      <c r="R410">
        <f>SUM(G410:Q410)</f>
        <v>2969</v>
      </c>
      <c r="T410" s="12">
        <f>1654</f>
        <v>1654</v>
      </c>
      <c r="U410" s="12">
        <f>1654</f>
        <v>1654</v>
      </c>
      <c r="AJ410" s="42"/>
      <c r="AK410" s="50" t="s">
        <v>321</v>
      </c>
      <c r="AL410" s="43">
        <f>SUM(AL406:AL409)</f>
        <v>63183</v>
      </c>
      <c r="AM410" s="43"/>
      <c r="AN410" s="43">
        <f>SUM(AN406:AN409)</f>
        <v>57093</v>
      </c>
      <c r="AO410" s="43">
        <f>SUM(AO406:AO409)</f>
        <v>58829.713112075799</v>
      </c>
      <c r="AP410" s="44"/>
      <c r="AQ410" s="43"/>
      <c r="AR410" s="43"/>
      <c r="AS410" s="43"/>
      <c r="AT410" s="43"/>
      <c r="AU410" s="43"/>
      <c r="AW410" s="35"/>
      <c r="AX410">
        <v>4034</v>
      </c>
      <c r="CI410" t="s">
        <v>363</v>
      </c>
      <c r="CL410" t="s">
        <v>421</v>
      </c>
      <c r="CM410" t="s">
        <v>367</v>
      </c>
      <c r="CX410">
        <v>19</v>
      </c>
      <c r="CY410" t="s">
        <v>371</v>
      </c>
      <c r="DB410" t="s">
        <v>373</v>
      </c>
      <c r="DC410" t="s">
        <v>400</v>
      </c>
      <c r="DG410">
        <v>1992</v>
      </c>
      <c r="DH410">
        <v>2609</v>
      </c>
      <c r="DI410">
        <v>2609</v>
      </c>
      <c r="DN410" s="75">
        <f>[2]CBECS_Adjust!M11</f>
        <v>41.617819460726849</v>
      </c>
      <c r="DW410" s="57"/>
      <c r="DY410" s="42"/>
      <c r="DZ410" s="43" t="s">
        <v>206</v>
      </c>
      <c r="EA410" s="47" t="e">
        <f>EB386/EA386</f>
        <v>#VALUE!</v>
      </c>
      <c r="EB410" s="13" t="e">
        <f>ED386/EA386</f>
        <v>#VALUE!</v>
      </c>
      <c r="EC410" s="43"/>
      <c r="ED410" s="43"/>
      <c r="EE410" s="44"/>
      <c r="EO410" s="15"/>
      <c r="EQ410" s="42"/>
      <c r="ER410" s="43" t="s">
        <v>206</v>
      </c>
      <c r="ES410" s="47" t="e">
        <f>ET386/ES386</f>
        <v>#VALUE!</v>
      </c>
      <c r="ET410" s="13" t="e">
        <f>EV386/ES386</f>
        <v>#VALUE!</v>
      </c>
      <c r="EU410" s="43"/>
      <c r="EV410" s="43"/>
      <c r="EW410" s="44"/>
    </row>
    <row r="411" spans="3:153" x14ac:dyDescent="0.2">
      <c r="C411" s="37" t="s">
        <v>252</v>
      </c>
      <c r="D411">
        <v>1989</v>
      </c>
      <c r="G411" s="18">
        <f t="shared" ref="G411:Q411" si="178">G407/G403</f>
        <v>95.127811013960383</v>
      </c>
      <c r="H411" s="18">
        <f t="shared" si="178"/>
        <v>106.55219735451925</v>
      </c>
      <c r="I411" s="18">
        <f t="shared" si="178"/>
        <v>0</v>
      </c>
      <c r="J411" s="18">
        <f t="shared" si="178"/>
        <v>0</v>
      </c>
      <c r="K411" s="18">
        <f t="shared" si="178"/>
        <v>48.864701971499272</v>
      </c>
      <c r="L411" s="18">
        <f t="shared" si="178"/>
        <v>51.126956692402018</v>
      </c>
      <c r="M411" s="18">
        <f t="shared" si="178"/>
        <v>0</v>
      </c>
      <c r="N411" s="18">
        <f t="shared" si="178"/>
        <v>0</v>
      </c>
      <c r="O411" s="18">
        <f t="shared" si="178"/>
        <v>54.559928231371934</v>
      </c>
      <c r="P411" s="18">
        <f t="shared" si="178"/>
        <v>44.639941280213399</v>
      </c>
      <c r="Q411" s="18">
        <f t="shared" si="178"/>
        <v>0</v>
      </c>
      <c r="R411" s="18"/>
      <c r="S411" s="18"/>
      <c r="T411" s="18">
        <f>T407/T403</f>
        <v>1.5183863918615312</v>
      </c>
      <c r="U411" s="18">
        <f>U407/U403</f>
        <v>1.5331894478912873</v>
      </c>
      <c r="AJ411" s="42"/>
      <c r="AK411" s="43"/>
      <c r="AL411" s="43"/>
      <c r="AM411" s="43"/>
      <c r="AN411" s="43"/>
      <c r="AO411" s="43"/>
      <c r="AP411" s="44"/>
      <c r="AQ411" s="43"/>
      <c r="AR411" s="43"/>
      <c r="AS411" s="43"/>
      <c r="AT411" s="43"/>
      <c r="AU411" s="43"/>
      <c r="AW411" s="35"/>
      <c r="AX411">
        <v>25.563305765408387</v>
      </c>
      <c r="CC411" t="s">
        <v>362</v>
      </c>
      <c r="CD411" t="s">
        <v>361</v>
      </c>
      <c r="CI411" t="s">
        <v>417</v>
      </c>
      <c r="CJ411" t="s">
        <v>418</v>
      </c>
      <c r="CM411" t="s">
        <v>297</v>
      </c>
      <c r="CN411" t="s">
        <v>368</v>
      </c>
      <c r="CP411" t="s">
        <v>68</v>
      </c>
      <c r="CX411">
        <f>CX404*CX$410</f>
        <v>11154.9</v>
      </c>
      <c r="CY411">
        <f>SUM(CN411:CX411)</f>
        <v>11154.9</v>
      </c>
      <c r="DA411" s="73">
        <f>[3]CBECS_Adjust!$W12</f>
        <v>13.281063740703914</v>
      </c>
      <c r="DB411">
        <f>(CF423+CY411)/CI413</f>
        <v>12.867623728646477</v>
      </c>
      <c r="DC411">
        <f>DB411/CE423</f>
        <v>0.96027042751093106</v>
      </c>
      <c r="DE411">
        <f>CC413*DC411</f>
        <v>1.0141641465983904</v>
      </c>
      <c r="DF411">
        <f>CF423*3.412*DE411*0.001</f>
        <v>2725.1633764000003</v>
      </c>
      <c r="DG411">
        <v>1995</v>
      </c>
      <c r="DH411">
        <v>2608</v>
      </c>
      <c r="DI411">
        <f>$DI$405*DH411</f>
        <v>2758.1159302796923</v>
      </c>
      <c r="DJ411">
        <f>[3]CBECS_Adjust!M12*3.412+DH411</f>
        <v>2754.656756046395</v>
      </c>
      <c r="DK411">
        <f>DJ411/3.412</f>
        <v>807.34371513669259</v>
      </c>
      <c r="DN411">
        <f>[2]CBECS_Adjust!M12</f>
        <v>42.834555183389817</v>
      </c>
      <c r="DW411" s="57"/>
      <c r="DY411" s="42"/>
      <c r="DZ411" s="43"/>
      <c r="EA411" s="43"/>
      <c r="EB411" s="43"/>
      <c r="EC411" s="43"/>
      <c r="ED411" s="43"/>
      <c r="EE411" s="44"/>
      <c r="EO411" s="15"/>
      <c r="EQ411" s="42"/>
      <c r="ER411" s="43"/>
      <c r="ES411" s="43"/>
      <c r="ET411" s="43"/>
      <c r="EU411" s="43"/>
      <c r="EV411" s="43"/>
      <c r="EW411" s="44"/>
    </row>
    <row r="412" spans="3:153" x14ac:dyDescent="0.2">
      <c r="C412" s="37" t="s">
        <v>252</v>
      </c>
      <c r="D412">
        <v>1992</v>
      </c>
      <c r="G412" s="18" t="e">
        <f t="shared" ref="G412:Q412" si="179">G408/G404</f>
        <v>#VALUE!</v>
      </c>
      <c r="H412" s="18" t="e">
        <f t="shared" si="179"/>
        <v>#VALUE!</v>
      </c>
      <c r="I412" s="18" t="e">
        <f t="shared" si="179"/>
        <v>#VALUE!</v>
      </c>
      <c r="J412" s="18" t="e">
        <f t="shared" si="179"/>
        <v>#VALUE!</v>
      </c>
      <c r="K412" s="18" t="e">
        <f t="shared" si="179"/>
        <v>#VALUE!</v>
      </c>
      <c r="L412" s="18" t="e">
        <f t="shared" si="179"/>
        <v>#VALUE!</v>
      </c>
      <c r="M412" s="18" t="e">
        <f t="shared" si="179"/>
        <v>#VALUE!</v>
      </c>
      <c r="N412" s="18" t="e">
        <f t="shared" si="179"/>
        <v>#VALUE!</v>
      </c>
      <c r="O412" s="18" t="e">
        <f t="shared" si="179"/>
        <v>#VALUE!</v>
      </c>
      <c r="P412" s="18" t="e">
        <f t="shared" si="179"/>
        <v>#VALUE!</v>
      </c>
      <c r="Q412" s="18" t="e">
        <f t="shared" si="179"/>
        <v>#VALUE!</v>
      </c>
      <c r="R412" s="18"/>
      <c r="S412" s="18"/>
      <c r="T412" s="18" t="e">
        <f>T408/T404</f>
        <v>#VALUE!</v>
      </c>
      <c r="U412" s="18"/>
      <c r="AJ412" s="42"/>
      <c r="AK412" s="43"/>
      <c r="AL412" s="43" t="s">
        <v>267</v>
      </c>
      <c r="AM412" s="43"/>
      <c r="AN412" s="43"/>
      <c r="AO412" s="44">
        <v>67876</v>
      </c>
      <c r="AP412" s="44"/>
      <c r="AQ412" s="43"/>
      <c r="AR412" s="43"/>
      <c r="AS412" s="43"/>
      <c r="AT412" s="43"/>
      <c r="AU412" s="43"/>
      <c r="AW412" s="35"/>
      <c r="AX412">
        <v>0</v>
      </c>
      <c r="CA412">
        <v>1989</v>
      </c>
      <c r="CD412">
        <v>59915</v>
      </c>
      <c r="CI412">
        <v>63184</v>
      </c>
      <c r="CK412">
        <f>CI412-CD412</f>
        <v>3269</v>
      </c>
      <c r="CM412">
        <f>CI412-CD412</f>
        <v>3269</v>
      </c>
      <c r="CN412">
        <v>983</v>
      </c>
      <c r="CP412">
        <f>0.7*2286</f>
        <v>1600.1999999999998</v>
      </c>
      <c r="CX412">
        <f>CX405*CX$410</f>
        <v>15064.023144295848</v>
      </c>
      <c r="CY412">
        <f>SUM(CN412:CX412)</f>
        <v>17647.223144295847</v>
      </c>
      <c r="DA412" s="73">
        <f>[3]CBECS_Adjust!$W13</f>
        <v>13.689814267424223</v>
      </c>
      <c r="DB412">
        <f>(CF424+CY412)/CI414</f>
        <v>13.314796576614681</v>
      </c>
      <c r="DC412">
        <f>DB412/CE424</f>
        <v>0.96484033163874494</v>
      </c>
      <c r="DE412">
        <f>CC414*DC412</f>
        <v>1.0189905296536659</v>
      </c>
      <c r="DF412">
        <f>CF424*3.412*DE412*0.001</f>
        <v>3230.862458168338</v>
      </c>
      <c r="DG412">
        <v>1999</v>
      </c>
      <c r="DH412">
        <v>3098</v>
      </c>
      <c r="DI412">
        <f>$DI$405*DH412</f>
        <v>3276.3202269963522</v>
      </c>
      <c r="DJ412">
        <f>[3]CBECS_Adjust!M13*3.412+DH412</f>
        <v>3261.0590349410204</v>
      </c>
      <c r="DK412">
        <f>DJ412/3.412</f>
        <v>955.76173357005291</v>
      </c>
      <c r="DN412">
        <f>[2]CBECS_Adjust!M13</f>
        <v>47.053150543099633</v>
      </c>
      <c r="DW412" s="57"/>
      <c r="DY412" s="48"/>
      <c r="DZ412" s="6"/>
      <c r="EA412" s="6"/>
      <c r="EB412" s="6"/>
      <c r="EC412" s="6"/>
      <c r="ED412" s="6"/>
      <c r="EE412" s="49"/>
      <c r="EO412" s="15"/>
      <c r="EQ412" s="48"/>
      <c r="ER412" s="6"/>
      <c r="ES412" s="6"/>
      <c r="ET412" s="6"/>
      <c r="EU412" s="6"/>
      <c r="EV412" s="6"/>
      <c r="EW412" s="49"/>
    </row>
    <row r="413" spans="3:153" x14ac:dyDescent="0.2">
      <c r="C413" s="37" t="s">
        <v>252</v>
      </c>
      <c r="D413">
        <v>1995</v>
      </c>
      <c r="G413" s="18" t="e">
        <f t="shared" ref="G413:Q413" si="180">G409/G405</f>
        <v>#VALUE!</v>
      </c>
      <c r="H413" s="18" t="e">
        <f t="shared" si="180"/>
        <v>#VALUE!</v>
      </c>
      <c r="I413" s="18" t="e">
        <f t="shared" si="180"/>
        <v>#VALUE!</v>
      </c>
      <c r="J413" s="18" t="e">
        <f t="shared" si="180"/>
        <v>#VALUE!</v>
      </c>
      <c r="K413" s="18" t="e">
        <f t="shared" si="180"/>
        <v>#VALUE!</v>
      </c>
      <c r="L413" s="18" t="e">
        <f t="shared" si="180"/>
        <v>#VALUE!</v>
      </c>
      <c r="M413" s="18" t="e">
        <f t="shared" si="180"/>
        <v>#VALUE!</v>
      </c>
      <c r="N413" s="18" t="e">
        <f t="shared" si="180"/>
        <v>#VALUE!</v>
      </c>
      <c r="O413" s="18" t="e">
        <f t="shared" si="180"/>
        <v>#VALUE!</v>
      </c>
      <c r="P413" s="18" t="e">
        <f t="shared" si="180"/>
        <v>#VALUE!</v>
      </c>
      <c r="Q413" s="18" t="e">
        <f t="shared" si="180"/>
        <v>#VALUE!</v>
      </c>
      <c r="R413" s="18"/>
      <c r="S413" s="18"/>
      <c r="T413" s="18" t="e">
        <f>T409/T405</f>
        <v>#VALUE!</v>
      </c>
      <c r="U413" s="18"/>
      <c r="AJ413" s="42"/>
      <c r="AK413" s="43"/>
      <c r="AL413" s="43" t="s">
        <v>268</v>
      </c>
      <c r="AM413" s="43"/>
      <c r="AN413" s="43"/>
      <c r="AO413" s="44">
        <v>1652</v>
      </c>
      <c r="AP413" s="44"/>
      <c r="AQ413" s="43"/>
      <c r="AR413" s="43"/>
      <c r="AS413" s="43"/>
      <c r="AT413" s="43"/>
      <c r="AU413" s="43"/>
      <c r="AW413" s="35"/>
      <c r="AX413">
        <v>0</v>
      </c>
      <c r="CA413">
        <v>1995</v>
      </c>
      <c r="CC413">
        <f>67876/64269</f>
        <v>1.0561234809939473</v>
      </c>
      <c r="CD413">
        <v>58772</v>
      </c>
      <c r="CI413">
        <f>CC413*CD413</f>
        <v>62070.489224976271</v>
      </c>
      <c r="CJ413">
        <f>[3]CBECS_Adjust!E12</f>
        <v>62.54402843918848</v>
      </c>
      <c r="CK413">
        <f>CI413-CD413</f>
        <v>3298.4892249762706</v>
      </c>
      <c r="CM413">
        <f>CI413-CD413</f>
        <v>3298.4892249762706</v>
      </c>
      <c r="CN413">
        <v>1652</v>
      </c>
      <c r="CP413">
        <f>0.7*1957</f>
        <v>1369.8999999999999</v>
      </c>
      <c r="CX413">
        <f>CX406*CX$410</f>
        <v>16030.440026046999</v>
      </c>
      <c r="CY413">
        <f>SUM(CN413:CX413)</f>
        <v>19052.340026047001</v>
      </c>
      <c r="DA413" s="73">
        <f>[3]CBECS_Adjust!$W14</f>
        <v>14.749092097872971</v>
      </c>
      <c r="DB413">
        <f>DC413*CE425</f>
        <v>13.83915</v>
      </c>
      <c r="DC413" s="27">
        <v>0.98150000000000004</v>
      </c>
      <c r="DE413">
        <f>CC415*DC413</f>
        <v>1.0365851965955593</v>
      </c>
      <c r="DF413">
        <f>CF425*3.412*DE413*0.001</f>
        <v>3573.5331915712663</v>
      </c>
      <c r="DG413">
        <v>2003</v>
      </c>
      <c r="DH413">
        <f>3037/(1-0.097)</f>
        <v>3363.2336655592467</v>
      </c>
      <c r="DI413">
        <f>$DI$405*DH413</f>
        <v>3556.8206864386198</v>
      </c>
      <c r="DJ413">
        <f>[3]CBECS_Adjust!M14*3.412+DH413</f>
        <v>3566.2160629104628</v>
      </c>
      <c r="DK413">
        <f>DJ413/3.412</f>
        <v>1045.198142705294</v>
      </c>
      <c r="DN413">
        <f>[2]CBECS_Adjust!M14</f>
        <v>57.283009216610267</v>
      </c>
      <c r="DW413" s="57"/>
      <c r="EO413" s="15"/>
    </row>
    <row r="414" spans="3:153" x14ac:dyDescent="0.2">
      <c r="C414" s="37" t="s">
        <v>252</v>
      </c>
      <c r="D414">
        <v>1999</v>
      </c>
      <c r="G414" s="18" t="e">
        <f t="shared" ref="G414:Q414" si="181">G410/G406</f>
        <v>#VALUE!</v>
      </c>
      <c r="H414" s="18" t="e">
        <f t="shared" si="181"/>
        <v>#VALUE!</v>
      </c>
      <c r="I414" s="18" t="e">
        <f t="shared" si="181"/>
        <v>#VALUE!</v>
      </c>
      <c r="J414" s="18" t="e">
        <f t="shared" si="181"/>
        <v>#VALUE!</v>
      </c>
      <c r="K414" s="18" t="e">
        <f t="shared" si="181"/>
        <v>#VALUE!</v>
      </c>
      <c r="L414" s="18" t="e">
        <f t="shared" si="181"/>
        <v>#VALUE!</v>
      </c>
      <c r="M414" s="18" t="e">
        <f t="shared" si="181"/>
        <v>#VALUE!</v>
      </c>
      <c r="N414" s="18" t="e">
        <f t="shared" si="181"/>
        <v>#VALUE!</v>
      </c>
      <c r="O414" s="18" t="e">
        <f t="shared" si="181"/>
        <v>#VALUE!</v>
      </c>
      <c r="P414" s="18" t="e">
        <f t="shared" si="181"/>
        <v>#VALUE!</v>
      </c>
      <c r="Q414" s="18" t="e">
        <f t="shared" si="181"/>
        <v>#VALUE!</v>
      </c>
      <c r="R414" s="18"/>
      <c r="S414" s="18"/>
      <c r="T414" s="18" t="e">
        <f>T410/T406</f>
        <v>#VALUE!</v>
      </c>
      <c r="U414" s="18"/>
      <c r="AJ414" s="42"/>
      <c r="AK414" s="43"/>
      <c r="AL414" s="43" t="s">
        <v>269</v>
      </c>
      <c r="AM414" s="43"/>
      <c r="AN414" s="43"/>
      <c r="AO414" s="44">
        <f>AO412-AO413</f>
        <v>66224</v>
      </c>
      <c r="AP414" s="44"/>
      <c r="AQ414" s="43"/>
      <c r="AR414" s="43"/>
      <c r="AS414" s="43"/>
      <c r="AT414" s="43"/>
      <c r="AU414" s="43"/>
      <c r="AW414" s="35"/>
      <c r="AX414">
        <v>20.352505164565759</v>
      </c>
      <c r="CA414">
        <v>1999</v>
      </c>
      <c r="CC414">
        <f>67876/64269</f>
        <v>1.0561234809939473</v>
      </c>
      <c r="CD414">
        <v>67338</v>
      </c>
      <c r="CI414">
        <f>CC414*CD414</f>
        <v>71117.242963170414</v>
      </c>
      <c r="CJ414">
        <f>[3]CBECS_Adjust!E13</f>
        <v>71.496480181304321</v>
      </c>
      <c r="CM414">
        <f>CI414-CD414</f>
        <v>3779.2429631704144</v>
      </c>
      <c r="CN414">
        <f>CZ$403*$CM414</f>
        <v>1136.4318852237741</v>
      </c>
      <c r="CP414">
        <f>DA$403*$CM414</f>
        <v>1849.967754562648</v>
      </c>
      <c r="DA414">
        <f>DA413</f>
        <v>14.749092097872971</v>
      </c>
      <c r="DC414">
        <f>CD426/CD425</f>
        <v>0.97938820508526614</v>
      </c>
      <c r="DH414">
        <v>3559</v>
      </c>
      <c r="DJ414">
        <f>[3]CBECS_Adjust!M14*3.412+DH414</f>
        <v>3761.9823973512162</v>
      </c>
      <c r="DK414">
        <f>DJ414/3.412</f>
        <v>1102.5739734323611</v>
      </c>
      <c r="DW414" s="57"/>
      <c r="DZ414" s="17" t="s">
        <v>299</v>
      </c>
      <c r="EA414" s="17"/>
      <c r="EB414" s="17"/>
      <c r="EC414" s="17"/>
      <c r="EO414" s="15"/>
      <c r="ER414" s="17" t="s">
        <v>312</v>
      </c>
      <c r="ES414" s="17"/>
      <c r="ET414" s="17"/>
      <c r="EU414" s="17"/>
    </row>
    <row r="415" spans="3:153" x14ac:dyDescent="0.2">
      <c r="D415" t="s">
        <v>153</v>
      </c>
      <c r="G415" s="18"/>
      <c r="H415" s="66">
        <f>H411</f>
        <v>106.55219735451925</v>
      </c>
      <c r="I415" s="18"/>
      <c r="J415" s="18"/>
      <c r="K415" s="18"/>
      <c r="L415" s="66">
        <f>L411</f>
        <v>51.126956692402018</v>
      </c>
      <c r="M415" s="18"/>
      <c r="N415" s="18"/>
      <c r="O415" s="18"/>
      <c r="P415" s="18"/>
      <c r="Q415" s="18"/>
      <c r="R415" s="18"/>
      <c r="S415" s="18"/>
      <c r="T415" s="66">
        <f>T411</f>
        <v>1.5183863918615312</v>
      </c>
      <c r="U415" s="66">
        <f>U411</f>
        <v>1.5331894478912873</v>
      </c>
      <c r="V415" t="s">
        <v>451</v>
      </c>
      <c r="AJ415" s="42"/>
      <c r="AK415" s="43"/>
      <c r="AL415" s="43" t="s">
        <v>270</v>
      </c>
      <c r="AM415" s="43"/>
      <c r="AN415" s="43"/>
      <c r="AO415" s="44">
        <v>64269</v>
      </c>
      <c r="AP415" s="44"/>
      <c r="AQ415" s="43"/>
      <c r="AR415" s="43"/>
      <c r="AS415" s="43"/>
      <c r="AT415" s="43"/>
      <c r="AU415" s="43"/>
      <c r="AW415" s="35"/>
      <c r="AX415">
        <v>25.563305765408387</v>
      </c>
      <c r="CA415">
        <v>2003</v>
      </c>
      <c r="CC415">
        <f>67876/64269</f>
        <v>1.0561234809939473</v>
      </c>
      <c r="CD415">
        <v>71658</v>
      </c>
      <c r="CI415">
        <f>CC415*CD415</f>
        <v>75679.69640106427</v>
      </c>
      <c r="CJ415">
        <f>[3]CBECS_Adjust!E14</f>
        <v>76.285679062717193</v>
      </c>
      <c r="CM415">
        <f>CI415-CD415</f>
        <v>4021.6964010642696</v>
      </c>
      <c r="CN415">
        <f>CZ$403*$CM415</f>
        <v>1209.3385017577782</v>
      </c>
      <c r="CP415">
        <f>DA$403*$CM415</f>
        <v>1968.6505295145437</v>
      </c>
      <c r="DW415" s="57"/>
      <c r="EO415" s="15"/>
    </row>
    <row r="416" spans="3:153" x14ac:dyDescent="0.2">
      <c r="AJ416" s="42"/>
      <c r="AK416" s="43"/>
      <c r="AL416" s="43" t="s">
        <v>271</v>
      </c>
      <c r="AM416" s="43"/>
      <c r="AN416" s="43"/>
      <c r="AO416" s="44">
        <f>AO414/AO415</f>
        <v>1.0304190200563257</v>
      </c>
      <c r="AP416" s="44"/>
      <c r="AQ416" s="43"/>
      <c r="AR416" s="43"/>
      <c r="AS416" s="43"/>
      <c r="AT416" s="43"/>
      <c r="AU416" s="43"/>
      <c r="AW416" s="35"/>
      <c r="DW416" s="57"/>
      <c r="DZ416" s="45" t="s">
        <v>279</v>
      </c>
      <c r="EA416" s="43"/>
      <c r="EB416" s="43"/>
      <c r="EC416" s="43"/>
      <c r="ED416" s="43"/>
      <c r="EE416" s="43"/>
      <c r="EO416" s="15"/>
      <c r="ER416" s="45" t="s">
        <v>279</v>
      </c>
      <c r="ES416" s="43"/>
      <c r="ET416" s="43"/>
      <c r="EU416" s="43"/>
      <c r="EV416" s="43"/>
      <c r="EW416" s="43"/>
    </row>
    <row r="417" spans="3:153" x14ac:dyDescent="0.2">
      <c r="AJ417" s="42"/>
      <c r="AK417" s="43"/>
      <c r="AL417" s="43" t="s">
        <v>272</v>
      </c>
      <c r="AM417" s="43"/>
      <c r="AN417" s="43"/>
      <c r="AO417" s="44"/>
      <c r="AP417" s="44"/>
      <c r="AQ417" s="43"/>
      <c r="AR417" s="43"/>
      <c r="AS417" s="43"/>
      <c r="AT417" s="43"/>
      <c r="AU417" s="43"/>
      <c r="AW417" s="35"/>
      <c r="DW417" s="57"/>
      <c r="DZ417" s="43"/>
      <c r="EA417" s="43"/>
      <c r="EB417" s="43" t="s">
        <v>265</v>
      </c>
      <c r="EC417" s="43" t="s">
        <v>276</v>
      </c>
      <c r="ED417" s="43"/>
      <c r="EE417" s="43"/>
      <c r="EO417" s="15"/>
      <c r="ER417" s="43"/>
      <c r="ES417" s="43"/>
      <c r="ET417" s="43" t="s">
        <v>265</v>
      </c>
      <c r="EU417" s="43" t="s">
        <v>276</v>
      </c>
      <c r="EV417" s="43"/>
      <c r="EW417" s="43"/>
    </row>
    <row r="418" spans="3:153" x14ac:dyDescent="0.2">
      <c r="G418" t="s">
        <v>111</v>
      </c>
      <c r="H418" t="s">
        <v>111</v>
      </c>
      <c r="I418" t="s">
        <v>111</v>
      </c>
      <c r="J418" t="s">
        <v>111</v>
      </c>
      <c r="K418" t="s">
        <v>111</v>
      </c>
      <c r="L418" t="s">
        <v>111</v>
      </c>
      <c r="M418" t="s">
        <v>111</v>
      </c>
      <c r="N418" t="s">
        <v>111</v>
      </c>
      <c r="O418" t="s">
        <v>111</v>
      </c>
      <c r="P418" t="s">
        <v>111</v>
      </c>
      <c r="Q418" t="s">
        <v>111</v>
      </c>
      <c r="T418" t="s">
        <v>111</v>
      </c>
      <c r="AJ418" s="42"/>
      <c r="AK418" s="43"/>
      <c r="AL418" s="43"/>
      <c r="AP418" s="44"/>
      <c r="AQ418" s="43"/>
      <c r="AR418" s="43"/>
      <c r="AS418" s="43"/>
      <c r="AT418" s="43"/>
      <c r="AU418" s="43"/>
      <c r="AW418" s="35"/>
      <c r="DW418" s="57"/>
      <c r="DZ418" s="43" t="s">
        <v>264</v>
      </c>
      <c r="EA418" s="46" t="s">
        <v>184</v>
      </c>
      <c r="EB418" s="46" t="s">
        <v>266</v>
      </c>
      <c r="EC418" s="43" t="s">
        <v>278</v>
      </c>
      <c r="ED418" s="43" t="s">
        <v>277</v>
      </c>
      <c r="EE418" s="43"/>
      <c r="EO418" s="15"/>
      <c r="ER418" s="43" t="s">
        <v>264</v>
      </c>
      <c r="ES418" s="46" t="s">
        <v>184</v>
      </c>
      <c r="ET418" s="46" t="s">
        <v>266</v>
      </c>
      <c r="EU418" s="43" t="s">
        <v>278</v>
      </c>
      <c r="EV418" s="43" t="s">
        <v>277</v>
      </c>
      <c r="EW418" s="43"/>
    </row>
    <row r="419" spans="3:153" x14ac:dyDescent="0.2">
      <c r="C419" t="s">
        <v>258</v>
      </c>
      <c r="AJ419" s="42"/>
      <c r="AK419" s="43"/>
      <c r="AL419" s="43"/>
      <c r="AP419" s="44"/>
      <c r="AQ419" s="43"/>
      <c r="AR419" s="43"/>
      <c r="AS419" s="43"/>
      <c r="AT419" s="43"/>
      <c r="AU419" s="43"/>
      <c r="AW419" s="35"/>
      <c r="AX419">
        <v>6449.1</v>
      </c>
      <c r="DW419" s="57"/>
      <c r="DZ419" s="43" t="s">
        <v>206</v>
      </c>
      <c r="EA419" s="13">
        <f>2368+3665-150</f>
        <v>5883</v>
      </c>
      <c r="EB419" s="47" t="e">
        <f>SUMPRODUCT($D299:$D$317,EA$10:EA327)</f>
        <v>#VALUE!</v>
      </c>
      <c r="EC419" s="43">
        <f>5329</f>
        <v>5329</v>
      </c>
      <c r="ED419" s="13">
        <f>1721+3608</f>
        <v>5329</v>
      </c>
      <c r="EE419" s="43"/>
      <c r="EO419" s="15"/>
      <c r="ER419" s="43" t="s">
        <v>206</v>
      </c>
      <c r="ES419" s="13">
        <f>2368+3665-150</f>
        <v>5883</v>
      </c>
      <c r="ET419" s="47" t="e">
        <f>SUMPRODUCT($D299:$D$317,ES$10:ES327)</f>
        <v>#VALUE!</v>
      </c>
      <c r="EU419" s="43">
        <f>5329</f>
        <v>5329</v>
      </c>
      <c r="EV419" s="13">
        <f>1721+3608</f>
        <v>5329</v>
      </c>
      <c r="EW419" s="43"/>
    </row>
    <row r="420" spans="3:153" ht="13.5" thickBot="1" x14ac:dyDescent="0.25">
      <c r="C420" s="21" t="s">
        <v>364</v>
      </c>
      <c r="D420" s="21"/>
      <c r="E420" t="s">
        <v>262</v>
      </c>
      <c r="G420">
        <f t="shared" ref="G420:Q420" si="182">SUM(G167:G296)</f>
        <v>81</v>
      </c>
      <c r="H420">
        <f t="shared" si="182"/>
        <v>81</v>
      </c>
      <c r="I420">
        <f t="shared" si="182"/>
        <v>81</v>
      </c>
      <c r="J420">
        <f t="shared" si="182"/>
        <v>81</v>
      </c>
      <c r="K420">
        <f t="shared" si="182"/>
        <v>81</v>
      </c>
      <c r="L420">
        <f t="shared" si="182"/>
        <v>81</v>
      </c>
      <c r="M420">
        <f t="shared" si="182"/>
        <v>81</v>
      </c>
      <c r="N420">
        <f t="shared" si="182"/>
        <v>81</v>
      </c>
      <c r="O420">
        <f t="shared" si="182"/>
        <v>81</v>
      </c>
      <c r="P420">
        <f t="shared" si="182"/>
        <v>81</v>
      </c>
      <c r="Q420">
        <f t="shared" si="182"/>
        <v>81</v>
      </c>
      <c r="T420">
        <f>SUM(T277:T296)</f>
        <v>4002.034829901856</v>
      </c>
      <c r="U420">
        <f>SUM(U277:U296)</f>
        <v>3978.6302375066266</v>
      </c>
      <c r="AJ420" s="42"/>
      <c r="AK420" s="43"/>
      <c r="AL420" s="43"/>
      <c r="AP420" s="44"/>
      <c r="AQ420" s="43"/>
      <c r="AR420" s="43"/>
      <c r="AS420" s="43"/>
      <c r="AT420" s="43"/>
      <c r="AU420" s="43"/>
      <c r="AW420" s="35"/>
      <c r="CE420" t="s">
        <v>423</v>
      </c>
      <c r="CJ420" t="s">
        <v>430</v>
      </c>
      <c r="CM420" t="s">
        <v>369</v>
      </c>
      <c r="DW420" s="57"/>
      <c r="DZ420" s="43" t="s">
        <v>296</v>
      </c>
      <c r="EA420" s="13">
        <f>8594+150</f>
        <v>8744</v>
      </c>
      <c r="EB420" s="47" t="e">
        <f>SUMPRODUCT($D$343:$D349,EA$297:EA353)</f>
        <v>#VALUE!</v>
      </c>
      <c r="EC420" s="43">
        <f>8712</f>
        <v>8712</v>
      </c>
      <c r="ED420" s="13">
        <f>8712</f>
        <v>8712</v>
      </c>
      <c r="EE420" s="43"/>
      <c r="EO420" s="15"/>
      <c r="ER420" s="43" t="s">
        <v>296</v>
      </c>
      <c r="ES420" s="13">
        <f>8594+150</f>
        <v>8744</v>
      </c>
      <c r="ET420" s="47" t="e">
        <f>SUMPRODUCT($D$343:$D349,ES$297:ES353)</f>
        <v>#VALUE!</v>
      </c>
      <c r="EU420" s="43">
        <f>8712</f>
        <v>8712</v>
      </c>
      <c r="EV420" s="13">
        <f>8712</f>
        <v>8712</v>
      </c>
      <c r="EW420" s="43"/>
    </row>
    <row r="421" spans="3:153" x14ac:dyDescent="0.2">
      <c r="D421" t="s">
        <v>109</v>
      </c>
      <c r="E421" t="s">
        <v>106</v>
      </c>
      <c r="F421" t="s">
        <v>110</v>
      </c>
      <c r="AJ421" s="42"/>
      <c r="AK421" s="43"/>
      <c r="AL421" s="43"/>
      <c r="AM421" s="43"/>
      <c r="AN421" s="43"/>
      <c r="AO421" s="43"/>
      <c r="AP421" s="44"/>
      <c r="AQ421" s="43"/>
      <c r="AR421" s="43"/>
      <c r="AS421" s="43"/>
      <c r="AT421" s="43"/>
      <c r="AU421" s="43"/>
      <c r="AW421" s="35"/>
      <c r="AX421">
        <v>4255.3587720601927</v>
      </c>
      <c r="CE421" t="s">
        <v>370</v>
      </c>
      <c r="CF421" t="s">
        <v>372</v>
      </c>
      <c r="DW421" s="57"/>
      <c r="DZ421" s="43" t="s">
        <v>151</v>
      </c>
      <c r="EA421" s="13">
        <f>9712</f>
        <v>9712</v>
      </c>
      <c r="EB421" s="47" t="e">
        <f>SUMPRODUCT($D$357:$D375,EA$323:EA367)</f>
        <v>#VALUE!</v>
      </c>
      <c r="EC421" s="43">
        <f>10421</f>
        <v>10421</v>
      </c>
      <c r="ED421" s="13">
        <f>EC421-400</f>
        <v>10021</v>
      </c>
      <c r="EE421" s="43"/>
      <c r="EO421" s="15"/>
      <c r="ER421" s="43" t="s">
        <v>151</v>
      </c>
      <c r="ES421" s="13">
        <f>9712</f>
        <v>9712</v>
      </c>
      <c r="ET421" s="47" t="e">
        <f>SUMPRODUCT($D$357:$D375,ES$323:ES367)</f>
        <v>#VALUE!</v>
      </c>
      <c r="EU421" s="43">
        <f>10421</f>
        <v>10421</v>
      </c>
      <c r="EV421" s="13">
        <f>EU421-400</f>
        <v>10021</v>
      </c>
      <c r="EW421" s="43"/>
    </row>
    <row r="422" spans="3:153" ht="13.5" thickBot="1" x14ac:dyDescent="0.25">
      <c r="C422" t="s">
        <v>250</v>
      </c>
      <c r="D422">
        <v>1989</v>
      </c>
      <c r="E422">
        <v>89</v>
      </c>
      <c r="F422">
        <v>70</v>
      </c>
      <c r="G422" s="19">
        <f>SUMPRODUCT($D308:$D327,G$277:G$296)</f>
        <v>8.4807931167738637</v>
      </c>
      <c r="H422" s="19">
        <f t="shared" ref="H422:U422" si="183">SUMPRODUCT($D308:$D327,H$277:H$296)</f>
        <v>8.4807931167738637</v>
      </c>
      <c r="I422" s="19">
        <f t="shared" si="183"/>
        <v>8.4807931167738637</v>
      </c>
      <c r="J422" s="19">
        <f t="shared" si="183"/>
        <v>8.4807931167738637</v>
      </c>
      <c r="K422" s="19">
        <f t="shared" si="183"/>
        <v>8.4807931167738637</v>
      </c>
      <c r="L422" s="19">
        <f t="shared" si="183"/>
        <v>8.4807931167738637</v>
      </c>
      <c r="M422" s="19">
        <f t="shared" si="183"/>
        <v>8.4807931167738637</v>
      </c>
      <c r="N422" s="19">
        <f t="shared" si="183"/>
        <v>8.4807931167738637</v>
      </c>
      <c r="O422" s="19">
        <f t="shared" si="183"/>
        <v>8.4807931167738637</v>
      </c>
      <c r="P422" s="19">
        <f t="shared" si="183"/>
        <v>8.4807931167738637</v>
      </c>
      <c r="Q422" s="19">
        <f t="shared" si="183"/>
        <v>8.4807931167738637</v>
      </c>
      <c r="R422" s="19"/>
      <c r="S422" s="19"/>
      <c r="T422" s="19">
        <f t="shared" si="183"/>
        <v>1721.6630507992031</v>
      </c>
      <c r="U422" s="19">
        <f t="shared" si="183"/>
        <v>1713.9426592552793</v>
      </c>
      <c r="AJ422" s="42"/>
      <c r="AK422" s="43"/>
      <c r="AL422" s="21" t="s">
        <v>241</v>
      </c>
      <c r="AM422" s="21" t="s">
        <v>242</v>
      </c>
      <c r="AN422" s="43"/>
      <c r="AO422" s="43"/>
      <c r="AP422" s="44"/>
      <c r="AQ422" s="43"/>
      <c r="AR422" s="43"/>
      <c r="AS422" s="43"/>
      <c r="AT422" s="43"/>
      <c r="AU422" s="43"/>
      <c r="AW422" s="35"/>
      <c r="AX422">
        <v>4121.5647599355943</v>
      </c>
      <c r="CK422" t="s">
        <v>370</v>
      </c>
      <c r="CN422">
        <v>6</v>
      </c>
      <c r="CP422">
        <v>6.5</v>
      </c>
      <c r="DW422" s="57"/>
      <c r="DZ422" s="43" t="s">
        <v>275</v>
      </c>
      <c r="EA422" s="13">
        <f>11469+4307+8230+5205+4678</f>
        <v>33889</v>
      </c>
      <c r="EB422" s="47" t="e">
        <f>SUMPRODUCT($D$387:$D389,EA$337:EA399)</f>
        <v>#VALUE!</v>
      </c>
      <c r="EC422" s="50">
        <f>12612+14014+10149</f>
        <v>36775</v>
      </c>
      <c r="ED422" s="13">
        <f>EC422-1252</f>
        <v>35523</v>
      </c>
      <c r="EE422" s="43"/>
      <c r="EO422" s="15"/>
      <c r="ER422" s="43" t="s">
        <v>275</v>
      </c>
      <c r="ES422" s="13">
        <f>11469+4307+8230+5205+4678</f>
        <v>33889</v>
      </c>
      <c r="ET422" s="47" t="e">
        <f>SUMPRODUCT($D$387:$D389,ES$337:ES399)</f>
        <v>#VALUE!</v>
      </c>
      <c r="EU422" s="50">
        <f>12612+14014+10149</f>
        <v>36775</v>
      </c>
      <c r="EV422" s="13">
        <f>EU422-1252</f>
        <v>35523</v>
      </c>
      <c r="EW422" s="43"/>
    </row>
    <row r="423" spans="3:153" x14ac:dyDescent="0.2">
      <c r="C423" t="s">
        <v>250</v>
      </c>
      <c r="D423">
        <v>1992</v>
      </c>
      <c r="E423">
        <v>122</v>
      </c>
      <c r="F423">
        <v>73</v>
      </c>
      <c r="G423" s="19" t="e">
        <f t="shared" ref="G423:Q423" si="184">SUMPRODUCT($D276:$D325,G$167:G$296)</f>
        <v>#VALUE!</v>
      </c>
      <c r="H423" s="19" t="e">
        <f t="shared" si="184"/>
        <v>#VALUE!</v>
      </c>
      <c r="I423" s="19" t="e">
        <f t="shared" si="184"/>
        <v>#VALUE!</v>
      </c>
      <c r="J423" s="19" t="e">
        <f t="shared" si="184"/>
        <v>#VALUE!</v>
      </c>
      <c r="K423" s="19" t="e">
        <f t="shared" si="184"/>
        <v>#VALUE!</v>
      </c>
      <c r="L423" s="19" t="e">
        <f t="shared" si="184"/>
        <v>#VALUE!</v>
      </c>
      <c r="M423" s="19" t="e">
        <f t="shared" si="184"/>
        <v>#VALUE!</v>
      </c>
      <c r="N423" s="19" t="e">
        <f t="shared" si="184"/>
        <v>#VALUE!</v>
      </c>
      <c r="O423" s="19" t="e">
        <f t="shared" si="184"/>
        <v>#VALUE!</v>
      </c>
      <c r="P423" s="19" t="e">
        <f t="shared" si="184"/>
        <v>#VALUE!</v>
      </c>
      <c r="Q423" s="19" t="e">
        <f t="shared" si="184"/>
        <v>#VALUE!</v>
      </c>
      <c r="R423" s="19"/>
      <c r="S423" s="19"/>
      <c r="T423" s="19" t="e">
        <f>SUMPRODUCT($D276:$D325,T$167:T$296)</f>
        <v>#VALUE!</v>
      </c>
      <c r="U423" s="19"/>
      <c r="AJ423" s="50"/>
      <c r="AK423" s="43" t="s">
        <v>114</v>
      </c>
      <c r="AL423" s="47">
        <f>AM409/AL409</f>
        <v>0.98504404699211712</v>
      </c>
      <c r="AM423" s="13">
        <f>AO409/AL409</f>
        <v>0.99477065163136469</v>
      </c>
      <c r="AN423" s="43">
        <f>(AL423-AM423)^2</f>
        <v>9.4606837808232372E-5</v>
      </c>
      <c r="AO423" s="43"/>
      <c r="AP423" s="44"/>
      <c r="AQ423" s="43"/>
      <c r="AR423" s="43"/>
      <c r="AS423" s="43"/>
      <c r="AT423" s="43"/>
      <c r="AU423" s="43"/>
      <c r="AW423" s="35"/>
      <c r="AX423">
        <v>3987.3963776464861</v>
      </c>
      <c r="CA423">
        <v>1995</v>
      </c>
      <c r="CD423">
        <f>CD413</f>
        <v>58772</v>
      </c>
      <c r="CE423">
        <v>13.4</v>
      </c>
      <c r="CF423">
        <f>CD423*CE423</f>
        <v>787544.8</v>
      </c>
      <c r="CH423">
        <v>57076</v>
      </c>
      <c r="CI423">
        <v>2608</v>
      </c>
      <c r="CJ423">
        <f>CI423/CH423/3.412*1000</f>
        <v>13.391987499935301</v>
      </c>
      <c r="CN423">
        <f>CN413*CP$422</f>
        <v>10738</v>
      </c>
      <c r="CP423">
        <f>CP413*CP$422</f>
        <v>8904.3499999999985</v>
      </c>
      <c r="DW423" s="57"/>
      <c r="DZ423" s="43"/>
      <c r="EA423" s="43"/>
      <c r="EB423" s="43"/>
      <c r="EC423" s="43">
        <f>SUM(EC419:EC422)</f>
        <v>61237</v>
      </c>
      <c r="ED423" s="43">
        <f>SUM(ED419:ED422)</f>
        <v>59585</v>
      </c>
      <c r="EE423" s="43"/>
      <c r="EO423" s="15"/>
      <c r="ER423" s="43"/>
      <c r="ES423" s="43"/>
      <c r="ET423" s="43"/>
      <c r="EU423" s="43">
        <f>SUM(EU419:EU422)</f>
        <v>61237</v>
      </c>
      <c r="EV423" s="43">
        <f>SUM(EV419:EV422)</f>
        <v>59585</v>
      </c>
      <c r="EW423" s="43"/>
    </row>
    <row r="424" spans="3:153" x14ac:dyDescent="0.2">
      <c r="C424" t="s">
        <v>250</v>
      </c>
      <c r="D424">
        <v>1995</v>
      </c>
      <c r="E424">
        <v>125</v>
      </c>
      <c r="F424">
        <v>76</v>
      </c>
      <c r="G424" s="19" t="e">
        <f t="shared" ref="G424:Q424" si="185">SUMPRODUCT($D273:$D322,G$167:G$296)</f>
        <v>#VALUE!</v>
      </c>
      <c r="H424" s="19" t="e">
        <f t="shared" si="185"/>
        <v>#VALUE!</v>
      </c>
      <c r="I424" s="19" t="e">
        <f t="shared" si="185"/>
        <v>#VALUE!</v>
      </c>
      <c r="J424" s="19" t="e">
        <f t="shared" si="185"/>
        <v>#VALUE!</v>
      </c>
      <c r="K424" s="19" t="e">
        <f t="shared" si="185"/>
        <v>#VALUE!</v>
      </c>
      <c r="L424" s="19" t="e">
        <f t="shared" si="185"/>
        <v>#VALUE!</v>
      </c>
      <c r="M424" s="19" t="e">
        <f t="shared" si="185"/>
        <v>#VALUE!</v>
      </c>
      <c r="N424" s="19" t="e">
        <f t="shared" si="185"/>
        <v>#VALUE!</v>
      </c>
      <c r="O424" s="19" t="e">
        <f t="shared" si="185"/>
        <v>#VALUE!</v>
      </c>
      <c r="P424" s="19" t="e">
        <f t="shared" si="185"/>
        <v>#VALUE!</v>
      </c>
      <c r="Q424" s="19" t="e">
        <f t="shared" si="185"/>
        <v>#VALUE!</v>
      </c>
      <c r="R424" s="19"/>
      <c r="S424" s="19"/>
      <c r="T424" s="19" t="e">
        <f>SUMPRODUCT($D273:$D322,T$167:T$296)</f>
        <v>#VALUE!</v>
      </c>
      <c r="U424" s="19"/>
      <c r="AJ424" s="50"/>
      <c r="AK424" s="43" t="s">
        <v>151</v>
      </c>
      <c r="AL424" s="47">
        <f>AM408/AL408</f>
        <v>0.91762438994391504</v>
      </c>
      <c r="AM424" s="13">
        <f>AO408/AL408</f>
        <v>0.90944698402269375</v>
      </c>
      <c r="AN424" s="43">
        <f>(AL424-AM424)^2</f>
        <v>6.6869967600425049E-5</v>
      </c>
      <c r="AO424" s="43"/>
      <c r="AP424" s="44"/>
      <c r="AQ424" s="43"/>
      <c r="AR424" s="43"/>
      <c r="AS424" s="43"/>
      <c r="AT424" s="43"/>
      <c r="AU424" s="43"/>
      <c r="AW424" s="35"/>
      <c r="AX424">
        <v>3808.4514948476976</v>
      </c>
      <c r="CA424">
        <v>1999</v>
      </c>
      <c r="CD424">
        <f>CD414</f>
        <v>67338</v>
      </c>
      <c r="CE424">
        <v>13.8</v>
      </c>
      <c r="CF424">
        <f>CD424*CE424</f>
        <v>929264.4</v>
      </c>
      <c r="CG424">
        <f>CF424/3.412</f>
        <v>272351.81711606099</v>
      </c>
      <c r="CH424">
        <v>65716</v>
      </c>
      <c r="CI424">
        <v>3098</v>
      </c>
      <c r="CJ424">
        <f>CI424/CH424/3.412*1000</f>
        <v>13.816602714854504</v>
      </c>
      <c r="CN424">
        <f>CN414*CP$422</f>
        <v>7386.8072539545319</v>
      </c>
      <c r="CP424">
        <f>CP414*CP$422</f>
        <v>12024.790404657211</v>
      </c>
      <c r="DW424" s="57"/>
      <c r="DZ424" s="43"/>
      <c r="EA424" s="43"/>
      <c r="EB424" s="43"/>
      <c r="EC424" s="43"/>
      <c r="ED424" s="43"/>
      <c r="EE424" s="43"/>
      <c r="EO424" s="15"/>
      <c r="ER424" s="43"/>
      <c r="ES424" s="43"/>
      <c r="ET424" s="43"/>
      <c r="EU424" s="43"/>
      <c r="EV424" s="43"/>
      <c r="EW424" s="43"/>
    </row>
    <row r="425" spans="3:153" x14ac:dyDescent="0.2">
      <c r="C425" t="s">
        <v>250</v>
      </c>
      <c r="D425" s="6">
        <v>1999</v>
      </c>
      <c r="E425" s="6">
        <v>129</v>
      </c>
      <c r="F425" s="6">
        <v>80</v>
      </c>
      <c r="G425" s="64" t="e">
        <f t="shared" ref="G425:Q425" si="186">SUMPRODUCT($D268:$D317,G$167:G$296)</f>
        <v>#VALUE!</v>
      </c>
      <c r="H425" s="64" t="e">
        <f t="shared" si="186"/>
        <v>#VALUE!</v>
      </c>
      <c r="I425" s="64" t="e">
        <f t="shared" si="186"/>
        <v>#VALUE!</v>
      </c>
      <c r="J425" s="64" t="e">
        <f t="shared" si="186"/>
        <v>#VALUE!</v>
      </c>
      <c r="K425" s="64" t="e">
        <f t="shared" si="186"/>
        <v>#VALUE!</v>
      </c>
      <c r="L425" s="64" t="e">
        <f t="shared" si="186"/>
        <v>#VALUE!</v>
      </c>
      <c r="M425" s="64" t="e">
        <f t="shared" si="186"/>
        <v>#VALUE!</v>
      </c>
      <c r="N425" s="64" t="e">
        <f t="shared" si="186"/>
        <v>#VALUE!</v>
      </c>
      <c r="O425" s="64" t="e">
        <f t="shared" si="186"/>
        <v>#VALUE!</v>
      </c>
      <c r="P425" s="64" t="e">
        <f t="shared" si="186"/>
        <v>#VALUE!</v>
      </c>
      <c r="Q425" s="64" t="e">
        <f t="shared" si="186"/>
        <v>#VALUE!</v>
      </c>
      <c r="R425" s="65" t="s">
        <v>307</v>
      </c>
      <c r="S425" s="65"/>
      <c r="T425" s="64" t="e">
        <f>SUMPRODUCT($D268:$D317,T$167:T$296)</f>
        <v>#VALUE!</v>
      </c>
      <c r="U425" s="68"/>
      <c r="AJ425" s="50"/>
      <c r="AK425" s="43" t="s">
        <v>296</v>
      </c>
      <c r="AL425" s="47">
        <f>AM407/AL407</f>
        <v>0.81475502538882449</v>
      </c>
      <c r="AM425" s="13">
        <f>AO407/AL407</f>
        <v>0.82008527837281053</v>
      </c>
      <c r="AN425" s="43">
        <f>(AL425-AM425)^2</f>
        <v>2.8411596873292073E-5</v>
      </c>
      <c r="AO425" s="43"/>
      <c r="AP425" s="44"/>
      <c r="AQ425" s="43"/>
      <c r="AW425" s="35"/>
      <c r="AX425">
        <v>8098</v>
      </c>
      <c r="CA425">
        <v>2003</v>
      </c>
      <c r="CD425">
        <f>CD415</f>
        <v>71658</v>
      </c>
      <c r="CE425">
        <v>14.1</v>
      </c>
      <c r="CF425">
        <f>CD425*CE425</f>
        <v>1010377.7999999999</v>
      </c>
      <c r="CG425">
        <f>CF425/3.412</f>
        <v>296124.79484173504</v>
      </c>
      <c r="CH425">
        <v>63307</v>
      </c>
      <c r="CI425">
        <v>3037</v>
      </c>
      <c r="CJ425">
        <f>CI425/CH425/3.412*1000</f>
        <v>14.059958403263533</v>
      </c>
      <c r="CN425">
        <f>CN415*CP$422</f>
        <v>7860.700261425558</v>
      </c>
      <c r="CP425">
        <f>CP415*CP$422</f>
        <v>12796.228441844534</v>
      </c>
      <c r="DW425" s="57"/>
      <c r="DZ425" s="51" t="s">
        <v>280</v>
      </c>
      <c r="EA425" s="52"/>
      <c r="EB425" s="52"/>
      <c r="EC425" s="52"/>
      <c r="ED425" s="43"/>
      <c r="EE425" s="43"/>
      <c r="EO425" s="15"/>
      <c r="ER425" s="51" t="s">
        <v>280</v>
      </c>
      <c r="ES425" s="52"/>
      <c r="ET425" s="52"/>
      <c r="EU425" s="52"/>
      <c r="EV425" s="43"/>
      <c r="EW425" s="43"/>
    </row>
    <row r="426" spans="3:153" x14ac:dyDescent="0.2">
      <c r="C426" t="s">
        <v>243</v>
      </c>
      <c r="D426">
        <v>1989</v>
      </c>
      <c r="G426" s="10">
        <f>289+552</f>
        <v>841</v>
      </c>
      <c r="H426" s="10">
        <f>428+514</f>
        <v>942</v>
      </c>
      <c r="I426" s="10"/>
      <c r="J426" s="10"/>
      <c r="K426" s="12">
        <f>9253-348-1448-1279-1702-2178-650-1003-561+348</f>
        <v>432</v>
      </c>
      <c r="L426" s="12">
        <f>8148-435-1244-2267-2201-1391-155-158-280+435</f>
        <v>452</v>
      </c>
      <c r="M426" s="12">
        <v>0</v>
      </c>
      <c r="N426" s="12"/>
      <c r="O426" s="12">
        <f>0.55*(385+492)</f>
        <v>482.35</v>
      </c>
      <c r="P426" s="12">
        <f>0.45*(385+492)</f>
        <v>394.65000000000003</v>
      </c>
      <c r="Q426" s="12"/>
      <c r="T426" s="12">
        <f>4245</f>
        <v>4245</v>
      </c>
      <c r="U426" s="12">
        <f>4245</f>
        <v>4245</v>
      </c>
      <c r="AJ426" s="50"/>
      <c r="AK426" s="43" t="s">
        <v>206</v>
      </c>
      <c r="AL426" s="47">
        <f>AM406/AL406</f>
        <v>0.7080390303242704</v>
      </c>
      <c r="AM426" s="13">
        <f>AO406/AL406</f>
        <v>0.70464660568015247</v>
      </c>
      <c r="AN426" s="43">
        <f>(AL426-AM426)^2</f>
        <v>1.1508544966018668E-5</v>
      </c>
      <c r="AO426" s="43"/>
      <c r="AP426" s="44"/>
      <c r="AQ426" s="43"/>
      <c r="AW426" s="35"/>
      <c r="CB426" t="s">
        <v>431</v>
      </c>
      <c r="CD426">
        <v>70181</v>
      </c>
      <c r="CF426">
        <v>1043</v>
      </c>
      <c r="CJ426">
        <f>CF426/CD426*1000</f>
        <v>14.861572220401534</v>
      </c>
      <c r="DW426" s="57"/>
      <c r="DZ426" s="43"/>
      <c r="EA426" s="43"/>
      <c r="EB426" s="43"/>
      <c r="EC426" s="43"/>
      <c r="ED426" s="43"/>
      <c r="EE426" s="43"/>
      <c r="EO426" s="15"/>
      <c r="ER426" s="43"/>
      <c r="ES426" s="43"/>
      <c r="ET426" s="43"/>
      <c r="EU426" s="43"/>
      <c r="EV426" s="43"/>
      <c r="EW426" s="43"/>
    </row>
    <row r="427" spans="3:153" ht="13.5" thickBot="1" x14ac:dyDescent="0.25">
      <c r="C427" t="s">
        <v>243</v>
      </c>
      <c r="D427">
        <v>1992</v>
      </c>
      <c r="G427" s="10">
        <v>599</v>
      </c>
      <c r="H427" s="10">
        <v>661</v>
      </c>
      <c r="I427" s="10"/>
      <c r="J427" s="10"/>
      <c r="K427" s="13">
        <v>192</v>
      </c>
      <c r="L427" s="13"/>
      <c r="M427" s="13"/>
      <c r="N427" s="13"/>
      <c r="O427" s="13"/>
      <c r="P427" s="13"/>
      <c r="Q427" s="13"/>
      <c r="T427" s="13"/>
      <c r="U427" s="13"/>
      <c r="AJ427" s="42"/>
      <c r="AK427" s="43"/>
      <c r="AL427" s="43"/>
      <c r="AM427" s="43"/>
      <c r="AN427" s="50">
        <f>SUM(AN423:AN426)</f>
        <v>2.0139694724796817E-4</v>
      </c>
      <c r="AO427" s="43"/>
      <c r="AP427" s="44"/>
      <c r="AQ427" s="43"/>
      <c r="AW427" s="35"/>
      <c r="DW427" s="57"/>
      <c r="DZ427" s="43"/>
      <c r="EA427" s="21" t="s">
        <v>241</v>
      </c>
      <c r="EB427" s="21" t="s">
        <v>242</v>
      </c>
      <c r="EC427" s="43"/>
      <c r="ED427" s="43"/>
      <c r="EE427" s="43"/>
      <c r="EO427" s="15"/>
      <c r="ER427" s="43"/>
      <c r="ES427" s="21" t="s">
        <v>241</v>
      </c>
      <c r="ET427" s="21" t="s">
        <v>242</v>
      </c>
      <c r="EU427" s="43"/>
      <c r="EV427" s="43"/>
      <c r="EW427" s="43"/>
    </row>
    <row r="428" spans="3:153" x14ac:dyDescent="0.2">
      <c r="C428" t="s">
        <v>243</v>
      </c>
      <c r="D428">
        <v>1995</v>
      </c>
      <c r="G428" s="10">
        <v>1151</v>
      </c>
      <c r="H428" s="10">
        <v>816</v>
      </c>
      <c r="I428" s="10"/>
      <c r="J428" s="10"/>
      <c r="K428" s="13">
        <v>269</v>
      </c>
      <c r="L428" s="13"/>
      <c r="M428" s="13"/>
      <c r="N428" s="13"/>
      <c r="O428" s="13"/>
      <c r="P428" s="13"/>
      <c r="Q428" s="13"/>
      <c r="T428" s="13"/>
      <c r="U428" s="13"/>
      <c r="AJ428" s="48"/>
      <c r="AK428" s="6"/>
      <c r="AL428" s="6"/>
      <c r="AM428" s="6"/>
      <c r="AN428" s="6"/>
      <c r="AO428" s="6"/>
      <c r="AP428" s="49"/>
      <c r="AQ428" s="43"/>
      <c r="AW428" s="35"/>
      <c r="AX428">
        <v>6445</v>
      </c>
      <c r="DW428" s="57"/>
      <c r="DZ428" s="43" t="s">
        <v>114</v>
      </c>
      <c r="EA428" s="47" t="e">
        <f>EB422/EA422</f>
        <v>#VALUE!</v>
      </c>
      <c r="EB428" s="13">
        <f>ED422/EA422</f>
        <v>1.0482162353566054</v>
      </c>
      <c r="EC428" s="43"/>
      <c r="ED428" s="43"/>
      <c r="EE428" s="43"/>
      <c r="EO428" s="15"/>
      <c r="ER428" s="43" t="s">
        <v>114</v>
      </c>
      <c r="ES428" s="47" t="e">
        <f>ET422/ES422</f>
        <v>#VALUE!</v>
      </c>
      <c r="ET428" s="13">
        <f>EV422/ES422</f>
        <v>1.0482162353566054</v>
      </c>
      <c r="EU428" s="43"/>
      <c r="EV428" s="43"/>
      <c r="EW428" s="43"/>
    </row>
    <row r="429" spans="3:153" x14ac:dyDescent="0.2">
      <c r="C429" t="s">
        <v>243</v>
      </c>
      <c r="D429" s="6">
        <v>1999</v>
      </c>
      <c r="E429" s="6"/>
      <c r="F429" s="6"/>
      <c r="G429" s="10">
        <v>702</v>
      </c>
      <c r="H429" s="10">
        <f>818+114</f>
        <v>932</v>
      </c>
      <c r="I429" s="11"/>
      <c r="J429" s="11"/>
      <c r="K429" s="11">
        <v>380</v>
      </c>
      <c r="L429" s="11">
        <v>278</v>
      </c>
      <c r="M429" s="11">
        <v>0</v>
      </c>
      <c r="N429" s="11"/>
      <c r="O429" s="11">
        <f>385</f>
        <v>385</v>
      </c>
      <c r="P429" s="11">
        <f>292</f>
        <v>292</v>
      </c>
      <c r="Q429" s="11"/>
      <c r="R429">
        <f>SUM(G429:Q429)</f>
        <v>2969</v>
      </c>
      <c r="T429" s="11">
        <v>4034</v>
      </c>
      <c r="U429" s="11">
        <v>4034</v>
      </c>
      <c r="AW429" s="35"/>
      <c r="AX429">
        <v>1.9030122802264751</v>
      </c>
      <c r="DW429" s="57"/>
      <c r="DZ429" s="43" t="s">
        <v>151</v>
      </c>
      <c r="EA429" s="47" t="e">
        <f>EB421/EA421</f>
        <v>#VALUE!</v>
      </c>
      <c r="EB429" s="13">
        <f>ED421/EA421</f>
        <v>1.0318163097199342</v>
      </c>
      <c r="EC429" s="43"/>
      <c r="ED429" s="43"/>
      <c r="EE429" s="43"/>
      <c r="EO429" s="15"/>
      <c r="ER429" s="43" t="s">
        <v>151</v>
      </c>
      <c r="ES429" s="47" t="e">
        <f>ET421/ES421</f>
        <v>#VALUE!</v>
      </c>
      <c r="ET429" s="13">
        <f>EV421/ES421</f>
        <v>1.0318163097199342</v>
      </c>
      <c r="EU429" s="43"/>
      <c r="EV429" s="43"/>
      <c r="EW429" s="43"/>
    </row>
    <row r="430" spans="3:153" x14ac:dyDescent="0.2">
      <c r="C430" s="37" t="s">
        <v>252</v>
      </c>
      <c r="D430">
        <v>1989</v>
      </c>
      <c r="G430" s="18">
        <f t="shared" ref="G430:Q430" si="187">G426/G422</f>
        <v>99.165253581839593</v>
      </c>
      <c r="H430" s="18">
        <f t="shared" si="187"/>
        <v>111.07451709166814</v>
      </c>
      <c r="I430" s="18">
        <f t="shared" si="187"/>
        <v>0</v>
      </c>
      <c r="J430" s="18">
        <f t="shared" si="187"/>
        <v>0</v>
      </c>
      <c r="K430" s="18">
        <f t="shared" si="187"/>
        <v>50.93863204203889</v>
      </c>
      <c r="L430" s="18">
        <f t="shared" ref="L430:M433" si="188">L426/L422</f>
        <v>53.296902043985135</v>
      </c>
      <c r="M430" s="18">
        <f t="shared" si="188"/>
        <v>0</v>
      </c>
      <c r="N430" s="18">
        <f t="shared" si="187"/>
        <v>0</v>
      </c>
      <c r="O430" s="18">
        <f t="shared" si="187"/>
        <v>56.875576771938562</v>
      </c>
      <c r="P430" s="18">
        <f t="shared" si="187"/>
        <v>46.534562813404278</v>
      </c>
      <c r="Q430" s="18">
        <f t="shared" si="187"/>
        <v>0</v>
      </c>
      <c r="R430" s="18"/>
      <c r="S430" s="18"/>
      <c r="T430" s="18">
        <f>T426/T422</f>
        <v>2.465639253876915</v>
      </c>
      <c r="U430" s="18">
        <f>U426/U422</f>
        <v>2.4767456350287027</v>
      </c>
      <c r="AQ430" s="43"/>
      <c r="AR430" s="43"/>
      <c r="AS430" s="43"/>
      <c r="AT430" s="43"/>
      <c r="AU430" s="43"/>
      <c r="AW430" s="35"/>
      <c r="AX430">
        <v>0</v>
      </c>
      <c r="DW430" s="57"/>
      <c r="DZ430" s="43" t="s">
        <v>296</v>
      </c>
      <c r="EA430" s="47" t="e">
        <f>EB420/EA420</f>
        <v>#VALUE!</v>
      </c>
      <c r="EB430" s="13">
        <f>ED420/EA420</f>
        <v>0.99634034766697166</v>
      </c>
      <c r="EC430" s="43"/>
      <c r="ED430" s="43"/>
      <c r="EE430" s="43"/>
      <c r="EO430" s="15"/>
      <c r="ER430" s="43" t="s">
        <v>296</v>
      </c>
      <c r="ES430" s="47" t="e">
        <f>ET420/ES420</f>
        <v>#VALUE!</v>
      </c>
      <c r="ET430" s="13">
        <f>EV420/ES420</f>
        <v>0.99634034766697166</v>
      </c>
      <c r="EU430" s="43"/>
      <c r="EV430" s="43"/>
      <c r="EW430" s="43"/>
    </row>
    <row r="431" spans="3:153" x14ac:dyDescent="0.2">
      <c r="C431" s="37" t="s">
        <v>252</v>
      </c>
      <c r="D431">
        <v>1992</v>
      </c>
      <c r="G431" s="18" t="e">
        <f t="shared" ref="G431:Q431" si="189">G427/G423</f>
        <v>#VALUE!</v>
      </c>
      <c r="H431" s="18" t="e">
        <f t="shared" si="189"/>
        <v>#VALUE!</v>
      </c>
      <c r="I431" s="18" t="e">
        <f t="shared" si="189"/>
        <v>#VALUE!</v>
      </c>
      <c r="J431" s="18" t="e">
        <f t="shared" si="189"/>
        <v>#VALUE!</v>
      </c>
      <c r="K431" s="18" t="e">
        <f t="shared" si="189"/>
        <v>#VALUE!</v>
      </c>
      <c r="L431" s="18" t="e">
        <f t="shared" si="188"/>
        <v>#VALUE!</v>
      </c>
      <c r="M431" s="18" t="e">
        <f t="shared" si="188"/>
        <v>#VALUE!</v>
      </c>
      <c r="N431" s="18" t="e">
        <f t="shared" si="189"/>
        <v>#VALUE!</v>
      </c>
      <c r="O431" s="18" t="e">
        <f t="shared" si="189"/>
        <v>#VALUE!</v>
      </c>
      <c r="P431" s="18" t="e">
        <f t="shared" si="189"/>
        <v>#VALUE!</v>
      </c>
      <c r="Q431" s="18" t="e">
        <f t="shared" si="189"/>
        <v>#VALUE!</v>
      </c>
      <c r="R431" s="18"/>
      <c r="S431" s="18"/>
      <c r="T431" s="18" t="e">
        <f>T427/T423</f>
        <v>#VALUE!</v>
      </c>
      <c r="U431" s="18"/>
      <c r="AQ431" s="43"/>
      <c r="AR431" s="43"/>
      <c r="AS431" s="43"/>
      <c r="AT431" s="43"/>
      <c r="AU431" s="43"/>
      <c r="AW431" s="35"/>
      <c r="AX431">
        <v>0</v>
      </c>
      <c r="DW431" s="57"/>
      <c r="DZ431" s="43" t="s">
        <v>206</v>
      </c>
      <c r="EA431" s="47" t="e">
        <f>EB419/EA419</f>
        <v>#VALUE!</v>
      </c>
      <c r="EB431" s="13">
        <f>ED419/EA419</f>
        <v>0.90583035866054729</v>
      </c>
      <c r="EC431" s="43"/>
      <c r="EE431" s="43"/>
      <c r="EO431" s="15"/>
      <c r="ER431" s="43" t="s">
        <v>206</v>
      </c>
      <c r="ES431" s="47" t="e">
        <f>ET419/ES419</f>
        <v>#VALUE!</v>
      </c>
      <c r="ET431" s="13">
        <f>EV419/ES419</f>
        <v>0.90583035866054729</v>
      </c>
      <c r="EU431" s="43"/>
      <c r="EW431" s="43"/>
    </row>
    <row r="432" spans="3:153" x14ac:dyDescent="0.2">
      <c r="C432" s="37" t="s">
        <v>252</v>
      </c>
      <c r="D432">
        <v>1995</v>
      </c>
      <c r="G432" s="18" t="e">
        <f t="shared" ref="G432:Q432" si="190">G428/G424</f>
        <v>#VALUE!</v>
      </c>
      <c r="H432" s="18" t="e">
        <f t="shared" si="190"/>
        <v>#VALUE!</v>
      </c>
      <c r="I432" s="18" t="e">
        <f t="shared" si="190"/>
        <v>#VALUE!</v>
      </c>
      <c r="J432" s="18" t="e">
        <f t="shared" si="190"/>
        <v>#VALUE!</v>
      </c>
      <c r="K432" s="18" t="e">
        <f t="shared" si="190"/>
        <v>#VALUE!</v>
      </c>
      <c r="L432" s="18" t="e">
        <f t="shared" si="188"/>
        <v>#VALUE!</v>
      </c>
      <c r="M432" s="18" t="e">
        <f t="shared" si="188"/>
        <v>#VALUE!</v>
      </c>
      <c r="N432" s="18" t="e">
        <f t="shared" si="190"/>
        <v>#VALUE!</v>
      </c>
      <c r="O432" s="18" t="e">
        <f t="shared" si="190"/>
        <v>#VALUE!</v>
      </c>
      <c r="P432" s="18" t="e">
        <f t="shared" si="190"/>
        <v>#VALUE!</v>
      </c>
      <c r="Q432" s="18" t="e">
        <f t="shared" si="190"/>
        <v>#VALUE!</v>
      </c>
      <c r="R432" s="18"/>
      <c r="S432" s="18"/>
      <c r="T432" s="18" t="e">
        <f>T428/T424</f>
        <v>#VALUE!</v>
      </c>
      <c r="U432" s="18"/>
      <c r="AQ432" s="43"/>
      <c r="AR432" s="43"/>
      <c r="AS432" s="43"/>
      <c r="AT432" s="43"/>
      <c r="AU432" s="43"/>
      <c r="AW432" s="35"/>
      <c r="AX432">
        <v>1.692288849869608</v>
      </c>
      <c r="CF432" s="27" t="s">
        <v>439</v>
      </c>
      <c r="CG432" s="27"/>
      <c r="CH432" s="27"/>
      <c r="DW432" s="57"/>
      <c r="EE432" s="43"/>
      <c r="EO432" s="15"/>
      <c r="EW432" s="43"/>
    </row>
    <row r="433" spans="3:153" ht="13.5" thickBot="1" x14ac:dyDescent="0.25">
      <c r="C433" s="37" t="s">
        <v>252</v>
      </c>
      <c r="D433">
        <v>1999</v>
      </c>
      <c r="G433" s="18" t="e">
        <f t="shared" ref="G433:Q433" si="191">G429/G425</f>
        <v>#VALUE!</v>
      </c>
      <c r="H433" s="18" t="e">
        <f t="shared" si="191"/>
        <v>#VALUE!</v>
      </c>
      <c r="I433" s="18" t="e">
        <f t="shared" si="191"/>
        <v>#VALUE!</v>
      </c>
      <c r="J433" s="18" t="e">
        <f t="shared" si="191"/>
        <v>#VALUE!</v>
      </c>
      <c r="K433" s="18" t="e">
        <f t="shared" si="191"/>
        <v>#VALUE!</v>
      </c>
      <c r="L433" s="18" t="e">
        <f t="shared" si="188"/>
        <v>#VALUE!</v>
      </c>
      <c r="M433" s="18" t="e">
        <f t="shared" si="188"/>
        <v>#VALUE!</v>
      </c>
      <c r="N433" s="18" t="e">
        <f t="shared" si="191"/>
        <v>#VALUE!</v>
      </c>
      <c r="O433" s="18" t="e">
        <f t="shared" si="191"/>
        <v>#VALUE!</v>
      </c>
      <c r="P433" s="18" t="e">
        <f t="shared" si="191"/>
        <v>#VALUE!</v>
      </c>
      <c r="Q433" s="18" t="e">
        <f t="shared" si="191"/>
        <v>#VALUE!</v>
      </c>
      <c r="R433" s="18"/>
      <c r="S433" s="18"/>
      <c r="T433" s="18" t="e">
        <f>T429/T425</f>
        <v>#VALUE!</v>
      </c>
      <c r="U433" s="18"/>
      <c r="AQ433" s="43"/>
      <c r="AR433" s="43"/>
      <c r="AS433" s="43"/>
      <c r="AT433" s="43"/>
      <c r="AU433" s="43"/>
      <c r="AW433" s="35"/>
      <c r="AX433">
        <v>1.9030122802264751</v>
      </c>
      <c r="CF433" s="27"/>
      <c r="CG433" s="27" t="s">
        <v>423</v>
      </c>
      <c r="CH433" s="27"/>
      <c r="DW433" s="57"/>
      <c r="DZ433" s="21"/>
      <c r="EA433" s="21"/>
      <c r="EB433" s="21"/>
      <c r="EC433" s="21"/>
      <c r="ED433" s="21"/>
      <c r="EE433" s="21"/>
      <c r="EO433" s="15"/>
      <c r="ER433" s="21"/>
      <c r="ES433" s="21"/>
      <c r="ET433" s="21"/>
      <c r="EU433" s="21"/>
      <c r="EV433" s="21"/>
      <c r="EW433" s="21"/>
    </row>
    <row r="434" spans="3:153" x14ac:dyDescent="0.2">
      <c r="D434" t="s">
        <v>153</v>
      </c>
      <c r="G434" s="18"/>
      <c r="H434" s="66">
        <f>H430</f>
        <v>111.07451709166814</v>
      </c>
      <c r="I434" s="18"/>
      <c r="J434" s="18"/>
      <c r="K434" s="18"/>
      <c r="L434" s="66">
        <f>L430</f>
        <v>53.296902043985135</v>
      </c>
      <c r="M434" s="18"/>
      <c r="N434" s="18"/>
      <c r="O434" s="18"/>
      <c r="P434" s="18"/>
      <c r="Q434" s="18"/>
      <c r="R434" s="18"/>
      <c r="S434" s="18"/>
      <c r="T434" s="66">
        <f>T430</f>
        <v>2.465639253876915</v>
      </c>
      <c r="U434" s="66">
        <f>U430</f>
        <v>2.4767456350287027</v>
      </c>
      <c r="AQ434" s="43"/>
      <c r="AR434" s="43"/>
      <c r="AS434" s="43"/>
      <c r="AT434" s="43"/>
      <c r="AU434" s="43"/>
      <c r="CF434" s="27">
        <v>1983</v>
      </c>
      <c r="CG434" s="20">
        <f>CI360</f>
        <v>12.613087427257739</v>
      </c>
      <c r="CH434" s="20"/>
      <c r="DW434" s="57"/>
      <c r="DZ434" s="43"/>
      <c r="EA434" s="43"/>
      <c r="EB434" s="43"/>
      <c r="EC434" s="43"/>
      <c r="ED434" s="43"/>
      <c r="EE434" s="43"/>
      <c r="EO434" s="15"/>
      <c r="ER434" s="43"/>
      <c r="ES434" s="43"/>
      <c r="ET434" s="43"/>
      <c r="EU434" s="43"/>
      <c r="EV434" s="43"/>
      <c r="EW434" s="43"/>
    </row>
    <row r="435" spans="3:153" x14ac:dyDescent="0.2">
      <c r="AQ435" s="43"/>
      <c r="AR435" s="43"/>
      <c r="AS435" s="43"/>
      <c r="AT435" s="43"/>
      <c r="AU435" s="43"/>
      <c r="CF435" s="27">
        <v>1986</v>
      </c>
      <c r="CG435" s="20">
        <f>CI363</f>
        <v>12.395925057992182</v>
      </c>
      <c r="CH435" s="20"/>
      <c r="DW435" s="57"/>
      <c r="DZ435" s="45" t="s">
        <v>284</v>
      </c>
      <c r="EA435" s="43"/>
      <c r="EB435" s="43"/>
      <c r="EC435" s="43"/>
      <c r="ED435" s="43"/>
      <c r="EE435" s="43"/>
      <c r="EO435" s="15"/>
      <c r="ER435" s="45" t="s">
        <v>284</v>
      </c>
      <c r="ES435" s="43"/>
      <c r="ET435" s="43"/>
      <c r="EU435" s="43"/>
      <c r="EV435" s="43"/>
      <c r="EW435" s="43"/>
    </row>
    <row r="436" spans="3:153" x14ac:dyDescent="0.2">
      <c r="AQ436" s="43"/>
      <c r="AR436" s="43"/>
      <c r="AS436" s="43"/>
      <c r="AT436" s="43"/>
      <c r="AU436" s="43"/>
      <c r="CF436" s="27">
        <v>1989</v>
      </c>
      <c r="CG436" s="20">
        <f>CI366</f>
        <v>13.201432880573222</v>
      </c>
      <c r="CH436" s="20"/>
      <c r="DW436" s="57"/>
      <c r="DZ436" s="43"/>
      <c r="EA436" s="43"/>
      <c r="EB436" s="43" t="s">
        <v>265</v>
      </c>
      <c r="EC436" s="43">
        <v>1979</v>
      </c>
      <c r="ED436" s="43">
        <v>1983</v>
      </c>
      <c r="EE436" s="43"/>
      <c r="EO436" s="15"/>
      <c r="ER436" s="43"/>
      <c r="ES436" s="43"/>
      <c r="ET436" s="43" t="s">
        <v>265</v>
      </c>
      <c r="EU436" s="43">
        <v>1979</v>
      </c>
      <c r="EV436" s="43">
        <v>1983</v>
      </c>
      <c r="EW436" s="43"/>
    </row>
    <row r="437" spans="3:153" x14ac:dyDescent="0.2">
      <c r="C437" t="s">
        <v>258</v>
      </c>
      <c r="H437" s="8"/>
      <c r="AQ437" s="43"/>
      <c r="AR437" s="43"/>
      <c r="AS437" s="43"/>
      <c r="AT437" s="43"/>
      <c r="AU437" s="43"/>
      <c r="CF437" s="27">
        <v>1992</v>
      </c>
      <c r="CG437" s="20">
        <f>CI369</f>
        <v>11.494237681803023</v>
      </c>
      <c r="CH437" s="20"/>
      <c r="DW437" s="57"/>
      <c r="DZ437" s="43" t="s">
        <v>264</v>
      </c>
      <c r="EA437" s="46" t="s">
        <v>287</v>
      </c>
      <c r="EB437" s="46" t="s">
        <v>288</v>
      </c>
      <c r="EC437" s="43" t="s">
        <v>104</v>
      </c>
      <c r="ED437" s="43"/>
      <c r="EE437" s="43"/>
      <c r="EO437" s="15"/>
      <c r="ER437" s="43" t="s">
        <v>264</v>
      </c>
      <c r="ES437" s="46" t="s">
        <v>287</v>
      </c>
      <c r="ET437" s="46" t="s">
        <v>288</v>
      </c>
      <c r="EU437" s="43" t="s">
        <v>104</v>
      </c>
      <c r="EV437" s="43"/>
      <c r="EW437" s="43"/>
    </row>
    <row r="438" spans="3:153" ht="13.5" thickBot="1" x14ac:dyDescent="0.25">
      <c r="C438" s="21" t="s">
        <v>259</v>
      </c>
      <c r="D438" s="21"/>
      <c r="E438" t="s">
        <v>262</v>
      </c>
      <c r="G438" s="19">
        <f t="shared" ref="G438:Q438" si="192">SUM(G297:G322)</f>
        <v>782.5178398694178</v>
      </c>
      <c r="H438" s="19">
        <f t="shared" si="192"/>
        <v>898.02748069329323</v>
      </c>
      <c r="I438" s="19">
        <f t="shared" si="192"/>
        <v>123.47877859532781</v>
      </c>
      <c r="J438" s="19">
        <f t="shared" si="192"/>
        <v>101.02809157799545</v>
      </c>
      <c r="K438" s="19">
        <f t="shared" si="192"/>
        <v>525.87194815373016</v>
      </c>
      <c r="L438" s="19">
        <f t="shared" si="192"/>
        <v>834.85746198473294</v>
      </c>
      <c r="M438" s="19">
        <f t="shared" si="192"/>
        <v>303.45174389312984</v>
      </c>
      <c r="N438" s="19">
        <f t="shared" si="192"/>
        <v>329.98187670666533</v>
      </c>
      <c r="O438" s="19">
        <f t="shared" si="192"/>
        <v>242.92376488549615</v>
      </c>
      <c r="P438" s="19">
        <f t="shared" si="192"/>
        <v>614.85699152671748</v>
      </c>
      <c r="Q438" s="19">
        <f t="shared" si="192"/>
        <v>988.66911752244914</v>
      </c>
      <c r="R438" s="19"/>
      <c r="S438" s="19"/>
      <c r="T438" s="19">
        <f>SUM(T297:T322)</f>
        <v>5745.6650954089546</v>
      </c>
      <c r="U438" s="19">
        <f>SUM(U297:U322)</f>
        <v>5728.4251604425945</v>
      </c>
      <c r="AQ438" s="43"/>
      <c r="AR438" s="43"/>
      <c r="AS438" s="43"/>
      <c r="AT438" s="43"/>
      <c r="AU438" s="43"/>
      <c r="CF438" s="27">
        <v>1995</v>
      </c>
      <c r="CG438" s="20">
        <f>CJ423</f>
        <v>13.391987499935301</v>
      </c>
      <c r="CH438" s="20">
        <f>CI372</f>
        <v>13.281063740703914</v>
      </c>
      <c r="DW438" s="57"/>
      <c r="DZ438" s="43" t="s">
        <v>206</v>
      </c>
      <c r="EA438" s="13" t="e">
        <f>SUMPRODUCT($D280:$D$327,EA$10:EA298)</f>
        <v>#VALUE!</v>
      </c>
      <c r="EB438" s="47" t="e">
        <f>SUMPRODUCT($D276:$D$323,EA$10:EA298)</f>
        <v>#VALUE!</v>
      </c>
      <c r="EC438" s="13">
        <f>293+377</f>
        <v>670</v>
      </c>
      <c r="ED438" s="13">
        <f>EC438-23*$AO$470</f>
        <v>638.80459770114942</v>
      </c>
      <c r="EE438" s="43"/>
      <c r="EO438" s="15"/>
      <c r="ER438" s="43" t="s">
        <v>206</v>
      </c>
      <c r="ES438" s="13" t="e">
        <f>SUMPRODUCT($D280:$D$327,ES$10:ES298)</f>
        <v>#VALUE!</v>
      </c>
      <c r="ET438" s="47" t="e">
        <f>SUMPRODUCT($D276:$D$323,ES$10:ES298)</f>
        <v>#VALUE!</v>
      </c>
      <c r="EU438" s="13">
        <f>293+377</f>
        <v>670</v>
      </c>
      <c r="EV438" s="13">
        <f>EU438-23*$AO$470</f>
        <v>638.80459770114942</v>
      </c>
      <c r="EW438" s="43"/>
    </row>
    <row r="439" spans="3:153" x14ac:dyDescent="0.2">
      <c r="D439" t="s">
        <v>103</v>
      </c>
      <c r="E439" t="s">
        <v>106</v>
      </c>
      <c r="F439" t="s">
        <v>107</v>
      </c>
      <c r="AD439">
        <f t="shared" ref="AD439:AD444" si="193">D354</f>
        <v>0.88974783916898381</v>
      </c>
      <c r="AE439">
        <f t="shared" ref="AE439:AE452" si="194">T323</f>
        <v>270.68183724340179</v>
      </c>
      <c r="AF439">
        <f t="shared" ref="AF439:AF452" si="195">AD439*AE439</f>
        <v>240.83857978960731</v>
      </c>
      <c r="AQ439" s="43"/>
      <c r="AR439" s="43"/>
      <c r="AS439" s="43"/>
      <c r="AT439" s="43"/>
      <c r="AU439" s="43"/>
      <c r="CF439" s="27">
        <v>1999</v>
      </c>
      <c r="CG439" s="20">
        <f>CJ424</f>
        <v>13.816602714854504</v>
      </c>
      <c r="CH439" s="20">
        <f>CI376</f>
        <v>13.689814267424223</v>
      </c>
      <c r="DW439" s="57"/>
      <c r="DZ439" s="43" t="s">
        <v>296</v>
      </c>
      <c r="EA439" s="13">
        <f>SUMPRODUCT($D$328:$D355,EA$297:EA324)</f>
        <v>1511.5614785188943</v>
      </c>
      <c r="EB439" s="47">
        <f>SUMPRODUCT($D$324:$D351,EA$297:EA324)</f>
        <v>1401.7182338326502</v>
      </c>
      <c r="EC439" s="13">
        <f>721</f>
        <v>721</v>
      </c>
      <c r="ED439" s="13">
        <f>EC439-29*$AO$470</f>
        <v>681.66666666666663</v>
      </c>
      <c r="EE439" s="43"/>
      <c r="EO439" s="15"/>
      <c r="ER439" s="43" t="s">
        <v>296</v>
      </c>
      <c r="ES439" s="13">
        <f>SUMPRODUCT($D$328:$D355,ES$297:ES324)</f>
        <v>1337.1939118897187</v>
      </c>
      <c r="ET439" s="47">
        <f>SUMPRODUCT($D$324:$D351,ES$297:ES324)</f>
        <v>1238.7617970997424</v>
      </c>
      <c r="EU439" s="13">
        <f>721</f>
        <v>721</v>
      </c>
      <c r="EV439" s="13">
        <f>EU439-29*$AO$470</f>
        <v>681.66666666666663</v>
      </c>
      <c r="EW439" s="43"/>
    </row>
    <row r="440" spans="3:153" x14ac:dyDescent="0.2">
      <c r="C440" t="s">
        <v>250</v>
      </c>
      <c r="D440">
        <v>1989</v>
      </c>
      <c r="E440">
        <v>69</v>
      </c>
      <c r="F440">
        <v>44</v>
      </c>
      <c r="G440" s="5">
        <f t="shared" ref="G440:Q440" si="196">SUMPRODUCT($D328:$D353,G$297:G$322)</f>
        <v>549.23606134913655</v>
      </c>
      <c r="H440" s="5">
        <f t="shared" si="196"/>
        <v>629.19525192228093</v>
      </c>
      <c r="I440" s="5">
        <f t="shared" si="196"/>
        <v>86.5143471393136</v>
      </c>
      <c r="J440" s="5">
        <f t="shared" si="196"/>
        <v>70.784465841256591</v>
      </c>
      <c r="K440" s="5">
        <f t="shared" si="196"/>
        <v>368.4476700445789</v>
      </c>
      <c r="L440" s="5">
        <f t="shared" si="196"/>
        <v>592.70890843273173</v>
      </c>
      <c r="M440" s="5">
        <f t="shared" si="196"/>
        <v>225.87783189066664</v>
      </c>
      <c r="N440" s="5">
        <f t="shared" si="196"/>
        <v>235.62129506133203</v>
      </c>
      <c r="O440" s="5">
        <f t="shared" si="196"/>
        <v>167.67848246604845</v>
      </c>
      <c r="P440" s="5">
        <f t="shared" si="196"/>
        <v>443.68872216031514</v>
      </c>
      <c r="Q440" s="5">
        <f t="shared" si="196"/>
        <v>785.20220713455046</v>
      </c>
      <c r="T440" s="5">
        <f>SUMPRODUCT($D328:$D353,T$297:T$322)</f>
        <v>4154.9552434422112</v>
      </c>
      <c r="U440" s="5">
        <f>SUMPRODUCT($D328:$D353,U$297:U$322)</f>
        <v>4152.3964716784039</v>
      </c>
      <c r="AD440">
        <f t="shared" si="193"/>
        <v>0.898482184612997</v>
      </c>
      <c r="AE440">
        <f t="shared" si="194"/>
        <v>275.27799448298384</v>
      </c>
      <c r="AF440">
        <f t="shared" si="195"/>
        <v>247.33237385895586</v>
      </c>
      <c r="AQ440" s="43"/>
      <c r="AR440" s="43"/>
      <c r="AS440" s="43"/>
      <c r="AT440" s="43"/>
      <c r="AU440" s="43"/>
      <c r="CF440" s="27">
        <v>2003</v>
      </c>
      <c r="CG440" s="20">
        <f>CJ426</f>
        <v>14.861572220401534</v>
      </c>
      <c r="CH440" s="20">
        <f>CI380</f>
        <v>14.749092097872971</v>
      </c>
      <c r="DW440" s="57"/>
      <c r="DZ440" s="43" t="s">
        <v>286</v>
      </c>
      <c r="EA440" s="13">
        <f>SUMPRODUCT($D$350:$D385,EA$323:EA358)</f>
        <v>7527.7953444598734</v>
      </c>
      <c r="EB440" s="47">
        <f>SUMPRODUCT($D$344:$D379,EA$323:EA358)</f>
        <v>7346.7295909086515</v>
      </c>
      <c r="EC440" s="13">
        <v>2325</v>
      </c>
      <c r="ED440" s="13">
        <f>EC440-34*$AO$470</f>
        <v>2278.8850574712642</v>
      </c>
      <c r="EE440" s="43"/>
      <c r="EO440" s="15"/>
      <c r="ER440" s="43" t="s">
        <v>286</v>
      </c>
      <c r="ES440" s="13">
        <f>SUMPRODUCT($D$350:$D385,ES$323:ES358)</f>
        <v>5534.074958367778</v>
      </c>
      <c r="ET440" s="47">
        <f>SUMPRODUCT($D$344:$D379,ES$323:ES358)</f>
        <v>5348.8540959495585</v>
      </c>
      <c r="EU440" s="13">
        <v>2325</v>
      </c>
      <c r="EV440" s="13">
        <f>EU440-34*$AO$470</f>
        <v>2278.8850574712642</v>
      </c>
      <c r="EW440" s="43"/>
    </row>
    <row r="441" spans="3:153" x14ac:dyDescent="0.2">
      <c r="C441" t="s">
        <v>250</v>
      </c>
      <c r="D441">
        <v>1992</v>
      </c>
      <c r="E441">
        <v>72</v>
      </c>
      <c r="F441">
        <v>47</v>
      </c>
      <c r="G441" s="5">
        <f t="shared" ref="G441:Q441" si="197">SUMPRODUCT($D325:$D350,G$297:G$322)</f>
        <v>517.70108763642224</v>
      </c>
      <c r="H441" s="5">
        <f t="shared" si="197"/>
        <v>593.00318069373907</v>
      </c>
      <c r="I441" s="5">
        <f t="shared" si="197"/>
        <v>81.537937345389139</v>
      </c>
      <c r="J441" s="5">
        <f t="shared" si="197"/>
        <v>66.712857828045657</v>
      </c>
      <c r="K441" s="5">
        <f t="shared" si="197"/>
        <v>347.25411482065806</v>
      </c>
      <c r="L441" s="5">
        <f t="shared" si="197"/>
        <v>559.07756176513249</v>
      </c>
      <c r="M441" s="5">
        <f t="shared" si="197"/>
        <v>214.12437773526523</v>
      </c>
      <c r="N441" s="5">
        <f t="shared" si="197"/>
        <v>222.48117733517566</v>
      </c>
      <c r="O441" s="5">
        <f t="shared" si="197"/>
        <v>157.77682607135046</v>
      </c>
      <c r="P441" s="5">
        <f t="shared" si="197"/>
        <v>419.43029673010398</v>
      </c>
      <c r="Q441" s="5">
        <f t="shared" si="197"/>
        <v>749.1771366470374</v>
      </c>
      <c r="T441" s="5">
        <f>SUMPRODUCT($D325:$D350,T$297:T$322)</f>
        <v>3928.2765546083192</v>
      </c>
      <c r="U441" s="5">
        <f>SUMPRODUCT($D325:$D350,U$297:U$322)</f>
        <v>3926.5758814559472</v>
      </c>
      <c r="AD441">
        <f t="shared" si="193"/>
        <v>0.90678541092628584</v>
      </c>
      <c r="AE441">
        <f t="shared" si="194"/>
        <v>358.86785705660566</v>
      </c>
      <c r="AF441">
        <f t="shared" si="195"/>
        <v>325.41613722930975</v>
      </c>
      <c r="AQ441" s="43"/>
      <c r="AR441" s="43"/>
      <c r="AS441" s="43"/>
      <c r="AT441" s="43"/>
      <c r="AU441" s="43"/>
      <c r="CF441" s="27"/>
      <c r="CG441" s="27"/>
      <c r="CH441" s="27"/>
      <c r="DW441" s="57"/>
      <c r="DZ441" s="43"/>
      <c r="EA441" s="13"/>
      <c r="EB441" s="47"/>
      <c r="EC441" s="50"/>
      <c r="ED441" s="13"/>
      <c r="EE441" s="43"/>
      <c r="EO441" s="15"/>
      <c r="ER441" s="43"/>
      <c r="ES441" s="13"/>
      <c r="ET441" s="47"/>
      <c r="EU441" s="50"/>
      <c r="EV441" s="13"/>
      <c r="EW441" s="43"/>
    </row>
    <row r="442" spans="3:153" x14ac:dyDescent="0.2">
      <c r="C442" t="s">
        <v>250</v>
      </c>
      <c r="D442">
        <v>1995</v>
      </c>
      <c r="E442">
        <v>75</v>
      </c>
      <c r="F442">
        <v>50</v>
      </c>
      <c r="G442" s="5">
        <f t="shared" ref="G442:Q442" si="198">SUMPRODUCT($D322:$D347,G$297:G$322)</f>
        <v>485.6798213918305</v>
      </c>
      <c r="H442" s="5">
        <f t="shared" si="198"/>
        <v>556.27091818589804</v>
      </c>
      <c r="I442" s="5">
        <f t="shared" si="198"/>
        <v>76.487251250560973</v>
      </c>
      <c r="J442" s="5">
        <f t="shared" si="198"/>
        <v>62.580478295913522</v>
      </c>
      <c r="K442" s="5">
        <f t="shared" si="198"/>
        <v>325.74423137012047</v>
      </c>
      <c r="L442" s="5">
        <f t="shared" si="198"/>
        <v>524.81935156960083</v>
      </c>
      <c r="M442" s="5">
        <f t="shared" si="198"/>
        <v>201.97006374848661</v>
      </c>
      <c r="N442" s="5">
        <f t="shared" si="198"/>
        <v>209.06979056999509</v>
      </c>
      <c r="O442" s="5">
        <f t="shared" si="198"/>
        <v>147.77133618351698</v>
      </c>
      <c r="P442" s="5">
        <f t="shared" si="198"/>
        <v>394.58652859091768</v>
      </c>
      <c r="Q442" s="5">
        <f t="shared" si="198"/>
        <v>711.01424898900655</v>
      </c>
      <c r="T442" s="5">
        <f>SUMPRODUCT($D322:$D347,T$297:T$322)</f>
        <v>3695.9940201458471</v>
      </c>
      <c r="U442" s="5">
        <f>SUMPRODUCT($D322:$D347,U$297:U$322)</f>
        <v>3695.0243170613621</v>
      </c>
      <c r="AD442">
        <f t="shared" si="193"/>
        <v>0.91465654568384147</v>
      </c>
      <c r="AE442">
        <f t="shared" si="194"/>
        <v>360.6780262420217</v>
      </c>
      <c r="AF442">
        <f t="shared" si="195"/>
        <v>329.89651758659352</v>
      </c>
      <c r="AQ442" s="43"/>
      <c r="AR442" s="43"/>
      <c r="AS442" s="43"/>
      <c r="AT442" s="43"/>
      <c r="AU442" s="43"/>
      <c r="DW442" s="57"/>
      <c r="DZ442" s="43"/>
      <c r="EA442" s="43" t="e">
        <f>SUM(EA438:EA441)</f>
        <v>#VALUE!</v>
      </c>
      <c r="EB442" s="43" t="e">
        <f>SUM(EB438:EB441)</f>
        <v>#VALUE!</v>
      </c>
      <c r="EC442" s="43">
        <f>SUM(EC438:EC441)</f>
        <v>3716</v>
      </c>
      <c r="ED442" s="43">
        <f>SUM(ED438:ED441)</f>
        <v>3599.35632183908</v>
      </c>
      <c r="EO442" s="15"/>
      <c r="ER442" s="43"/>
      <c r="ES442" s="43" t="e">
        <f>SUM(ES438:ES441)</f>
        <v>#VALUE!</v>
      </c>
      <c r="ET442" s="43" t="e">
        <f>SUM(ET438:ET441)</f>
        <v>#VALUE!</v>
      </c>
      <c r="EU442" s="43">
        <f>SUM(EU438:EU441)</f>
        <v>3716</v>
      </c>
      <c r="EV442" s="43">
        <f>SUM(EV438:EV441)</f>
        <v>3599.35632183908</v>
      </c>
    </row>
    <row r="443" spans="3:153" x14ac:dyDescent="0.2">
      <c r="C443" t="s">
        <v>250</v>
      </c>
      <c r="D443" s="6">
        <v>1999</v>
      </c>
      <c r="E443" s="6">
        <v>79</v>
      </c>
      <c r="F443" s="6">
        <v>54</v>
      </c>
      <c r="G443" s="7">
        <f t="shared" ref="G443:Q443" si="199">SUMPRODUCT($D318:$D343,G$297:G$322)</f>
        <v>443.01552973999725</v>
      </c>
      <c r="H443" s="7">
        <f t="shared" si="199"/>
        <v>507.35343590347156</v>
      </c>
      <c r="I443" s="7">
        <f t="shared" si="199"/>
        <v>69.76109743672734</v>
      </c>
      <c r="J443" s="7">
        <f t="shared" si="199"/>
        <v>57.077261539140558</v>
      </c>
      <c r="K443" s="7">
        <f t="shared" si="199"/>
        <v>297.09885886239323</v>
      </c>
      <c r="L443" s="7">
        <f t="shared" si="199"/>
        <v>479.03193834415583</v>
      </c>
      <c r="M443" s="7">
        <f t="shared" si="199"/>
        <v>185.45243785069908</v>
      </c>
      <c r="N443" s="7">
        <f t="shared" si="199"/>
        <v>191.09898398578974</v>
      </c>
      <c r="O443" s="7">
        <f t="shared" si="199"/>
        <v>134.51264770904413</v>
      </c>
      <c r="P443" s="7">
        <f t="shared" si="199"/>
        <v>361.16932697168352</v>
      </c>
      <c r="Q443" s="7">
        <f t="shared" si="199"/>
        <v>657.80667936972475</v>
      </c>
      <c r="T443" s="7">
        <f>SUMPRODUCT($D318:$D343,T$297:T$322)</f>
        <v>3383.3781977128274</v>
      </c>
      <c r="U443" s="7">
        <f>SUMPRODUCT($D318:$D343,U$297:U$322)</f>
        <v>3383.185892706802</v>
      </c>
      <c r="AD443">
        <f t="shared" si="193"/>
        <v>0.9220966199483297</v>
      </c>
      <c r="AE443">
        <f t="shared" si="194"/>
        <v>463.03870987456571</v>
      </c>
      <c r="AF443">
        <f t="shared" si="195"/>
        <v>426.9664292805723</v>
      </c>
      <c r="AQ443" s="43"/>
      <c r="AR443" s="43"/>
      <c r="AS443" s="43"/>
      <c r="AT443" s="43"/>
      <c r="AU443" s="43"/>
      <c r="DW443" s="57"/>
      <c r="EB443" s="43" t="e">
        <f>EB442/EA442</f>
        <v>#VALUE!</v>
      </c>
      <c r="ED443" s="43">
        <f>ED442/EC442</f>
        <v>0.96861042030115174</v>
      </c>
      <c r="EE443" s="43"/>
      <c r="EO443" s="15"/>
      <c r="ET443" s="43" t="e">
        <f>ET442/ES442</f>
        <v>#VALUE!</v>
      </c>
      <c r="EV443" s="43">
        <f>EV442/EU442</f>
        <v>0.96861042030115174</v>
      </c>
      <c r="EW443" s="43"/>
    </row>
    <row r="444" spans="3:153" x14ac:dyDescent="0.2">
      <c r="C444" t="s">
        <v>243</v>
      </c>
      <c r="D444">
        <v>1989</v>
      </c>
      <c r="G444" s="10">
        <v>1166</v>
      </c>
      <c r="H444" s="10">
        <v>1322</v>
      </c>
      <c r="I444" s="10"/>
      <c r="J444" s="10"/>
      <c r="K444" s="10">
        <v>1448</v>
      </c>
      <c r="L444" s="10">
        <v>1244</v>
      </c>
      <c r="M444" s="10"/>
      <c r="N444" s="10">
        <v>1244</v>
      </c>
      <c r="O444" s="10">
        <v>1244</v>
      </c>
      <c r="P444" s="10">
        <v>1244</v>
      </c>
      <c r="Q444" s="10">
        <v>1244</v>
      </c>
      <c r="T444" s="10">
        <f>8098</f>
        <v>8098</v>
      </c>
      <c r="U444" s="10">
        <f>8098</f>
        <v>8098</v>
      </c>
      <c r="AD444">
        <f t="shared" si="193"/>
        <v>0.92910859169614757</v>
      </c>
      <c r="AE444">
        <f t="shared" si="194"/>
        <v>407.51756166982932</v>
      </c>
      <c r="AF444">
        <f t="shared" si="195"/>
        <v>378.62806781450308</v>
      </c>
      <c r="AR444" s="43"/>
      <c r="AS444" s="43"/>
      <c r="AT444" s="43"/>
      <c r="AU444" s="43"/>
      <c r="DW444" s="57"/>
      <c r="EC444" s="43">
        <v>31</v>
      </c>
      <c r="ED444" s="43">
        <f>118/(118-31)</f>
        <v>1.3563218390804597</v>
      </c>
      <c r="EE444" s="43"/>
      <c r="EO444" s="15"/>
      <c r="EU444" s="43">
        <v>31</v>
      </c>
      <c r="EV444" s="43">
        <f>118/(118-31)</f>
        <v>1.3563218390804597</v>
      </c>
      <c r="EW444" s="43"/>
    </row>
    <row r="445" spans="3:153" x14ac:dyDescent="0.2">
      <c r="C445" t="s">
        <v>243</v>
      </c>
      <c r="D445">
        <v>1992</v>
      </c>
      <c r="G445" s="10">
        <v>1389</v>
      </c>
      <c r="H445" s="10">
        <v>1381</v>
      </c>
      <c r="I445" s="10"/>
      <c r="J445" s="10"/>
      <c r="K445" s="10">
        <v>1853</v>
      </c>
      <c r="L445" s="10">
        <v>0</v>
      </c>
      <c r="M445" s="10"/>
      <c r="N445" s="10"/>
      <c r="O445" s="10"/>
      <c r="P445" s="10"/>
      <c r="Q445" s="10"/>
      <c r="T445" s="10"/>
      <c r="U445" s="10"/>
      <c r="AD445">
        <f t="shared" ref="AD445:AD452" si="200">D360</f>
        <v>0.93569725277529137</v>
      </c>
      <c r="AE445">
        <f t="shared" si="194"/>
        <v>408.72219187264346</v>
      </c>
      <c r="AF445">
        <f t="shared" si="195"/>
        <v>382.44023208352803</v>
      </c>
      <c r="AR445" s="43"/>
      <c r="AS445" s="43"/>
      <c r="AT445" s="43"/>
      <c r="AU445" s="43"/>
      <c r="DW445" s="57"/>
      <c r="DZ445" s="50" t="s">
        <v>285</v>
      </c>
      <c r="EA445" s="43"/>
      <c r="EB445" s="43"/>
      <c r="EC445" s="43"/>
      <c r="ED445" s="43"/>
      <c r="EE445" s="43"/>
      <c r="EO445" s="15"/>
      <c r="ER445" s="50" t="s">
        <v>285</v>
      </c>
      <c r="ES445" s="43"/>
      <c r="ET445" s="43"/>
      <c r="EU445" s="43"/>
      <c r="EV445" s="43"/>
      <c r="EW445" s="43"/>
    </row>
    <row r="446" spans="3:153" x14ac:dyDescent="0.2">
      <c r="C446" t="s">
        <v>243</v>
      </c>
      <c r="D446">
        <v>1995</v>
      </c>
      <c r="G446" s="10">
        <v>1155</v>
      </c>
      <c r="H446" s="10">
        <v>1118</v>
      </c>
      <c r="I446" s="10"/>
      <c r="J446" s="10"/>
      <c r="K446" s="10">
        <v>1076</v>
      </c>
      <c r="L446" s="10">
        <v>0</v>
      </c>
      <c r="M446" s="10"/>
      <c r="N446" s="10"/>
      <c r="O446" s="10"/>
      <c r="P446" s="10"/>
      <c r="Q446" s="10"/>
      <c r="T446" s="10"/>
      <c r="U446" s="10"/>
      <c r="AD446">
        <f t="shared" si="200"/>
        <v>0.94186912153892333</v>
      </c>
      <c r="AE446">
        <f t="shared" si="194"/>
        <v>471.37101222307115</v>
      </c>
      <c r="AF446">
        <f t="shared" si="195"/>
        <v>443.96980120145713</v>
      </c>
      <c r="AK446" s="43" t="s">
        <v>264</v>
      </c>
      <c r="AL446" s="46" t="s">
        <v>184</v>
      </c>
      <c r="AM446" s="46" t="s">
        <v>266</v>
      </c>
      <c r="AN446" s="43" t="s">
        <v>454</v>
      </c>
      <c r="AO446" s="43" t="s">
        <v>277</v>
      </c>
      <c r="AP446" s="43"/>
      <c r="AR446" s="43"/>
      <c r="AS446" s="43"/>
      <c r="AT446" s="43"/>
      <c r="AU446" s="43"/>
      <c r="DW446" s="57"/>
      <c r="DZ446" s="51"/>
      <c r="EA446" s="52"/>
      <c r="EB446" s="52"/>
      <c r="EC446" s="43"/>
      <c r="ED446" s="43"/>
      <c r="EE446" s="43"/>
      <c r="EO446" s="15"/>
      <c r="ER446" s="51"/>
      <c r="ES446" s="52"/>
      <c r="ET446" s="52"/>
      <c r="EU446" s="43"/>
      <c r="EV446" s="43"/>
      <c r="EW446" s="43"/>
    </row>
    <row r="447" spans="3:153" x14ac:dyDescent="0.2">
      <c r="C447" t="s">
        <v>243</v>
      </c>
      <c r="D447" s="6">
        <v>1999</v>
      </c>
      <c r="E447" s="6"/>
      <c r="F447" s="6"/>
      <c r="G447" s="11">
        <v>1051</v>
      </c>
      <c r="H447" s="11">
        <v>1010</v>
      </c>
      <c r="I447" s="11"/>
      <c r="J447" s="11"/>
      <c r="K447" s="11">
        <v>1092</v>
      </c>
      <c r="L447" s="11">
        <v>1138</v>
      </c>
      <c r="M447" s="11"/>
      <c r="N447" s="11">
        <v>1138</v>
      </c>
      <c r="O447" s="11">
        <v>569</v>
      </c>
      <c r="P447" s="11">
        <f>3405-385-641-612-718-418-357</f>
        <v>274</v>
      </c>
      <c r="Q447" s="11">
        <f>3405-385-641-612-718-418-357</f>
        <v>274</v>
      </c>
      <c r="T447" s="11">
        <v>6445</v>
      </c>
      <c r="U447" s="11">
        <v>6445</v>
      </c>
      <c r="AD447">
        <f t="shared" si="200"/>
        <v>0.94763232342320536</v>
      </c>
      <c r="AE447">
        <f t="shared" si="194"/>
        <v>541.40366852312786</v>
      </c>
      <c r="AF447">
        <f t="shared" si="195"/>
        <v>513.05161631241856</v>
      </c>
      <c r="AK447" s="43" t="s">
        <v>206</v>
      </c>
      <c r="AL447" s="13">
        <f>2368+3665-150</f>
        <v>5883</v>
      </c>
      <c r="AM447" s="47" t="e">
        <f>SUMPRODUCT($D297:$D$317,AL$167:AL325)</f>
        <v>#VALUE!</v>
      </c>
      <c r="AN447" s="43">
        <f>5329</f>
        <v>5329</v>
      </c>
      <c r="AO447" s="13">
        <f>1721+3608</f>
        <v>5329</v>
      </c>
      <c r="AP447" s="43"/>
      <c r="AR447" s="43"/>
      <c r="AS447" s="43"/>
      <c r="AT447" s="43"/>
      <c r="AU447" s="43"/>
      <c r="DW447" s="57"/>
      <c r="DZ447" s="43"/>
      <c r="EA447" s="43"/>
      <c r="EB447" s="43"/>
      <c r="EC447" s="43"/>
      <c r="ED447" s="43"/>
      <c r="EE447" s="43"/>
      <c r="EO447" s="15"/>
      <c r="ER447" s="43"/>
      <c r="ES447" s="43"/>
      <c r="ET447" s="43"/>
      <c r="EU447" s="43"/>
      <c r="EV447" s="43"/>
      <c r="EW447" s="43"/>
    </row>
    <row r="448" spans="3:153" ht="13.5" thickBot="1" x14ac:dyDescent="0.25">
      <c r="C448" s="37" t="s">
        <v>252</v>
      </c>
      <c r="G448">
        <f t="shared" ref="G448:Q448" si="201">G444/G440</f>
        <v>2.1229487319821141</v>
      </c>
      <c r="H448">
        <f t="shared" si="201"/>
        <v>2.1010965927684642</v>
      </c>
      <c r="I448">
        <f t="shared" si="201"/>
        <v>0</v>
      </c>
      <c r="J448">
        <f t="shared" si="201"/>
        <v>0</v>
      </c>
      <c r="K448">
        <f t="shared" si="201"/>
        <v>3.930001782409982</v>
      </c>
      <c r="L448">
        <f t="shared" si="201"/>
        <v>2.0988380338156927</v>
      </c>
      <c r="M448">
        <f t="shared" si="201"/>
        <v>0</v>
      </c>
      <c r="N448">
        <f t="shared" si="201"/>
        <v>5.2796586135229751</v>
      </c>
      <c r="O448">
        <f t="shared" si="201"/>
        <v>7.4189602726866593</v>
      </c>
      <c r="P448">
        <f t="shared" si="201"/>
        <v>2.8037674564793504</v>
      </c>
      <c r="Q448">
        <f t="shared" si="201"/>
        <v>1.5843052766493702</v>
      </c>
      <c r="T448">
        <f>T444/T440</f>
        <v>1.9489981300715857</v>
      </c>
      <c r="U448">
        <f>U444/U440</f>
        <v>1.950199133255399</v>
      </c>
      <c r="AD448">
        <f t="shared" si="200"/>
        <v>0.95299646179949982</v>
      </c>
      <c r="AE448">
        <f t="shared" si="194"/>
        <v>609.23540121737858</v>
      </c>
      <c r="AF448">
        <f t="shared" si="195"/>
        <v>580.59918176316046</v>
      </c>
      <c r="AK448" s="43" t="s">
        <v>240</v>
      </c>
      <c r="AL448" s="13">
        <f>8594+150</f>
        <v>8744</v>
      </c>
      <c r="AM448" s="47" t="e">
        <f>SUMPRODUCT($D$343:$D347,AL$297:AL351)</f>
        <v>#VALUE!</v>
      </c>
      <c r="AN448" s="43">
        <f>8712</f>
        <v>8712</v>
      </c>
      <c r="AO448" s="13">
        <f>8712</f>
        <v>8712</v>
      </c>
      <c r="AP448" s="43"/>
      <c r="AR448" s="43"/>
      <c r="AS448" s="43"/>
      <c r="AT448" s="43"/>
      <c r="AU448" s="43"/>
      <c r="DW448" s="57"/>
      <c r="DZ448" s="43"/>
      <c r="EA448" s="21" t="s">
        <v>241</v>
      </c>
      <c r="EB448" s="21" t="s">
        <v>242</v>
      </c>
      <c r="EC448" s="43"/>
      <c r="ED448" s="43"/>
      <c r="EE448" s="43"/>
      <c r="EO448" s="15"/>
      <c r="ER448" s="43"/>
      <c r="ES448" s="21" t="s">
        <v>241</v>
      </c>
      <c r="ET448" s="21" t="s">
        <v>242</v>
      </c>
      <c r="EU448" s="43"/>
      <c r="EV448" s="43"/>
      <c r="EW448" s="43"/>
    </row>
    <row r="449" spans="3:153" x14ac:dyDescent="0.2">
      <c r="C449" s="37" t="s">
        <v>252</v>
      </c>
      <c r="G449">
        <f t="shared" ref="G449:Q449" si="202">G445/G441</f>
        <v>2.6830154179152212</v>
      </c>
      <c r="H449">
        <f t="shared" si="202"/>
        <v>2.3288239337677816</v>
      </c>
      <c r="I449">
        <f t="shared" si="202"/>
        <v>0</v>
      </c>
      <c r="J449">
        <f t="shared" si="202"/>
        <v>0</v>
      </c>
      <c r="K449">
        <f t="shared" si="202"/>
        <v>5.3361498709871169</v>
      </c>
      <c r="L449">
        <f t="shared" si="202"/>
        <v>0</v>
      </c>
      <c r="M449">
        <f t="shared" si="202"/>
        <v>0</v>
      </c>
      <c r="N449">
        <f t="shared" si="202"/>
        <v>0</v>
      </c>
      <c r="O449">
        <f t="shared" si="202"/>
        <v>0</v>
      </c>
      <c r="P449">
        <f t="shared" si="202"/>
        <v>0</v>
      </c>
      <c r="Q449">
        <f t="shared" si="202"/>
        <v>0</v>
      </c>
      <c r="T449">
        <f>T445/T441</f>
        <v>0</v>
      </c>
      <c r="AD449">
        <f t="shared" si="200"/>
        <v>0.95797248143291314</v>
      </c>
      <c r="AE449">
        <f t="shared" si="194"/>
        <v>653.57682545158821</v>
      </c>
      <c r="AF449">
        <f t="shared" si="195"/>
        <v>626.10861328490387</v>
      </c>
      <c r="AK449" s="43" t="s">
        <v>151</v>
      </c>
      <c r="AL449" s="13">
        <f>9712</f>
        <v>9712</v>
      </c>
      <c r="AM449" s="47" t="e">
        <f>SUMPRODUCT($D$357:$D373,AL$323:AL365)</f>
        <v>#VALUE!</v>
      </c>
      <c r="AN449" s="43">
        <f>10421</f>
        <v>10421</v>
      </c>
      <c r="AO449" s="13">
        <f>AN449-400</f>
        <v>10021</v>
      </c>
      <c r="AP449" s="43"/>
      <c r="AR449" s="43"/>
      <c r="AS449" s="43"/>
      <c r="AT449" s="43"/>
      <c r="AU449" s="43"/>
      <c r="DW449" s="57"/>
      <c r="DZ449" s="43" t="s">
        <v>286</v>
      </c>
      <c r="EA449" s="47">
        <f>EB440/EA440</f>
        <v>0.97594704089764095</v>
      </c>
      <c r="EB449" s="13">
        <f>ED440/EC440</f>
        <v>0.98016561611667274</v>
      </c>
      <c r="EC449" s="43"/>
      <c r="ED449" s="43"/>
      <c r="EE449" s="43"/>
      <c r="EO449" s="15"/>
      <c r="ER449" s="43" t="s">
        <v>286</v>
      </c>
      <c r="ES449" s="47">
        <f>ET440/ES440</f>
        <v>0.96653083599126954</v>
      </c>
      <c r="ET449" s="13">
        <f>EV440/EU440</f>
        <v>0.98016561611667274</v>
      </c>
      <c r="EU449" s="43"/>
      <c r="EV449" s="43"/>
      <c r="EW449" s="43"/>
    </row>
    <row r="450" spans="3:153" x14ac:dyDescent="0.2">
      <c r="C450" s="37" t="s">
        <v>252</v>
      </c>
      <c r="G450">
        <f t="shared" ref="G450:Q450" si="203">G446/G442</f>
        <v>2.3781099175380072</v>
      </c>
      <c r="H450">
        <f t="shared" si="203"/>
        <v>2.0098120600048697</v>
      </c>
      <c r="I450">
        <f t="shared" si="203"/>
        <v>0</v>
      </c>
      <c r="J450">
        <f t="shared" si="203"/>
        <v>0</v>
      </c>
      <c r="K450">
        <f t="shared" si="203"/>
        <v>3.3032050804835777</v>
      </c>
      <c r="L450">
        <f t="shared" si="203"/>
        <v>0</v>
      </c>
      <c r="M450">
        <f t="shared" si="203"/>
        <v>0</v>
      </c>
      <c r="N450">
        <f t="shared" si="203"/>
        <v>0</v>
      </c>
      <c r="O450">
        <f t="shared" si="203"/>
        <v>0</v>
      </c>
      <c r="P450">
        <f t="shared" si="203"/>
        <v>0</v>
      </c>
      <c r="Q450">
        <f t="shared" si="203"/>
        <v>0</v>
      </c>
      <c r="T450">
        <f>T446/T442</f>
        <v>0</v>
      </c>
      <c r="AD450">
        <f t="shared" si="200"/>
        <v>0.96257252682658867</v>
      </c>
      <c r="AE450">
        <f t="shared" si="194"/>
        <v>656.67345178540631</v>
      </c>
      <c r="AF450">
        <f t="shared" si="195"/>
        <v>632.09582378501659</v>
      </c>
      <c r="AK450" s="43" t="s">
        <v>275</v>
      </c>
      <c r="AL450" s="13">
        <f>11469+4307+8230+5205+4678</f>
        <v>33889</v>
      </c>
      <c r="AM450" s="47" t="e">
        <f>SUMPRODUCT($D387:$D$387,AL$337:AL415)</f>
        <v>#VALUE!</v>
      </c>
      <c r="AN450" s="50">
        <f>12612+14014+10149</f>
        <v>36775</v>
      </c>
      <c r="AO450" s="13">
        <f>AN450-1252</f>
        <v>35523</v>
      </c>
      <c r="AP450" s="43"/>
      <c r="AR450" s="43"/>
      <c r="AS450" s="43"/>
      <c r="AT450" s="43"/>
      <c r="AU450" s="43"/>
      <c r="DW450" s="57"/>
      <c r="DZ450" s="43" t="s">
        <v>240</v>
      </c>
      <c r="EA450" s="47">
        <f>EB439/EA439</f>
        <v>0.92733127547423733</v>
      </c>
      <c r="EB450" s="13">
        <f>ED439/EC439</f>
        <v>0.94544613962089685</v>
      </c>
      <c r="EC450" s="43"/>
      <c r="EE450" s="43"/>
      <c r="EO450" s="15"/>
      <c r="ER450" s="43" t="s">
        <v>240</v>
      </c>
      <c r="ES450" s="47">
        <f>ET439/ES439</f>
        <v>0.92638904955013412</v>
      </c>
      <c r="ET450" s="13">
        <f>EV439/EU439</f>
        <v>0.94544613962089685</v>
      </c>
      <c r="EU450" s="43"/>
      <c r="EW450" s="43"/>
    </row>
    <row r="451" spans="3:153" x14ac:dyDescent="0.2">
      <c r="C451" s="37" t="s">
        <v>252</v>
      </c>
      <c r="G451">
        <f t="shared" ref="G451:Q451" si="204">G447/G443</f>
        <v>2.3723773309184546</v>
      </c>
      <c r="H451">
        <f t="shared" si="204"/>
        <v>1.9907226964994109</v>
      </c>
      <c r="I451">
        <f t="shared" si="204"/>
        <v>0</v>
      </c>
      <c r="J451">
        <f t="shared" si="204"/>
        <v>0</v>
      </c>
      <c r="K451">
        <f t="shared" si="204"/>
        <v>3.6755442420119824</v>
      </c>
      <c r="L451">
        <f t="shared" si="204"/>
        <v>2.3756244811852505</v>
      </c>
      <c r="M451">
        <f t="shared" si="204"/>
        <v>0</v>
      </c>
      <c r="N451">
        <f t="shared" si="204"/>
        <v>5.9550290444486222</v>
      </c>
      <c r="O451">
        <f t="shared" si="204"/>
        <v>4.2300854952373568</v>
      </c>
      <c r="P451">
        <f t="shared" si="204"/>
        <v>0.75864692690662017</v>
      </c>
      <c r="Q451">
        <f t="shared" si="204"/>
        <v>0.41653575220995348</v>
      </c>
      <c r="T451">
        <f>T447/T443</f>
        <v>1.9049008486124421</v>
      </c>
      <c r="AD451">
        <f t="shared" si="200"/>
        <v>0.96680979763079788</v>
      </c>
      <c r="AE451">
        <f t="shared" si="194"/>
        <v>677.48019911777021</v>
      </c>
      <c r="AF451">
        <f t="shared" si="195"/>
        <v>654.99449420792405</v>
      </c>
      <c r="AK451" s="43"/>
      <c r="AL451" s="43"/>
      <c r="AM451" s="43"/>
      <c r="AN451" s="43">
        <f>SUM(AN447:AN450)</f>
        <v>61237</v>
      </c>
      <c r="AO451" s="43">
        <f>SUM(AO447:AO450)</f>
        <v>59585</v>
      </c>
      <c r="AP451" s="43"/>
      <c r="AR451" s="43"/>
      <c r="AS451" s="43"/>
      <c r="AT451" s="43"/>
      <c r="AU451" s="43"/>
      <c r="DW451" s="57"/>
      <c r="DZ451" s="43" t="s">
        <v>206</v>
      </c>
      <c r="EA451" s="47" t="e">
        <f>EB438/EA438</f>
        <v>#VALUE!</v>
      </c>
      <c r="EB451" s="13">
        <f>ED438/EC438</f>
        <v>0.95343969806141704</v>
      </c>
      <c r="EO451" s="15"/>
      <c r="ER451" s="43" t="s">
        <v>206</v>
      </c>
      <c r="ES451" s="47" t="e">
        <f>ET438/ES438</f>
        <v>#VALUE!</v>
      </c>
      <c r="ET451" s="13">
        <f>EV438/EU438</f>
        <v>0.95343969806141704</v>
      </c>
    </row>
    <row r="452" spans="3:153" x14ac:dyDescent="0.2">
      <c r="H452" s="15">
        <f>H448</f>
        <v>2.1010965927684642</v>
      </c>
      <c r="L452" s="15">
        <f>L448</f>
        <v>2.0988380338156927</v>
      </c>
      <c r="T452" s="15">
        <f>T448</f>
        <v>1.9489981300715857</v>
      </c>
      <c r="U452" s="66">
        <f>U448</f>
        <v>1.950199133255399</v>
      </c>
      <c r="AD452">
        <f t="shared" si="200"/>
        <v>0.97069840315522438</v>
      </c>
      <c r="AE452">
        <f t="shared" si="194"/>
        <v>693.15199980285354</v>
      </c>
      <c r="AF452">
        <f t="shared" si="195"/>
        <v>672.84153935248037</v>
      </c>
      <c r="AK452" s="43"/>
      <c r="AL452" s="43"/>
      <c r="AM452" s="43"/>
      <c r="AN452" s="43"/>
      <c r="AO452" s="43"/>
      <c r="AP452" s="43"/>
      <c r="AR452" s="43"/>
      <c r="AS452" s="43"/>
      <c r="AT452" s="43"/>
      <c r="AU452" s="43"/>
      <c r="DW452" s="56"/>
      <c r="EO452" s="15"/>
    </row>
    <row r="453" spans="3:153" x14ac:dyDescent="0.2">
      <c r="AE453">
        <f>SUM(AE439:AE452)</f>
        <v>6847.6767365632468</v>
      </c>
      <c r="AF453">
        <f>SUM(AF439:AF452)</f>
        <v>6455.1794075504304</v>
      </c>
      <c r="AK453" s="51" t="s">
        <v>280</v>
      </c>
      <c r="AL453" s="52"/>
      <c r="AM453" s="52"/>
      <c r="AN453" s="52"/>
      <c r="AO453" s="43"/>
      <c r="AP453" s="43"/>
      <c r="AR453" s="43"/>
      <c r="AS453" s="43"/>
      <c r="AT453" s="43"/>
      <c r="AU453" s="43"/>
      <c r="DW453" s="56"/>
      <c r="EO453" s="15"/>
    </row>
    <row r="454" spans="3:153" x14ac:dyDescent="0.2">
      <c r="AK454" s="43"/>
      <c r="AL454" s="43"/>
      <c r="AM454" s="43"/>
      <c r="AN454" s="43"/>
      <c r="AO454" s="43"/>
      <c r="AP454" s="43"/>
      <c r="DW454" s="56"/>
      <c r="EO454" s="15"/>
    </row>
    <row r="455" spans="3:153" ht="13.5" thickBot="1" x14ac:dyDescent="0.25">
      <c r="C455" t="s">
        <v>258</v>
      </c>
      <c r="AK455" s="43"/>
      <c r="AL455" s="21" t="s">
        <v>241</v>
      </c>
      <c r="AM455" s="21" t="s">
        <v>242</v>
      </c>
      <c r="AN455" s="43"/>
      <c r="AO455" s="43"/>
      <c r="AP455" s="43"/>
      <c r="AR455" s="43"/>
      <c r="AS455" s="43"/>
      <c r="AT455" s="43"/>
      <c r="AU455" s="43"/>
      <c r="DW455" s="56"/>
      <c r="EO455" s="15"/>
    </row>
    <row r="456" spans="3:153" ht="13.5" thickBot="1" x14ac:dyDescent="0.25">
      <c r="C456" s="21" t="s">
        <v>260</v>
      </c>
      <c r="D456" s="21"/>
      <c r="E456" t="s">
        <v>262</v>
      </c>
      <c r="G456" s="19">
        <f t="shared" ref="G456:Q456" si="205">SUM(G323:G336)</f>
        <v>887.42894866239646</v>
      </c>
      <c r="H456" s="19">
        <f t="shared" si="205"/>
        <v>911.1916780708367</v>
      </c>
      <c r="I456" s="19">
        <f t="shared" si="205"/>
        <v>125.28885573474004</v>
      </c>
      <c r="J456" s="19">
        <f t="shared" si="205"/>
        <v>102.50906378296911</v>
      </c>
      <c r="K456" s="19">
        <f t="shared" si="205"/>
        <v>533.58071238382308</v>
      </c>
      <c r="L456" s="19">
        <f t="shared" si="205"/>
        <v>1594.6169999999997</v>
      </c>
      <c r="M456" s="19">
        <f t="shared" si="205"/>
        <v>385.43475000000001</v>
      </c>
      <c r="N456" s="19">
        <f t="shared" si="205"/>
        <v>360.66398656324702</v>
      </c>
      <c r="O456" s="19">
        <f t="shared" si="205"/>
        <v>499.926875</v>
      </c>
      <c r="P456" s="19">
        <f t="shared" si="205"/>
        <v>512.21386249999989</v>
      </c>
      <c r="Q456" s="19">
        <f t="shared" si="205"/>
        <v>934.82100386523484</v>
      </c>
      <c r="T456">
        <f>SUM(T323:T336)</f>
        <v>6847.6767365632468</v>
      </c>
      <c r="U456">
        <f>SUM(U323:U336)</f>
        <v>6543.8558349392551</v>
      </c>
      <c r="AK456" s="43" t="s">
        <v>114</v>
      </c>
      <c r="AL456" s="47" t="e">
        <f>AM450/AL450</f>
        <v>#VALUE!</v>
      </c>
      <c r="AM456" s="13">
        <f>AO450/AL450</f>
        <v>1.0482162353566054</v>
      </c>
      <c r="AN456" s="43"/>
      <c r="AO456" s="43"/>
      <c r="AP456" s="43"/>
      <c r="AR456" s="43"/>
      <c r="AS456" s="43"/>
      <c r="AT456" s="43"/>
      <c r="AU456" s="43"/>
      <c r="DW456" s="56"/>
      <c r="EO456" s="15"/>
    </row>
    <row r="457" spans="3:153" x14ac:dyDescent="0.2">
      <c r="D457" t="s">
        <v>103</v>
      </c>
      <c r="E457" t="s">
        <v>106</v>
      </c>
      <c r="F457" t="s">
        <v>107</v>
      </c>
      <c r="AK457" s="43" t="s">
        <v>151</v>
      </c>
      <c r="AL457" s="47" t="e">
        <f>AM449/AL449</f>
        <v>#VALUE!</v>
      </c>
      <c r="AM457" s="13">
        <f>AO449/AL449</f>
        <v>1.0318163097199342</v>
      </c>
      <c r="AN457" s="43"/>
      <c r="AO457" s="43"/>
      <c r="AP457" s="43"/>
      <c r="AR457" s="43"/>
      <c r="AS457" s="43"/>
      <c r="AT457" s="43"/>
      <c r="AU457" s="43"/>
      <c r="DW457" s="56"/>
      <c r="EO457" s="15"/>
    </row>
    <row r="458" spans="3:153" x14ac:dyDescent="0.2">
      <c r="C458" t="s">
        <v>250</v>
      </c>
      <c r="D458">
        <v>1989</v>
      </c>
      <c r="E458">
        <v>43</v>
      </c>
      <c r="F458">
        <v>30</v>
      </c>
      <c r="G458" s="5">
        <f t="shared" ref="G458:Q458" si="206">SUMPRODUCT($D354:$D367,G$323:G$336)</f>
        <v>836.6271331274254</v>
      </c>
      <c r="H458" s="5">
        <f t="shared" si="206"/>
        <v>858.49157964259246</v>
      </c>
      <c r="I458" s="5">
        <f t="shared" si="206"/>
        <v>118.04259220085646</v>
      </c>
      <c r="J458" s="5">
        <f t="shared" si="206"/>
        <v>96.580302709791638</v>
      </c>
      <c r="K458" s="5">
        <f t="shared" si="206"/>
        <v>502.72029438530183</v>
      </c>
      <c r="L458" s="5">
        <f t="shared" si="206"/>
        <v>1506.5814487366511</v>
      </c>
      <c r="M458" s="5">
        <f t="shared" si="206"/>
        <v>360.73383503376289</v>
      </c>
      <c r="N458" s="5">
        <f t="shared" si="206"/>
        <v>339.00154784164732</v>
      </c>
      <c r="O458" s="5">
        <f t="shared" si="206"/>
        <v>472.00576935344219</v>
      </c>
      <c r="P458" s="5">
        <f t="shared" si="206"/>
        <v>482.3264349027757</v>
      </c>
      <c r="Q458" s="5">
        <f t="shared" si="206"/>
        <v>882.06846961618351</v>
      </c>
      <c r="T458" s="5">
        <f>SUMPRODUCT($D354:$D367,T$323:T$336)</f>
        <v>6455.1794075504304</v>
      </c>
      <c r="U458" s="5">
        <f>SUMPRODUCT($D354:$D367,U$323:U$336)</f>
        <v>6172.6017452143678</v>
      </c>
      <c r="AK458" s="43" t="s">
        <v>240</v>
      </c>
      <c r="AL458" s="47" t="e">
        <f>AM448/AL448</f>
        <v>#VALUE!</v>
      </c>
      <c r="AM458" s="13">
        <f>AO448/AL448</f>
        <v>0.99634034766697166</v>
      </c>
      <c r="AN458" s="43"/>
      <c r="AO458" s="43"/>
      <c r="AP458" s="43"/>
      <c r="AQ458" s="43"/>
      <c r="AR458" s="43"/>
      <c r="AS458" s="43"/>
      <c r="AT458" s="43"/>
      <c r="AU458" s="43"/>
      <c r="DW458" s="56"/>
      <c r="EO458" s="15"/>
    </row>
    <row r="459" spans="3:153" x14ac:dyDescent="0.2">
      <c r="C459" t="s">
        <v>250</v>
      </c>
      <c r="D459">
        <v>1992</v>
      </c>
      <c r="E459">
        <v>46</v>
      </c>
      <c r="F459">
        <v>33</v>
      </c>
      <c r="G459" s="5">
        <f t="shared" ref="G459:Q459" si="207">SUMPRODUCT($D351:$D364,G$323:G$336)</f>
        <v>819.73416921802618</v>
      </c>
      <c r="H459" s="5">
        <f t="shared" si="207"/>
        <v>841.06466458631053</v>
      </c>
      <c r="I459" s="5">
        <f t="shared" si="207"/>
        <v>115.6463913806177</v>
      </c>
      <c r="J459" s="5">
        <f t="shared" si="207"/>
        <v>94.619774765959917</v>
      </c>
      <c r="K459" s="5">
        <f t="shared" si="207"/>
        <v>492.51534412711879</v>
      </c>
      <c r="L459" s="5">
        <f t="shared" si="207"/>
        <v>1476.7195772291373</v>
      </c>
      <c r="M459" s="5">
        <f t="shared" si="207"/>
        <v>352.83266588444809</v>
      </c>
      <c r="N459" s="5">
        <f t="shared" si="207"/>
        <v>331.92717722479671</v>
      </c>
      <c r="O459" s="5">
        <f t="shared" si="207"/>
        <v>462.59718405804449</v>
      </c>
      <c r="P459" s="5">
        <f t="shared" si="207"/>
        <v>472.44395437537423</v>
      </c>
      <c r="Q459" s="5">
        <f t="shared" si="207"/>
        <v>864.31064763449876</v>
      </c>
      <c r="T459" s="5">
        <f>SUMPRODUCT($D351:$D364,T$323:T$336)</f>
        <v>6324.4115504843339</v>
      </c>
      <c r="U459" s="5">
        <f>SUMPRODUCT($D351:$D364,U$323:U$336)</f>
        <v>6048.3937736531061</v>
      </c>
      <c r="AK459" s="43" t="s">
        <v>206</v>
      </c>
      <c r="AL459" s="47" t="e">
        <f>AM447/AL447</f>
        <v>#VALUE!</v>
      </c>
      <c r="AM459" s="13">
        <f>AO447/AL447</f>
        <v>0.90583035866054729</v>
      </c>
      <c r="AN459" s="43"/>
      <c r="AP459" s="43"/>
      <c r="AQ459" s="43"/>
      <c r="AR459" s="43"/>
      <c r="AS459" s="43"/>
      <c r="AT459" s="43"/>
      <c r="AU459" s="43"/>
      <c r="DW459" s="56"/>
      <c r="EO459" s="15"/>
    </row>
    <row r="460" spans="3:153" x14ac:dyDescent="0.2">
      <c r="C460" t="s">
        <v>250</v>
      </c>
      <c r="D460">
        <v>1995</v>
      </c>
      <c r="E460">
        <v>49</v>
      </c>
      <c r="F460">
        <v>36</v>
      </c>
      <c r="G460" s="5">
        <f t="shared" ref="G460:Q460" si="208">SUMPRODUCT($D348:$D361,G$323:G$336)</f>
        <v>799.57183794485684</v>
      </c>
      <c r="H460" s="5">
        <f t="shared" si="208"/>
        <v>820.28591414777623</v>
      </c>
      <c r="I460" s="5">
        <f t="shared" si="208"/>
        <v>112.78931319531922</v>
      </c>
      <c r="J460" s="5">
        <f t="shared" si="208"/>
        <v>92.282165341624818</v>
      </c>
      <c r="K460" s="5">
        <f t="shared" si="208"/>
        <v>480.34760738383289</v>
      </c>
      <c r="L460" s="5">
        <f t="shared" si="208"/>
        <v>1440.9523287392212</v>
      </c>
      <c r="M460" s="5">
        <f t="shared" si="208"/>
        <v>343.49312953249682</v>
      </c>
      <c r="N460" s="5">
        <f t="shared" si="208"/>
        <v>323.51925136229551</v>
      </c>
      <c r="O460" s="5">
        <f t="shared" si="208"/>
        <v>451.34112572913381</v>
      </c>
      <c r="P460" s="5">
        <f t="shared" si="208"/>
        <v>460.66785380307351</v>
      </c>
      <c r="Q460" s="5">
        <f t="shared" si="208"/>
        <v>843.08049600354298</v>
      </c>
      <c r="T460" s="5">
        <f>SUMPRODUCT($D348:$D361,T$323:T$336)</f>
        <v>6168.3310231831738</v>
      </c>
      <c r="U460" s="5">
        <f>SUMPRODUCT($D348:$D361,U$323:U$336)</f>
        <v>5900.0084123285569</v>
      </c>
      <c r="AQ460" s="43"/>
      <c r="AR460" s="43"/>
      <c r="AS460" s="43"/>
      <c r="AT460" s="43"/>
      <c r="AU460" s="43"/>
      <c r="DW460" s="56"/>
      <c r="EO460" s="15"/>
    </row>
    <row r="461" spans="3:153" x14ac:dyDescent="0.2">
      <c r="C461" t="s">
        <v>250</v>
      </c>
      <c r="D461" s="6">
        <v>1999</v>
      </c>
      <c r="E461" s="6">
        <v>53</v>
      </c>
      <c r="F461" s="6">
        <v>40</v>
      </c>
      <c r="G461" s="7">
        <f t="shared" ref="G461:Q461" si="209">SUMPRODUCT($D344:$D357,G$323:G$336)</f>
        <v>767.54995233780221</v>
      </c>
      <c r="H461" s="7">
        <f t="shared" si="209"/>
        <v>787.3188046141355</v>
      </c>
      <c r="I461" s="7">
        <f t="shared" si="209"/>
        <v>108.25633563444364</v>
      </c>
      <c r="J461" s="7">
        <f t="shared" si="209"/>
        <v>88.573365519090245</v>
      </c>
      <c r="K461" s="7">
        <f t="shared" si="209"/>
        <v>461.04254324251178</v>
      </c>
      <c r="L461" s="7">
        <f t="shared" si="209"/>
        <v>1383.9426114946023</v>
      </c>
      <c r="M461" s="7">
        <f t="shared" si="209"/>
        <v>328.8200309439062</v>
      </c>
      <c r="N461" s="7">
        <f t="shared" si="209"/>
        <v>310.22768895812231</v>
      </c>
      <c r="O461" s="7">
        <f t="shared" si="209"/>
        <v>433.42111303641013</v>
      </c>
      <c r="P461" s="7">
        <f t="shared" si="209"/>
        <v>441.99949900429482</v>
      </c>
      <c r="Q461" s="7">
        <f t="shared" si="209"/>
        <v>809.31122109868511</v>
      </c>
      <c r="T461" s="7">
        <f>SUMPRODUCT($D344:$D357,T$323:T$336)</f>
        <v>5920.4631658840044</v>
      </c>
      <c r="U461" s="7">
        <f>SUMPRODUCT($D344:$D357,U$323:U$336)</f>
        <v>5664.1299108190797</v>
      </c>
      <c r="AQ461" s="43"/>
      <c r="AR461" s="43"/>
      <c r="AS461" s="43"/>
      <c r="AT461" s="43"/>
      <c r="AU461" s="43"/>
      <c r="DW461" s="56"/>
      <c r="EO461" s="15"/>
    </row>
    <row r="462" spans="3:153" x14ac:dyDescent="0.2">
      <c r="C462" t="s">
        <v>243</v>
      </c>
      <c r="D462">
        <v>1989</v>
      </c>
      <c r="G462" s="10">
        <v>1849</v>
      </c>
      <c r="H462" s="10">
        <v>1694</v>
      </c>
      <c r="I462" s="10"/>
      <c r="J462" s="10"/>
      <c r="K462" s="10">
        <v>1279</v>
      </c>
      <c r="L462" s="10">
        <f>2267</f>
        <v>2267</v>
      </c>
      <c r="M462" s="10"/>
      <c r="N462" s="10">
        <v>2267</v>
      </c>
      <c r="O462" s="10">
        <v>2267</v>
      </c>
      <c r="P462" s="10">
        <v>2267</v>
      </c>
      <c r="Q462" s="10">
        <v>2267</v>
      </c>
      <c r="T462" s="10">
        <v>10511</v>
      </c>
      <c r="U462" s="10">
        <v>10511</v>
      </c>
      <c r="AQ462" s="43"/>
      <c r="AR462" s="43"/>
      <c r="AS462" s="43"/>
      <c r="AT462" s="43"/>
      <c r="AU462" s="43"/>
      <c r="DW462" s="56"/>
      <c r="EO462" s="15"/>
    </row>
    <row r="463" spans="3:153" x14ac:dyDescent="0.2">
      <c r="C463" t="s">
        <v>243</v>
      </c>
      <c r="D463">
        <v>1992</v>
      </c>
      <c r="G463" s="10">
        <v>1400</v>
      </c>
      <c r="H463" s="10">
        <v>1883</v>
      </c>
      <c r="I463" s="10"/>
      <c r="J463" s="10"/>
      <c r="K463" s="10">
        <v>1805</v>
      </c>
      <c r="L463" s="10"/>
      <c r="M463" s="10"/>
      <c r="N463" s="10"/>
      <c r="O463" s="10"/>
      <c r="P463" s="10"/>
      <c r="Q463" s="10"/>
      <c r="T463" s="10"/>
      <c r="U463" s="10"/>
      <c r="AJ463">
        <v>2</v>
      </c>
      <c r="AK463" s="43" t="s">
        <v>264</v>
      </c>
      <c r="AL463" s="46" t="s">
        <v>287</v>
      </c>
      <c r="AM463" s="46" t="s">
        <v>288</v>
      </c>
      <c r="AN463" s="50" t="s">
        <v>314</v>
      </c>
      <c r="AO463" s="43"/>
      <c r="AP463" s="43"/>
      <c r="AQ463" s="43"/>
      <c r="DW463" s="56"/>
      <c r="EO463" s="15"/>
    </row>
    <row r="464" spans="3:153" x14ac:dyDescent="0.2">
      <c r="C464" t="s">
        <v>243</v>
      </c>
      <c r="D464">
        <v>1995</v>
      </c>
      <c r="G464" s="10">
        <v>1262</v>
      </c>
      <c r="H464" s="10">
        <v>1895</v>
      </c>
      <c r="I464" s="10"/>
      <c r="J464" s="10"/>
      <c r="K464" s="10">
        <v>1236</v>
      </c>
      <c r="L464" s="10"/>
      <c r="M464" s="10"/>
      <c r="N464" s="10"/>
      <c r="O464" s="10"/>
      <c r="P464" s="10"/>
      <c r="Q464" s="10"/>
      <c r="T464" s="10"/>
      <c r="U464" s="10"/>
      <c r="AJ464">
        <v>3</v>
      </c>
      <c r="AK464" s="43" t="s">
        <v>206</v>
      </c>
      <c r="AL464" s="13" t="e">
        <f>SUMPRODUCT($D278:$D$327,AL$167:AL296)</f>
        <v>#VALUE!</v>
      </c>
      <c r="AM464" s="47" t="e">
        <f>SUMPRODUCT($D274:$D$323,AL$167:AL296)</f>
        <v>#VALUE!</v>
      </c>
      <c r="AN464" s="13">
        <f>293+377</f>
        <v>670</v>
      </c>
      <c r="AO464" s="13">
        <f>AN464-23*$AO$470</f>
        <v>638.80459770114942</v>
      </c>
      <c r="AP464" s="43"/>
      <c r="AQ464" s="43"/>
      <c r="DW464" s="56"/>
      <c r="EO464" s="15"/>
    </row>
    <row r="465" spans="3:145" x14ac:dyDescent="0.2">
      <c r="C465" t="s">
        <v>243</v>
      </c>
      <c r="D465" s="6">
        <v>1999</v>
      </c>
      <c r="E465" s="6"/>
      <c r="F465" s="6"/>
      <c r="G465" s="11">
        <v>1155</v>
      </c>
      <c r="H465" s="11">
        <v>1925</v>
      </c>
      <c r="I465" s="11"/>
      <c r="J465" s="11"/>
      <c r="K465" s="11">
        <v>1265</v>
      </c>
      <c r="L465" s="11">
        <f>1831</f>
        <v>1831</v>
      </c>
      <c r="M465" s="11"/>
      <c r="N465" s="11">
        <v>1831</v>
      </c>
      <c r="O465" s="11">
        <v>534</v>
      </c>
      <c r="P465" s="11">
        <v>641</v>
      </c>
      <c r="Q465" s="11">
        <v>641</v>
      </c>
      <c r="T465" s="11">
        <v>9127</v>
      </c>
      <c r="U465" s="11">
        <v>9127</v>
      </c>
      <c r="AJ465">
        <v>4</v>
      </c>
      <c r="AK465" s="43" t="s">
        <v>240</v>
      </c>
      <c r="AL465" s="13">
        <f>SUMPRODUCT($D$328:$D353,AL$297:AL322)</f>
        <v>8097.9999999999991</v>
      </c>
      <c r="AM465" s="47">
        <f>SUMPRODUCT($D$324:$D349,AL$297:AL322)</f>
        <v>7507.9964413916678</v>
      </c>
      <c r="AN465" s="13">
        <f>721</f>
        <v>721</v>
      </c>
      <c r="AO465" s="13">
        <f>AN465-29*$AO$470</f>
        <v>681.66666666666663</v>
      </c>
      <c r="AP465" s="43"/>
      <c r="AQ465" s="43"/>
      <c r="DW465" s="56"/>
      <c r="EO465" s="15"/>
    </row>
    <row r="466" spans="3:145" x14ac:dyDescent="0.2">
      <c r="C466" s="37" t="s">
        <v>252</v>
      </c>
      <c r="G466" s="18">
        <f t="shared" ref="G466:Q466" si="210">G462/G458</f>
        <v>2.2100645876594847</v>
      </c>
      <c r="H466" s="18">
        <f t="shared" si="210"/>
        <v>1.973228439474324</v>
      </c>
      <c r="I466" s="18">
        <f t="shared" si="210"/>
        <v>0</v>
      </c>
      <c r="J466" s="18">
        <f t="shared" si="210"/>
        <v>0</v>
      </c>
      <c r="K466" s="18">
        <f t="shared" si="210"/>
        <v>2.5441582810256138</v>
      </c>
      <c r="L466" s="18">
        <f t="shared" si="210"/>
        <v>1.5047311261538501</v>
      </c>
      <c r="M466" s="18">
        <f t="shared" si="210"/>
        <v>0</v>
      </c>
      <c r="N466" s="18">
        <f t="shared" si="210"/>
        <v>6.6872851007127245</v>
      </c>
      <c r="O466" s="18">
        <f t="shared" si="210"/>
        <v>4.802907394766291</v>
      </c>
      <c r="P466" s="18">
        <f t="shared" si="210"/>
        <v>4.7001363308170481</v>
      </c>
      <c r="Q466" s="18">
        <f t="shared" si="210"/>
        <v>2.5700952682125062</v>
      </c>
      <c r="R466" s="18"/>
      <c r="S466" s="18"/>
      <c r="T466" s="18">
        <f>T462/T458</f>
        <v>1.6283048597697529</v>
      </c>
      <c r="U466" s="18">
        <f>U462/U458</f>
        <v>1.7028475890493344</v>
      </c>
      <c r="AJ466">
        <v>5</v>
      </c>
      <c r="AK466" s="43" t="s">
        <v>286</v>
      </c>
      <c r="AL466" s="13">
        <f>SUMPRODUCT($D$354:$D387,AL$323:AL356)</f>
        <v>34393.176155918576</v>
      </c>
      <c r="AM466" s="47">
        <f>SUMPRODUCT($D$350:$D383,AL$323:AL356)</f>
        <v>33948.59652728228</v>
      </c>
      <c r="AN466" s="13">
        <v>2325</v>
      </c>
      <c r="AO466" s="13">
        <f>AN466-34*$AO$470</f>
        <v>2278.8850574712642</v>
      </c>
      <c r="AP466" s="43"/>
      <c r="AQ466" s="43"/>
      <c r="DW466" s="56"/>
      <c r="EO466" s="15"/>
    </row>
    <row r="467" spans="3:145" x14ac:dyDescent="0.2">
      <c r="C467" s="37" t="s">
        <v>252</v>
      </c>
      <c r="G467" s="18">
        <f t="shared" ref="G467:Q467" si="211">G463/G459</f>
        <v>1.7078707373336777</v>
      </c>
      <c r="H467" s="18">
        <f t="shared" si="211"/>
        <v>2.238829045238965</v>
      </c>
      <c r="I467" s="18">
        <f t="shared" si="211"/>
        <v>0</v>
      </c>
      <c r="J467" s="18">
        <f t="shared" si="211"/>
        <v>0</v>
      </c>
      <c r="K467" s="18">
        <f t="shared" si="211"/>
        <v>3.6648604384072292</v>
      </c>
      <c r="L467" s="18">
        <f t="shared" si="211"/>
        <v>0</v>
      </c>
      <c r="M467" s="18">
        <f t="shared" si="211"/>
        <v>0</v>
      </c>
      <c r="N467" s="18">
        <f t="shared" si="211"/>
        <v>0</v>
      </c>
      <c r="O467" s="18">
        <f t="shared" si="211"/>
        <v>0</v>
      </c>
      <c r="P467" s="18">
        <f t="shared" si="211"/>
        <v>0</v>
      </c>
      <c r="Q467" s="18">
        <f t="shared" si="211"/>
        <v>0</v>
      </c>
      <c r="R467" s="18"/>
      <c r="S467" s="18"/>
      <c r="T467" s="18">
        <f>T463/T459</f>
        <v>0</v>
      </c>
      <c r="U467" s="18"/>
      <c r="AJ467">
        <v>6</v>
      </c>
      <c r="AK467" s="43"/>
      <c r="AL467" s="13"/>
      <c r="AM467" s="47"/>
      <c r="AN467" s="50"/>
      <c r="AO467" s="13"/>
      <c r="AP467" s="43"/>
      <c r="AQ467" s="43"/>
      <c r="DW467" s="56"/>
      <c r="EO467" s="15"/>
    </row>
    <row r="468" spans="3:145" x14ac:dyDescent="0.2">
      <c r="C468" s="37" t="s">
        <v>252</v>
      </c>
      <c r="G468" s="18">
        <f t="shared" ref="G468:Q468" si="212">G464/G460</f>
        <v>1.5783447341563759</v>
      </c>
      <c r="H468" s="18">
        <f t="shared" si="212"/>
        <v>2.3101701093682463</v>
      </c>
      <c r="I468" s="18">
        <f t="shared" si="212"/>
        <v>0</v>
      </c>
      <c r="J468" s="18">
        <f t="shared" si="212"/>
        <v>0</v>
      </c>
      <c r="K468" s="18">
        <f t="shared" si="212"/>
        <v>2.5731365806769713</v>
      </c>
      <c r="L468" s="18">
        <f t="shared" si="212"/>
        <v>0</v>
      </c>
      <c r="M468" s="18">
        <f t="shared" si="212"/>
        <v>0</v>
      </c>
      <c r="N468" s="18">
        <f t="shared" si="212"/>
        <v>0</v>
      </c>
      <c r="O468" s="18">
        <f t="shared" si="212"/>
        <v>0</v>
      </c>
      <c r="P468" s="18">
        <f t="shared" si="212"/>
        <v>0</v>
      </c>
      <c r="Q468" s="18">
        <f t="shared" si="212"/>
        <v>0</v>
      </c>
      <c r="R468" s="18"/>
      <c r="S468" s="18"/>
      <c r="T468" s="18">
        <f>T464/T460</f>
        <v>0</v>
      </c>
      <c r="U468" s="18"/>
      <c r="AJ468">
        <v>7</v>
      </c>
      <c r="AK468" s="43"/>
      <c r="AL468" s="43" t="e">
        <f>SUM(AL464:AL467)</f>
        <v>#VALUE!</v>
      </c>
      <c r="AM468" s="43" t="e">
        <f>SUM(AM464:AM467)</f>
        <v>#VALUE!</v>
      </c>
      <c r="AN468" s="43">
        <f>SUM(AN464:AN467)</f>
        <v>3716</v>
      </c>
      <c r="AO468" s="43">
        <f>SUM(AO464:AO467)</f>
        <v>3599.35632183908</v>
      </c>
      <c r="DW468" s="56"/>
      <c r="EO468" s="15"/>
    </row>
    <row r="469" spans="3:145" x14ac:dyDescent="0.2">
      <c r="C469" s="37" t="s">
        <v>252</v>
      </c>
      <c r="G469" s="18">
        <f t="shared" ref="G469:Q469" si="213">G465/G461</f>
        <v>1.5047880551384352</v>
      </c>
      <c r="H469" s="18">
        <f t="shared" si="213"/>
        <v>2.4450070145897778</v>
      </c>
      <c r="I469" s="18">
        <f t="shared" si="213"/>
        <v>0</v>
      </c>
      <c r="J469" s="18">
        <f t="shared" si="213"/>
        <v>0</v>
      </c>
      <c r="K469" s="18">
        <f t="shared" si="213"/>
        <v>2.7437814981308581</v>
      </c>
      <c r="L469" s="18">
        <f t="shared" si="213"/>
        <v>1.3230317390275264</v>
      </c>
      <c r="M469" s="18">
        <f t="shared" si="213"/>
        <v>0</v>
      </c>
      <c r="N469" s="18">
        <f t="shared" si="213"/>
        <v>5.9021166232752584</v>
      </c>
      <c r="O469" s="18">
        <f t="shared" si="213"/>
        <v>1.2320581160870689</v>
      </c>
      <c r="P469" s="18">
        <f t="shared" si="213"/>
        <v>1.4502278881401436</v>
      </c>
      <c r="Q469" s="18">
        <f t="shared" si="213"/>
        <v>0.79203152420129153</v>
      </c>
      <c r="R469" s="18"/>
      <c r="S469" s="18"/>
      <c r="T469" s="18">
        <f>T465/T461</f>
        <v>1.5416023618883907</v>
      </c>
      <c r="U469" s="18"/>
      <c r="AJ469">
        <v>8</v>
      </c>
      <c r="AM469" s="43" t="e">
        <f>AM468/AL468</f>
        <v>#VALUE!</v>
      </c>
      <c r="AO469" s="43">
        <f>AO468/AN468</f>
        <v>0.96861042030115174</v>
      </c>
      <c r="AP469" s="43"/>
      <c r="AQ469" s="43"/>
      <c r="DW469" s="56"/>
      <c r="EO469" s="15"/>
    </row>
    <row r="470" spans="3:145" x14ac:dyDescent="0.2">
      <c r="G470" s="18"/>
      <c r="H470" s="66">
        <f>H466</f>
        <v>1.973228439474324</v>
      </c>
      <c r="I470" s="18"/>
      <c r="J470" s="18"/>
      <c r="K470" s="18"/>
      <c r="L470" s="66">
        <f>L466</f>
        <v>1.5047311261538501</v>
      </c>
      <c r="M470" s="18"/>
      <c r="N470" s="18"/>
      <c r="O470" s="18"/>
      <c r="P470" s="18"/>
      <c r="Q470" s="18"/>
      <c r="R470" s="18"/>
      <c r="S470" s="18"/>
      <c r="T470" s="66">
        <f>T466</f>
        <v>1.6283048597697529</v>
      </c>
      <c r="U470" s="66">
        <f>U466</f>
        <v>1.7028475890493344</v>
      </c>
      <c r="AJ470">
        <v>9</v>
      </c>
      <c r="AN470" s="43">
        <v>31</v>
      </c>
      <c r="AO470" s="43">
        <f>118/(118-31)</f>
        <v>1.3563218390804597</v>
      </c>
      <c r="AP470" s="43"/>
      <c r="AQ470" s="43"/>
      <c r="DW470" s="56"/>
    </row>
    <row r="471" spans="3:145" x14ac:dyDescent="0.2">
      <c r="AJ471">
        <v>1</v>
      </c>
      <c r="AK471" s="50" t="s">
        <v>285</v>
      </c>
      <c r="AL471" s="43"/>
      <c r="AM471" s="43"/>
      <c r="AN471" s="43"/>
      <c r="AO471" s="43"/>
      <c r="AP471" s="43"/>
      <c r="AQ471" s="43"/>
      <c r="DW471" s="56"/>
    </row>
    <row r="472" spans="3:145" x14ac:dyDescent="0.2">
      <c r="G472" t="str">
        <f t="shared" ref="G472:Q472" si="214">G8</f>
        <v xml:space="preserve"> Office</v>
      </c>
      <c r="H472" t="str">
        <f t="shared" si="214"/>
        <v xml:space="preserve"> Merc/Serv</v>
      </c>
      <c r="I472" t="str">
        <f t="shared" si="214"/>
        <v xml:space="preserve"> Food Sales</v>
      </c>
      <c r="J472" t="str">
        <f t="shared" si="214"/>
        <v>Food Serv.</v>
      </c>
      <c r="K472" t="str">
        <f t="shared" si="214"/>
        <v>Warehouse</v>
      </c>
      <c r="L472" t="str">
        <f t="shared" si="214"/>
        <v>Education</v>
      </c>
      <c r="M472" t="str">
        <f t="shared" si="214"/>
        <v>Health</v>
      </c>
      <c r="N472" t="str">
        <f t="shared" si="214"/>
        <v>Lodging</v>
      </c>
      <c r="O472" t="str">
        <f t="shared" si="214"/>
        <v>Religious</v>
      </c>
      <c r="P472" t="str">
        <f t="shared" si="214"/>
        <v xml:space="preserve"> Assembly</v>
      </c>
      <c r="Q472" t="str">
        <f t="shared" si="214"/>
        <v>Other</v>
      </c>
      <c r="AJ472">
        <v>10</v>
      </c>
      <c r="AK472" s="51"/>
      <c r="AL472" s="52"/>
      <c r="AM472" s="52"/>
      <c r="AN472" s="43"/>
      <c r="AO472" s="43"/>
      <c r="AP472" s="43"/>
      <c r="AQ472" s="43"/>
      <c r="DW472" s="56"/>
    </row>
    <row r="473" spans="3:145" x14ac:dyDescent="0.2">
      <c r="C473" s="2" t="s">
        <v>251</v>
      </c>
      <c r="AJ473">
        <v>11</v>
      </c>
      <c r="AK473" s="43"/>
      <c r="AL473" s="43"/>
      <c r="AM473" s="43"/>
      <c r="AN473" s="43"/>
      <c r="AO473" s="43"/>
      <c r="AP473" s="43"/>
      <c r="AQ473" s="43"/>
      <c r="DW473" s="56"/>
    </row>
    <row r="474" spans="3:145" ht="13.5" thickBot="1" x14ac:dyDescent="0.25">
      <c r="C474" t="s">
        <v>261</v>
      </c>
      <c r="E474" t="s">
        <v>262</v>
      </c>
      <c r="G474">
        <f t="shared" ref="G474:Q474" si="215">SUM(G337:G366)</f>
        <v>6270.91</v>
      </c>
      <c r="H474">
        <f t="shared" si="215"/>
        <v>5529.9104000000007</v>
      </c>
      <c r="I474">
        <f t="shared" si="215"/>
        <v>760.36268000000018</v>
      </c>
      <c r="J474">
        <f t="shared" si="215"/>
        <v>622.11491999999998</v>
      </c>
      <c r="K474">
        <f t="shared" si="215"/>
        <v>4695.6000000000004</v>
      </c>
      <c r="L474">
        <f t="shared" si="215"/>
        <v>3805.5999999999995</v>
      </c>
      <c r="M474">
        <f t="shared" si="215"/>
        <v>1506.75</v>
      </c>
      <c r="N474">
        <f t="shared" si="215"/>
        <v>2213.6965908474826</v>
      </c>
      <c r="O474">
        <f t="shared" si="215"/>
        <v>1046</v>
      </c>
      <c r="P474">
        <f t="shared" si="215"/>
        <v>1764.0499999999997</v>
      </c>
      <c r="Q474">
        <f t="shared" si="215"/>
        <v>2698.4620000000004</v>
      </c>
      <c r="T474">
        <f>SUM(T337:T366)</f>
        <v>30913.456590847487</v>
      </c>
      <c r="U474">
        <f>SUM(U337:U366)</f>
        <v>30584.747790729194</v>
      </c>
      <c r="AJ474">
        <v>12</v>
      </c>
      <c r="AK474" s="43"/>
      <c r="AL474" s="21" t="s">
        <v>241</v>
      </c>
      <c r="AM474" s="21" t="s">
        <v>242</v>
      </c>
      <c r="AN474" s="43"/>
      <c r="AO474" s="43"/>
      <c r="AP474" s="43"/>
      <c r="AQ474" s="43"/>
      <c r="DW474" s="56"/>
    </row>
    <row r="475" spans="3:145" x14ac:dyDescent="0.2">
      <c r="D475" t="s">
        <v>103</v>
      </c>
      <c r="E475" t="s">
        <v>106</v>
      </c>
      <c r="F475" t="s">
        <v>107</v>
      </c>
      <c r="AJ475">
        <v>2</v>
      </c>
      <c r="AK475" s="43" t="s">
        <v>286</v>
      </c>
      <c r="AL475" s="47">
        <f>AM466/AL466</f>
        <v>0.98707360940958655</v>
      </c>
      <c r="AM475" s="13">
        <f>AO466/AN466</f>
        <v>0.98016561611667274</v>
      </c>
      <c r="AN475" s="43"/>
      <c r="AO475" s="43"/>
      <c r="AP475" s="43"/>
      <c r="AQ475" s="43"/>
      <c r="DW475" s="56"/>
    </row>
    <row r="476" spans="3:145" x14ac:dyDescent="0.2">
      <c r="C476" t="s">
        <v>250</v>
      </c>
      <c r="D476">
        <v>1989</v>
      </c>
      <c r="E476">
        <v>29</v>
      </c>
      <c r="F476">
        <v>0</v>
      </c>
      <c r="G476" s="5">
        <f t="shared" ref="G476:Q476" si="216">SUMPRODUCT($D368:$D397,G$337:G$366)</f>
        <v>6249.0236503516453</v>
      </c>
      <c r="H476" s="5">
        <f t="shared" si="216"/>
        <v>5505.293534068267</v>
      </c>
      <c r="I476" s="5">
        <f t="shared" si="216"/>
        <v>756.97786093438663</v>
      </c>
      <c r="J476" s="5">
        <f t="shared" si="216"/>
        <v>619.34552258268002</v>
      </c>
      <c r="K476" s="5">
        <f t="shared" si="216"/>
        <v>4680.7766413177706</v>
      </c>
      <c r="L476" s="5">
        <f t="shared" si="216"/>
        <v>3778.3951805041747</v>
      </c>
      <c r="M476" s="5">
        <f t="shared" si="216"/>
        <v>1499.5207830580987</v>
      </c>
      <c r="N476" s="5">
        <f t="shared" si="216"/>
        <v>2204.991084441172</v>
      </c>
      <c r="O476" s="5">
        <f t="shared" si="216"/>
        <v>1038.3398714234515</v>
      </c>
      <c r="P476" s="5">
        <f t="shared" si="216"/>
        <v>1754.4245211636623</v>
      </c>
      <c r="Q476" s="5">
        <f t="shared" si="216"/>
        <v>2684.0192445756161</v>
      </c>
      <c r="T476" s="5">
        <f>SUMPRODUCT($D368:$D397,T$337:T$366)</f>
        <v>30771.107894420929</v>
      </c>
      <c r="U476" s="5">
        <f>SUMPRODUCT($D368:$D397,U$337:U$366)</f>
        <v>30445.256774153586</v>
      </c>
      <c r="AJ476">
        <v>3</v>
      </c>
      <c r="AK476" s="43" t="s">
        <v>240</v>
      </c>
      <c r="AL476" s="47">
        <f>AM465/AL465</f>
        <v>0.92714206487918849</v>
      </c>
      <c r="AM476" s="13">
        <f>AO465/AN465</f>
        <v>0.94544613962089685</v>
      </c>
      <c r="AN476" s="43"/>
      <c r="AP476" s="43"/>
      <c r="AQ476" s="43"/>
      <c r="DW476" s="56"/>
    </row>
    <row r="477" spans="3:145" x14ac:dyDescent="0.2">
      <c r="C477" t="s">
        <v>250</v>
      </c>
      <c r="D477">
        <v>1992</v>
      </c>
      <c r="E477">
        <v>32</v>
      </c>
      <c r="F477">
        <v>3</v>
      </c>
      <c r="G477" s="5">
        <f t="shared" ref="G477:Q477" si="217">SUMPRODUCT($D365:$D394,G$337:G$366)</f>
        <v>6234.9058801801211</v>
      </c>
      <c r="H477" s="5">
        <f t="shared" si="217"/>
        <v>5489.7358548964939</v>
      </c>
      <c r="I477" s="5">
        <f t="shared" si="217"/>
        <v>754.83868004826786</v>
      </c>
      <c r="J477" s="5">
        <f t="shared" si="217"/>
        <v>617.59528367585551</v>
      </c>
      <c r="K477" s="5">
        <f t="shared" si="217"/>
        <v>4670.8637670618164</v>
      </c>
      <c r="L477" s="5">
        <f t="shared" si="217"/>
        <v>3762.438104083496</v>
      </c>
      <c r="M477" s="5">
        <f t="shared" si="217"/>
        <v>1494.9879814892906</v>
      </c>
      <c r="N477" s="5">
        <f t="shared" si="217"/>
        <v>2199.4111727830514</v>
      </c>
      <c r="O477" s="5">
        <f t="shared" si="217"/>
        <v>1033.9911970828473</v>
      </c>
      <c r="P477" s="5">
        <f t="shared" si="217"/>
        <v>1748.5514822420407</v>
      </c>
      <c r="Q477" s="5">
        <f t="shared" si="217"/>
        <v>2675.1444269145086</v>
      </c>
      <c r="T477" s="5">
        <f>SUMPRODUCT($D365:$D394,T$337:T$366)</f>
        <v>30682.463830457793</v>
      </c>
      <c r="U477" s="5">
        <f>SUMPRODUCT($D365:$D394,U$337:U$366)</f>
        <v>30358.199992477741</v>
      </c>
      <c r="AJ477">
        <v>4</v>
      </c>
      <c r="AK477" s="43" t="s">
        <v>206</v>
      </c>
      <c r="AL477" s="47" t="e">
        <f>AM464/AL464</f>
        <v>#VALUE!</v>
      </c>
      <c r="AM477" s="13">
        <f>AO464/AN464</f>
        <v>0.95343969806141704</v>
      </c>
      <c r="DW477" s="56"/>
    </row>
    <row r="478" spans="3:145" x14ac:dyDescent="0.2">
      <c r="C478" t="s">
        <v>250</v>
      </c>
      <c r="D478">
        <v>1995</v>
      </c>
      <c r="E478">
        <v>35</v>
      </c>
      <c r="F478">
        <v>6</v>
      </c>
      <c r="G478" s="5">
        <f t="shared" ref="G478:Q478" si="218">SUMPRODUCT($D362:$D391,G$337:G$366)</f>
        <v>6214.2621611773311</v>
      </c>
      <c r="H478" s="5">
        <f t="shared" si="218"/>
        <v>5467.3162021467697</v>
      </c>
      <c r="I478" s="5">
        <f t="shared" si="218"/>
        <v>751.75597779518102</v>
      </c>
      <c r="J478" s="5">
        <f t="shared" si="218"/>
        <v>615.07307274151185</v>
      </c>
      <c r="K478" s="5">
        <f t="shared" si="218"/>
        <v>4656.1843450494462</v>
      </c>
      <c r="L478" s="5">
        <f t="shared" si="218"/>
        <v>3740.2058838072894</v>
      </c>
      <c r="M478" s="5">
        <f t="shared" si="218"/>
        <v>1488.4899351016538</v>
      </c>
      <c r="N478" s="5">
        <f t="shared" si="218"/>
        <v>2191.3073278539637</v>
      </c>
      <c r="O478" s="5">
        <f t="shared" si="218"/>
        <v>1027.9713433918732</v>
      </c>
      <c r="P478" s="5">
        <f t="shared" si="218"/>
        <v>1740.2086423043809</v>
      </c>
      <c r="Q478" s="5">
        <f t="shared" si="218"/>
        <v>2662.5165604435906</v>
      </c>
      <c r="T478" s="5">
        <f>SUMPRODUCT($D362:$D391,T$337:T$366)</f>
        <v>30555.291451812995</v>
      </c>
      <c r="U478" s="5">
        <f>SUMPRODUCT($D362:$D391,U$337:U$366)</f>
        <v>30233.19497884711</v>
      </c>
      <c r="AJ478">
        <v>5</v>
      </c>
    </row>
    <row r="479" spans="3:145" x14ac:dyDescent="0.2">
      <c r="C479" t="s">
        <v>250</v>
      </c>
      <c r="D479" s="6">
        <v>1999</v>
      </c>
      <c r="E479" s="6">
        <v>39</v>
      </c>
      <c r="F479" s="6">
        <v>10</v>
      </c>
      <c r="G479" s="7">
        <f t="shared" ref="G479:Q479" si="219">SUMPRODUCT($D358:$D387,G$337:G$366)</f>
        <v>6173.1916504845412</v>
      </c>
      <c r="H479" s="7">
        <f t="shared" si="219"/>
        <v>5423.5444371129261</v>
      </c>
      <c r="I479" s="7">
        <f t="shared" si="219"/>
        <v>745.7373601030273</v>
      </c>
      <c r="J479" s="7">
        <f t="shared" si="219"/>
        <v>610.1487491752041</v>
      </c>
      <c r="K479" s="7">
        <f t="shared" si="219"/>
        <v>4626.6302881575039</v>
      </c>
      <c r="L479" s="7">
        <f t="shared" si="219"/>
        <v>3698.4343393747631</v>
      </c>
      <c r="M479" s="7">
        <f t="shared" si="219"/>
        <v>1475.8815893063729</v>
      </c>
      <c r="N479" s="7">
        <f t="shared" si="219"/>
        <v>2175.3329402660461</v>
      </c>
      <c r="O479" s="7">
        <f t="shared" si="219"/>
        <v>1016.7174970673404</v>
      </c>
      <c r="P479" s="7">
        <f t="shared" si="219"/>
        <v>1724.1832484354411</v>
      </c>
      <c r="Q479" s="7">
        <f t="shared" si="219"/>
        <v>2638.2215754805875</v>
      </c>
      <c r="T479" s="7">
        <f>SUMPRODUCT($D358:$D387,T$337:T$366)</f>
        <v>30308.023674963759</v>
      </c>
      <c r="U479" s="7">
        <f>SUMPRODUCT($D358:$D387,U$337:U$366)</f>
        <v>29989.918944526416</v>
      </c>
      <c r="AJ479">
        <v>6</v>
      </c>
    </row>
    <row r="480" spans="3:145" x14ac:dyDescent="0.2">
      <c r="C480" t="s">
        <v>243</v>
      </c>
      <c r="D480">
        <v>1989</v>
      </c>
      <c r="G480" s="10">
        <f>1736+2425+3784</f>
        <v>7945</v>
      </c>
      <c r="H480" s="10">
        <f>2458+3464+2486</f>
        <v>8408</v>
      </c>
      <c r="I480" s="10" t="s">
        <v>309</v>
      </c>
      <c r="J480" s="10" t="s">
        <v>309</v>
      </c>
      <c r="K480" s="10">
        <f>1702+2178+2214</f>
        <v>6094</v>
      </c>
      <c r="L480" s="10">
        <f>2201+1391+155+158+280</f>
        <v>4185</v>
      </c>
      <c r="M480" s="10" t="s">
        <v>309</v>
      </c>
      <c r="N480" s="14">
        <f>1042+578+216+510+500</f>
        <v>2846</v>
      </c>
      <c r="O480" s="10">
        <f>0.45*(1249+1410+373+293+238)</f>
        <v>1603.3500000000001</v>
      </c>
      <c r="P480" s="10">
        <f>0.55*(1249+1410+373+293+238)</f>
        <v>1959.65</v>
      </c>
      <c r="Q480" s="10"/>
      <c r="T480" s="10">
        <f>12167+13329+4274+5670+3235</f>
        <v>38675</v>
      </c>
      <c r="U480" s="10">
        <f>12167+13329+4274+5670+3235</f>
        <v>38675</v>
      </c>
      <c r="AJ480">
        <v>7</v>
      </c>
    </row>
    <row r="481" spans="3:36" x14ac:dyDescent="0.2">
      <c r="C481" t="s">
        <v>243</v>
      </c>
      <c r="D481">
        <v>1992</v>
      </c>
      <c r="G481" s="10">
        <f>1206+2095+3377</f>
        <v>6678</v>
      </c>
      <c r="H481" s="10">
        <f>2680+2607+2644</f>
        <v>7931</v>
      </c>
      <c r="I481" s="10"/>
      <c r="J481" s="10"/>
      <c r="K481" s="10">
        <f>1815+2397+2233</f>
        <v>6445</v>
      </c>
      <c r="L481" s="10"/>
      <c r="M481" s="10"/>
      <c r="N481" s="10"/>
      <c r="O481" s="10"/>
      <c r="P481" s="10"/>
      <c r="Q481" s="10"/>
      <c r="T481" s="10"/>
      <c r="U481" s="10"/>
      <c r="AJ481">
        <v>8</v>
      </c>
    </row>
    <row r="482" spans="3:36" x14ac:dyDescent="0.2">
      <c r="C482" t="s">
        <v>243</v>
      </c>
      <c r="D482">
        <v>1995</v>
      </c>
      <c r="G482" s="10">
        <f>1206+2095+3377</f>
        <v>6678</v>
      </c>
      <c r="H482" s="10">
        <f>2342+2749+2727</f>
        <v>7818</v>
      </c>
      <c r="I482" s="10"/>
      <c r="J482" s="10"/>
      <c r="K482" s="10">
        <f>1530+1616+1793</f>
        <v>4939</v>
      </c>
      <c r="L482" s="10"/>
      <c r="M482" s="10"/>
      <c r="N482" s="10"/>
      <c r="O482" s="10"/>
      <c r="P482" s="10"/>
      <c r="Q482" s="10"/>
      <c r="T482" s="10"/>
      <c r="U482" s="10"/>
      <c r="AJ482">
        <v>9</v>
      </c>
    </row>
    <row r="483" spans="3:36" x14ac:dyDescent="0.2">
      <c r="C483" t="s">
        <v>243</v>
      </c>
      <c r="D483" s="6">
        <v>1999</v>
      </c>
      <c r="E483" s="6"/>
      <c r="F483" s="6"/>
      <c r="G483" s="11">
        <f>1685+2036+3586</f>
        <v>7307</v>
      </c>
      <c r="H483" s="11">
        <f>1913+2596+3044</f>
        <v>7553</v>
      </c>
      <c r="I483" s="11" t="s">
        <v>309</v>
      </c>
      <c r="J483" s="11">
        <f>310+295+347</f>
        <v>952</v>
      </c>
      <c r="K483" s="11">
        <f>1247+1793+2620</f>
        <v>5660</v>
      </c>
      <c r="L483" s="10">
        <f>2035+1411+719</f>
        <v>4165</v>
      </c>
      <c r="M483" s="10" t="s">
        <v>309</v>
      </c>
      <c r="N483" s="11">
        <f>870+838+1289</f>
        <v>2997</v>
      </c>
      <c r="O483" s="10">
        <f>612+718+418</f>
        <v>1748</v>
      </c>
      <c r="P483" s="10">
        <f>868+717+678</f>
        <v>2263</v>
      </c>
      <c r="Q483" s="10">
        <f>612+718+418</f>
        <v>1748</v>
      </c>
      <c r="T483" s="10">
        <f>10866+11840+13931</f>
        <v>36637</v>
      </c>
      <c r="U483" s="10">
        <f>10866+11840+13931</f>
        <v>36637</v>
      </c>
    </row>
    <row r="484" spans="3:36" x14ac:dyDescent="0.2">
      <c r="C484" s="37" t="s">
        <v>252</v>
      </c>
      <c r="D484">
        <v>1989</v>
      </c>
      <c r="G484" s="23">
        <f t="shared" ref="G484:Q484" si="220">G480/G476</f>
        <v>1.2713986127341539</v>
      </c>
      <c r="H484" s="23">
        <f t="shared" si="220"/>
        <v>1.5272573474909175</v>
      </c>
      <c r="I484" s="23" t="e">
        <f t="shared" si="220"/>
        <v>#VALUE!</v>
      </c>
      <c r="J484" s="23" t="e">
        <f t="shared" si="220"/>
        <v>#VALUE!</v>
      </c>
      <c r="K484" s="23">
        <f t="shared" si="220"/>
        <v>1.3019206996991779</v>
      </c>
      <c r="L484" s="23">
        <f t="shared" si="220"/>
        <v>1.1076131002902585</v>
      </c>
      <c r="M484" s="23" t="e">
        <f t="shared" si="220"/>
        <v>#VALUE!</v>
      </c>
      <c r="N484" s="23">
        <f t="shared" si="220"/>
        <v>1.2907081666143261</v>
      </c>
      <c r="O484" s="23">
        <f t="shared" si="220"/>
        <v>1.5441475803120042</v>
      </c>
      <c r="P484" s="23">
        <f t="shared" si="220"/>
        <v>1.116975952148809</v>
      </c>
      <c r="Q484" s="23">
        <f t="shared" si="220"/>
        <v>0</v>
      </c>
      <c r="R484" s="23"/>
      <c r="S484" s="23"/>
      <c r="T484" s="23">
        <f>T480/T476</f>
        <v>1.2568608232338658</v>
      </c>
      <c r="U484" s="23">
        <f>U480/U476</f>
        <v>1.2703128203810399</v>
      </c>
    </row>
    <row r="485" spans="3:36" x14ac:dyDescent="0.2">
      <c r="C485" s="37" t="s">
        <v>252</v>
      </c>
      <c r="D485">
        <v>1992</v>
      </c>
      <c r="G485" s="23">
        <f t="shared" ref="G485:Q485" si="221">G481/G477</f>
        <v>1.071066689431257</v>
      </c>
      <c r="H485" s="23">
        <f t="shared" si="221"/>
        <v>1.4446961037161841</v>
      </c>
      <c r="I485" s="23">
        <f t="shared" si="221"/>
        <v>0</v>
      </c>
      <c r="J485" s="23">
        <f t="shared" si="221"/>
        <v>0</v>
      </c>
      <c r="K485" s="23">
        <f t="shared" si="221"/>
        <v>1.3798304385259763</v>
      </c>
      <c r="L485" s="23">
        <f t="shared" si="221"/>
        <v>0</v>
      </c>
      <c r="M485" s="23">
        <f t="shared" si="221"/>
        <v>0</v>
      </c>
      <c r="N485" s="23">
        <f t="shared" si="221"/>
        <v>0</v>
      </c>
      <c r="O485" s="23">
        <f t="shared" si="221"/>
        <v>0</v>
      </c>
      <c r="P485" s="23">
        <f t="shared" si="221"/>
        <v>0</v>
      </c>
      <c r="Q485" s="23">
        <f t="shared" si="221"/>
        <v>0</v>
      </c>
      <c r="R485" s="23"/>
      <c r="S485" s="23"/>
      <c r="T485" s="23">
        <f>T481/T477</f>
        <v>0</v>
      </c>
      <c r="U485" s="23"/>
    </row>
    <row r="486" spans="3:36" x14ac:dyDescent="0.2">
      <c r="C486" s="37" t="s">
        <v>252</v>
      </c>
      <c r="D486">
        <v>1995</v>
      </c>
      <c r="G486" s="23">
        <f t="shared" ref="G486:Q486" si="222">G482/G478</f>
        <v>1.0746247626499894</v>
      </c>
      <c r="H486" s="23">
        <f t="shared" si="222"/>
        <v>1.4299520479408567</v>
      </c>
      <c r="I486" s="23">
        <f t="shared" si="222"/>
        <v>0</v>
      </c>
      <c r="J486" s="23">
        <f t="shared" si="222"/>
        <v>0</v>
      </c>
      <c r="K486" s="23">
        <f t="shared" si="222"/>
        <v>1.0607397890616701</v>
      </c>
      <c r="L486" s="23">
        <f t="shared" si="222"/>
        <v>0</v>
      </c>
      <c r="M486" s="23">
        <f t="shared" si="222"/>
        <v>0</v>
      </c>
      <c r="N486" s="23">
        <f t="shared" si="222"/>
        <v>0</v>
      </c>
      <c r="O486" s="23" t="e">
        <f>#REF!/O478</f>
        <v>#REF!</v>
      </c>
      <c r="P486" s="23">
        <f t="shared" si="222"/>
        <v>0</v>
      </c>
      <c r="Q486" s="23">
        <f t="shared" si="222"/>
        <v>0</v>
      </c>
      <c r="R486" s="23"/>
      <c r="S486" s="23"/>
      <c r="T486" s="23">
        <f>T482/T478</f>
        <v>0</v>
      </c>
      <c r="U486" s="23"/>
    </row>
    <row r="487" spans="3:36" x14ac:dyDescent="0.2">
      <c r="C487" s="37" t="s">
        <v>252</v>
      </c>
      <c r="D487" s="6">
        <v>1999</v>
      </c>
      <c r="G487" s="23">
        <f t="shared" ref="G487:Q487" si="223">G483/G479</f>
        <v>1.1836664749305921</v>
      </c>
      <c r="H487" s="23">
        <f t="shared" si="223"/>
        <v>1.3926317166898019</v>
      </c>
      <c r="I487" s="23" t="e">
        <f t="shared" si="223"/>
        <v>#VALUE!</v>
      </c>
      <c r="J487" s="23">
        <f t="shared" si="223"/>
        <v>1.5602752628550147</v>
      </c>
      <c r="K487" s="23">
        <f t="shared" si="223"/>
        <v>1.2233525584457328</v>
      </c>
      <c r="L487" s="23">
        <f>L483/L479</f>
        <v>1.1261522086949127</v>
      </c>
      <c r="M487" s="23" t="e">
        <f t="shared" si="223"/>
        <v>#VALUE!</v>
      </c>
      <c r="N487" s="23">
        <f>N483/N479</f>
        <v>1.3777201386163274</v>
      </c>
      <c r="O487" s="23">
        <f t="shared" si="223"/>
        <v>1.7192583043392087</v>
      </c>
      <c r="P487" s="23">
        <f>O482/P479</f>
        <v>0</v>
      </c>
      <c r="Q487" s="23">
        <f t="shared" si="223"/>
        <v>0.66256754786852134</v>
      </c>
      <c r="R487" s="23"/>
      <c r="S487" s="23"/>
      <c r="T487" s="23">
        <f>T483/T479</f>
        <v>1.2088218088025433</v>
      </c>
      <c r="U487" s="23"/>
    </row>
    <row r="488" spans="3:36" x14ac:dyDescent="0.2">
      <c r="D488" t="s">
        <v>152</v>
      </c>
      <c r="G488" s="23"/>
      <c r="H488" s="38">
        <f>H484</f>
        <v>1.5272573474909175</v>
      </c>
      <c r="I488" s="23"/>
      <c r="J488" s="23"/>
      <c r="K488" s="23"/>
      <c r="L488" s="38">
        <f>L484</f>
        <v>1.1076131002902585</v>
      </c>
      <c r="M488" s="23"/>
      <c r="N488" s="23"/>
      <c r="O488" s="23"/>
      <c r="P488" s="23"/>
      <c r="Q488" s="23"/>
      <c r="R488" s="23"/>
      <c r="S488" s="23"/>
      <c r="T488" s="38">
        <f>T484*1</f>
        <v>1.2568608232338658</v>
      </c>
      <c r="U488" s="66">
        <f>U484</f>
        <v>1.2703128203810399</v>
      </c>
      <c r="V488" t="s">
        <v>414</v>
      </c>
    </row>
    <row r="492" spans="3:36" x14ac:dyDescent="0.2">
      <c r="C492" t="s">
        <v>258</v>
      </c>
      <c r="T492" t="s">
        <v>159</v>
      </c>
      <c r="V492" t="s">
        <v>84</v>
      </c>
    </row>
    <row r="493" spans="3:36" ht="13.5" thickBot="1" x14ac:dyDescent="0.25">
      <c r="C493" s="21" t="s">
        <v>263</v>
      </c>
      <c r="D493" s="21"/>
      <c r="E493" t="s">
        <v>262</v>
      </c>
      <c r="G493">
        <f>SUM(G357:G366)</f>
        <v>3090.6099999999997</v>
      </c>
      <c r="H493">
        <f t="shared" ref="H493:Q493" si="224">SUM(H356:H385)</f>
        <v>6037.7869484835555</v>
      </c>
      <c r="I493">
        <f t="shared" si="224"/>
        <v>830.19570541648875</v>
      </c>
      <c r="J493">
        <f t="shared" si="224"/>
        <v>679.25103170439979</v>
      </c>
      <c r="K493">
        <f t="shared" si="224"/>
        <v>6396.4283319094402</v>
      </c>
      <c r="L493">
        <f t="shared" si="224"/>
        <v>4352.7999999999993</v>
      </c>
      <c r="M493">
        <f t="shared" si="224"/>
        <v>1839.75</v>
      </c>
      <c r="N493">
        <f t="shared" si="224"/>
        <v>2832.0571866440878</v>
      </c>
      <c r="O493">
        <f t="shared" si="224"/>
        <v>1045</v>
      </c>
      <c r="P493">
        <f t="shared" si="224"/>
        <v>2114.1499999999996</v>
      </c>
      <c r="Q493">
        <f t="shared" si="224"/>
        <v>2683.6693045706957</v>
      </c>
      <c r="T493">
        <f>SUM(T357:T366)</f>
        <v>11662</v>
      </c>
      <c r="V493">
        <f>SUM(T367:T376)</f>
        <v>11596</v>
      </c>
    </row>
    <row r="494" spans="3:36" x14ac:dyDescent="0.2">
      <c r="D494" t="s">
        <v>103</v>
      </c>
      <c r="E494" t="s">
        <v>106</v>
      </c>
      <c r="F494" t="s">
        <v>107</v>
      </c>
      <c r="AB494">
        <f>1.28*T493</f>
        <v>14927.36</v>
      </c>
    </row>
    <row r="495" spans="3:36" x14ac:dyDescent="0.2">
      <c r="C495" t="s">
        <v>250</v>
      </c>
      <c r="D495">
        <v>1989</v>
      </c>
      <c r="E495">
        <v>29</v>
      </c>
      <c r="F495">
        <v>0</v>
      </c>
      <c r="G495" s="5">
        <f>SUMPRODUCT($D388:$D397,G$357:G$366)</f>
        <v>3090.4280366276726</v>
      </c>
      <c r="H495" s="5" t="e">
        <f t="shared" ref="H495:Q495" si="225">SUMPRODUCT($D387:$D435,H$337:H$366)</f>
        <v>#VALUE!</v>
      </c>
      <c r="I495" s="5" t="e">
        <f t="shared" si="225"/>
        <v>#VALUE!</v>
      </c>
      <c r="J495" s="5" t="e">
        <f t="shared" si="225"/>
        <v>#VALUE!</v>
      </c>
      <c r="K495" s="5" t="e">
        <f t="shared" si="225"/>
        <v>#VALUE!</v>
      </c>
      <c r="L495" s="5" t="e">
        <f t="shared" si="225"/>
        <v>#VALUE!</v>
      </c>
      <c r="M495" s="5" t="e">
        <f t="shared" si="225"/>
        <v>#VALUE!</v>
      </c>
      <c r="N495" s="5" t="e">
        <f t="shared" si="225"/>
        <v>#VALUE!</v>
      </c>
      <c r="O495" s="5" t="e">
        <f t="shared" si="225"/>
        <v>#VALUE!</v>
      </c>
      <c r="P495" s="5" t="e">
        <f t="shared" si="225"/>
        <v>#VALUE!</v>
      </c>
      <c r="Q495" s="5" t="e">
        <f t="shared" si="225"/>
        <v>#VALUE!</v>
      </c>
      <c r="T495" s="5">
        <f>SUMPRODUCT($D388:$D397,T$357:T$366)</f>
        <v>11661.344438924179</v>
      </c>
      <c r="U495" s="5"/>
      <c r="AB495">
        <f>1.28*V493</f>
        <v>14842.880000000001</v>
      </c>
    </row>
    <row r="496" spans="3:36" x14ac:dyDescent="0.2">
      <c r="C496" t="s">
        <v>250</v>
      </c>
      <c r="D496">
        <v>1992</v>
      </c>
      <c r="E496">
        <v>32</v>
      </c>
      <c r="F496">
        <v>3</v>
      </c>
      <c r="G496" s="5">
        <f>SUMPRODUCT($D385:$D394,G$357:G$366)</f>
        <v>3089.8919764630564</v>
      </c>
      <c r="H496" s="5" t="e">
        <f t="shared" ref="H496:Q496" si="226">SUMPRODUCT($D384:$D432,H$337:H$366)</f>
        <v>#VALUE!</v>
      </c>
      <c r="I496" s="5" t="e">
        <f t="shared" si="226"/>
        <v>#VALUE!</v>
      </c>
      <c r="J496" s="5" t="e">
        <f t="shared" si="226"/>
        <v>#VALUE!</v>
      </c>
      <c r="K496" s="5" t="e">
        <f t="shared" si="226"/>
        <v>#VALUE!</v>
      </c>
      <c r="L496" s="5" t="e">
        <f t="shared" si="226"/>
        <v>#VALUE!</v>
      </c>
      <c r="M496" s="5" t="e">
        <f t="shared" si="226"/>
        <v>#VALUE!</v>
      </c>
      <c r="N496" s="5" t="e">
        <f t="shared" si="226"/>
        <v>#VALUE!</v>
      </c>
      <c r="O496" s="5" t="e">
        <f t="shared" si="226"/>
        <v>#VALUE!</v>
      </c>
      <c r="P496" s="5" t="e">
        <f t="shared" si="226"/>
        <v>#VALUE!</v>
      </c>
      <c r="Q496" s="5" t="e">
        <f t="shared" si="226"/>
        <v>#VALUE!</v>
      </c>
      <c r="T496" s="5">
        <f>SUMPRODUCT($D385:$D394,T$357:T$366)</f>
        <v>11659.418426570448</v>
      </c>
      <c r="U496" s="5"/>
    </row>
    <row r="497" spans="3:21" x14ac:dyDescent="0.2">
      <c r="C497" t="s">
        <v>250</v>
      </c>
      <c r="D497">
        <v>1995</v>
      </c>
      <c r="E497">
        <v>35</v>
      </c>
      <c r="F497">
        <v>6</v>
      </c>
      <c r="G497" s="5">
        <f>SUMPRODUCT($D382:$D391,G$357:G$366)</f>
        <v>3088.5217590497828</v>
      </c>
      <c r="H497" s="5" t="e">
        <f t="shared" ref="H497:Q497" si="227">SUMPRODUCT($D381:$D429,H$337:H$366)</f>
        <v>#VALUE!</v>
      </c>
      <c r="I497" s="5" t="e">
        <f t="shared" si="227"/>
        <v>#VALUE!</v>
      </c>
      <c r="J497" s="5" t="e">
        <f t="shared" si="227"/>
        <v>#VALUE!</v>
      </c>
      <c r="K497" s="5" t="e">
        <f t="shared" si="227"/>
        <v>#VALUE!</v>
      </c>
      <c r="L497" s="5" t="e">
        <f t="shared" si="227"/>
        <v>#VALUE!</v>
      </c>
      <c r="M497" s="5" t="e">
        <f t="shared" si="227"/>
        <v>#VALUE!</v>
      </c>
      <c r="N497" s="5" t="e">
        <f t="shared" si="227"/>
        <v>#VALUE!</v>
      </c>
      <c r="O497" s="5" t="e">
        <f t="shared" si="227"/>
        <v>#VALUE!</v>
      </c>
      <c r="P497" s="5" t="e">
        <f t="shared" si="227"/>
        <v>#VALUE!</v>
      </c>
      <c r="Q497" s="5" t="e">
        <f t="shared" si="227"/>
        <v>#VALUE!</v>
      </c>
      <c r="T497" s="5">
        <f>SUMPRODUCT($D382:$D391,T$357:T$366)</f>
        <v>11654.460228546217</v>
      </c>
      <c r="U497" s="5"/>
    </row>
    <row r="498" spans="3:21" x14ac:dyDescent="0.2">
      <c r="C498" t="s">
        <v>250</v>
      </c>
      <c r="D498" s="6">
        <v>1999</v>
      </c>
      <c r="E498" s="6">
        <v>39</v>
      </c>
      <c r="F498" s="6">
        <v>10</v>
      </c>
      <c r="G498" s="5">
        <f>SUMPRODUCT($D379:$D388,G$357:G$366)</f>
        <v>3085.656007021722</v>
      </c>
      <c r="H498" s="7" t="e">
        <f t="shared" ref="H498:Q498" si="228">SUMPRODUCT($D377:$D425,H$337:H$366)</f>
        <v>#VALUE!</v>
      </c>
      <c r="I498" s="7" t="e">
        <f t="shared" si="228"/>
        <v>#VALUE!</v>
      </c>
      <c r="J498" s="7" t="e">
        <f t="shared" si="228"/>
        <v>#VALUE!</v>
      </c>
      <c r="K498" s="7" t="e">
        <f t="shared" si="228"/>
        <v>#VALUE!</v>
      </c>
      <c r="L498" s="7" t="e">
        <f t="shared" si="228"/>
        <v>#VALUE!</v>
      </c>
      <c r="M498" s="7" t="e">
        <f t="shared" si="228"/>
        <v>#VALUE!</v>
      </c>
      <c r="N498" s="7" t="e">
        <f t="shared" si="228"/>
        <v>#VALUE!</v>
      </c>
      <c r="O498" s="7" t="e">
        <f t="shared" si="228"/>
        <v>#VALUE!</v>
      </c>
      <c r="P498" s="7" t="e">
        <f t="shared" si="228"/>
        <v>#VALUE!</v>
      </c>
      <c r="Q498" s="7" t="e">
        <f t="shared" si="228"/>
        <v>#VALUE!</v>
      </c>
      <c r="T498" s="5">
        <f>SUMPRODUCT($D379:$D388,T$357:T$366)</f>
        <v>11644.018963059767</v>
      </c>
      <c r="U498" s="5"/>
    </row>
    <row r="499" spans="3:21" x14ac:dyDescent="0.2">
      <c r="C499" t="s">
        <v>243</v>
      </c>
      <c r="D499">
        <v>1989</v>
      </c>
      <c r="G499" s="10">
        <f>1174+1860+750</f>
        <v>3784</v>
      </c>
      <c r="H499" s="10">
        <f>2458+3464+2486</f>
        <v>8408</v>
      </c>
      <c r="I499" s="10">
        <f>2458+3464+2486</f>
        <v>8408</v>
      </c>
      <c r="J499" s="10">
        <f>2458+3464+2486</f>
        <v>8408</v>
      </c>
      <c r="K499" s="10">
        <f>1702+2178+2214</f>
        <v>6094</v>
      </c>
      <c r="L499" s="10">
        <f>155+158+280</f>
        <v>593</v>
      </c>
      <c r="M499" s="10"/>
      <c r="N499" s="10"/>
      <c r="O499" s="10"/>
      <c r="P499" s="10"/>
      <c r="Q499" s="10"/>
      <c r="T499" s="10">
        <f>4274+5670+3235</f>
        <v>13179</v>
      </c>
      <c r="U499" s="10"/>
    </row>
    <row r="500" spans="3:21" x14ac:dyDescent="0.2">
      <c r="C500" t="s">
        <v>243</v>
      </c>
      <c r="D500">
        <v>1992</v>
      </c>
      <c r="G500" s="10">
        <f>1206+2095+3377</f>
        <v>6678</v>
      </c>
      <c r="H500" s="10">
        <f>2680+2607+2644</f>
        <v>7931</v>
      </c>
      <c r="I500" s="10">
        <f>2680+2607+2644</f>
        <v>7931</v>
      </c>
      <c r="J500" s="10">
        <f>2680+2607+2644</f>
        <v>7931</v>
      </c>
      <c r="K500" s="10">
        <f>1815+2397+2233</f>
        <v>6445</v>
      </c>
      <c r="L500" s="10"/>
      <c r="M500" s="10"/>
      <c r="N500" s="10"/>
      <c r="O500" s="10"/>
      <c r="P500" s="10"/>
      <c r="Q500" s="10"/>
      <c r="T500" s="10">
        <f>10149+4138</f>
        <v>14287</v>
      </c>
      <c r="U500" s="10"/>
    </row>
    <row r="501" spans="3:21" x14ac:dyDescent="0.2">
      <c r="C501" t="s">
        <v>243</v>
      </c>
      <c r="D501">
        <v>1995</v>
      </c>
      <c r="G501" s="10">
        <f>1206+2095+3377</f>
        <v>6678</v>
      </c>
      <c r="H501" s="10">
        <f>2342+2749+2727</f>
        <v>7818</v>
      </c>
      <c r="I501" s="10">
        <f>2342+2749+2727</f>
        <v>7818</v>
      </c>
      <c r="J501" s="10">
        <f>2342+2749+2727</f>
        <v>7818</v>
      </c>
      <c r="K501" s="10">
        <f>1530+1616+1793</f>
        <v>4939</v>
      </c>
      <c r="L501" s="10"/>
      <c r="M501" s="10"/>
      <c r="N501" s="10"/>
      <c r="O501" s="10"/>
      <c r="P501" s="10"/>
      <c r="Q501" s="10"/>
      <c r="T501" s="10">
        <f>1206+2095+3377</f>
        <v>6678</v>
      </c>
      <c r="U501" s="10"/>
    </row>
    <row r="502" spans="3:21" x14ac:dyDescent="0.2">
      <c r="C502" t="s">
        <v>243</v>
      </c>
      <c r="D502" s="6">
        <v>1999</v>
      </c>
      <c r="E502" s="6"/>
      <c r="F502" s="6"/>
      <c r="G502" s="11">
        <f>1685+2036+3586</f>
        <v>7307</v>
      </c>
      <c r="H502" s="11">
        <f>1913+2596+3044</f>
        <v>7553</v>
      </c>
      <c r="I502" s="11">
        <v>300</v>
      </c>
      <c r="J502" s="11">
        <v>500</v>
      </c>
      <c r="K502" s="11">
        <f>1247+1793+2620</f>
        <v>5660</v>
      </c>
      <c r="L502" s="11">
        <f>719</f>
        <v>719</v>
      </c>
      <c r="M502" s="10"/>
      <c r="N502" s="10">
        <f>377+613+287</f>
        <v>1277</v>
      </c>
      <c r="O502" s="10">
        <f>868+717+678</f>
        <v>2263</v>
      </c>
      <c r="P502" s="10">
        <f>612+718+418</f>
        <v>1748</v>
      </c>
      <c r="Q502" s="10">
        <f>612+718+418</f>
        <v>1748</v>
      </c>
      <c r="T502" s="11">
        <f>13931</f>
        <v>13931</v>
      </c>
      <c r="U502" s="13"/>
    </row>
    <row r="503" spans="3:21" x14ac:dyDescent="0.2">
      <c r="C503" s="37" t="s">
        <v>252</v>
      </c>
      <c r="D503">
        <v>1989</v>
      </c>
      <c r="G503" s="23">
        <f t="shared" ref="G503:Q503" si="229">G499/G495</f>
        <v>1.2244258578915705</v>
      </c>
      <c r="H503" s="23" t="e">
        <f t="shared" si="229"/>
        <v>#VALUE!</v>
      </c>
      <c r="I503" s="23" t="e">
        <f t="shared" si="229"/>
        <v>#VALUE!</v>
      </c>
      <c r="J503" s="23" t="e">
        <f t="shared" si="229"/>
        <v>#VALUE!</v>
      </c>
      <c r="K503" s="23" t="e">
        <f t="shared" si="229"/>
        <v>#VALUE!</v>
      </c>
      <c r="L503" s="23" t="e">
        <f t="shared" si="229"/>
        <v>#VALUE!</v>
      </c>
      <c r="M503" s="23" t="e">
        <f t="shared" si="229"/>
        <v>#VALUE!</v>
      </c>
      <c r="N503" s="23" t="e">
        <f t="shared" si="229"/>
        <v>#VALUE!</v>
      </c>
      <c r="O503" s="23" t="e">
        <f t="shared" si="229"/>
        <v>#VALUE!</v>
      </c>
      <c r="P503" s="23" t="e">
        <f t="shared" si="229"/>
        <v>#VALUE!</v>
      </c>
      <c r="Q503" s="23" t="e">
        <f t="shared" si="229"/>
        <v>#VALUE!</v>
      </c>
      <c r="R503" s="23"/>
      <c r="S503" s="23"/>
      <c r="T503" s="23">
        <f>T499/T495</f>
        <v>1.1301441329534927</v>
      </c>
      <c r="U503" s="23"/>
    </row>
    <row r="504" spans="3:21" x14ac:dyDescent="0.2">
      <c r="C504" s="37" t="s">
        <v>252</v>
      </c>
      <c r="D504">
        <v>1992</v>
      </c>
      <c r="G504" s="23">
        <f t="shared" ref="G504:Q504" si="230">G500/G496</f>
        <v>2.1612406035126788</v>
      </c>
      <c r="H504" s="23" t="e">
        <f t="shared" si="230"/>
        <v>#VALUE!</v>
      </c>
      <c r="I504" s="23" t="e">
        <f t="shared" si="230"/>
        <v>#VALUE!</v>
      </c>
      <c r="J504" s="23" t="e">
        <f t="shared" si="230"/>
        <v>#VALUE!</v>
      </c>
      <c r="K504" s="23" t="e">
        <f t="shared" si="230"/>
        <v>#VALUE!</v>
      </c>
      <c r="L504" s="23" t="e">
        <f t="shared" si="230"/>
        <v>#VALUE!</v>
      </c>
      <c r="M504" s="23" t="e">
        <f t="shared" si="230"/>
        <v>#VALUE!</v>
      </c>
      <c r="N504" s="23" t="e">
        <f t="shared" si="230"/>
        <v>#VALUE!</v>
      </c>
      <c r="O504" s="23" t="e">
        <f t="shared" si="230"/>
        <v>#VALUE!</v>
      </c>
      <c r="P504" s="23" t="e">
        <f t="shared" si="230"/>
        <v>#VALUE!</v>
      </c>
      <c r="Q504" s="23" t="e">
        <f t="shared" si="230"/>
        <v>#VALUE!</v>
      </c>
      <c r="R504" s="23"/>
      <c r="S504" s="23"/>
      <c r="T504" s="23">
        <f>T500/T496</f>
        <v>1.2253612896713271</v>
      </c>
      <c r="U504" s="23"/>
    </row>
    <row r="505" spans="3:21" x14ac:dyDescent="0.2">
      <c r="C505" s="37" t="s">
        <v>252</v>
      </c>
      <c r="D505">
        <v>1995</v>
      </c>
      <c r="G505" s="23">
        <f t="shared" ref="G505:Q505" si="231">G501/G497</f>
        <v>2.1621994342220723</v>
      </c>
      <c r="H505" s="23" t="e">
        <f t="shared" si="231"/>
        <v>#VALUE!</v>
      </c>
      <c r="I505" s="23" t="e">
        <f t="shared" si="231"/>
        <v>#VALUE!</v>
      </c>
      <c r="J505" s="23" t="e">
        <f t="shared" si="231"/>
        <v>#VALUE!</v>
      </c>
      <c r="K505" s="23" t="e">
        <f t="shared" si="231"/>
        <v>#VALUE!</v>
      </c>
      <c r="L505" s="23" t="e">
        <f t="shared" si="231"/>
        <v>#VALUE!</v>
      </c>
      <c r="M505" s="23" t="e">
        <f t="shared" si="231"/>
        <v>#VALUE!</v>
      </c>
      <c r="N505" s="23" t="e">
        <f t="shared" si="231"/>
        <v>#VALUE!</v>
      </c>
      <c r="O505" s="23" t="e">
        <f t="shared" si="231"/>
        <v>#VALUE!</v>
      </c>
      <c r="P505" s="23" t="e">
        <f t="shared" si="231"/>
        <v>#VALUE!</v>
      </c>
      <c r="Q505" s="23" t="e">
        <f t="shared" si="231"/>
        <v>#VALUE!</v>
      </c>
      <c r="R505" s="23"/>
      <c r="S505" s="23"/>
      <c r="T505" s="23">
        <f>T501/T497</f>
        <v>0.57299950997670679</v>
      </c>
      <c r="U505" s="23"/>
    </row>
    <row r="506" spans="3:21" x14ac:dyDescent="0.2">
      <c r="C506" s="37" t="s">
        <v>252</v>
      </c>
      <c r="D506" s="6">
        <v>1999</v>
      </c>
      <c r="G506" s="23">
        <f t="shared" ref="G506:Q506" si="232">G502/G498</f>
        <v>2.3680539837791974</v>
      </c>
      <c r="H506" s="23" t="e">
        <f t="shared" si="232"/>
        <v>#VALUE!</v>
      </c>
      <c r="I506" s="23" t="e">
        <f t="shared" si="232"/>
        <v>#VALUE!</v>
      </c>
      <c r="J506" s="23" t="e">
        <f t="shared" si="232"/>
        <v>#VALUE!</v>
      </c>
      <c r="K506" s="23" t="e">
        <f t="shared" si="232"/>
        <v>#VALUE!</v>
      </c>
      <c r="L506" s="23" t="e">
        <f t="shared" si="232"/>
        <v>#VALUE!</v>
      </c>
      <c r="M506" s="23" t="e">
        <f t="shared" si="232"/>
        <v>#VALUE!</v>
      </c>
      <c r="N506" s="23" t="e">
        <f t="shared" si="232"/>
        <v>#VALUE!</v>
      </c>
      <c r="O506" s="23" t="e">
        <f t="shared" si="232"/>
        <v>#VALUE!</v>
      </c>
      <c r="P506" s="23" t="e">
        <f t="shared" si="232"/>
        <v>#VALUE!</v>
      </c>
      <c r="Q506" s="23" t="e">
        <f t="shared" si="232"/>
        <v>#VALUE!</v>
      </c>
      <c r="R506" s="23"/>
      <c r="S506" s="23"/>
      <c r="T506" s="23">
        <f>T502/T498</f>
        <v>1.1964082198934576</v>
      </c>
      <c r="U506" s="23"/>
    </row>
    <row r="507" spans="3:21" x14ac:dyDescent="0.2">
      <c r="D507" t="s">
        <v>152</v>
      </c>
      <c r="T507" s="38">
        <f>T503</f>
        <v>1.1301441329534927</v>
      </c>
      <c r="U507" s="66">
        <f>T507</f>
        <v>1.1301441329534927</v>
      </c>
    </row>
    <row r="510" spans="3:21" x14ac:dyDescent="0.2">
      <c r="T510">
        <f>T407+T426+T444+T462+T480</f>
        <v>63183</v>
      </c>
    </row>
    <row r="514" spans="3:28" x14ac:dyDescent="0.2">
      <c r="C514" s="83" t="s">
        <v>479</v>
      </c>
    </row>
    <row r="516" spans="3:28" x14ac:dyDescent="0.2">
      <c r="C516" t="s">
        <v>258</v>
      </c>
      <c r="T516" t="s">
        <v>159</v>
      </c>
      <c r="V516" t="s">
        <v>84</v>
      </c>
    </row>
    <row r="517" spans="3:28" ht="13.5" thickBot="1" x14ac:dyDescent="0.25">
      <c r="C517" s="21" t="s">
        <v>365</v>
      </c>
      <c r="D517" s="21"/>
      <c r="E517" t="s">
        <v>262</v>
      </c>
      <c r="G517">
        <f>SUM(G381:G390)</f>
        <v>2370.1620525416488</v>
      </c>
      <c r="H517" t="e">
        <f t="shared" ref="H517:Q517" si="233">SUM(H380:H409)</f>
        <v>#VALUE!</v>
      </c>
      <c r="I517" t="e">
        <f t="shared" si="233"/>
        <v>#VALUE!</v>
      </c>
      <c r="J517" t="e">
        <f t="shared" si="233"/>
        <v>#VALUE!</v>
      </c>
      <c r="K517" t="e">
        <f t="shared" si="233"/>
        <v>#REF!</v>
      </c>
      <c r="L517" t="e">
        <f t="shared" si="233"/>
        <v>#REF!</v>
      </c>
      <c r="M517" t="e">
        <f t="shared" si="233"/>
        <v>#REF!</v>
      </c>
      <c r="N517" t="e">
        <f t="shared" si="233"/>
        <v>#REF!</v>
      </c>
      <c r="O517" t="e">
        <f t="shared" si="233"/>
        <v>#REF!</v>
      </c>
      <c r="P517" t="e">
        <f t="shared" si="233"/>
        <v>#REF!</v>
      </c>
      <c r="Q517" t="e">
        <f t="shared" si="233"/>
        <v>#VALUE!</v>
      </c>
      <c r="T517">
        <f>SUM(T381:T390)</f>
        <v>10810</v>
      </c>
      <c r="V517" t="e">
        <f>SUM(T391:T400)</f>
        <v>#VALUE!</v>
      </c>
    </row>
    <row r="518" spans="3:28" x14ac:dyDescent="0.2">
      <c r="D518" t="s">
        <v>103</v>
      </c>
      <c r="E518" t="s">
        <v>106</v>
      </c>
      <c r="F518" t="s">
        <v>107</v>
      </c>
      <c r="AB518">
        <f>1.28*T517</f>
        <v>13836.800000000001</v>
      </c>
    </row>
    <row r="519" spans="3:28" x14ac:dyDescent="0.2">
      <c r="C519" t="s">
        <v>250</v>
      </c>
      <c r="D519">
        <v>1989</v>
      </c>
      <c r="E519">
        <v>29</v>
      </c>
      <c r="F519">
        <v>0</v>
      </c>
      <c r="G519" s="5" t="e">
        <f>SUMPRODUCT($D385:$D397,G$367:G$380)</f>
        <v>#VALUE!</v>
      </c>
      <c r="H519" s="5" t="e">
        <f t="shared" ref="H519:Q519" si="234">SUMPRODUCT($D411:$D459,H$337:H$366)</f>
        <v>#VALUE!</v>
      </c>
      <c r="I519" s="5" t="e">
        <f t="shared" si="234"/>
        <v>#VALUE!</v>
      </c>
      <c r="J519" s="5" t="e">
        <f t="shared" si="234"/>
        <v>#VALUE!</v>
      </c>
      <c r="K519" s="5" t="e">
        <f t="shared" si="234"/>
        <v>#VALUE!</v>
      </c>
      <c r="L519" s="5" t="e">
        <f t="shared" si="234"/>
        <v>#VALUE!</v>
      </c>
      <c r="M519" s="5" t="e">
        <f t="shared" si="234"/>
        <v>#VALUE!</v>
      </c>
      <c r="N519" s="5" t="e">
        <f t="shared" si="234"/>
        <v>#VALUE!</v>
      </c>
      <c r="O519" s="5" t="e">
        <f t="shared" si="234"/>
        <v>#VALUE!</v>
      </c>
      <c r="P519" s="5" t="e">
        <f t="shared" si="234"/>
        <v>#VALUE!</v>
      </c>
      <c r="Q519" s="5" t="e">
        <f t="shared" si="234"/>
        <v>#VALUE!</v>
      </c>
      <c r="T519" s="5">
        <f>SUMPRODUCT($D412:$D421,T$357:T$366)</f>
        <v>5975480</v>
      </c>
      <c r="U519" s="5"/>
      <c r="AB519" t="e">
        <f>1.28*V517</f>
        <v>#VALUE!</v>
      </c>
    </row>
    <row r="520" spans="3:28" x14ac:dyDescent="0.2">
      <c r="C520" t="s">
        <v>250</v>
      </c>
      <c r="D520">
        <v>1992</v>
      </c>
      <c r="E520">
        <v>32</v>
      </c>
      <c r="F520">
        <v>3</v>
      </c>
      <c r="G520" s="5">
        <f>SUMPRODUCT($D409:$D418,G$357:G$366)</f>
        <v>3676043.54</v>
      </c>
      <c r="H520" s="5" t="e">
        <f t="shared" ref="H520:Q520" si="235">SUMPRODUCT($D408:$D456,H$337:H$366)</f>
        <v>#VALUE!</v>
      </c>
      <c r="I520" s="5" t="e">
        <f t="shared" si="235"/>
        <v>#VALUE!</v>
      </c>
      <c r="J520" s="5" t="e">
        <f t="shared" si="235"/>
        <v>#VALUE!</v>
      </c>
      <c r="K520" s="5" t="e">
        <f t="shared" si="235"/>
        <v>#VALUE!</v>
      </c>
      <c r="L520" s="5" t="e">
        <f t="shared" si="235"/>
        <v>#VALUE!</v>
      </c>
      <c r="M520" s="5" t="e">
        <f t="shared" si="235"/>
        <v>#VALUE!</v>
      </c>
      <c r="N520" s="5" t="e">
        <f t="shared" si="235"/>
        <v>#VALUE!</v>
      </c>
      <c r="O520" s="5" t="e">
        <f t="shared" si="235"/>
        <v>#VALUE!</v>
      </c>
      <c r="P520" s="5" t="e">
        <f t="shared" si="235"/>
        <v>#VALUE!</v>
      </c>
      <c r="Q520" s="5" t="e">
        <f t="shared" si="235"/>
        <v>#VALUE!</v>
      </c>
      <c r="T520" s="5">
        <f>SUMPRODUCT($D409:$D418,T$357:T$366)</f>
        <v>13076538</v>
      </c>
      <c r="U520" s="5"/>
    </row>
    <row r="521" spans="3:28" x14ac:dyDescent="0.2">
      <c r="C521" t="s">
        <v>250</v>
      </c>
      <c r="D521">
        <v>1995</v>
      </c>
      <c r="E521">
        <v>35</v>
      </c>
      <c r="F521">
        <v>6</v>
      </c>
      <c r="G521" s="5">
        <f>SUMPRODUCT($D406:$D415,G$357:G$366)</f>
        <v>5555248.1000000006</v>
      </c>
      <c r="H521" s="5" t="e">
        <f t="shared" ref="H521:Q521" si="236">SUMPRODUCT($D405:$D453,H$337:H$366)</f>
        <v>#VALUE!</v>
      </c>
      <c r="I521" s="5" t="e">
        <f t="shared" si="236"/>
        <v>#VALUE!</v>
      </c>
      <c r="J521" s="5" t="e">
        <f t="shared" si="236"/>
        <v>#VALUE!</v>
      </c>
      <c r="K521" s="5" t="e">
        <f t="shared" si="236"/>
        <v>#VALUE!</v>
      </c>
      <c r="L521" s="5" t="e">
        <f t="shared" si="236"/>
        <v>#VALUE!</v>
      </c>
      <c r="M521" s="5" t="e">
        <f t="shared" si="236"/>
        <v>#VALUE!</v>
      </c>
      <c r="N521" s="5" t="e">
        <f t="shared" si="236"/>
        <v>#VALUE!</v>
      </c>
      <c r="O521" s="5" t="e">
        <f t="shared" si="236"/>
        <v>#VALUE!</v>
      </c>
      <c r="P521" s="5" t="e">
        <f t="shared" si="236"/>
        <v>#VALUE!</v>
      </c>
      <c r="Q521" s="5" t="e">
        <f t="shared" si="236"/>
        <v>#VALUE!</v>
      </c>
      <c r="T521" s="5">
        <f>SUMPRODUCT($D406:$D415,T$357:T$366)</f>
        <v>20782716</v>
      </c>
      <c r="U521" s="5"/>
    </row>
    <row r="522" spans="3:28" x14ac:dyDescent="0.2">
      <c r="C522" t="s">
        <v>250</v>
      </c>
      <c r="D522" s="6">
        <v>1999</v>
      </c>
      <c r="E522" s="6">
        <v>39</v>
      </c>
      <c r="F522" s="6">
        <v>10</v>
      </c>
      <c r="G522" s="5">
        <f>SUMPRODUCT($D403:$D412,G$357:G$366)</f>
        <v>6159800.379999999</v>
      </c>
      <c r="H522" s="7" t="e">
        <f t="shared" ref="H522:Q522" si="237">SUMPRODUCT($D401:$D449,H$337:H$366)</f>
        <v>#VALUE!</v>
      </c>
      <c r="I522" s="7" t="e">
        <f t="shared" si="237"/>
        <v>#VALUE!</v>
      </c>
      <c r="J522" s="7" t="e">
        <f t="shared" si="237"/>
        <v>#VALUE!</v>
      </c>
      <c r="K522" s="7" t="e">
        <f t="shared" si="237"/>
        <v>#VALUE!</v>
      </c>
      <c r="L522" s="7" t="e">
        <f t="shared" si="237"/>
        <v>#VALUE!</v>
      </c>
      <c r="M522" s="7" t="e">
        <f t="shared" si="237"/>
        <v>#VALUE!</v>
      </c>
      <c r="N522" s="7" t="e">
        <f t="shared" si="237"/>
        <v>#VALUE!</v>
      </c>
      <c r="O522" s="7" t="e">
        <f t="shared" si="237"/>
        <v>#VALUE!</v>
      </c>
      <c r="P522" s="7" t="e">
        <f t="shared" si="237"/>
        <v>#VALUE!</v>
      </c>
      <c r="Q522" s="7" t="e">
        <f t="shared" si="237"/>
        <v>#VALUE!</v>
      </c>
      <c r="T522" s="5">
        <f>SUMPRODUCT($D403:$D412,T$357:T$366)</f>
        <v>23243002</v>
      </c>
      <c r="U522" s="5"/>
    </row>
    <row r="523" spans="3:28" x14ac:dyDescent="0.2">
      <c r="D523" s="50">
        <v>2003</v>
      </c>
      <c r="T523">
        <f>SUM(T367:T380)</f>
        <v>17629</v>
      </c>
    </row>
    <row r="524" spans="3:28" x14ac:dyDescent="0.2">
      <c r="C524" t="s">
        <v>243</v>
      </c>
      <c r="D524">
        <v>1989</v>
      </c>
      <c r="G524" s="10">
        <f>1174+1860+750</f>
        <v>3784</v>
      </c>
      <c r="H524" s="10">
        <f>2458+3464+2486</f>
        <v>8408</v>
      </c>
      <c r="I524" s="10">
        <f>2458+3464+2486</f>
        <v>8408</v>
      </c>
      <c r="J524" s="10">
        <f>2458+3464+2486</f>
        <v>8408</v>
      </c>
      <c r="K524" s="10">
        <f>1702+2178+2214</f>
        <v>6094</v>
      </c>
      <c r="L524" s="10">
        <f>155+158+280</f>
        <v>593</v>
      </c>
      <c r="M524" s="10"/>
      <c r="N524" s="10"/>
      <c r="O524" s="10"/>
      <c r="P524" s="10"/>
      <c r="Q524" s="10"/>
      <c r="T524" s="10">
        <f>4274+5670+3235</f>
        <v>13179</v>
      </c>
      <c r="U524" s="10"/>
    </row>
    <row r="525" spans="3:28" x14ac:dyDescent="0.2">
      <c r="C525" t="s">
        <v>243</v>
      </c>
      <c r="D525">
        <v>1992</v>
      </c>
      <c r="G525" s="10">
        <f>1206+2095+3377</f>
        <v>6678</v>
      </c>
      <c r="H525" s="10">
        <f>2680+2607+2644</f>
        <v>7931</v>
      </c>
      <c r="I525" s="10">
        <f>2680+2607+2644</f>
        <v>7931</v>
      </c>
      <c r="J525" s="10">
        <f>2680+2607+2644</f>
        <v>7931</v>
      </c>
      <c r="K525" s="10">
        <f>1815+2397+2233</f>
        <v>6445</v>
      </c>
      <c r="L525" s="10"/>
      <c r="M525" s="10"/>
      <c r="N525" s="10"/>
      <c r="O525" s="10"/>
      <c r="P525" s="10"/>
      <c r="Q525" s="10"/>
      <c r="T525" s="10">
        <f>10149+4138</f>
        <v>14287</v>
      </c>
      <c r="U525" s="10"/>
    </row>
    <row r="526" spans="3:28" x14ac:dyDescent="0.2">
      <c r="C526" t="s">
        <v>243</v>
      </c>
      <c r="D526">
        <v>1995</v>
      </c>
      <c r="G526" s="10">
        <f>1206+2095+3377</f>
        <v>6678</v>
      </c>
      <c r="H526" s="10">
        <f>2342+2749+2727</f>
        <v>7818</v>
      </c>
      <c r="I526" s="10">
        <f>2342+2749+2727</f>
        <v>7818</v>
      </c>
      <c r="J526" s="10">
        <f>2342+2749+2727</f>
        <v>7818</v>
      </c>
      <c r="K526" s="10">
        <f>1530+1616+1793</f>
        <v>4939</v>
      </c>
      <c r="L526" s="10"/>
      <c r="M526" s="10"/>
      <c r="N526" s="10"/>
      <c r="O526" s="10"/>
      <c r="P526" s="10"/>
      <c r="Q526" s="10"/>
      <c r="T526" s="10">
        <f>1206+2095+3377</f>
        <v>6678</v>
      </c>
      <c r="U526" s="10"/>
    </row>
    <row r="527" spans="3:28" x14ac:dyDescent="0.2">
      <c r="C527" t="s">
        <v>243</v>
      </c>
      <c r="D527" s="6">
        <v>1999</v>
      </c>
      <c r="E527" s="6"/>
      <c r="F527" s="6"/>
      <c r="G527" s="11">
        <f>1685+2036+3586</f>
        <v>7307</v>
      </c>
      <c r="H527" s="11">
        <f>1913+2596+3044</f>
        <v>7553</v>
      </c>
      <c r="I527" s="11">
        <v>300</v>
      </c>
      <c r="J527" s="11">
        <v>500</v>
      </c>
      <c r="K527" s="11">
        <f>1247+1793+2620</f>
        <v>5660</v>
      </c>
      <c r="L527" s="11">
        <f>719</f>
        <v>719</v>
      </c>
      <c r="M527" s="10"/>
      <c r="N527" s="10">
        <f>377+613+287</f>
        <v>1277</v>
      </c>
      <c r="O527" s="10">
        <f>868+717+678</f>
        <v>2263</v>
      </c>
      <c r="P527" s="10">
        <f>612+718+418</f>
        <v>1748</v>
      </c>
      <c r="Q527" s="10">
        <f>612+718+418</f>
        <v>1748</v>
      </c>
      <c r="T527" s="11">
        <f>13931</f>
        <v>13931</v>
      </c>
      <c r="U527" s="13"/>
    </row>
    <row r="528" spans="3:28" x14ac:dyDescent="0.2">
      <c r="T528" s="19">
        <f>'2003 CBECS'!$X$29*1.056</f>
        <v>20275.448572610007</v>
      </c>
      <c r="U528" s="19"/>
    </row>
    <row r="529" spans="3:21" x14ac:dyDescent="0.2">
      <c r="C529" s="37" t="s">
        <v>252</v>
      </c>
      <c r="D529">
        <v>1989</v>
      </c>
      <c r="G529" s="23" t="e">
        <f t="shared" ref="G529:Q529" si="238">G524/G519</f>
        <v>#VALUE!</v>
      </c>
      <c r="H529" s="23" t="e">
        <f t="shared" si="238"/>
        <v>#VALUE!</v>
      </c>
      <c r="I529" s="23" t="e">
        <f t="shared" si="238"/>
        <v>#VALUE!</v>
      </c>
      <c r="J529" s="23" t="e">
        <f t="shared" si="238"/>
        <v>#VALUE!</v>
      </c>
      <c r="K529" s="23" t="e">
        <f t="shared" si="238"/>
        <v>#VALUE!</v>
      </c>
      <c r="L529" s="23" t="e">
        <f t="shared" si="238"/>
        <v>#VALUE!</v>
      </c>
      <c r="M529" s="23" t="e">
        <f t="shared" si="238"/>
        <v>#VALUE!</v>
      </c>
      <c r="N529" s="23" t="e">
        <f t="shared" si="238"/>
        <v>#VALUE!</v>
      </c>
      <c r="O529" s="23" t="e">
        <f t="shared" si="238"/>
        <v>#VALUE!</v>
      </c>
      <c r="P529" s="23" t="e">
        <f t="shared" si="238"/>
        <v>#VALUE!</v>
      </c>
      <c r="Q529" s="23" t="e">
        <f t="shared" si="238"/>
        <v>#VALUE!</v>
      </c>
      <c r="R529" s="23"/>
      <c r="S529" s="23"/>
      <c r="T529" s="23">
        <f>T524/T519</f>
        <v>2.205513197266161E-3</v>
      </c>
      <c r="U529" s="23"/>
    </row>
    <row r="530" spans="3:21" x14ac:dyDescent="0.2">
      <c r="C530" s="37" t="s">
        <v>252</v>
      </c>
      <c r="D530">
        <v>1992</v>
      </c>
      <c r="G530" s="23">
        <f t="shared" ref="G530:Q530" si="239">G525/G520</f>
        <v>1.8166270141620792E-3</v>
      </c>
      <c r="H530" s="23" t="e">
        <f t="shared" si="239"/>
        <v>#VALUE!</v>
      </c>
      <c r="I530" s="23" t="e">
        <f t="shared" si="239"/>
        <v>#VALUE!</v>
      </c>
      <c r="J530" s="23" t="e">
        <f t="shared" si="239"/>
        <v>#VALUE!</v>
      </c>
      <c r="K530" s="23" t="e">
        <f t="shared" si="239"/>
        <v>#VALUE!</v>
      </c>
      <c r="L530" s="23" t="e">
        <f t="shared" si="239"/>
        <v>#VALUE!</v>
      </c>
      <c r="M530" s="23" t="e">
        <f t="shared" si="239"/>
        <v>#VALUE!</v>
      </c>
      <c r="N530" s="23" t="e">
        <f t="shared" si="239"/>
        <v>#VALUE!</v>
      </c>
      <c r="O530" s="23" t="e">
        <f t="shared" si="239"/>
        <v>#VALUE!</v>
      </c>
      <c r="P530" s="23" t="e">
        <f t="shared" si="239"/>
        <v>#VALUE!</v>
      </c>
      <c r="Q530" s="23" t="e">
        <f t="shared" si="239"/>
        <v>#VALUE!</v>
      </c>
      <c r="R530" s="23"/>
      <c r="S530" s="23"/>
      <c r="T530" s="23">
        <f>T525/T520</f>
        <v>1.092567467016117E-3</v>
      </c>
      <c r="U530" s="23"/>
    </row>
    <row r="531" spans="3:21" x14ac:dyDescent="0.2">
      <c r="C531" s="37" t="s">
        <v>252</v>
      </c>
      <c r="D531">
        <v>1995</v>
      </c>
      <c r="G531" s="23">
        <f t="shared" ref="G531:Q531" si="240">G526/G521</f>
        <v>1.2021065269794159E-3</v>
      </c>
      <c r="H531" s="23" t="e">
        <f t="shared" si="240"/>
        <v>#VALUE!</v>
      </c>
      <c r="I531" s="23" t="e">
        <f t="shared" si="240"/>
        <v>#VALUE!</v>
      </c>
      <c r="J531" s="23" t="e">
        <f t="shared" si="240"/>
        <v>#VALUE!</v>
      </c>
      <c r="K531" s="23" t="e">
        <f t="shared" si="240"/>
        <v>#VALUE!</v>
      </c>
      <c r="L531" s="23" t="e">
        <f t="shared" si="240"/>
        <v>#VALUE!</v>
      </c>
      <c r="M531" s="23" t="e">
        <f t="shared" si="240"/>
        <v>#VALUE!</v>
      </c>
      <c r="N531" s="23" t="e">
        <f t="shared" si="240"/>
        <v>#VALUE!</v>
      </c>
      <c r="O531" s="23" t="e">
        <f t="shared" si="240"/>
        <v>#VALUE!</v>
      </c>
      <c r="P531" s="23" t="e">
        <f t="shared" si="240"/>
        <v>#VALUE!</v>
      </c>
      <c r="Q531" s="23" t="e">
        <f t="shared" si="240"/>
        <v>#VALUE!</v>
      </c>
      <c r="R531" s="23"/>
      <c r="S531" s="23"/>
      <c r="T531" s="23">
        <f>T526/T521</f>
        <v>3.2132470077539431E-4</v>
      </c>
      <c r="U531" s="23"/>
    </row>
    <row r="532" spans="3:21" x14ac:dyDescent="0.2">
      <c r="C532" s="37" t="s">
        <v>252</v>
      </c>
      <c r="D532" s="6">
        <v>1999</v>
      </c>
      <c r="G532" s="23">
        <f t="shared" ref="G532:Q532" si="241">G527/G522</f>
        <v>1.1862397398014384E-3</v>
      </c>
      <c r="H532" s="23" t="e">
        <f t="shared" si="241"/>
        <v>#VALUE!</v>
      </c>
      <c r="I532" s="23" t="e">
        <f t="shared" si="241"/>
        <v>#VALUE!</v>
      </c>
      <c r="J532" s="23" t="e">
        <f t="shared" si="241"/>
        <v>#VALUE!</v>
      </c>
      <c r="K532" s="23" t="e">
        <f t="shared" si="241"/>
        <v>#VALUE!</v>
      </c>
      <c r="L532" s="23" t="e">
        <f t="shared" si="241"/>
        <v>#VALUE!</v>
      </c>
      <c r="M532" s="23" t="e">
        <f t="shared" si="241"/>
        <v>#VALUE!</v>
      </c>
      <c r="N532" s="23" t="e">
        <f t="shared" si="241"/>
        <v>#VALUE!</v>
      </c>
      <c r="O532" s="23" t="e">
        <f t="shared" si="241"/>
        <v>#VALUE!</v>
      </c>
      <c r="P532" s="23" t="e">
        <f t="shared" si="241"/>
        <v>#VALUE!</v>
      </c>
      <c r="Q532" s="23" t="e">
        <f t="shared" si="241"/>
        <v>#VALUE!</v>
      </c>
      <c r="R532" s="23"/>
      <c r="S532" s="23"/>
      <c r="T532" s="23">
        <f>T527/T522</f>
        <v>5.9936319757662975E-4</v>
      </c>
      <c r="U532" s="23"/>
    </row>
    <row r="533" spans="3:21" x14ac:dyDescent="0.2">
      <c r="D533" t="s">
        <v>152</v>
      </c>
      <c r="T533" s="38">
        <f>T528/T523</f>
        <v>1.1501190409331219</v>
      </c>
      <c r="U533" s="38"/>
    </row>
  </sheetData>
  <mergeCells count="1">
    <mergeCell ref="G6:R6"/>
  </mergeCells>
  <phoneticPr fontId="0" type="noConversion"/>
  <pageMargins left="0.75" right="0.75" top="1" bottom="1" header="0.5" footer="0.5"/>
  <headerFooter alignWithMargins="0"/>
  <drawing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D103"/>
  <sheetViews>
    <sheetView workbookViewId="0">
      <pane xSplit="1" ySplit="2" topLeftCell="W71" activePane="bottomRight" state="frozen"/>
      <selection pane="topRight" activeCell="B1" sqref="B1"/>
      <selection pane="bottomLeft" activeCell="A2" sqref="A2"/>
      <selection pane="bottomRight" activeCell="AG80" sqref="AG80"/>
    </sheetView>
  </sheetViews>
  <sheetFormatPr defaultRowHeight="12.75" x14ac:dyDescent="0.2"/>
  <cols>
    <col min="1" max="1" width="9.7109375" customWidth="1"/>
    <col min="5" max="5" width="10.7109375" customWidth="1"/>
    <col min="6" max="6" width="10" customWidth="1"/>
    <col min="14" max="14" width="10.7109375" customWidth="1"/>
    <col min="18" max="24" width="11.28515625" customWidth="1"/>
    <col min="25" max="26" width="10.5703125" customWidth="1"/>
  </cols>
  <sheetData>
    <row r="1" spans="1:29" x14ac:dyDescent="0.2">
      <c r="R1" t="s">
        <v>115</v>
      </c>
    </row>
    <row r="2" spans="1:29" x14ac:dyDescent="0.2">
      <c r="B2" t="s">
        <v>65</v>
      </c>
      <c r="C2" t="s">
        <v>66</v>
      </c>
      <c r="D2" t="s">
        <v>67</v>
      </c>
      <c r="E2" t="s">
        <v>68</v>
      </c>
      <c r="F2" t="s">
        <v>69</v>
      </c>
      <c r="G2" t="s">
        <v>70</v>
      </c>
      <c r="H2" t="s">
        <v>71</v>
      </c>
      <c r="I2" t="s">
        <v>72</v>
      </c>
      <c r="J2" t="s">
        <v>73</v>
      </c>
      <c r="K2" t="s">
        <v>95</v>
      </c>
      <c r="L2" t="s">
        <v>96</v>
      </c>
      <c r="M2" t="s">
        <v>83</v>
      </c>
      <c r="N2" t="s">
        <v>74</v>
      </c>
      <c r="O2" t="s">
        <v>88</v>
      </c>
      <c r="P2" t="s">
        <v>209</v>
      </c>
      <c r="R2" t="s">
        <v>116</v>
      </c>
      <c r="S2" t="s">
        <v>66</v>
      </c>
      <c r="T2" t="s">
        <v>67</v>
      </c>
      <c r="U2" t="s">
        <v>68</v>
      </c>
      <c r="V2" t="s">
        <v>69</v>
      </c>
      <c r="W2" t="s">
        <v>70</v>
      </c>
      <c r="X2" t="s">
        <v>71</v>
      </c>
      <c r="Y2" t="s">
        <v>72</v>
      </c>
      <c r="Z2" t="s">
        <v>73</v>
      </c>
      <c r="AA2" t="s">
        <v>95</v>
      </c>
      <c r="AB2" t="s">
        <v>96</v>
      </c>
      <c r="AC2" t="s">
        <v>83</v>
      </c>
    </row>
    <row r="3" spans="1:29" x14ac:dyDescent="0.2">
      <c r="A3">
        <v>1919</v>
      </c>
    </row>
    <row r="4" spans="1:29" x14ac:dyDescent="0.2">
      <c r="A4">
        <v>1920</v>
      </c>
    </row>
    <row r="5" spans="1:29" x14ac:dyDescent="0.2">
      <c r="A5">
        <v>1921</v>
      </c>
    </row>
    <row r="6" spans="1:29" x14ac:dyDescent="0.2">
      <c r="A6">
        <v>1922</v>
      </c>
    </row>
    <row r="7" spans="1:29" x14ac:dyDescent="0.2">
      <c r="A7">
        <v>1923</v>
      </c>
    </row>
    <row r="8" spans="1:29" x14ac:dyDescent="0.2">
      <c r="A8">
        <v>1924</v>
      </c>
    </row>
    <row r="9" spans="1:29" x14ac:dyDescent="0.2">
      <c r="A9">
        <v>1925</v>
      </c>
      <c r="B9">
        <v>66</v>
      </c>
      <c r="C9">
        <v>62</v>
      </c>
      <c r="D9">
        <v>9.4</v>
      </c>
      <c r="E9">
        <v>32</v>
      </c>
      <c r="F9">
        <v>61</v>
      </c>
      <c r="G9">
        <v>14</v>
      </c>
      <c r="H9">
        <v>8</v>
      </c>
      <c r="I9">
        <v>19</v>
      </c>
      <c r="J9">
        <v>36</v>
      </c>
      <c r="K9">
        <v>32</v>
      </c>
      <c r="L9">
        <v>1</v>
      </c>
      <c r="M9">
        <f t="shared" ref="M9:M40" si="0">SUM(B9:L9)</f>
        <v>340.4</v>
      </c>
      <c r="N9">
        <v>160</v>
      </c>
      <c r="O9">
        <v>37</v>
      </c>
      <c r="P9">
        <f>M9-J9</f>
        <v>304.39999999999998</v>
      </c>
      <c r="Q9">
        <f t="shared" ref="Q9:Q50" si="1">A9</f>
        <v>1925</v>
      </c>
      <c r="R9" s="5">
        <f>0.414*N9</f>
        <v>66.239999999999995</v>
      </c>
      <c r="S9" s="5">
        <f>0.352*N9</f>
        <v>56.319999999999993</v>
      </c>
      <c r="T9" s="5">
        <f>0.053*N9</f>
        <v>8.48</v>
      </c>
      <c r="U9" s="5">
        <f>0.181*N9</f>
        <v>28.96</v>
      </c>
      <c r="V9" s="5">
        <f>1.15*F9</f>
        <v>70.149999999999991</v>
      </c>
      <c r="W9" s="5">
        <f t="shared" ref="W9:Y24" si="2">1.15*G9</f>
        <v>16.099999999999998</v>
      </c>
      <c r="X9" s="5">
        <f t="shared" si="2"/>
        <v>9.1999999999999993</v>
      </c>
      <c r="Y9" s="5">
        <f t="shared" si="2"/>
        <v>21.849999999999998</v>
      </c>
      <c r="Z9" s="5">
        <f t="shared" ref="Z9:Z29" si="3">1.15*J9</f>
        <v>41.4</v>
      </c>
      <c r="AA9" s="5">
        <f t="shared" ref="AA9:AA29" si="4">1.15*K9</f>
        <v>36.799999999999997</v>
      </c>
      <c r="AB9" s="5">
        <f t="shared" ref="AB9:AB29" si="5">1.15*L9</f>
        <v>1.1499999999999999</v>
      </c>
      <c r="AC9" s="5">
        <f>SUM(R9:AB9)</f>
        <v>356.64999999999992</v>
      </c>
    </row>
    <row r="10" spans="1:29" x14ac:dyDescent="0.2">
      <c r="A10">
        <f t="shared" ref="A10:A41" si="6">A9+1</f>
        <v>1926</v>
      </c>
      <c r="B10">
        <v>66</v>
      </c>
      <c r="C10">
        <v>59</v>
      </c>
      <c r="D10">
        <v>9</v>
      </c>
      <c r="E10">
        <v>30</v>
      </c>
      <c r="F10">
        <v>54</v>
      </c>
      <c r="G10">
        <v>15</v>
      </c>
      <c r="H10">
        <v>8</v>
      </c>
      <c r="I10">
        <v>16</v>
      </c>
      <c r="J10">
        <v>34</v>
      </c>
      <c r="K10">
        <v>30</v>
      </c>
      <c r="L10">
        <v>4</v>
      </c>
      <c r="M10">
        <f t="shared" si="0"/>
        <v>325</v>
      </c>
      <c r="N10">
        <v>152</v>
      </c>
      <c r="O10">
        <v>38</v>
      </c>
      <c r="P10">
        <f t="shared" ref="P10:P73" si="7">M10-J10</f>
        <v>291</v>
      </c>
      <c r="Q10">
        <f t="shared" si="1"/>
        <v>1926</v>
      </c>
      <c r="R10" s="5">
        <f t="shared" ref="R10:R43" si="8">0.414*N10</f>
        <v>62.927999999999997</v>
      </c>
      <c r="S10" s="5">
        <f t="shared" ref="S10:S43" si="9">0.352*N10</f>
        <v>53.503999999999998</v>
      </c>
      <c r="T10" s="5">
        <f t="shared" ref="T10:T43" si="10">0.053*N10</f>
        <v>8.0559999999999992</v>
      </c>
      <c r="U10" s="5">
        <f t="shared" ref="U10:U43" si="11">0.181*N10</f>
        <v>27.512</v>
      </c>
      <c r="V10" s="5">
        <f t="shared" ref="V10:V29" si="12">1.15*F10</f>
        <v>62.099999999999994</v>
      </c>
      <c r="W10" s="5">
        <f t="shared" si="2"/>
        <v>17.25</v>
      </c>
      <c r="X10" s="5">
        <f t="shared" si="2"/>
        <v>9.1999999999999993</v>
      </c>
      <c r="Y10" s="5">
        <f t="shared" si="2"/>
        <v>18.399999999999999</v>
      </c>
      <c r="Z10" s="5">
        <f t="shared" si="3"/>
        <v>39.099999999999994</v>
      </c>
      <c r="AA10" s="5">
        <f t="shared" si="4"/>
        <v>34.5</v>
      </c>
      <c r="AB10" s="5">
        <f t="shared" si="5"/>
        <v>4.5999999999999996</v>
      </c>
    </row>
    <row r="11" spans="1:29" x14ac:dyDescent="0.2">
      <c r="A11">
        <f t="shared" si="6"/>
        <v>1927</v>
      </c>
      <c r="B11">
        <v>66</v>
      </c>
      <c r="C11">
        <v>55</v>
      </c>
      <c r="D11">
        <v>8.6</v>
      </c>
      <c r="E11">
        <v>28</v>
      </c>
      <c r="F11">
        <v>54</v>
      </c>
      <c r="G11">
        <v>19</v>
      </c>
      <c r="H11">
        <v>10</v>
      </c>
      <c r="I11">
        <v>17</v>
      </c>
      <c r="J11">
        <v>38</v>
      </c>
      <c r="K11">
        <v>34</v>
      </c>
      <c r="L11">
        <v>7</v>
      </c>
      <c r="M11">
        <f t="shared" si="0"/>
        <v>336.6</v>
      </c>
      <c r="N11">
        <v>142</v>
      </c>
      <c r="O11">
        <v>46</v>
      </c>
      <c r="P11">
        <f t="shared" si="7"/>
        <v>298.60000000000002</v>
      </c>
      <c r="Q11">
        <f t="shared" si="1"/>
        <v>1927</v>
      </c>
      <c r="R11" s="5">
        <f t="shared" si="8"/>
        <v>58.787999999999997</v>
      </c>
      <c r="S11" s="5">
        <f t="shared" si="9"/>
        <v>49.983999999999995</v>
      </c>
      <c r="T11" s="5">
        <f t="shared" si="10"/>
        <v>7.5259999999999998</v>
      </c>
      <c r="U11" s="5">
        <f t="shared" si="11"/>
        <v>25.701999999999998</v>
      </c>
      <c r="V11" s="5">
        <f t="shared" si="12"/>
        <v>62.099999999999994</v>
      </c>
      <c r="W11" s="5">
        <f t="shared" si="2"/>
        <v>21.849999999999998</v>
      </c>
      <c r="X11" s="5">
        <f t="shared" si="2"/>
        <v>11.5</v>
      </c>
      <c r="Y11" s="5">
        <f t="shared" si="2"/>
        <v>19.549999999999997</v>
      </c>
      <c r="Z11" s="5">
        <f t="shared" si="3"/>
        <v>43.699999999999996</v>
      </c>
      <c r="AA11" s="5">
        <f t="shared" si="4"/>
        <v>39.099999999999994</v>
      </c>
      <c r="AB11" s="5">
        <f t="shared" si="5"/>
        <v>8.0499999999999989</v>
      </c>
    </row>
    <row r="12" spans="1:29" x14ac:dyDescent="0.2">
      <c r="A12">
        <f t="shared" si="6"/>
        <v>1928</v>
      </c>
      <c r="B12">
        <v>66</v>
      </c>
      <c r="C12">
        <v>62</v>
      </c>
      <c r="D12">
        <v>9.4</v>
      </c>
      <c r="E12">
        <v>32</v>
      </c>
      <c r="F12">
        <v>61</v>
      </c>
      <c r="G12">
        <v>20</v>
      </c>
      <c r="H12">
        <v>11</v>
      </c>
      <c r="I12">
        <v>15</v>
      </c>
      <c r="J12">
        <v>32</v>
      </c>
      <c r="K12">
        <v>28</v>
      </c>
      <c r="L12">
        <v>6</v>
      </c>
      <c r="M12">
        <f t="shared" si="0"/>
        <v>342.4</v>
      </c>
      <c r="N12">
        <v>159</v>
      </c>
      <c r="O12">
        <v>39</v>
      </c>
      <c r="P12">
        <f t="shared" si="7"/>
        <v>310.39999999999998</v>
      </c>
      <c r="Q12">
        <f t="shared" si="1"/>
        <v>1928</v>
      </c>
      <c r="R12" s="5">
        <f t="shared" si="8"/>
        <v>65.825999999999993</v>
      </c>
      <c r="S12" s="5">
        <f t="shared" si="9"/>
        <v>55.967999999999996</v>
      </c>
      <c r="T12" s="5">
        <f t="shared" si="10"/>
        <v>8.4269999999999996</v>
      </c>
      <c r="U12" s="5">
        <f t="shared" si="11"/>
        <v>28.779</v>
      </c>
      <c r="V12" s="5">
        <f t="shared" si="12"/>
        <v>70.149999999999991</v>
      </c>
      <c r="W12" s="5">
        <f t="shared" si="2"/>
        <v>23</v>
      </c>
      <c r="X12" s="5">
        <f t="shared" si="2"/>
        <v>12.649999999999999</v>
      </c>
      <c r="Y12" s="5">
        <f t="shared" si="2"/>
        <v>17.25</v>
      </c>
      <c r="Z12" s="5">
        <f t="shared" si="3"/>
        <v>36.799999999999997</v>
      </c>
      <c r="AA12" s="5">
        <f t="shared" si="4"/>
        <v>32.199999999999996</v>
      </c>
      <c r="AB12" s="5">
        <f t="shared" si="5"/>
        <v>6.8999999999999995</v>
      </c>
    </row>
    <row r="13" spans="1:29" x14ac:dyDescent="0.2">
      <c r="A13">
        <f t="shared" si="6"/>
        <v>1929</v>
      </c>
      <c r="B13">
        <v>66</v>
      </c>
      <c r="C13">
        <v>63</v>
      </c>
      <c r="D13">
        <v>9.4</v>
      </c>
      <c r="E13">
        <v>32</v>
      </c>
      <c r="F13">
        <v>59</v>
      </c>
      <c r="G13">
        <v>20</v>
      </c>
      <c r="H13">
        <v>13</v>
      </c>
      <c r="I13">
        <v>13</v>
      </c>
      <c r="J13">
        <v>25</v>
      </c>
      <c r="K13">
        <v>22</v>
      </c>
      <c r="L13">
        <v>6</v>
      </c>
      <c r="M13">
        <f t="shared" si="0"/>
        <v>328.4</v>
      </c>
      <c r="N13">
        <v>161</v>
      </c>
      <c r="O13">
        <v>32</v>
      </c>
      <c r="P13">
        <f t="shared" si="7"/>
        <v>303.39999999999998</v>
      </c>
      <c r="Q13">
        <f t="shared" si="1"/>
        <v>1929</v>
      </c>
      <c r="R13" s="5">
        <f t="shared" si="8"/>
        <v>66.653999999999996</v>
      </c>
      <c r="S13" s="5">
        <f t="shared" si="9"/>
        <v>56.671999999999997</v>
      </c>
      <c r="T13" s="5">
        <f t="shared" si="10"/>
        <v>8.5329999999999995</v>
      </c>
      <c r="U13" s="5">
        <f t="shared" si="11"/>
        <v>29.140999999999998</v>
      </c>
      <c r="V13" s="5">
        <f t="shared" si="12"/>
        <v>67.849999999999994</v>
      </c>
      <c r="W13" s="5">
        <f t="shared" si="2"/>
        <v>23</v>
      </c>
      <c r="X13" s="5">
        <f t="shared" si="2"/>
        <v>14.95</v>
      </c>
      <c r="Y13" s="5">
        <f t="shared" si="2"/>
        <v>14.95</v>
      </c>
      <c r="Z13" s="5">
        <f t="shared" si="3"/>
        <v>28.749999999999996</v>
      </c>
      <c r="AA13" s="5">
        <f t="shared" si="4"/>
        <v>25.299999999999997</v>
      </c>
      <c r="AB13" s="5">
        <f t="shared" si="5"/>
        <v>6.8999999999999995</v>
      </c>
    </row>
    <row r="14" spans="1:29" x14ac:dyDescent="0.2">
      <c r="A14">
        <f t="shared" si="6"/>
        <v>1930</v>
      </c>
      <c r="B14">
        <v>41</v>
      </c>
      <c r="C14">
        <v>38</v>
      </c>
      <c r="D14">
        <v>5.8</v>
      </c>
      <c r="E14">
        <v>20</v>
      </c>
      <c r="F14">
        <v>57</v>
      </c>
      <c r="G14">
        <v>19</v>
      </c>
      <c r="H14">
        <v>17</v>
      </c>
      <c r="I14">
        <v>11</v>
      </c>
      <c r="J14">
        <v>18</v>
      </c>
      <c r="K14">
        <v>16</v>
      </c>
      <c r="L14">
        <v>7</v>
      </c>
      <c r="M14">
        <f t="shared" si="0"/>
        <v>249.8</v>
      </c>
      <c r="N14">
        <v>97</v>
      </c>
      <c r="O14">
        <v>26</v>
      </c>
      <c r="P14">
        <f t="shared" si="7"/>
        <v>231.8</v>
      </c>
      <c r="Q14">
        <f t="shared" si="1"/>
        <v>1930</v>
      </c>
      <c r="R14" s="5">
        <f t="shared" si="8"/>
        <v>40.158000000000001</v>
      </c>
      <c r="S14" s="5">
        <f t="shared" si="9"/>
        <v>34.143999999999998</v>
      </c>
      <c r="T14" s="5">
        <f t="shared" si="10"/>
        <v>5.141</v>
      </c>
      <c r="U14" s="5">
        <f t="shared" si="11"/>
        <v>17.556999999999999</v>
      </c>
      <c r="V14" s="5">
        <f t="shared" si="12"/>
        <v>65.55</v>
      </c>
      <c r="W14" s="5">
        <f t="shared" si="2"/>
        <v>21.849999999999998</v>
      </c>
      <c r="X14" s="5">
        <f t="shared" si="2"/>
        <v>19.549999999999997</v>
      </c>
      <c r="Y14" s="5">
        <f t="shared" si="2"/>
        <v>12.649999999999999</v>
      </c>
      <c r="Z14" s="5">
        <f t="shared" si="3"/>
        <v>20.7</v>
      </c>
      <c r="AA14" s="5">
        <f t="shared" si="4"/>
        <v>18.399999999999999</v>
      </c>
      <c r="AB14" s="5">
        <f t="shared" si="5"/>
        <v>8.0499999999999989</v>
      </c>
    </row>
    <row r="15" spans="1:29" x14ac:dyDescent="0.2">
      <c r="A15">
        <f t="shared" si="6"/>
        <v>1931</v>
      </c>
      <c r="B15">
        <v>21</v>
      </c>
      <c r="C15">
        <v>19</v>
      </c>
      <c r="D15">
        <v>2.7</v>
      </c>
      <c r="E15">
        <v>10</v>
      </c>
      <c r="F15">
        <v>37</v>
      </c>
      <c r="G15">
        <v>17</v>
      </c>
      <c r="H15">
        <v>24</v>
      </c>
      <c r="I15">
        <v>6</v>
      </c>
      <c r="J15">
        <v>16</v>
      </c>
      <c r="K15">
        <v>14</v>
      </c>
      <c r="L15">
        <v>3</v>
      </c>
      <c r="M15">
        <f t="shared" si="0"/>
        <v>169.7</v>
      </c>
      <c r="N15">
        <v>50</v>
      </c>
      <c r="O15">
        <v>19</v>
      </c>
      <c r="P15">
        <f t="shared" si="7"/>
        <v>153.69999999999999</v>
      </c>
      <c r="Q15">
        <f t="shared" si="1"/>
        <v>1931</v>
      </c>
      <c r="R15" s="5">
        <f t="shared" si="8"/>
        <v>20.7</v>
      </c>
      <c r="S15" s="5">
        <f t="shared" si="9"/>
        <v>17.599999999999998</v>
      </c>
      <c r="T15" s="5">
        <f t="shared" si="10"/>
        <v>2.65</v>
      </c>
      <c r="U15" s="5">
        <f t="shared" si="11"/>
        <v>9.0499999999999989</v>
      </c>
      <c r="V15" s="5">
        <f t="shared" si="12"/>
        <v>42.55</v>
      </c>
      <c r="W15" s="5">
        <f t="shared" si="2"/>
        <v>19.549999999999997</v>
      </c>
      <c r="X15" s="5">
        <f t="shared" si="2"/>
        <v>27.599999999999998</v>
      </c>
      <c r="Y15" s="5">
        <f t="shared" si="2"/>
        <v>6.8999999999999995</v>
      </c>
      <c r="Z15" s="5">
        <f t="shared" si="3"/>
        <v>18.399999999999999</v>
      </c>
      <c r="AA15" s="5">
        <f t="shared" si="4"/>
        <v>16.099999999999998</v>
      </c>
      <c r="AB15" s="5">
        <f t="shared" si="5"/>
        <v>3.4499999999999997</v>
      </c>
    </row>
    <row r="16" spans="1:29" x14ac:dyDescent="0.2">
      <c r="A16">
        <f t="shared" si="6"/>
        <v>1932</v>
      </c>
      <c r="B16">
        <v>10</v>
      </c>
      <c r="C16">
        <v>9</v>
      </c>
      <c r="D16">
        <v>1.4</v>
      </c>
      <c r="E16">
        <v>5</v>
      </c>
      <c r="F16">
        <v>14</v>
      </c>
      <c r="G16">
        <v>7</v>
      </c>
      <c r="H16">
        <v>16</v>
      </c>
      <c r="I16">
        <v>4</v>
      </c>
      <c r="J16">
        <v>7</v>
      </c>
      <c r="K16">
        <v>6</v>
      </c>
      <c r="L16">
        <v>1</v>
      </c>
      <c r="M16">
        <f t="shared" si="0"/>
        <v>80.400000000000006</v>
      </c>
      <c r="N16">
        <v>24</v>
      </c>
      <c r="O16">
        <v>8</v>
      </c>
      <c r="P16">
        <f t="shared" si="7"/>
        <v>73.400000000000006</v>
      </c>
      <c r="Q16">
        <f t="shared" si="1"/>
        <v>1932</v>
      </c>
      <c r="R16" s="5">
        <f t="shared" si="8"/>
        <v>9.9359999999999999</v>
      </c>
      <c r="S16" s="5">
        <f t="shared" si="9"/>
        <v>8.4480000000000004</v>
      </c>
      <c r="T16" s="5">
        <f t="shared" si="10"/>
        <v>1.272</v>
      </c>
      <c r="U16" s="5">
        <f t="shared" si="11"/>
        <v>4.3439999999999994</v>
      </c>
      <c r="V16" s="5">
        <f t="shared" si="12"/>
        <v>16.099999999999998</v>
      </c>
      <c r="W16" s="5">
        <f t="shared" si="2"/>
        <v>8.0499999999999989</v>
      </c>
      <c r="X16" s="5">
        <f t="shared" si="2"/>
        <v>18.399999999999999</v>
      </c>
      <c r="Y16" s="5">
        <f t="shared" si="2"/>
        <v>4.5999999999999996</v>
      </c>
      <c r="Z16" s="5">
        <f t="shared" si="3"/>
        <v>8.0499999999999989</v>
      </c>
      <c r="AA16" s="5">
        <f t="shared" si="4"/>
        <v>6.8999999999999995</v>
      </c>
      <c r="AB16" s="5">
        <f t="shared" si="5"/>
        <v>1.1499999999999999</v>
      </c>
    </row>
    <row r="17" spans="1:28" x14ac:dyDescent="0.2">
      <c r="A17">
        <f t="shared" si="6"/>
        <v>1933</v>
      </c>
      <c r="B17">
        <v>9</v>
      </c>
      <c r="C17">
        <v>9</v>
      </c>
      <c r="D17">
        <v>1.4</v>
      </c>
      <c r="E17">
        <v>5</v>
      </c>
      <c r="F17">
        <v>6</v>
      </c>
      <c r="G17">
        <v>6</v>
      </c>
      <c r="H17">
        <v>10</v>
      </c>
      <c r="I17">
        <v>3</v>
      </c>
      <c r="J17">
        <v>7</v>
      </c>
      <c r="K17">
        <v>6</v>
      </c>
      <c r="L17">
        <v>2</v>
      </c>
      <c r="M17">
        <f t="shared" si="0"/>
        <v>64.400000000000006</v>
      </c>
      <c r="N17">
        <v>23</v>
      </c>
      <c r="O17">
        <v>9</v>
      </c>
      <c r="P17">
        <f t="shared" si="7"/>
        <v>57.400000000000006</v>
      </c>
      <c r="Q17">
        <f t="shared" si="1"/>
        <v>1933</v>
      </c>
      <c r="R17" s="5">
        <f t="shared" si="8"/>
        <v>9.5220000000000002</v>
      </c>
      <c r="S17" s="5">
        <f t="shared" si="9"/>
        <v>8.0960000000000001</v>
      </c>
      <c r="T17" s="5">
        <f t="shared" si="10"/>
        <v>1.2189999999999999</v>
      </c>
      <c r="U17" s="5">
        <f t="shared" si="11"/>
        <v>4.1630000000000003</v>
      </c>
      <c r="V17" s="5">
        <f t="shared" si="12"/>
        <v>6.8999999999999995</v>
      </c>
      <c r="W17" s="5">
        <f t="shared" si="2"/>
        <v>6.8999999999999995</v>
      </c>
      <c r="X17" s="5">
        <f t="shared" si="2"/>
        <v>11.5</v>
      </c>
      <c r="Y17" s="5">
        <f t="shared" si="2"/>
        <v>3.4499999999999997</v>
      </c>
      <c r="Z17" s="5">
        <f t="shared" si="3"/>
        <v>8.0499999999999989</v>
      </c>
      <c r="AA17" s="5">
        <f t="shared" si="4"/>
        <v>6.8999999999999995</v>
      </c>
      <c r="AB17" s="5">
        <f t="shared" si="5"/>
        <v>2.2999999999999998</v>
      </c>
    </row>
    <row r="18" spans="1:28" x14ac:dyDescent="0.2">
      <c r="A18">
        <f t="shared" si="6"/>
        <v>1934</v>
      </c>
      <c r="B18">
        <v>12</v>
      </c>
      <c r="C18">
        <v>11</v>
      </c>
      <c r="D18">
        <v>1.8</v>
      </c>
      <c r="E18">
        <v>6</v>
      </c>
      <c r="F18">
        <v>17</v>
      </c>
      <c r="G18">
        <v>4</v>
      </c>
      <c r="H18">
        <v>9</v>
      </c>
      <c r="I18">
        <v>3</v>
      </c>
      <c r="J18">
        <v>8</v>
      </c>
      <c r="K18">
        <v>7</v>
      </c>
      <c r="L18">
        <v>1</v>
      </c>
      <c r="M18">
        <f t="shared" si="0"/>
        <v>79.8</v>
      </c>
      <c r="N18">
        <v>28</v>
      </c>
      <c r="O18">
        <v>9</v>
      </c>
      <c r="P18">
        <f t="shared" si="7"/>
        <v>71.8</v>
      </c>
      <c r="Q18">
        <f t="shared" si="1"/>
        <v>1934</v>
      </c>
      <c r="R18" s="5">
        <f t="shared" si="8"/>
        <v>11.591999999999999</v>
      </c>
      <c r="S18" s="5">
        <f t="shared" si="9"/>
        <v>9.8559999999999999</v>
      </c>
      <c r="T18" s="5">
        <f t="shared" si="10"/>
        <v>1.484</v>
      </c>
      <c r="U18" s="5">
        <f t="shared" si="11"/>
        <v>5.0679999999999996</v>
      </c>
      <c r="V18" s="5">
        <f t="shared" si="12"/>
        <v>19.549999999999997</v>
      </c>
      <c r="W18" s="5">
        <f t="shared" si="2"/>
        <v>4.5999999999999996</v>
      </c>
      <c r="X18" s="5">
        <f t="shared" si="2"/>
        <v>10.35</v>
      </c>
      <c r="Y18" s="5">
        <f t="shared" si="2"/>
        <v>3.4499999999999997</v>
      </c>
      <c r="Z18" s="5">
        <f t="shared" si="3"/>
        <v>9.1999999999999993</v>
      </c>
      <c r="AA18" s="5">
        <f t="shared" si="4"/>
        <v>8.0499999999999989</v>
      </c>
      <c r="AB18" s="5">
        <f t="shared" si="5"/>
        <v>1.1499999999999999</v>
      </c>
    </row>
    <row r="19" spans="1:28" x14ac:dyDescent="0.2">
      <c r="A19">
        <f t="shared" si="6"/>
        <v>1935</v>
      </c>
      <c r="B19">
        <v>14</v>
      </c>
      <c r="C19">
        <v>13</v>
      </c>
      <c r="D19">
        <v>2.2999999999999998</v>
      </c>
      <c r="E19">
        <v>7</v>
      </c>
      <c r="F19">
        <v>42</v>
      </c>
      <c r="G19">
        <v>6</v>
      </c>
      <c r="H19">
        <v>14</v>
      </c>
      <c r="I19">
        <v>4</v>
      </c>
      <c r="J19">
        <v>9</v>
      </c>
      <c r="K19">
        <v>8</v>
      </c>
      <c r="L19">
        <v>1</v>
      </c>
      <c r="M19">
        <f t="shared" si="0"/>
        <v>120.3</v>
      </c>
      <c r="N19">
        <v>35</v>
      </c>
      <c r="O19">
        <v>10</v>
      </c>
      <c r="P19">
        <f t="shared" si="7"/>
        <v>111.3</v>
      </c>
      <c r="Q19">
        <f t="shared" si="1"/>
        <v>1935</v>
      </c>
      <c r="R19" s="5">
        <f t="shared" si="8"/>
        <v>14.489999999999998</v>
      </c>
      <c r="S19" s="5">
        <f t="shared" si="9"/>
        <v>12.319999999999999</v>
      </c>
      <c r="T19" s="5">
        <f t="shared" si="10"/>
        <v>1.855</v>
      </c>
      <c r="U19" s="5">
        <f t="shared" si="11"/>
        <v>6.335</v>
      </c>
      <c r="V19" s="5">
        <f t="shared" si="12"/>
        <v>48.3</v>
      </c>
      <c r="W19" s="5">
        <f t="shared" si="2"/>
        <v>6.8999999999999995</v>
      </c>
      <c r="X19" s="5">
        <f t="shared" si="2"/>
        <v>16.099999999999998</v>
      </c>
      <c r="Y19" s="5">
        <f t="shared" si="2"/>
        <v>4.5999999999999996</v>
      </c>
      <c r="Z19" s="5">
        <f t="shared" si="3"/>
        <v>10.35</v>
      </c>
      <c r="AA19" s="5">
        <f t="shared" si="4"/>
        <v>9.1999999999999993</v>
      </c>
      <c r="AB19" s="5">
        <f t="shared" si="5"/>
        <v>1.1499999999999999</v>
      </c>
    </row>
    <row r="20" spans="1:28" x14ac:dyDescent="0.2">
      <c r="A20">
        <f t="shared" si="6"/>
        <v>1936</v>
      </c>
      <c r="B20">
        <v>28</v>
      </c>
      <c r="C20">
        <v>26</v>
      </c>
      <c r="D20">
        <v>4.0999999999999996</v>
      </c>
      <c r="E20">
        <v>14</v>
      </c>
      <c r="F20">
        <v>42</v>
      </c>
      <c r="G20">
        <v>10</v>
      </c>
      <c r="H20">
        <v>14</v>
      </c>
      <c r="I20">
        <v>4</v>
      </c>
      <c r="J20">
        <v>17</v>
      </c>
      <c r="K20">
        <v>13</v>
      </c>
      <c r="L20">
        <v>1</v>
      </c>
      <c r="M20">
        <f t="shared" si="0"/>
        <v>173.1</v>
      </c>
      <c r="N20">
        <v>57</v>
      </c>
      <c r="O20">
        <v>18</v>
      </c>
      <c r="P20">
        <f t="shared" si="7"/>
        <v>156.1</v>
      </c>
      <c r="Q20">
        <f t="shared" si="1"/>
        <v>1936</v>
      </c>
      <c r="R20" s="5">
        <f t="shared" si="8"/>
        <v>23.597999999999999</v>
      </c>
      <c r="S20" s="5">
        <f t="shared" si="9"/>
        <v>20.064</v>
      </c>
      <c r="T20" s="5">
        <f t="shared" si="10"/>
        <v>3.0209999999999999</v>
      </c>
      <c r="U20" s="5">
        <f t="shared" si="11"/>
        <v>10.317</v>
      </c>
      <c r="V20" s="5">
        <f t="shared" si="12"/>
        <v>48.3</v>
      </c>
      <c r="W20" s="5">
        <f t="shared" si="2"/>
        <v>11.5</v>
      </c>
      <c r="X20" s="5">
        <f t="shared" si="2"/>
        <v>16.099999999999998</v>
      </c>
      <c r="Y20" s="5">
        <f t="shared" si="2"/>
        <v>4.5999999999999996</v>
      </c>
      <c r="Z20" s="5">
        <f t="shared" si="3"/>
        <v>19.549999999999997</v>
      </c>
      <c r="AA20" s="5">
        <f t="shared" si="4"/>
        <v>14.95</v>
      </c>
      <c r="AB20" s="5">
        <f t="shared" si="5"/>
        <v>1.1499999999999999</v>
      </c>
    </row>
    <row r="21" spans="1:28" x14ac:dyDescent="0.2">
      <c r="A21">
        <f t="shared" si="6"/>
        <v>1937</v>
      </c>
      <c r="B21">
        <v>28</v>
      </c>
      <c r="C21">
        <v>26</v>
      </c>
      <c r="D21">
        <v>4.0999999999999996</v>
      </c>
      <c r="E21">
        <v>13</v>
      </c>
      <c r="F21">
        <v>36</v>
      </c>
      <c r="G21">
        <v>11</v>
      </c>
      <c r="H21">
        <v>12</v>
      </c>
      <c r="I21">
        <v>6</v>
      </c>
      <c r="J21">
        <v>17</v>
      </c>
      <c r="K21">
        <v>14</v>
      </c>
      <c r="L21">
        <v>1</v>
      </c>
      <c r="M21">
        <f t="shared" si="0"/>
        <v>168.1</v>
      </c>
      <c r="N21">
        <v>62</v>
      </c>
      <c r="O21">
        <v>18</v>
      </c>
      <c r="P21">
        <f t="shared" si="7"/>
        <v>151.1</v>
      </c>
      <c r="Q21">
        <f t="shared" si="1"/>
        <v>1937</v>
      </c>
      <c r="R21" s="5">
        <f t="shared" si="8"/>
        <v>25.667999999999999</v>
      </c>
      <c r="S21" s="5">
        <f t="shared" si="9"/>
        <v>21.823999999999998</v>
      </c>
      <c r="T21" s="5">
        <f t="shared" si="10"/>
        <v>3.286</v>
      </c>
      <c r="U21" s="5">
        <f t="shared" si="11"/>
        <v>11.222</v>
      </c>
      <c r="V21" s="5">
        <f t="shared" si="12"/>
        <v>41.4</v>
      </c>
      <c r="W21" s="5">
        <f t="shared" si="2"/>
        <v>12.649999999999999</v>
      </c>
      <c r="X21" s="5">
        <f t="shared" si="2"/>
        <v>13.799999999999999</v>
      </c>
      <c r="Y21" s="5">
        <f t="shared" si="2"/>
        <v>6.8999999999999995</v>
      </c>
      <c r="Z21" s="5">
        <f t="shared" si="3"/>
        <v>19.549999999999997</v>
      </c>
      <c r="AA21" s="5">
        <f t="shared" si="4"/>
        <v>16.099999999999998</v>
      </c>
      <c r="AB21" s="5">
        <f t="shared" si="5"/>
        <v>1.1499999999999999</v>
      </c>
    </row>
    <row r="22" spans="1:28" x14ac:dyDescent="0.2">
      <c r="A22">
        <f t="shared" si="6"/>
        <v>1938</v>
      </c>
      <c r="B22">
        <v>18</v>
      </c>
      <c r="C22">
        <v>17</v>
      </c>
      <c r="D22">
        <v>2.7</v>
      </c>
      <c r="E22">
        <v>9</v>
      </c>
      <c r="F22">
        <v>57</v>
      </c>
      <c r="G22">
        <v>17</v>
      </c>
      <c r="H22">
        <v>16</v>
      </c>
      <c r="I22">
        <v>5</v>
      </c>
      <c r="J22">
        <v>21</v>
      </c>
      <c r="K22">
        <v>18</v>
      </c>
      <c r="L22">
        <v>1</v>
      </c>
      <c r="M22">
        <f t="shared" si="0"/>
        <v>181.7</v>
      </c>
      <c r="N22">
        <v>42</v>
      </c>
      <c r="O22">
        <v>28</v>
      </c>
      <c r="P22">
        <f t="shared" si="7"/>
        <v>160.69999999999999</v>
      </c>
      <c r="Q22">
        <f t="shared" si="1"/>
        <v>1938</v>
      </c>
      <c r="R22" s="5">
        <f t="shared" si="8"/>
        <v>17.387999999999998</v>
      </c>
      <c r="S22" s="5">
        <f t="shared" si="9"/>
        <v>14.783999999999999</v>
      </c>
      <c r="T22" s="5">
        <f t="shared" si="10"/>
        <v>2.226</v>
      </c>
      <c r="U22" s="5">
        <f t="shared" si="11"/>
        <v>7.6019999999999994</v>
      </c>
      <c r="V22" s="5">
        <f t="shared" si="12"/>
        <v>65.55</v>
      </c>
      <c r="W22" s="5">
        <f t="shared" si="2"/>
        <v>19.549999999999997</v>
      </c>
      <c r="X22" s="5">
        <f t="shared" si="2"/>
        <v>18.399999999999999</v>
      </c>
      <c r="Y22" s="5">
        <f t="shared" si="2"/>
        <v>5.75</v>
      </c>
      <c r="Z22" s="5">
        <f t="shared" si="3"/>
        <v>24.15</v>
      </c>
      <c r="AA22" s="5">
        <f t="shared" si="4"/>
        <v>20.7</v>
      </c>
      <c r="AB22" s="5">
        <f t="shared" si="5"/>
        <v>1.1499999999999999</v>
      </c>
    </row>
    <row r="23" spans="1:28" x14ac:dyDescent="0.2">
      <c r="A23">
        <f t="shared" si="6"/>
        <v>1939</v>
      </c>
      <c r="B23">
        <v>21</v>
      </c>
      <c r="C23">
        <v>20</v>
      </c>
      <c r="D23">
        <v>3.2</v>
      </c>
      <c r="E23">
        <v>10</v>
      </c>
      <c r="F23">
        <v>34</v>
      </c>
      <c r="G23">
        <v>12</v>
      </c>
      <c r="H23">
        <v>15</v>
      </c>
      <c r="I23">
        <v>6</v>
      </c>
      <c r="J23">
        <v>14</v>
      </c>
      <c r="K23">
        <v>12</v>
      </c>
      <c r="L23">
        <v>1</v>
      </c>
      <c r="M23">
        <f t="shared" si="0"/>
        <v>148.19999999999999</v>
      </c>
      <c r="N23">
        <v>49</v>
      </c>
      <c r="O23">
        <v>21</v>
      </c>
      <c r="P23">
        <f t="shared" si="7"/>
        <v>134.19999999999999</v>
      </c>
      <c r="Q23">
        <f t="shared" si="1"/>
        <v>1939</v>
      </c>
      <c r="R23" s="5">
        <f t="shared" si="8"/>
        <v>20.285999999999998</v>
      </c>
      <c r="S23" s="5">
        <f t="shared" si="9"/>
        <v>17.247999999999998</v>
      </c>
      <c r="T23" s="5">
        <f t="shared" si="10"/>
        <v>2.597</v>
      </c>
      <c r="U23" s="5">
        <f t="shared" si="11"/>
        <v>8.8689999999999998</v>
      </c>
      <c r="V23" s="5">
        <f t="shared" si="12"/>
        <v>39.099999999999994</v>
      </c>
      <c r="W23" s="5">
        <f t="shared" si="2"/>
        <v>13.799999999999999</v>
      </c>
      <c r="X23" s="5">
        <f t="shared" si="2"/>
        <v>17.25</v>
      </c>
      <c r="Y23" s="5">
        <f t="shared" si="2"/>
        <v>6.8999999999999995</v>
      </c>
      <c r="Z23" s="5">
        <f t="shared" si="3"/>
        <v>16.099999999999998</v>
      </c>
      <c r="AA23" s="5">
        <f t="shared" si="4"/>
        <v>13.799999999999999</v>
      </c>
      <c r="AB23" s="5">
        <f t="shared" si="5"/>
        <v>1.1499999999999999</v>
      </c>
    </row>
    <row r="24" spans="1:28" x14ac:dyDescent="0.2">
      <c r="A24">
        <f t="shared" si="6"/>
        <v>1940</v>
      </c>
      <c r="B24">
        <v>29</v>
      </c>
      <c r="C24">
        <v>27</v>
      </c>
      <c r="D24">
        <v>4.0999999999999996</v>
      </c>
      <c r="E24">
        <v>14</v>
      </c>
      <c r="F24">
        <v>25</v>
      </c>
      <c r="G24">
        <v>14</v>
      </c>
      <c r="H24">
        <v>12</v>
      </c>
      <c r="I24">
        <v>7</v>
      </c>
      <c r="J24">
        <v>14</v>
      </c>
      <c r="K24">
        <v>12</v>
      </c>
      <c r="L24">
        <v>37</v>
      </c>
      <c r="M24">
        <f t="shared" si="0"/>
        <v>195.1</v>
      </c>
      <c r="N24">
        <v>67</v>
      </c>
      <c r="O24">
        <v>56</v>
      </c>
      <c r="P24">
        <f t="shared" si="7"/>
        <v>181.1</v>
      </c>
      <c r="Q24">
        <f t="shared" si="1"/>
        <v>1940</v>
      </c>
      <c r="R24" s="5">
        <f t="shared" si="8"/>
        <v>27.738</v>
      </c>
      <c r="S24" s="5">
        <f t="shared" si="9"/>
        <v>23.584</v>
      </c>
      <c r="T24" s="5">
        <f t="shared" si="10"/>
        <v>3.5509999999999997</v>
      </c>
      <c r="U24" s="5">
        <f t="shared" si="11"/>
        <v>12.126999999999999</v>
      </c>
      <c r="V24" s="5">
        <f t="shared" si="12"/>
        <v>28.749999999999996</v>
      </c>
      <c r="W24" s="5">
        <f t="shared" si="2"/>
        <v>16.099999999999998</v>
      </c>
      <c r="X24" s="5">
        <f t="shared" si="2"/>
        <v>13.799999999999999</v>
      </c>
      <c r="Y24" s="5">
        <f t="shared" si="2"/>
        <v>8.0499999999999989</v>
      </c>
      <c r="Z24" s="5">
        <f t="shared" si="3"/>
        <v>16.099999999999998</v>
      </c>
      <c r="AA24" s="5">
        <f t="shared" si="4"/>
        <v>13.799999999999999</v>
      </c>
      <c r="AB24" s="5">
        <f t="shared" si="5"/>
        <v>42.55</v>
      </c>
    </row>
    <row r="25" spans="1:28" x14ac:dyDescent="0.2">
      <c r="A25">
        <f t="shared" si="6"/>
        <v>1941</v>
      </c>
      <c r="B25">
        <v>46</v>
      </c>
      <c r="C25">
        <v>43</v>
      </c>
      <c r="D25">
        <v>6.3</v>
      </c>
      <c r="E25">
        <v>22</v>
      </c>
      <c r="F25">
        <v>24</v>
      </c>
      <c r="G25">
        <v>15</v>
      </c>
      <c r="H25">
        <v>14</v>
      </c>
      <c r="I25">
        <v>9</v>
      </c>
      <c r="J25">
        <v>18</v>
      </c>
      <c r="K25">
        <v>15</v>
      </c>
      <c r="L25">
        <v>69</v>
      </c>
      <c r="M25">
        <f t="shared" si="0"/>
        <v>281.3</v>
      </c>
      <c r="N25">
        <v>106</v>
      </c>
      <c r="O25">
        <v>96</v>
      </c>
      <c r="P25">
        <f t="shared" si="7"/>
        <v>263.3</v>
      </c>
      <c r="Q25">
        <f t="shared" si="1"/>
        <v>1941</v>
      </c>
      <c r="R25" s="5">
        <f t="shared" si="8"/>
        <v>43.884</v>
      </c>
      <c r="S25" s="5">
        <f t="shared" si="9"/>
        <v>37.311999999999998</v>
      </c>
      <c r="T25" s="5">
        <f t="shared" si="10"/>
        <v>5.6179999999999994</v>
      </c>
      <c r="U25" s="5">
        <f t="shared" si="11"/>
        <v>19.186</v>
      </c>
      <c r="V25" s="5">
        <f t="shared" si="12"/>
        <v>27.599999999999998</v>
      </c>
      <c r="W25" s="5">
        <f t="shared" ref="W25:Y29" si="13">1.15*G25</f>
        <v>17.25</v>
      </c>
      <c r="X25" s="5">
        <f t="shared" si="13"/>
        <v>16.099999999999998</v>
      </c>
      <c r="Y25" s="5">
        <f t="shared" si="13"/>
        <v>10.35</v>
      </c>
      <c r="Z25" s="5">
        <f t="shared" si="3"/>
        <v>20.7</v>
      </c>
      <c r="AA25" s="5">
        <f t="shared" si="4"/>
        <v>17.25</v>
      </c>
      <c r="AB25" s="5">
        <f t="shared" si="5"/>
        <v>79.349999999999994</v>
      </c>
    </row>
    <row r="26" spans="1:28" x14ac:dyDescent="0.2">
      <c r="A26">
        <f t="shared" si="6"/>
        <v>1942</v>
      </c>
      <c r="B26">
        <v>35</v>
      </c>
      <c r="C26">
        <v>33</v>
      </c>
      <c r="D26">
        <v>4.9000000000000004</v>
      </c>
      <c r="E26">
        <v>17</v>
      </c>
      <c r="F26">
        <v>31</v>
      </c>
      <c r="G26">
        <v>34</v>
      </c>
      <c r="H26">
        <v>20</v>
      </c>
      <c r="I26">
        <v>3</v>
      </c>
      <c r="J26">
        <v>28</v>
      </c>
      <c r="K26">
        <v>23</v>
      </c>
      <c r="L26">
        <v>216</v>
      </c>
      <c r="M26">
        <f t="shared" si="0"/>
        <v>444.9</v>
      </c>
      <c r="N26">
        <v>74</v>
      </c>
      <c r="O26">
        <v>272</v>
      </c>
      <c r="P26">
        <f t="shared" si="7"/>
        <v>416.9</v>
      </c>
      <c r="Q26">
        <f t="shared" si="1"/>
        <v>1942</v>
      </c>
      <c r="R26" s="5">
        <f t="shared" si="8"/>
        <v>30.635999999999999</v>
      </c>
      <c r="S26" s="5">
        <f t="shared" si="9"/>
        <v>26.047999999999998</v>
      </c>
      <c r="T26" s="5">
        <f t="shared" si="10"/>
        <v>3.9219999999999997</v>
      </c>
      <c r="U26" s="5">
        <f t="shared" si="11"/>
        <v>13.394</v>
      </c>
      <c r="V26" s="5">
        <f t="shared" si="12"/>
        <v>35.65</v>
      </c>
      <c r="W26" s="5">
        <f t="shared" si="13"/>
        <v>39.099999999999994</v>
      </c>
      <c r="X26" s="5">
        <f t="shared" si="13"/>
        <v>23</v>
      </c>
      <c r="Y26" s="5">
        <f t="shared" si="13"/>
        <v>3.4499999999999997</v>
      </c>
      <c r="Z26" s="5">
        <f t="shared" si="3"/>
        <v>32.199999999999996</v>
      </c>
      <c r="AA26" s="5">
        <f t="shared" si="4"/>
        <v>26.45</v>
      </c>
      <c r="AB26" s="5">
        <f t="shared" si="5"/>
        <v>248.39999999999998</v>
      </c>
    </row>
    <row r="27" spans="1:28" x14ac:dyDescent="0.2">
      <c r="A27">
        <f t="shared" si="6"/>
        <v>1943</v>
      </c>
      <c r="B27">
        <v>21</v>
      </c>
      <c r="C27">
        <v>19</v>
      </c>
      <c r="D27">
        <v>3.2</v>
      </c>
      <c r="E27">
        <v>10</v>
      </c>
      <c r="F27">
        <v>12</v>
      </c>
      <c r="G27">
        <v>20</v>
      </c>
      <c r="H27">
        <v>5</v>
      </c>
      <c r="I27">
        <v>1</v>
      </c>
      <c r="J27">
        <v>21</v>
      </c>
      <c r="K27">
        <v>13</v>
      </c>
      <c r="L27">
        <v>66</v>
      </c>
      <c r="M27">
        <f t="shared" si="0"/>
        <v>191.2</v>
      </c>
      <c r="N27">
        <v>22</v>
      </c>
      <c r="O27">
        <v>100</v>
      </c>
      <c r="P27">
        <f t="shared" si="7"/>
        <v>170.2</v>
      </c>
      <c r="Q27">
        <f t="shared" si="1"/>
        <v>1943</v>
      </c>
      <c r="R27" s="5">
        <f t="shared" si="8"/>
        <v>9.1079999999999988</v>
      </c>
      <c r="S27" s="5">
        <f t="shared" si="9"/>
        <v>7.7439999999999998</v>
      </c>
      <c r="T27" s="5">
        <f t="shared" si="10"/>
        <v>1.1659999999999999</v>
      </c>
      <c r="U27" s="5">
        <f t="shared" si="11"/>
        <v>3.9819999999999998</v>
      </c>
      <c r="V27" s="5">
        <f t="shared" si="12"/>
        <v>13.799999999999999</v>
      </c>
      <c r="W27" s="5">
        <f t="shared" si="13"/>
        <v>23</v>
      </c>
      <c r="X27" s="5">
        <f t="shared" si="13"/>
        <v>5.75</v>
      </c>
      <c r="Y27" s="5">
        <f t="shared" si="13"/>
        <v>1.1499999999999999</v>
      </c>
      <c r="Z27" s="5">
        <f t="shared" si="3"/>
        <v>24.15</v>
      </c>
      <c r="AA27" s="5">
        <f t="shared" si="4"/>
        <v>14.95</v>
      </c>
      <c r="AB27" s="5">
        <f t="shared" si="5"/>
        <v>75.899999999999991</v>
      </c>
    </row>
    <row r="28" spans="1:28" x14ac:dyDescent="0.2">
      <c r="A28">
        <f t="shared" si="6"/>
        <v>1944</v>
      </c>
      <c r="B28">
        <v>5</v>
      </c>
      <c r="C28">
        <v>5</v>
      </c>
      <c r="D28">
        <v>0.9</v>
      </c>
      <c r="E28">
        <v>2</v>
      </c>
      <c r="F28">
        <v>10</v>
      </c>
      <c r="G28">
        <v>8</v>
      </c>
      <c r="H28">
        <v>2</v>
      </c>
      <c r="I28">
        <v>1</v>
      </c>
      <c r="J28">
        <v>6</v>
      </c>
      <c r="K28">
        <v>5</v>
      </c>
      <c r="L28">
        <v>33</v>
      </c>
      <c r="M28">
        <f t="shared" si="0"/>
        <v>77.900000000000006</v>
      </c>
      <c r="N28">
        <v>12</v>
      </c>
      <c r="O28">
        <v>44</v>
      </c>
      <c r="P28">
        <f t="shared" si="7"/>
        <v>71.900000000000006</v>
      </c>
      <c r="Q28">
        <f t="shared" si="1"/>
        <v>1944</v>
      </c>
      <c r="R28" s="5">
        <f t="shared" si="8"/>
        <v>4.968</v>
      </c>
      <c r="S28" s="5">
        <f t="shared" si="9"/>
        <v>4.2240000000000002</v>
      </c>
      <c r="T28" s="5">
        <f t="shared" si="10"/>
        <v>0.63600000000000001</v>
      </c>
      <c r="U28" s="5">
        <f t="shared" si="11"/>
        <v>2.1719999999999997</v>
      </c>
      <c r="V28" s="5">
        <f t="shared" si="12"/>
        <v>11.5</v>
      </c>
      <c r="W28" s="5">
        <f t="shared" si="13"/>
        <v>9.1999999999999993</v>
      </c>
      <c r="X28" s="5">
        <f t="shared" si="13"/>
        <v>2.2999999999999998</v>
      </c>
      <c r="Y28" s="5">
        <f t="shared" si="13"/>
        <v>1.1499999999999999</v>
      </c>
      <c r="Z28" s="5">
        <f t="shared" si="3"/>
        <v>6.8999999999999995</v>
      </c>
      <c r="AA28" s="5">
        <f t="shared" si="4"/>
        <v>5.75</v>
      </c>
      <c r="AB28" s="5">
        <f t="shared" si="5"/>
        <v>37.949999999999996</v>
      </c>
    </row>
    <row r="29" spans="1:28" x14ac:dyDescent="0.2">
      <c r="A29">
        <f t="shared" si="6"/>
        <v>1945</v>
      </c>
      <c r="B29">
        <v>31</v>
      </c>
      <c r="C29">
        <v>29</v>
      </c>
      <c r="D29">
        <v>4.5</v>
      </c>
      <c r="E29">
        <v>15</v>
      </c>
      <c r="F29">
        <v>13</v>
      </c>
      <c r="G29">
        <v>11</v>
      </c>
      <c r="H29">
        <v>2</v>
      </c>
      <c r="I29">
        <v>5</v>
      </c>
      <c r="J29">
        <v>12</v>
      </c>
      <c r="K29">
        <v>8</v>
      </c>
      <c r="L29">
        <v>26</v>
      </c>
      <c r="M29">
        <f t="shared" si="0"/>
        <v>156.5</v>
      </c>
      <c r="N29">
        <v>63</v>
      </c>
      <c r="O29">
        <v>44</v>
      </c>
      <c r="P29">
        <f t="shared" si="7"/>
        <v>144.5</v>
      </c>
      <c r="Q29">
        <f t="shared" si="1"/>
        <v>1945</v>
      </c>
      <c r="R29" s="5">
        <f t="shared" si="8"/>
        <v>26.081999999999997</v>
      </c>
      <c r="S29" s="5">
        <f t="shared" si="9"/>
        <v>22.175999999999998</v>
      </c>
      <c r="T29" s="5">
        <f t="shared" si="10"/>
        <v>3.339</v>
      </c>
      <c r="U29" s="5">
        <f t="shared" si="11"/>
        <v>11.403</v>
      </c>
      <c r="V29" s="5">
        <f t="shared" si="12"/>
        <v>14.95</v>
      </c>
      <c r="W29" s="5">
        <f t="shared" si="13"/>
        <v>12.649999999999999</v>
      </c>
      <c r="X29" s="5">
        <f t="shared" si="13"/>
        <v>2.2999999999999998</v>
      </c>
      <c r="Y29" s="5">
        <f t="shared" si="13"/>
        <v>5.75</v>
      </c>
      <c r="Z29" s="5">
        <f t="shared" si="3"/>
        <v>13.799999999999999</v>
      </c>
      <c r="AA29" s="5">
        <f t="shared" si="4"/>
        <v>9.1999999999999993</v>
      </c>
      <c r="AB29" s="5">
        <f t="shared" si="5"/>
        <v>29.9</v>
      </c>
    </row>
    <row r="30" spans="1:28" x14ac:dyDescent="0.2">
      <c r="A30">
        <f t="shared" si="6"/>
        <v>1946</v>
      </c>
      <c r="B30">
        <v>55</v>
      </c>
      <c r="C30">
        <v>51</v>
      </c>
      <c r="D30">
        <v>7.7</v>
      </c>
      <c r="E30">
        <v>26</v>
      </c>
      <c r="F30">
        <v>26</v>
      </c>
      <c r="G30">
        <v>15</v>
      </c>
      <c r="H30">
        <v>2</v>
      </c>
      <c r="I30">
        <v>8</v>
      </c>
      <c r="J30">
        <v>15</v>
      </c>
      <c r="K30">
        <v>11</v>
      </c>
      <c r="L30">
        <v>15</v>
      </c>
      <c r="M30">
        <f t="shared" si="0"/>
        <v>231.7</v>
      </c>
      <c r="N30">
        <v>119</v>
      </c>
      <c r="O30">
        <v>34</v>
      </c>
      <c r="P30">
        <f t="shared" si="7"/>
        <v>216.7</v>
      </c>
      <c r="Q30">
        <f t="shared" si="1"/>
        <v>1946</v>
      </c>
      <c r="R30" s="5">
        <f t="shared" si="8"/>
        <v>49.265999999999998</v>
      </c>
      <c r="S30" s="5">
        <f t="shared" si="9"/>
        <v>41.887999999999998</v>
      </c>
      <c r="T30" s="5">
        <f t="shared" si="10"/>
        <v>6.3069999999999995</v>
      </c>
      <c r="U30" s="5">
        <f t="shared" si="11"/>
        <v>21.538999999999998</v>
      </c>
      <c r="V30" s="5">
        <f>1.2*F30</f>
        <v>31.2</v>
      </c>
      <c r="W30" s="5">
        <f t="shared" ref="W30:Y39" si="14">1.2*G30</f>
        <v>18</v>
      </c>
      <c r="X30" s="5">
        <f t="shared" si="14"/>
        <v>2.4</v>
      </c>
      <c r="Y30" s="5">
        <f t="shared" si="14"/>
        <v>9.6</v>
      </c>
      <c r="Z30" s="5">
        <f t="shared" ref="Z30:Z39" si="15">1.2*J30</f>
        <v>18</v>
      </c>
      <c r="AA30" s="5">
        <f t="shared" ref="AA30:AA39" si="16">1.2*K30</f>
        <v>13.2</v>
      </c>
      <c r="AB30" s="5">
        <f t="shared" ref="AB30:AB39" si="17">1.2*L30</f>
        <v>18</v>
      </c>
    </row>
    <row r="31" spans="1:28" x14ac:dyDescent="0.2">
      <c r="A31">
        <f t="shared" si="6"/>
        <v>1947</v>
      </c>
      <c r="B31">
        <v>42</v>
      </c>
      <c r="C31">
        <v>39</v>
      </c>
      <c r="D31">
        <v>5.8</v>
      </c>
      <c r="E31">
        <v>20</v>
      </c>
      <c r="F31">
        <v>41</v>
      </c>
      <c r="G31">
        <v>20</v>
      </c>
      <c r="H31">
        <v>6</v>
      </c>
      <c r="I31">
        <v>12</v>
      </c>
      <c r="J31">
        <v>16</v>
      </c>
      <c r="K31">
        <v>14</v>
      </c>
      <c r="L31">
        <v>12</v>
      </c>
      <c r="M31">
        <f t="shared" si="0"/>
        <v>227.8</v>
      </c>
      <c r="N31">
        <v>100</v>
      </c>
      <c r="O31">
        <v>30</v>
      </c>
      <c r="P31">
        <f t="shared" si="7"/>
        <v>211.8</v>
      </c>
      <c r="Q31">
        <f t="shared" si="1"/>
        <v>1947</v>
      </c>
      <c r="R31" s="5">
        <f t="shared" si="8"/>
        <v>41.4</v>
      </c>
      <c r="S31" s="5">
        <f t="shared" si="9"/>
        <v>35.199999999999996</v>
      </c>
      <c r="T31" s="5">
        <f t="shared" si="10"/>
        <v>5.3</v>
      </c>
      <c r="U31" s="5">
        <f t="shared" si="11"/>
        <v>18.099999999999998</v>
      </c>
      <c r="V31" s="5">
        <f t="shared" ref="V31:V39" si="18">1.2*F31</f>
        <v>49.199999999999996</v>
      </c>
      <c r="W31" s="5">
        <f t="shared" si="14"/>
        <v>24</v>
      </c>
      <c r="X31" s="5">
        <f t="shared" si="14"/>
        <v>7.1999999999999993</v>
      </c>
      <c r="Y31" s="5">
        <f t="shared" si="14"/>
        <v>14.399999999999999</v>
      </c>
      <c r="Z31" s="5">
        <f t="shared" si="15"/>
        <v>19.2</v>
      </c>
      <c r="AA31" s="5">
        <f t="shared" si="16"/>
        <v>16.8</v>
      </c>
      <c r="AB31" s="5">
        <f t="shared" si="17"/>
        <v>14.399999999999999</v>
      </c>
    </row>
    <row r="32" spans="1:28" x14ac:dyDescent="0.2">
      <c r="A32">
        <f t="shared" si="6"/>
        <v>1948</v>
      </c>
      <c r="B32">
        <v>44</v>
      </c>
      <c r="C32">
        <v>41</v>
      </c>
      <c r="D32">
        <v>6.3</v>
      </c>
      <c r="E32">
        <v>21</v>
      </c>
      <c r="F32">
        <v>72</v>
      </c>
      <c r="G32">
        <v>35</v>
      </c>
      <c r="H32">
        <v>6</v>
      </c>
      <c r="I32">
        <v>21</v>
      </c>
      <c r="J32">
        <v>26</v>
      </c>
      <c r="K32">
        <v>22</v>
      </c>
      <c r="L32">
        <v>18</v>
      </c>
      <c r="M32">
        <f t="shared" si="0"/>
        <v>312.3</v>
      </c>
      <c r="N32">
        <v>101</v>
      </c>
      <c r="O32">
        <v>47</v>
      </c>
      <c r="P32">
        <f t="shared" si="7"/>
        <v>286.3</v>
      </c>
      <c r="Q32">
        <f t="shared" si="1"/>
        <v>1948</v>
      </c>
      <c r="R32" s="5">
        <f t="shared" si="8"/>
        <v>41.814</v>
      </c>
      <c r="S32" s="5">
        <f t="shared" si="9"/>
        <v>35.552</v>
      </c>
      <c r="T32" s="5">
        <f t="shared" si="10"/>
        <v>5.3529999999999998</v>
      </c>
      <c r="U32" s="5">
        <f t="shared" si="11"/>
        <v>18.280999999999999</v>
      </c>
      <c r="V32" s="5">
        <f t="shared" si="18"/>
        <v>86.399999999999991</v>
      </c>
      <c r="W32" s="5">
        <f t="shared" si="14"/>
        <v>42</v>
      </c>
      <c r="X32" s="5">
        <f t="shared" si="14"/>
        <v>7.1999999999999993</v>
      </c>
      <c r="Y32" s="5">
        <f t="shared" si="14"/>
        <v>25.2</v>
      </c>
      <c r="Z32" s="5">
        <f t="shared" si="15"/>
        <v>31.2</v>
      </c>
      <c r="AA32" s="5">
        <f t="shared" si="16"/>
        <v>26.4</v>
      </c>
      <c r="AB32" s="5">
        <f t="shared" si="17"/>
        <v>21.599999999999998</v>
      </c>
    </row>
    <row r="33" spans="1:29" x14ac:dyDescent="0.2">
      <c r="A33">
        <f t="shared" si="6"/>
        <v>1949</v>
      </c>
      <c r="B33">
        <v>38</v>
      </c>
      <c r="C33">
        <v>36</v>
      </c>
      <c r="D33">
        <v>5.4</v>
      </c>
      <c r="E33">
        <v>18</v>
      </c>
      <c r="F33">
        <v>79</v>
      </c>
      <c r="G33">
        <v>42</v>
      </c>
      <c r="H33">
        <v>8</v>
      </c>
      <c r="I33">
        <v>25</v>
      </c>
      <c r="J33">
        <v>25</v>
      </c>
      <c r="K33">
        <v>21</v>
      </c>
      <c r="L33">
        <v>22</v>
      </c>
      <c r="M33">
        <f t="shared" si="0"/>
        <v>319.39999999999998</v>
      </c>
      <c r="N33">
        <v>86</v>
      </c>
      <c r="O33">
        <v>51</v>
      </c>
      <c r="P33">
        <f t="shared" si="7"/>
        <v>294.39999999999998</v>
      </c>
      <c r="Q33">
        <f t="shared" si="1"/>
        <v>1949</v>
      </c>
      <c r="R33" s="5">
        <f t="shared" si="8"/>
        <v>35.603999999999999</v>
      </c>
      <c r="S33" s="5">
        <f t="shared" si="9"/>
        <v>30.271999999999998</v>
      </c>
      <c r="T33" s="5">
        <f t="shared" si="10"/>
        <v>4.5579999999999998</v>
      </c>
      <c r="U33" s="5">
        <f t="shared" si="11"/>
        <v>15.565999999999999</v>
      </c>
      <c r="V33" s="5">
        <f t="shared" si="18"/>
        <v>94.8</v>
      </c>
      <c r="W33" s="5">
        <f t="shared" si="14"/>
        <v>50.4</v>
      </c>
      <c r="X33" s="5">
        <f t="shared" si="14"/>
        <v>9.6</v>
      </c>
      <c r="Y33" s="5">
        <f t="shared" si="14"/>
        <v>30</v>
      </c>
      <c r="Z33" s="5">
        <f t="shared" si="15"/>
        <v>30</v>
      </c>
      <c r="AA33" s="5">
        <f t="shared" si="16"/>
        <v>25.2</v>
      </c>
      <c r="AB33" s="5">
        <f t="shared" si="17"/>
        <v>26.4</v>
      </c>
    </row>
    <row r="34" spans="1:29" x14ac:dyDescent="0.2">
      <c r="A34">
        <f t="shared" si="6"/>
        <v>1950</v>
      </c>
      <c r="B34">
        <v>55</v>
      </c>
      <c r="C34">
        <v>51</v>
      </c>
      <c r="D34">
        <v>7.7</v>
      </c>
      <c r="E34">
        <v>26</v>
      </c>
      <c r="F34">
        <v>111</v>
      </c>
      <c r="G34">
        <v>45</v>
      </c>
      <c r="H34">
        <v>10</v>
      </c>
      <c r="I34">
        <v>29</v>
      </c>
      <c r="J34">
        <v>30</v>
      </c>
      <c r="K34">
        <v>24</v>
      </c>
      <c r="L34">
        <v>28</v>
      </c>
      <c r="M34">
        <f t="shared" si="0"/>
        <v>416.7</v>
      </c>
      <c r="N34">
        <v>122</v>
      </c>
      <c r="O34">
        <v>64</v>
      </c>
      <c r="P34">
        <f t="shared" si="7"/>
        <v>386.7</v>
      </c>
      <c r="Q34">
        <f t="shared" si="1"/>
        <v>1950</v>
      </c>
      <c r="R34" s="5">
        <f t="shared" si="8"/>
        <v>50.507999999999996</v>
      </c>
      <c r="S34" s="5">
        <f t="shared" si="9"/>
        <v>42.943999999999996</v>
      </c>
      <c r="T34" s="5">
        <f t="shared" si="10"/>
        <v>6.4660000000000002</v>
      </c>
      <c r="U34" s="5">
        <f t="shared" si="11"/>
        <v>22.082000000000001</v>
      </c>
      <c r="V34" s="5">
        <f t="shared" si="18"/>
        <v>133.19999999999999</v>
      </c>
      <c r="W34" s="5">
        <f t="shared" si="14"/>
        <v>54</v>
      </c>
      <c r="X34" s="5">
        <f t="shared" si="14"/>
        <v>12</v>
      </c>
      <c r="Y34" s="5">
        <f t="shared" si="14"/>
        <v>34.799999999999997</v>
      </c>
      <c r="Z34" s="5">
        <f t="shared" si="15"/>
        <v>36</v>
      </c>
      <c r="AA34" s="5">
        <f t="shared" si="16"/>
        <v>28.799999999999997</v>
      </c>
      <c r="AB34" s="5">
        <f t="shared" si="17"/>
        <v>33.6</v>
      </c>
    </row>
    <row r="35" spans="1:29" x14ac:dyDescent="0.2">
      <c r="A35">
        <f t="shared" si="6"/>
        <v>1951</v>
      </c>
      <c r="B35">
        <v>37</v>
      </c>
      <c r="C35">
        <v>34</v>
      </c>
      <c r="D35">
        <v>5.4</v>
      </c>
      <c r="E35">
        <v>17</v>
      </c>
      <c r="F35">
        <v>110</v>
      </c>
      <c r="G35">
        <v>38</v>
      </c>
      <c r="H35">
        <v>11</v>
      </c>
      <c r="I35">
        <v>25</v>
      </c>
      <c r="J35">
        <v>15</v>
      </c>
      <c r="K35">
        <v>11</v>
      </c>
      <c r="L35">
        <v>50</v>
      </c>
      <c r="M35">
        <f t="shared" si="0"/>
        <v>353.4</v>
      </c>
      <c r="N35">
        <v>77</v>
      </c>
      <c r="O35">
        <v>75</v>
      </c>
      <c r="P35">
        <f t="shared" si="7"/>
        <v>338.4</v>
      </c>
      <c r="Q35">
        <f t="shared" si="1"/>
        <v>1951</v>
      </c>
      <c r="R35" s="5">
        <f t="shared" si="8"/>
        <v>31.878</v>
      </c>
      <c r="S35" s="5">
        <f t="shared" si="9"/>
        <v>27.103999999999999</v>
      </c>
      <c r="T35" s="5">
        <f t="shared" si="10"/>
        <v>4.0809999999999995</v>
      </c>
      <c r="U35" s="5">
        <f t="shared" si="11"/>
        <v>13.936999999999999</v>
      </c>
      <c r="V35" s="5">
        <f t="shared" si="18"/>
        <v>132</v>
      </c>
      <c r="W35" s="5">
        <f t="shared" si="14"/>
        <v>45.6</v>
      </c>
      <c r="X35" s="5">
        <f t="shared" si="14"/>
        <v>13.2</v>
      </c>
      <c r="Y35" s="5">
        <f t="shared" si="14"/>
        <v>30</v>
      </c>
      <c r="Z35" s="5">
        <f t="shared" si="15"/>
        <v>18</v>
      </c>
      <c r="AA35" s="5">
        <f t="shared" si="16"/>
        <v>13.2</v>
      </c>
      <c r="AB35" s="5">
        <f t="shared" si="17"/>
        <v>60</v>
      </c>
    </row>
    <row r="36" spans="1:29" x14ac:dyDescent="0.2">
      <c r="A36">
        <f t="shared" si="6"/>
        <v>1952</v>
      </c>
      <c r="B36">
        <v>43</v>
      </c>
      <c r="C36">
        <v>40</v>
      </c>
      <c r="D36">
        <v>5.8</v>
      </c>
      <c r="E36">
        <v>20</v>
      </c>
      <c r="F36">
        <v>107</v>
      </c>
      <c r="G36">
        <v>26</v>
      </c>
      <c r="H36">
        <v>15</v>
      </c>
      <c r="I36">
        <v>22</v>
      </c>
      <c r="J36">
        <v>18</v>
      </c>
      <c r="K36">
        <v>12</v>
      </c>
      <c r="L36">
        <v>62</v>
      </c>
      <c r="M36">
        <f t="shared" si="0"/>
        <v>370.8</v>
      </c>
      <c r="N36">
        <v>82</v>
      </c>
      <c r="O36">
        <v>94</v>
      </c>
      <c r="P36">
        <f t="shared" si="7"/>
        <v>352.8</v>
      </c>
      <c r="Q36">
        <f t="shared" si="1"/>
        <v>1952</v>
      </c>
      <c r="R36" s="5">
        <f t="shared" si="8"/>
        <v>33.948</v>
      </c>
      <c r="S36" s="5">
        <f t="shared" si="9"/>
        <v>28.863999999999997</v>
      </c>
      <c r="T36" s="5">
        <f t="shared" si="10"/>
        <v>4.3460000000000001</v>
      </c>
      <c r="U36" s="5">
        <f t="shared" si="11"/>
        <v>14.841999999999999</v>
      </c>
      <c r="V36" s="5">
        <f t="shared" si="18"/>
        <v>128.4</v>
      </c>
      <c r="W36" s="5">
        <f t="shared" si="14"/>
        <v>31.2</v>
      </c>
      <c r="X36" s="5">
        <f t="shared" si="14"/>
        <v>18</v>
      </c>
      <c r="Y36" s="5">
        <f t="shared" si="14"/>
        <v>26.4</v>
      </c>
      <c r="Z36" s="5">
        <f t="shared" si="15"/>
        <v>21.599999999999998</v>
      </c>
      <c r="AA36" s="5">
        <f t="shared" si="16"/>
        <v>14.399999999999999</v>
      </c>
      <c r="AB36" s="5">
        <f t="shared" si="17"/>
        <v>74.399999999999991</v>
      </c>
    </row>
    <row r="37" spans="1:29" x14ac:dyDescent="0.2">
      <c r="A37">
        <f t="shared" si="6"/>
        <v>1953</v>
      </c>
      <c r="B37">
        <v>55</v>
      </c>
      <c r="C37">
        <v>51</v>
      </c>
      <c r="D37">
        <v>7.7</v>
      </c>
      <c r="E37">
        <v>26</v>
      </c>
      <c r="F37">
        <v>124</v>
      </c>
      <c r="G37">
        <v>23</v>
      </c>
      <c r="H37">
        <v>13</v>
      </c>
      <c r="I37">
        <v>28</v>
      </c>
      <c r="J37">
        <v>21</v>
      </c>
      <c r="K37">
        <v>17</v>
      </c>
      <c r="L37">
        <v>50</v>
      </c>
      <c r="M37">
        <f t="shared" si="0"/>
        <v>415.7</v>
      </c>
      <c r="N37">
        <v>123</v>
      </c>
      <c r="O37">
        <v>81</v>
      </c>
      <c r="P37">
        <f t="shared" si="7"/>
        <v>394.7</v>
      </c>
      <c r="Q37">
        <f t="shared" si="1"/>
        <v>1953</v>
      </c>
      <c r="R37" s="5">
        <f t="shared" si="8"/>
        <v>50.921999999999997</v>
      </c>
      <c r="S37" s="5">
        <f t="shared" si="9"/>
        <v>43.295999999999999</v>
      </c>
      <c r="T37" s="5">
        <f t="shared" si="10"/>
        <v>6.5190000000000001</v>
      </c>
      <c r="U37" s="5">
        <f t="shared" si="11"/>
        <v>22.262999999999998</v>
      </c>
      <c r="V37" s="5">
        <f t="shared" si="18"/>
        <v>148.79999999999998</v>
      </c>
      <c r="W37" s="5">
        <f t="shared" si="14"/>
        <v>27.599999999999998</v>
      </c>
      <c r="X37" s="5">
        <f t="shared" si="14"/>
        <v>15.6</v>
      </c>
      <c r="Y37" s="5">
        <f t="shared" si="14"/>
        <v>33.6</v>
      </c>
      <c r="Z37" s="5">
        <f t="shared" si="15"/>
        <v>25.2</v>
      </c>
      <c r="AA37" s="5">
        <f t="shared" si="16"/>
        <v>20.399999999999999</v>
      </c>
      <c r="AB37" s="5">
        <f t="shared" si="17"/>
        <v>60</v>
      </c>
    </row>
    <row r="38" spans="1:29" x14ac:dyDescent="0.2">
      <c r="A38">
        <f t="shared" si="6"/>
        <v>1954</v>
      </c>
      <c r="B38">
        <v>62</v>
      </c>
      <c r="C38">
        <v>58</v>
      </c>
      <c r="D38">
        <v>9</v>
      </c>
      <c r="E38">
        <v>30</v>
      </c>
      <c r="F38">
        <v>154</v>
      </c>
      <c r="G38">
        <v>28</v>
      </c>
      <c r="H38">
        <v>16</v>
      </c>
      <c r="I38">
        <v>34</v>
      </c>
      <c r="J38">
        <v>24</v>
      </c>
      <c r="K38">
        <v>19</v>
      </c>
      <c r="L38">
        <v>44</v>
      </c>
      <c r="M38">
        <f t="shared" si="0"/>
        <v>478</v>
      </c>
      <c r="N38">
        <v>138</v>
      </c>
      <c r="O38">
        <v>77</v>
      </c>
      <c r="P38">
        <f t="shared" si="7"/>
        <v>454</v>
      </c>
      <c r="Q38">
        <f t="shared" si="1"/>
        <v>1954</v>
      </c>
      <c r="R38" s="5">
        <f t="shared" si="8"/>
        <v>57.131999999999998</v>
      </c>
      <c r="S38" s="5">
        <f t="shared" si="9"/>
        <v>48.576000000000001</v>
      </c>
      <c r="T38" s="5">
        <f t="shared" si="10"/>
        <v>7.3140000000000001</v>
      </c>
      <c r="U38" s="5">
        <f t="shared" si="11"/>
        <v>24.977999999999998</v>
      </c>
      <c r="V38" s="5">
        <f t="shared" si="18"/>
        <v>184.79999999999998</v>
      </c>
      <c r="W38" s="5">
        <f t="shared" si="14"/>
        <v>33.6</v>
      </c>
      <c r="X38" s="5">
        <f t="shared" si="14"/>
        <v>19.2</v>
      </c>
      <c r="Y38" s="5">
        <f t="shared" si="14"/>
        <v>40.799999999999997</v>
      </c>
      <c r="Z38" s="5">
        <f t="shared" si="15"/>
        <v>28.799999999999997</v>
      </c>
      <c r="AA38" s="5">
        <f t="shared" si="16"/>
        <v>22.8</v>
      </c>
      <c r="AB38" s="5">
        <f t="shared" si="17"/>
        <v>52.8</v>
      </c>
    </row>
    <row r="39" spans="1:29" x14ac:dyDescent="0.2">
      <c r="A39">
        <f t="shared" si="6"/>
        <v>1955</v>
      </c>
      <c r="B39">
        <v>78</v>
      </c>
      <c r="C39">
        <v>73</v>
      </c>
      <c r="D39">
        <v>11.3</v>
      </c>
      <c r="E39">
        <v>37</v>
      </c>
      <c r="F39">
        <v>155</v>
      </c>
      <c r="G39">
        <v>23</v>
      </c>
      <c r="H39">
        <v>18</v>
      </c>
      <c r="I39">
        <v>37</v>
      </c>
      <c r="J39">
        <v>26</v>
      </c>
      <c r="K39">
        <v>20</v>
      </c>
      <c r="L39">
        <v>53</v>
      </c>
      <c r="M39">
        <f t="shared" si="0"/>
        <v>531.29999999999995</v>
      </c>
      <c r="N39">
        <v>173</v>
      </c>
      <c r="O39">
        <v>90</v>
      </c>
      <c r="P39">
        <f t="shared" si="7"/>
        <v>505.29999999999995</v>
      </c>
      <c r="Q39">
        <f t="shared" si="1"/>
        <v>1955</v>
      </c>
      <c r="R39" s="5">
        <f t="shared" si="8"/>
        <v>71.622</v>
      </c>
      <c r="S39" s="5">
        <f t="shared" si="9"/>
        <v>60.895999999999994</v>
      </c>
      <c r="T39" s="5">
        <f t="shared" si="10"/>
        <v>9.1690000000000005</v>
      </c>
      <c r="U39" s="5">
        <f t="shared" si="11"/>
        <v>31.312999999999999</v>
      </c>
      <c r="V39" s="5">
        <f t="shared" si="18"/>
        <v>186</v>
      </c>
      <c r="W39" s="5">
        <f t="shared" si="14"/>
        <v>27.599999999999998</v>
      </c>
      <c r="X39" s="5">
        <f t="shared" si="14"/>
        <v>21.599999999999998</v>
      </c>
      <c r="Y39" s="5">
        <f t="shared" si="14"/>
        <v>44.4</v>
      </c>
      <c r="Z39" s="5">
        <f t="shared" si="15"/>
        <v>31.2</v>
      </c>
      <c r="AA39" s="5">
        <f t="shared" si="16"/>
        <v>24</v>
      </c>
      <c r="AB39" s="5">
        <f t="shared" si="17"/>
        <v>63.599999999999994</v>
      </c>
    </row>
    <row r="40" spans="1:29" x14ac:dyDescent="0.2">
      <c r="A40">
        <f t="shared" si="6"/>
        <v>1956</v>
      </c>
      <c r="B40">
        <v>90</v>
      </c>
      <c r="C40">
        <v>84</v>
      </c>
      <c r="D40">
        <v>12.6</v>
      </c>
      <c r="E40">
        <v>43</v>
      </c>
      <c r="F40">
        <v>201</v>
      </c>
      <c r="G40">
        <v>33</v>
      </c>
      <c r="H40">
        <v>27</v>
      </c>
      <c r="I40">
        <v>48</v>
      </c>
      <c r="J40">
        <v>30</v>
      </c>
      <c r="K40">
        <v>30</v>
      </c>
      <c r="L40">
        <v>48</v>
      </c>
      <c r="M40">
        <f t="shared" si="0"/>
        <v>646.6</v>
      </c>
      <c r="N40">
        <v>244</v>
      </c>
      <c r="O40">
        <v>78</v>
      </c>
      <c r="P40">
        <f t="shared" si="7"/>
        <v>616.6</v>
      </c>
      <c r="Q40">
        <f t="shared" si="1"/>
        <v>1956</v>
      </c>
      <c r="R40" s="5">
        <f t="shared" si="8"/>
        <v>101.01599999999999</v>
      </c>
      <c r="S40" s="5">
        <f t="shared" si="9"/>
        <v>85.887999999999991</v>
      </c>
      <c r="T40" s="5">
        <f t="shared" si="10"/>
        <v>12.932</v>
      </c>
      <c r="U40" s="5">
        <f t="shared" si="11"/>
        <v>44.164000000000001</v>
      </c>
      <c r="V40">
        <f>F40</f>
        <v>201</v>
      </c>
      <c r="W40">
        <f t="shared" ref="W40:Y55" si="19">G40</f>
        <v>33</v>
      </c>
      <c r="X40">
        <f t="shared" si="19"/>
        <v>27</v>
      </c>
      <c r="Y40">
        <f t="shared" si="19"/>
        <v>48</v>
      </c>
      <c r="Z40">
        <f t="shared" ref="Z40:Z84" si="20">J40</f>
        <v>30</v>
      </c>
      <c r="AA40">
        <f t="shared" ref="AA40:AA84" si="21">K40</f>
        <v>30</v>
      </c>
      <c r="AB40">
        <f t="shared" ref="AB40:AB84" si="22">L40</f>
        <v>48</v>
      </c>
    </row>
    <row r="41" spans="1:29" x14ac:dyDescent="0.2">
      <c r="A41">
        <f t="shared" si="6"/>
        <v>1957</v>
      </c>
      <c r="B41">
        <v>90</v>
      </c>
      <c r="C41">
        <v>84</v>
      </c>
      <c r="D41">
        <v>12.6</v>
      </c>
      <c r="E41">
        <v>43</v>
      </c>
      <c r="F41">
        <v>208</v>
      </c>
      <c r="G41">
        <v>40</v>
      </c>
      <c r="H41">
        <v>27</v>
      </c>
      <c r="I41">
        <v>50</v>
      </c>
      <c r="J41">
        <v>31</v>
      </c>
      <c r="K41">
        <v>31</v>
      </c>
      <c r="L41">
        <v>33</v>
      </c>
      <c r="M41">
        <f t="shared" ref="M41:M72" si="23">SUM(B41:L41)</f>
        <v>649.6</v>
      </c>
      <c r="N41">
        <v>245</v>
      </c>
      <c r="O41">
        <v>64</v>
      </c>
      <c r="P41">
        <f t="shared" si="7"/>
        <v>618.6</v>
      </c>
      <c r="Q41">
        <f t="shared" si="1"/>
        <v>1957</v>
      </c>
      <c r="R41" s="5">
        <f t="shared" si="8"/>
        <v>101.42999999999999</v>
      </c>
      <c r="S41" s="5">
        <f t="shared" si="9"/>
        <v>86.24</v>
      </c>
      <c r="T41" s="5">
        <f t="shared" si="10"/>
        <v>12.984999999999999</v>
      </c>
      <c r="U41" s="5">
        <f t="shared" si="11"/>
        <v>44.344999999999999</v>
      </c>
      <c r="V41">
        <f t="shared" ref="V41:V84" si="24">F41</f>
        <v>208</v>
      </c>
      <c r="W41">
        <f t="shared" si="19"/>
        <v>40</v>
      </c>
      <c r="X41">
        <f t="shared" si="19"/>
        <v>27</v>
      </c>
      <c r="Y41">
        <f t="shared" si="19"/>
        <v>50</v>
      </c>
      <c r="Z41">
        <f t="shared" si="20"/>
        <v>31</v>
      </c>
      <c r="AA41">
        <f t="shared" si="21"/>
        <v>31</v>
      </c>
      <c r="AB41">
        <f t="shared" si="22"/>
        <v>33</v>
      </c>
    </row>
    <row r="42" spans="1:29" x14ac:dyDescent="0.2">
      <c r="A42">
        <f t="shared" ref="A42:A73" si="25">A41+1</f>
        <v>1958</v>
      </c>
      <c r="B42">
        <v>90</v>
      </c>
      <c r="C42">
        <v>83</v>
      </c>
      <c r="D42">
        <v>12.6</v>
      </c>
      <c r="E42">
        <v>43</v>
      </c>
      <c r="F42">
        <v>202</v>
      </c>
      <c r="G42">
        <v>38</v>
      </c>
      <c r="H42">
        <v>37</v>
      </c>
      <c r="I42">
        <v>51</v>
      </c>
      <c r="J42">
        <v>37</v>
      </c>
      <c r="K42">
        <v>37</v>
      </c>
      <c r="L42">
        <v>47</v>
      </c>
      <c r="M42">
        <f t="shared" si="23"/>
        <v>677.6</v>
      </c>
      <c r="N42">
        <v>243</v>
      </c>
      <c r="O42">
        <v>84</v>
      </c>
      <c r="P42">
        <f t="shared" si="7"/>
        <v>640.6</v>
      </c>
      <c r="Q42">
        <f t="shared" si="1"/>
        <v>1958</v>
      </c>
      <c r="R42" s="5">
        <f t="shared" si="8"/>
        <v>100.60199999999999</v>
      </c>
      <c r="S42" s="5">
        <f t="shared" si="9"/>
        <v>85.536000000000001</v>
      </c>
      <c r="T42" s="5">
        <f t="shared" si="10"/>
        <v>12.879</v>
      </c>
      <c r="U42" s="5">
        <f t="shared" si="11"/>
        <v>43.982999999999997</v>
      </c>
      <c r="V42">
        <f t="shared" si="24"/>
        <v>202</v>
      </c>
      <c r="W42">
        <f t="shared" si="19"/>
        <v>38</v>
      </c>
      <c r="X42">
        <f t="shared" si="19"/>
        <v>37</v>
      </c>
      <c r="Y42">
        <f t="shared" si="19"/>
        <v>51</v>
      </c>
      <c r="Z42">
        <f t="shared" si="20"/>
        <v>37</v>
      </c>
      <c r="AA42">
        <f t="shared" si="21"/>
        <v>37</v>
      </c>
      <c r="AB42">
        <f t="shared" si="22"/>
        <v>47</v>
      </c>
    </row>
    <row r="43" spans="1:29" x14ac:dyDescent="0.2">
      <c r="A43">
        <f t="shared" si="25"/>
        <v>1959</v>
      </c>
      <c r="B43">
        <v>104</v>
      </c>
      <c r="C43">
        <v>97</v>
      </c>
      <c r="D43">
        <v>14.9</v>
      </c>
      <c r="E43">
        <v>49</v>
      </c>
      <c r="F43">
        <v>182</v>
      </c>
      <c r="G43">
        <v>38</v>
      </c>
      <c r="H43">
        <v>34</v>
      </c>
      <c r="I43">
        <v>54</v>
      </c>
      <c r="J43">
        <v>43</v>
      </c>
      <c r="K43">
        <v>43</v>
      </c>
      <c r="L43">
        <f t="shared" ref="L43:L72" si="26">O43-K43</f>
        <v>35</v>
      </c>
      <c r="M43">
        <f t="shared" si="23"/>
        <v>693.9</v>
      </c>
      <c r="N43">
        <v>281</v>
      </c>
      <c r="O43">
        <v>78</v>
      </c>
      <c r="P43">
        <f t="shared" si="7"/>
        <v>650.9</v>
      </c>
      <c r="Q43">
        <f t="shared" si="1"/>
        <v>1959</v>
      </c>
      <c r="R43" s="5">
        <f t="shared" si="8"/>
        <v>116.33399999999999</v>
      </c>
      <c r="S43" s="5">
        <f t="shared" si="9"/>
        <v>98.911999999999992</v>
      </c>
      <c r="T43" s="5">
        <f t="shared" si="10"/>
        <v>14.892999999999999</v>
      </c>
      <c r="U43" s="5">
        <f t="shared" si="11"/>
        <v>50.860999999999997</v>
      </c>
      <c r="V43">
        <f t="shared" si="24"/>
        <v>182</v>
      </c>
      <c r="W43">
        <f t="shared" si="19"/>
        <v>38</v>
      </c>
      <c r="X43">
        <f t="shared" si="19"/>
        <v>34</v>
      </c>
      <c r="Y43">
        <f t="shared" si="19"/>
        <v>54</v>
      </c>
      <c r="Z43">
        <f t="shared" si="20"/>
        <v>43</v>
      </c>
      <c r="AA43">
        <f t="shared" si="21"/>
        <v>43</v>
      </c>
      <c r="AB43">
        <f t="shared" si="22"/>
        <v>35</v>
      </c>
    </row>
    <row r="44" spans="1:29" x14ac:dyDescent="0.2">
      <c r="A44">
        <f t="shared" si="25"/>
        <v>1960</v>
      </c>
      <c r="B44">
        <v>125</v>
      </c>
      <c r="C44">
        <v>77</v>
      </c>
      <c r="D44">
        <v>24</v>
      </c>
      <c r="E44">
        <v>59</v>
      </c>
      <c r="F44">
        <v>198</v>
      </c>
      <c r="G44">
        <v>36</v>
      </c>
      <c r="H44">
        <v>34</v>
      </c>
      <c r="I44">
        <v>54</v>
      </c>
      <c r="J44">
        <v>57</v>
      </c>
      <c r="K44">
        <v>44</v>
      </c>
      <c r="L44">
        <v>31</v>
      </c>
      <c r="M44">
        <f t="shared" si="23"/>
        <v>739</v>
      </c>
      <c r="N44">
        <v>283</v>
      </c>
      <c r="O44">
        <v>76</v>
      </c>
      <c r="P44">
        <f t="shared" si="7"/>
        <v>682</v>
      </c>
      <c r="Q44">
        <f t="shared" si="1"/>
        <v>1960</v>
      </c>
      <c r="R44">
        <f>B44</f>
        <v>125</v>
      </c>
      <c r="S44">
        <f>C44</f>
        <v>77</v>
      </c>
      <c r="T44">
        <f>D44</f>
        <v>24</v>
      </c>
      <c r="U44">
        <f>E44</f>
        <v>59</v>
      </c>
      <c r="V44">
        <f t="shared" si="24"/>
        <v>198</v>
      </c>
      <c r="W44">
        <f t="shared" si="19"/>
        <v>36</v>
      </c>
      <c r="X44">
        <f t="shared" si="19"/>
        <v>34</v>
      </c>
      <c r="Y44">
        <f t="shared" si="19"/>
        <v>54</v>
      </c>
      <c r="Z44">
        <f t="shared" si="20"/>
        <v>57</v>
      </c>
      <c r="AA44">
        <f t="shared" si="21"/>
        <v>44</v>
      </c>
      <c r="AB44">
        <f t="shared" si="22"/>
        <v>31</v>
      </c>
      <c r="AC44">
        <f>SUM(R44:AB44)</f>
        <v>739</v>
      </c>
    </row>
    <row r="45" spans="1:29" x14ac:dyDescent="0.2">
      <c r="A45">
        <f t="shared" si="25"/>
        <v>1961</v>
      </c>
      <c r="B45">
        <v>129</v>
      </c>
      <c r="C45">
        <v>76</v>
      </c>
      <c r="D45">
        <v>26</v>
      </c>
      <c r="E45">
        <v>64</v>
      </c>
      <c r="F45">
        <v>197</v>
      </c>
      <c r="G45">
        <v>45</v>
      </c>
      <c r="H45">
        <v>33</v>
      </c>
      <c r="I45">
        <v>53</v>
      </c>
      <c r="J45">
        <v>65</v>
      </c>
      <c r="K45">
        <v>41</v>
      </c>
      <c r="L45">
        <f t="shared" si="26"/>
        <v>30</v>
      </c>
      <c r="M45">
        <f t="shared" si="23"/>
        <v>759</v>
      </c>
      <c r="N45">
        <v>293</v>
      </c>
      <c r="O45">
        <v>71</v>
      </c>
      <c r="P45">
        <f t="shared" si="7"/>
        <v>694</v>
      </c>
      <c r="Q45">
        <f t="shared" si="1"/>
        <v>1961</v>
      </c>
      <c r="R45">
        <f t="shared" ref="R45:R84" si="27">B45</f>
        <v>129</v>
      </c>
      <c r="S45">
        <f t="shared" ref="S45:S84" si="28">C45</f>
        <v>76</v>
      </c>
      <c r="T45">
        <f t="shared" ref="T45:T84" si="29">D45</f>
        <v>26</v>
      </c>
      <c r="U45">
        <f t="shared" ref="U45:U84" si="30">E45</f>
        <v>64</v>
      </c>
      <c r="V45">
        <f t="shared" si="24"/>
        <v>197</v>
      </c>
      <c r="W45">
        <f t="shared" si="19"/>
        <v>45</v>
      </c>
      <c r="X45">
        <f t="shared" si="19"/>
        <v>33</v>
      </c>
      <c r="Y45">
        <f t="shared" si="19"/>
        <v>53</v>
      </c>
      <c r="Z45">
        <f t="shared" si="20"/>
        <v>65</v>
      </c>
      <c r="AA45">
        <f t="shared" si="21"/>
        <v>41</v>
      </c>
      <c r="AB45">
        <f t="shared" si="22"/>
        <v>30</v>
      </c>
      <c r="AC45">
        <f t="shared" ref="AC45:AC68" si="31">SUM(R45:AB45)</f>
        <v>759</v>
      </c>
    </row>
    <row r="46" spans="1:29" x14ac:dyDescent="0.2">
      <c r="A46">
        <f t="shared" si="25"/>
        <v>1962</v>
      </c>
      <c r="B46">
        <v>133</v>
      </c>
      <c r="C46">
        <v>99</v>
      </c>
      <c r="D46">
        <v>27</v>
      </c>
      <c r="E46">
        <v>69</v>
      </c>
      <c r="F46">
        <v>193</v>
      </c>
      <c r="G46">
        <v>50</v>
      </c>
      <c r="H46">
        <v>35</v>
      </c>
      <c r="I46">
        <v>53</v>
      </c>
      <c r="J46">
        <v>76</v>
      </c>
      <c r="K46">
        <v>40</v>
      </c>
      <c r="L46">
        <f t="shared" si="26"/>
        <v>28</v>
      </c>
      <c r="M46">
        <f t="shared" si="23"/>
        <v>803</v>
      </c>
      <c r="N46">
        <v>326</v>
      </c>
      <c r="O46">
        <v>68</v>
      </c>
      <c r="P46">
        <f t="shared" si="7"/>
        <v>727</v>
      </c>
      <c r="Q46">
        <f t="shared" si="1"/>
        <v>1962</v>
      </c>
      <c r="R46">
        <f t="shared" si="27"/>
        <v>133</v>
      </c>
      <c r="S46">
        <f t="shared" si="28"/>
        <v>99</v>
      </c>
      <c r="T46">
        <f t="shared" si="29"/>
        <v>27</v>
      </c>
      <c r="U46">
        <f t="shared" si="30"/>
        <v>69</v>
      </c>
      <c r="V46">
        <f t="shared" si="24"/>
        <v>193</v>
      </c>
      <c r="W46">
        <f t="shared" si="19"/>
        <v>50</v>
      </c>
      <c r="X46">
        <f t="shared" si="19"/>
        <v>35</v>
      </c>
      <c r="Y46">
        <f t="shared" si="19"/>
        <v>53</v>
      </c>
      <c r="Z46">
        <f t="shared" si="20"/>
        <v>76</v>
      </c>
      <c r="AA46">
        <f t="shared" si="21"/>
        <v>40</v>
      </c>
      <c r="AB46">
        <f t="shared" si="22"/>
        <v>28</v>
      </c>
      <c r="AC46">
        <f t="shared" si="31"/>
        <v>803</v>
      </c>
    </row>
    <row r="47" spans="1:29" x14ac:dyDescent="0.2">
      <c r="A47">
        <f t="shared" si="25"/>
        <v>1963</v>
      </c>
      <c r="B47">
        <v>139</v>
      </c>
      <c r="C47">
        <v>105</v>
      </c>
      <c r="D47">
        <v>33</v>
      </c>
      <c r="E47">
        <v>72</v>
      </c>
      <c r="F47">
        <v>199</v>
      </c>
      <c r="G47">
        <v>66</v>
      </c>
      <c r="H47">
        <v>43</v>
      </c>
      <c r="I47">
        <v>48</v>
      </c>
      <c r="J47">
        <v>77</v>
      </c>
      <c r="K47">
        <v>39</v>
      </c>
      <c r="L47">
        <f t="shared" si="26"/>
        <v>33</v>
      </c>
      <c r="M47">
        <f t="shared" si="23"/>
        <v>854</v>
      </c>
      <c r="N47">
        <v>347</v>
      </c>
      <c r="O47">
        <v>72</v>
      </c>
      <c r="P47">
        <f t="shared" si="7"/>
        <v>777</v>
      </c>
      <c r="Q47">
        <f t="shared" si="1"/>
        <v>1963</v>
      </c>
      <c r="R47">
        <f t="shared" si="27"/>
        <v>139</v>
      </c>
      <c r="S47">
        <f t="shared" si="28"/>
        <v>105</v>
      </c>
      <c r="T47">
        <f t="shared" si="29"/>
        <v>33</v>
      </c>
      <c r="U47">
        <f t="shared" si="30"/>
        <v>72</v>
      </c>
      <c r="V47">
        <f t="shared" si="24"/>
        <v>199</v>
      </c>
      <c r="W47">
        <f t="shared" si="19"/>
        <v>66</v>
      </c>
      <c r="X47">
        <f t="shared" si="19"/>
        <v>43</v>
      </c>
      <c r="Y47">
        <f t="shared" si="19"/>
        <v>48</v>
      </c>
      <c r="Z47">
        <f t="shared" si="20"/>
        <v>77</v>
      </c>
      <c r="AA47">
        <f t="shared" si="21"/>
        <v>39</v>
      </c>
      <c r="AB47">
        <f t="shared" si="22"/>
        <v>33</v>
      </c>
      <c r="AC47">
        <f t="shared" si="31"/>
        <v>854</v>
      </c>
    </row>
    <row r="48" spans="1:29" x14ac:dyDescent="0.2">
      <c r="A48">
        <f t="shared" si="25"/>
        <v>1964</v>
      </c>
      <c r="B48">
        <v>149</v>
      </c>
      <c r="C48">
        <v>97</v>
      </c>
      <c r="D48">
        <v>33</v>
      </c>
      <c r="E48">
        <v>83</v>
      </c>
      <c r="F48">
        <v>205</v>
      </c>
      <c r="G48">
        <v>67</v>
      </c>
      <c r="H48">
        <v>35</v>
      </c>
      <c r="I48">
        <v>50</v>
      </c>
      <c r="J48">
        <v>84</v>
      </c>
      <c r="K48">
        <v>36</v>
      </c>
      <c r="L48">
        <f t="shared" si="26"/>
        <v>37</v>
      </c>
      <c r="M48">
        <f t="shared" si="23"/>
        <v>876</v>
      </c>
      <c r="N48">
        <v>360</v>
      </c>
      <c r="O48">
        <v>73</v>
      </c>
      <c r="P48">
        <f t="shared" si="7"/>
        <v>792</v>
      </c>
      <c r="Q48">
        <f t="shared" si="1"/>
        <v>1964</v>
      </c>
      <c r="R48">
        <f t="shared" si="27"/>
        <v>149</v>
      </c>
      <c r="S48">
        <f t="shared" si="28"/>
        <v>97</v>
      </c>
      <c r="T48">
        <f t="shared" si="29"/>
        <v>33</v>
      </c>
      <c r="U48">
        <f t="shared" si="30"/>
        <v>83</v>
      </c>
      <c r="V48">
        <f t="shared" si="24"/>
        <v>205</v>
      </c>
      <c r="W48">
        <f t="shared" si="19"/>
        <v>67</v>
      </c>
      <c r="X48">
        <f t="shared" si="19"/>
        <v>35</v>
      </c>
      <c r="Y48">
        <f t="shared" si="19"/>
        <v>50</v>
      </c>
      <c r="Z48">
        <f t="shared" si="20"/>
        <v>84</v>
      </c>
      <c r="AA48">
        <f t="shared" si="21"/>
        <v>36</v>
      </c>
      <c r="AB48">
        <f t="shared" si="22"/>
        <v>37</v>
      </c>
      <c r="AC48">
        <f t="shared" si="31"/>
        <v>876</v>
      </c>
    </row>
    <row r="49" spans="1:29" x14ac:dyDescent="0.2">
      <c r="A49">
        <f t="shared" si="25"/>
        <v>1965</v>
      </c>
      <c r="B49">
        <v>181</v>
      </c>
      <c r="C49">
        <v>109</v>
      </c>
      <c r="D49">
        <v>37</v>
      </c>
      <c r="E49">
        <v>91</v>
      </c>
      <c r="F49">
        <v>228</v>
      </c>
      <c r="G49">
        <v>60</v>
      </c>
      <c r="H49">
        <v>36</v>
      </c>
      <c r="I49">
        <v>45</v>
      </c>
      <c r="J49">
        <v>92</v>
      </c>
      <c r="K49">
        <v>48</v>
      </c>
      <c r="L49">
        <f t="shared" si="26"/>
        <v>40</v>
      </c>
      <c r="M49">
        <f t="shared" si="23"/>
        <v>967</v>
      </c>
      <c r="N49">
        <v>415</v>
      </c>
      <c r="O49">
        <v>88</v>
      </c>
      <c r="P49">
        <f t="shared" si="7"/>
        <v>875</v>
      </c>
      <c r="Q49">
        <f t="shared" si="1"/>
        <v>1965</v>
      </c>
      <c r="R49">
        <f t="shared" si="27"/>
        <v>181</v>
      </c>
      <c r="S49">
        <f t="shared" si="28"/>
        <v>109</v>
      </c>
      <c r="T49">
        <f t="shared" si="29"/>
        <v>37</v>
      </c>
      <c r="U49">
        <f t="shared" si="30"/>
        <v>91</v>
      </c>
      <c r="V49">
        <f t="shared" si="24"/>
        <v>228</v>
      </c>
      <c r="W49">
        <f t="shared" si="19"/>
        <v>60</v>
      </c>
      <c r="X49">
        <f t="shared" si="19"/>
        <v>36</v>
      </c>
      <c r="Y49">
        <f t="shared" si="19"/>
        <v>45</v>
      </c>
      <c r="Z49">
        <f t="shared" si="20"/>
        <v>92</v>
      </c>
      <c r="AA49">
        <f t="shared" si="21"/>
        <v>48</v>
      </c>
      <c r="AB49">
        <f t="shared" si="22"/>
        <v>40</v>
      </c>
      <c r="AC49">
        <f t="shared" si="31"/>
        <v>967</v>
      </c>
    </row>
    <row r="50" spans="1:29" x14ac:dyDescent="0.2">
      <c r="A50">
        <f t="shared" si="25"/>
        <v>1966</v>
      </c>
      <c r="B50">
        <v>182</v>
      </c>
      <c r="C50">
        <v>110</v>
      </c>
      <c r="D50">
        <v>39</v>
      </c>
      <c r="E50">
        <v>113</v>
      </c>
      <c r="F50">
        <v>248</v>
      </c>
      <c r="G50">
        <v>60</v>
      </c>
      <c r="H50">
        <v>37</v>
      </c>
      <c r="I50">
        <v>45</v>
      </c>
      <c r="J50">
        <v>81</v>
      </c>
      <c r="K50">
        <v>47</v>
      </c>
      <c r="L50">
        <f t="shared" si="26"/>
        <v>42</v>
      </c>
      <c r="M50">
        <f t="shared" si="23"/>
        <v>1004</v>
      </c>
      <c r="N50">
        <v>442</v>
      </c>
      <c r="O50">
        <v>89</v>
      </c>
      <c r="P50">
        <f t="shared" si="7"/>
        <v>923</v>
      </c>
      <c r="Q50">
        <f t="shared" si="1"/>
        <v>1966</v>
      </c>
      <c r="R50">
        <f t="shared" si="27"/>
        <v>182</v>
      </c>
      <c r="S50">
        <f t="shared" si="28"/>
        <v>110</v>
      </c>
      <c r="T50">
        <f t="shared" si="29"/>
        <v>39</v>
      </c>
      <c r="U50">
        <f t="shared" si="30"/>
        <v>113</v>
      </c>
      <c r="V50">
        <f t="shared" si="24"/>
        <v>248</v>
      </c>
      <c r="W50">
        <f t="shared" si="19"/>
        <v>60</v>
      </c>
      <c r="X50">
        <f t="shared" si="19"/>
        <v>37</v>
      </c>
      <c r="Y50">
        <f t="shared" si="19"/>
        <v>45</v>
      </c>
      <c r="Z50">
        <f t="shared" si="20"/>
        <v>81</v>
      </c>
      <c r="AA50">
        <f t="shared" si="21"/>
        <v>47</v>
      </c>
      <c r="AB50">
        <f t="shared" si="22"/>
        <v>42</v>
      </c>
      <c r="AC50">
        <f t="shared" si="31"/>
        <v>1004</v>
      </c>
    </row>
    <row r="51" spans="1:29" x14ac:dyDescent="0.2">
      <c r="A51">
        <f t="shared" si="25"/>
        <v>1967</v>
      </c>
      <c r="B51">
        <v>170</v>
      </c>
      <c r="C51">
        <v>122</v>
      </c>
      <c r="D51">
        <v>39</v>
      </c>
      <c r="E51">
        <v>96</v>
      </c>
      <c r="F51">
        <v>245</v>
      </c>
      <c r="G51">
        <v>66</v>
      </c>
      <c r="H51">
        <v>37</v>
      </c>
      <c r="I51">
        <v>42</v>
      </c>
      <c r="J51">
        <v>78</v>
      </c>
      <c r="K51">
        <v>43</v>
      </c>
      <c r="L51">
        <f t="shared" si="26"/>
        <v>45</v>
      </c>
      <c r="M51">
        <f t="shared" si="23"/>
        <v>983</v>
      </c>
      <c r="N51">
        <v>424</v>
      </c>
      <c r="O51">
        <v>88</v>
      </c>
      <c r="P51">
        <f t="shared" si="7"/>
        <v>905</v>
      </c>
      <c r="Q51">
        <v>1967</v>
      </c>
      <c r="R51">
        <f t="shared" si="27"/>
        <v>170</v>
      </c>
      <c r="S51">
        <f t="shared" si="28"/>
        <v>122</v>
      </c>
      <c r="T51">
        <f t="shared" si="29"/>
        <v>39</v>
      </c>
      <c r="U51">
        <f t="shared" si="30"/>
        <v>96</v>
      </c>
      <c r="V51">
        <f t="shared" si="24"/>
        <v>245</v>
      </c>
      <c r="W51">
        <f t="shared" si="19"/>
        <v>66</v>
      </c>
      <c r="X51">
        <f t="shared" si="19"/>
        <v>37</v>
      </c>
      <c r="Y51">
        <f t="shared" si="19"/>
        <v>42</v>
      </c>
      <c r="Z51">
        <f t="shared" si="20"/>
        <v>78</v>
      </c>
      <c r="AA51">
        <f t="shared" si="21"/>
        <v>43</v>
      </c>
      <c r="AB51">
        <f t="shared" si="22"/>
        <v>45</v>
      </c>
      <c r="AC51">
        <f t="shared" si="31"/>
        <v>983</v>
      </c>
    </row>
    <row r="52" spans="1:29" x14ac:dyDescent="0.2">
      <c r="A52">
        <f t="shared" si="25"/>
        <v>1968</v>
      </c>
      <c r="B52">
        <v>194</v>
      </c>
      <c r="C52">
        <v>153</v>
      </c>
      <c r="D52">
        <v>40</v>
      </c>
      <c r="E52">
        <v>112</v>
      </c>
      <c r="F52">
        <v>237</v>
      </c>
      <c r="G52">
        <v>69</v>
      </c>
      <c r="H52">
        <v>40</v>
      </c>
      <c r="I52">
        <v>39</v>
      </c>
      <c r="J52">
        <v>77</v>
      </c>
      <c r="K52">
        <v>47</v>
      </c>
      <c r="L52">
        <f t="shared" si="26"/>
        <v>49</v>
      </c>
      <c r="M52">
        <f t="shared" si="23"/>
        <v>1057</v>
      </c>
      <c r="N52">
        <v>496</v>
      </c>
      <c r="O52">
        <v>96</v>
      </c>
      <c r="P52">
        <f t="shared" si="7"/>
        <v>980</v>
      </c>
      <c r="Q52">
        <v>1968</v>
      </c>
      <c r="R52">
        <f t="shared" si="27"/>
        <v>194</v>
      </c>
      <c r="S52">
        <f t="shared" si="28"/>
        <v>153</v>
      </c>
      <c r="T52">
        <f t="shared" si="29"/>
        <v>40</v>
      </c>
      <c r="U52">
        <f t="shared" si="30"/>
        <v>112</v>
      </c>
      <c r="V52">
        <f t="shared" si="24"/>
        <v>237</v>
      </c>
      <c r="W52">
        <f t="shared" si="19"/>
        <v>69</v>
      </c>
      <c r="X52">
        <f t="shared" si="19"/>
        <v>40</v>
      </c>
      <c r="Y52">
        <f t="shared" si="19"/>
        <v>39</v>
      </c>
      <c r="Z52">
        <f t="shared" si="20"/>
        <v>77</v>
      </c>
      <c r="AA52">
        <f t="shared" si="21"/>
        <v>47</v>
      </c>
      <c r="AB52">
        <f t="shared" si="22"/>
        <v>49</v>
      </c>
      <c r="AC52">
        <f t="shared" si="31"/>
        <v>1057</v>
      </c>
    </row>
    <row r="53" spans="1:29" x14ac:dyDescent="0.2">
      <c r="A53">
        <f t="shared" si="25"/>
        <v>1969</v>
      </c>
      <c r="B53">
        <v>205</v>
      </c>
      <c r="C53">
        <v>192</v>
      </c>
      <c r="D53">
        <v>52</v>
      </c>
      <c r="E53">
        <v>125</v>
      </c>
      <c r="F53">
        <v>222</v>
      </c>
      <c r="G53">
        <v>87</v>
      </c>
      <c r="H53">
        <v>36</v>
      </c>
      <c r="I53">
        <v>33</v>
      </c>
      <c r="J53">
        <v>75</v>
      </c>
      <c r="K53">
        <v>53</v>
      </c>
      <c r="L53">
        <f t="shared" si="26"/>
        <v>46</v>
      </c>
      <c r="M53">
        <f t="shared" si="23"/>
        <v>1126</v>
      </c>
      <c r="N53">
        <v>573</v>
      </c>
      <c r="O53">
        <v>99</v>
      </c>
      <c r="P53">
        <f t="shared" si="7"/>
        <v>1051</v>
      </c>
      <c r="Q53">
        <v>1969</v>
      </c>
      <c r="R53">
        <f t="shared" si="27"/>
        <v>205</v>
      </c>
      <c r="S53">
        <f t="shared" si="28"/>
        <v>192</v>
      </c>
      <c r="T53">
        <f t="shared" si="29"/>
        <v>52</v>
      </c>
      <c r="U53">
        <f t="shared" si="30"/>
        <v>125</v>
      </c>
      <c r="V53">
        <f t="shared" si="24"/>
        <v>222</v>
      </c>
      <c r="W53">
        <f t="shared" si="19"/>
        <v>87</v>
      </c>
      <c r="X53">
        <f t="shared" si="19"/>
        <v>36</v>
      </c>
      <c r="Y53">
        <f t="shared" si="19"/>
        <v>33</v>
      </c>
      <c r="Z53">
        <f t="shared" si="20"/>
        <v>75</v>
      </c>
      <c r="AA53">
        <f t="shared" si="21"/>
        <v>53</v>
      </c>
      <c r="AB53">
        <f t="shared" si="22"/>
        <v>46</v>
      </c>
      <c r="AC53">
        <f t="shared" si="31"/>
        <v>1126</v>
      </c>
    </row>
    <row r="54" spans="1:29" x14ac:dyDescent="0.2">
      <c r="A54">
        <f t="shared" si="25"/>
        <v>1970</v>
      </c>
      <c r="B54">
        <v>189</v>
      </c>
      <c r="C54">
        <v>171</v>
      </c>
      <c r="D54">
        <v>54</v>
      </c>
      <c r="E54">
        <v>116</v>
      </c>
      <c r="F54">
        <v>195</v>
      </c>
      <c r="G54">
        <v>75</v>
      </c>
      <c r="H54">
        <v>29</v>
      </c>
      <c r="I54">
        <v>27</v>
      </c>
      <c r="J54">
        <v>66</v>
      </c>
      <c r="K54">
        <v>47</v>
      </c>
      <c r="L54">
        <f t="shared" si="26"/>
        <v>42</v>
      </c>
      <c r="M54">
        <f t="shared" si="23"/>
        <v>1011</v>
      </c>
      <c r="N54">
        <v>530</v>
      </c>
      <c r="O54">
        <v>89</v>
      </c>
      <c r="P54">
        <f t="shared" si="7"/>
        <v>945</v>
      </c>
      <c r="Q54">
        <v>1970</v>
      </c>
      <c r="R54">
        <f t="shared" si="27"/>
        <v>189</v>
      </c>
      <c r="S54">
        <f t="shared" si="28"/>
        <v>171</v>
      </c>
      <c r="T54">
        <f t="shared" si="29"/>
        <v>54</v>
      </c>
      <c r="U54">
        <f t="shared" si="30"/>
        <v>116</v>
      </c>
      <c r="V54">
        <f t="shared" si="24"/>
        <v>195</v>
      </c>
      <c r="W54">
        <f t="shared" si="19"/>
        <v>75</v>
      </c>
      <c r="X54">
        <f t="shared" si="19"/>
        <v>29</v>
      </c>
      <c r="Y54">
        <f t="shared" si="19"/>
        <v>27</v>
      </c>
      <c r="Z54">
        <f t="shared" si="20"/>
        <v>66</v>
      </c>
      <c r="AA54">
        <f t="shared" si="21"/>
        <v>47</v>
      </c>
      <c r="AB54">
        <f t="shared" si="22"/>
        <v>42</v>
      </c>
      <c r="AC54">
        <f t="shared" si="31"/>
        <v>1011</v>
      </c>
    </row>
    <row r="55" spans="1:29" x14ac:dyDescent="0.2">
      <c r="A55">
        <f t="shared" si="25"/>
        <v>1971</v>
      </c>
      <c r="B55">
        <v>206</v>
      </c>
      <c r="C55">
        <v>172</v>
      </c>
      <c r="D55">
        <v>49</v>
      </c>
      <c r="E55">
        <v>125</v>
      </c>
      <c r="F55">
        <v>189</v>
      </c>
      <c r="G55">
        <v>76</v>
      </c>
      <c r="H55">
        <v>40</v>
      </c>
      <c r="I55">
        <v>26</v>
      </c>
      <c r="J55">
        <v>70</v>
      </c>
      <c r="K55">
        <v>52</v>
      </c>
      <c r="L55">
        <f t="shared" si="26"/>
        <v>46</v>
      </c>
      <c r="M55">
        <f t="shared" si="23"/>
        <v>1051</v>
      </c>
      <c r="O55">
        <v>98</v>
      </c>
      <c r="P55">
        <f t="shared" si="7"/>
        <v>981</v>
      </c>
      <c r="Q55">
        <f t="shared" ref="Q55:Q85" si="32">Q54+1</f>
        <v>1971</v>
      </c>
      <c r="R55">
        <f t="shared" si="27"/>
        <v>206</v>
      </c>
      <c r="S55">
        <f t="shared" si="28"/>
        <v>172</v>
      </c>
      <c r="T55">
        <f t="shared" si="29"/>
        <v>49</v>
      </c>
      <c r="U55">
        <f t="shared" si="30"/>
        <v>125</v>
      </c>
      <c r="V55">
        <f t="shared" si="24"/>
        <v>189</v>
      </c>
      <c r="W55">
        <f t="shared" si="19"/>
        <v>76</v>
      </c>
      <c r="X55">
        <f t="shared" si="19"/>
        <v>40</v>
      </c>
      <c r="Y55">
        <f t="shared" si="19"/>
        <v>26</v>
      </c>
      <c r="Z55">
        <f t="shared" si="20"/>
        <v>70</v>
      </c>
      <c r="AA55">
        <f t="shared" si="21"/>
        <v>52</v>
      </c>
      <c r="AB55">
        <f t="shared" si="22"/>
        <v>46</v>
      </c>
      <c r="AC55">
        <f t="shared" si="31"/>
        <v>1051</v>
      </c>
    </row>
    <row r="56" spans="1:29" x14ac:dyDescent="0.2">
      <c r="A56">
        <f t="shared" si="25"/>
        <v>1972</v>
      </c>
      <c r="B56">
        <v>252</v>
      </c>
      <c r="C56">
        <v>188</v>
      </c>
      <c r="D56">
        <v>44</v>
      </c>
      <c r="E56">
        <v>159</v>
      </c>
      <c r="F56">
        <v>157</v>
      </c>
      <c r="G56">
        <v>84</v>
      </c>
      <c r="H56">
        <v>39</v>
      </c>
      <c r="I56">
        <v>27</v>
      </c>
      <c r="J56">
        <v>92</v>
      </c>
      <c r="K56">
        <v>51</v>
      </c>
      <c r="L56">
        <f t="shared" si="26"/>
        <v>45</v>
      </c>
      <c r="M56">
        <f t="shared" si="23"/>
        <v>1138</v>
      </c>
      <c r="O56">
        <v>96</v>
      </c>
      <c r="P56">
        <f t="shared" si="7"/>
        <v>1046</v>
      </c>
      <c r="Q56">
        <f t="shared" si="32"/>
        <v>1972</v>
      </c>
      <c r="R56">
        <f t="shared" si="27"/>
        <v>252</v>
      </c>
      <c r="S56">
        <f t="shared" si="28"/>
        <v>188</v>
      </c>
      <c r="T56">
        <f t="shared" si="29"/>
        <v>44</v>
      </c>
      <c r="U56">
        <f t="shared" si="30"/>
        <v>159</v>
      </c>
      <c r="V56">
        <f t="shared" si="24"/>
        <v>157</v>
      </c>
      <c r="W56">
        <f t="shared" ref="W56:W84" si="33">G56</f>
        <v>84</v>
      </c>
      <c r="X56">
        <f t="shared" ref="X56:Y84" si="34">H56</f>
        <v>39</v>
      </c>
      <c r="Y56">
        <f t="shared" si="34"/>
        <v>27</v>
      </c>
      <c r="Z56">
        <f t="shared" si="20"/>
        <v>92</v>
      </c>
      <c r="AA56">
        <f t="shared" si="21"/>
        <v>51</v>
      </c>
      <c r="AB56">
        <f t="shared" si="22"/>
        <v>45</v>
      </c>
      <c r="AC56">
        <f t="shared" si="31"/>
        <v>1138</v>
      </c>
    </row>
    <row r="57" spans="1:29" x14ac:dyDescent="0.2">
      <c r="A57">
        <f t="shared" si="25"/>
        <v>1973</v>
      </c>
      <c r="B57">
        <v>263</v>
      </c>
      <c r="C57">
        <v>195</v>
      </c>
      <c r="D57">
        <v>44</v>
      </c>
      <c r="E57">
        <v>215</v>
      </c>
      <c r="F57">
        <v>156</v>
      </c>
      <c r="G57">
        <v>76</v>
      </c>
      <c r="H57">
        <v>49</v>
      </c>
      <c r="I57">
        <v>26</v>
      </c>
      <c r="J57">
        <v>104</v>
      </c>
      <c r="K57">
        <v>63</v>
      </c>
      <c r="L57">
        <f t="shared" si="26"/>
        <v>57</v>
      </c>
      <c r="M57">
        <f t="shared" si="23"/>
        <v>1248</v>
      </c>
      <c r="O57">
        <v>120</v>
      </c>
      <c r="P57">
        <f t="shared" si="7"/>
        <v>1144</v>
      </c>
      <c r="Q57">
        <f t="shared" si="32"/>
        <v>1973</v>
      </c>
      <c r="R57">
        <f t="shared" si="27"/>
        <v>263</v>
      </c>
      <c r="S57">
        <f t="shared" si="28"/>
        <v>195</v>
      </c>
      <c r="T57">
        <f t="shared" si="29"/>
        <v>44</v>
      </c>
      <c r="U57">
        <f t="shared" si="30"/>
        <v>215</v>
      </c>
      <c r="V57">
        <f t="shared" si="24"/>
        <v>156</v>
      </c>
      <c r="W57">
        <f t="shared" si="33"/>
        <v>76</v>
      </c>
      <c r="X57">
        <f t="shared" si="34"/>
        <v>49</v>
      </c>
      <c r="Y57">
        <f t="shared" si="34"/>
        <v>26</v>
      </c>
      <c r="Z57">
        <f t="shared" si="20"/>
        <v>104</v>
      </c>
      <c r="AA57">
        <f t="shared" si="21"/>
        <v>63</v>
      </c>
      <c r="AB57">
        <f t="shared" si="22"/>
        <v>57</v>
      </c>
      <c r="AC57">
        <f t="shared" si="31"/>
        <v>1248</v>
      </c>
    </row>
    <row r="58" spans="1:29" x14ac:dyDescent="0.2">
      <c r="A58">
        <f t="shared" si="25"/>
        <v>1974</v>
      </c>
      <c r="B58">
        <v>203</v>
      </c>
      <c r="C58">
        <v>159</v>
      </c>
      <c r="D58">
        <v>50</v>
      </c>
      <c r="E58">
        <v>182</v>
      </c>
      <c r="F58">
        <v>176</v>
      </c>
      <c r="G58">
        <v>75</v>
      </c>
      <c r="H58">
        <v>47</v>
      </c>
      <c r="I58">
        <v>27</v>
      </c>
      <c r="J58">
        <v>48</v>
      </c>
      <c r="K58">
        <v>58</v>
      </c>
      <c r="L58">
        <f t="shared" si="26"/>
        <v>59</v>
      </c>
      <c r="M58">
        <f t="shared" si="23"/>
        <v>1084</v>
      </c>
      <c r="O58">
        <v>117</v>
      </c>
      <c r="P58">
        <f t="shared" si="7"/>
        <v>1036</v>
      </c>
      <c r="Q58">
        <f t="shared" si="32"/>
        <v>1974</v>
      </c>
      <c r="R58">
        <f t="shared" si="27"/>
        <v>203</v>
      </c>
      <c r="S58">
        <f t="shared" si="28"/>
        <v>159</v>
      </c>
      <c r="T58">
        <f t="shared" si="29"/>
        <v>50</v>
      </c>
      <c r="U58">
        <f t="shared" si="30"/>
        <v>182</v>
      </c>
      <c r="V58">
        <f t="shared" si="24"/>
        <v>176</v>
      </c>
      <c r="W58">
        <f t="shared" si="33"/>
        <v>75</v>
      </c>
      <c r="X58">
        <f t="shared" si="34"/>
        <v>47</v>
      </c>
      <c r="Y58">
        <f t="shared" si="34"/>
        <v>27</v>
      </c>
      <c r="Z58">
        <f t="shared" si="20"/>
        <v>48</v>
      </c>
      <c r="AA58">
        <f t="shared" si="21"/>
        <v>58</v>
      </c>
      <c r="AB58">
        <f t="shared" si="22"/>
        <v>59</v>
      </c>
      <c r="AC58">
        <f t="shared" si="31"/>
        <v>1084</v>
      </c>
    </row>
    <row r="59" spans="1:29" x14ac:dyDescent="0.2">
      <c r="A59">
        <f t="shared" si="25"/>
        <v>1975</v>
      </c>
      <c r="B59">
        <v>149</v>
      </c>
      <c r="C59">
        <v>107</v>
      </c>
      <c r="D59">
        <v>47</v>
      </c>
      <c r="E59">
        <v>106</v>
      </c>
      <c r="F59">
        <v>152</v>
      </c>
      <c r="G59">
        <v>63</v>
      </c>
      <c r="H59">
        <v>46</v>
      </c>
      <c r="I59">
        <v>28</v>
      </c>
      <c r="J59">
        <v>32</v>
      </c>
      <c r="K59">
        <v>52</v>
      </c>
      <c r="L59">
        <f t="shared" si="26"/>
        <v>53</v>
      </c>
      <c r="M59">
        <f t="shared" si="23"/>
        <v>835</v>
      </c>
      <c r="O59">
        <v>105</v>
      </c>
      <c r="P59">
        <f t="shared" si="7"/>
        <v>803</v>
      </c>
      <c r="Q59">
        <f t="shared" si="32"/>
        <v>1975</v>
      </c>
      <c r="R59">
        <f t="shared" si="27"/>
        <v>149</v>
      </c>
      <c r="S59">
        <f t="shared" si="28"/>
        <v>107</v>
      </c>
      <c r="T59">
        <f t="shared" si="29"/>
        <v>47</v>
      </c>
      <c r="U59">
        <f t="shared" si="30"/>
        <v>106</v>
      </c>
      <c r="V59">
        <f t="shared" si="24"/>
        <v>152</v>
      </c>
      <c r="W59">
        <f t="shared" si="33"/>
        <v>63</v>
      </c>
      <c r="X59">
        <f t="shared" si="34"/>
        <v>46</v>
      </c>
      <c r="Y59">
        <f t="shared" si="34"/>
        <v>28</v>
      </c>
      <c r="Z59">
        <f t="shared" si="20"/>
        <v>32</v>
      </c>
      <c r="AA59">
        <f t="shared" si="21"/>
        <v>52</v>
      </c>
      <c r="AB59">
        <f t="shared" si="22"/>
        <v>53</v>
      </c>
      <c r="AC59">
        <f t="shared" si="31"/>
        <v>835</v>
      </c>
    </row>
    <row r="60" spans="1:29" x14ac:dyDescent="0.2">
      <c r="A60">
        <f t="shared" si="25"/>
        <v>1976</v>
      </c>
      <c r="B60">
        <v>177</v>
      </c>
      <c r="C60">
        <v>106</v>
      </c>
      <c r="D60">
        <v>35</v>
      </c>
      <c r="E60">
        <v>122</v>
      </c>
      <c r="F60">
        <v>118</v>
      </c>
      <c r="G60">
        <v>71</v>
      </c>
      <c r="H60">
        <v>42</v>
      </c>
      <c r="I60">
        <v>31</v>
      </c>
      <c r="J60">
        <v>34</v>
      </c>
      <c r="K60">
        <v>48</v>
      </c>
      <c r="L60">
        <f t="shared" si="26"/>
        <v>51</v>
      </c>
      <c r="M60">
        <f t="shared" si="23"/>
        <v>835</v>
      </c>
      <c r="O60">
        <v>99</v>
      </c>
      <c r="P60">
        <f t="shared" si="7"/>
        <v>801</v>
      </c>
      <c r="Q60">
        <f t="shared" si="32"/>
        <v>1976</v>
      </c>
      <c r="R60">
        <f t="shared" si="27"/>
        <v>177</v>
      </c>
      <c r="S60">
        <f t="shared" si="28"/>
        <v>106</v>
      </c>
      <c r="T60">
        <f t="shared" si="29"/>
        <v>35</v>
      </c>
      <c r="U60">
        <f t="shared" si="30"/>
        <v>122</v>
      </c>
      <c r="V60">
        <f t="shared" si="24"/>
        <v>118</v>
      </c>
      <c r="W60">
        <f t="shared" si="33"/>
        <v>71</v>
      </c>
      <c r="X60">
        <f t="shared" si="34"/>
        <v>42</v>
      </c>
      <c r="Y60">
        <f t="shared" si="34"/>
        <v>31</v>
      </c>
      <c r="Z60">
        <f t="shared" si="20"/>
        <v>34</v>
      </c>
      <c r="AA60">
        <f t="shared" si="21"/>
        <v>48</v>
      </c>
      <c r="AB60">
        <f t="shared" si="22"/>
        <v>51</v>
      </c>
      <c r="AC60">
        <f t="shared" si="31"/>
        <v>835</v>
      </c>
    </row>
    <row r="61" spans="1:29" x14ac:dyDescent="0.2">
      <c r="A61">
        <f t="shared" si="25"/>
        <v>1977</v>
      </c>
      <c r="B61">
        <v>212</v>
      </c>
      <c r="C61">
        <v>137</v>
      </c>
      <c r="D61">
        <v>44</v>
      </c>
      <c r="E61">
        <v>170</v>
      </c>
      <c r="F61">
        <v>112</v>
      </c>
      <c r="G61">
        <v>66</v>
      </c>
      <c r="H61">
        <v>43</v>
      </c>
      <c r="I61">
        <v>32</v>
      </c>
      <c r="J61">
        <v>37</v>
      </c>
      <c r="K61">
        <v>48</v>
      </c>
      <c r="L61">
        <f t="shared" si="26"/>
        <v>57</v>
      </c>
      <c r="M61">
        <f t="shared" si="23"/>
        <v>958</v>
      </c>
      <c r="O61">
        <v>105</v>
      </c>
      <c r="P61">
        <f t="shared" si="7"/>
        <v>921</v>
      </c>
      <c r="Q61">
        <f t="shared" si="32"/>
        <v>1977</v>
      </c>
      <c r="R61">
        <f t="shared" si="27"/>
        <v>212</v>
      </c>
      <c r="S61">
        <f t="shared" si="28"/>
        <v>137</v>
      </c>
      <c r="T61">
        <f t="shared" si="29"/>
        <v>44</v>
      </c>
      <c r="U61">
        <f t="shared" si="30"/>
        <v>170</v>
      </c>
      <c r="V61">
        <f t="shared" si="24"/>
        <v>112</v>
      </c>
      <c r="W61">
        <f t="shared" si="33"/>
        <v>66</v>
      </c>
      <c r="X61">
        <f t="shared" si="34"/>
        <v>43</v>
      </c>
      <c r="Y61">
        <f t="shared" si="34"/>
        <v>32</v>
      </c>
      <c r="Z61">
        <f t="shared" si="20"/>
        <v>37</v>
      </c>
      <c r="AA61">
        <f t="shared" si="21"/>
        <v>48</v>
      </c>
      <c r="AB61">
        <f t="shared" si="22"/>
        <v>57</v>
      </c>
      <c r="AC61">
        <f t="shared" si="31"/>
        <v>958</v>
      </c>
    </row>
    <row r="62" spans="1:29" x14ac:dyDescent="0.2">
      <c r="A62">
        <f t="shared" si="25"/>
        <v>1978</v>
      </c>
      <c r="B62">
        <v>242</v>
      </c>
      <c r="C62">
        <v>207</v>
      </c>
      <c r="D62">
        <v>58</v>
      </c>
      <c r="E62">
        <v>250</v>
      </c>
      <c r="F62">
        <v>104</v>
      </c>
      <c r="G62">
        <v>53</v>
      </c>
      <c r="H62">
        <v>22</v>
      </c>
      <c r="I62">
        <v>35</v>
      </c>
      <c r="J62">
        <v>42</v>
      </c>
      <c r="K62">
        <v>53</v>
      </c>
      <c r="L62">
        <f t="shared" si="26"/>
        <v>43</v>
      </c>
      <c r="M62">
        <f t="shared" si="23"/>
        <v>1109</v>
      </c>
      <c r="O62">
        <v>96</v>
      </c>
      <c r="P62">
        <f t="shared" si="7"/>
        <v>1067</v>
      </c>
      <c r="Q62">
        <f t="shared" si="32"/>
        <v>1978</v>
      </c>
      <c r="R62">
        <f t="shared" si="27"/>
        <v>242</v>
      </c>
      <c r="S62">
        <f t="shared" si="28"/>
        <v>207</v>
      </c>
      <c r="T62">
        <f t="shared" si="29"/>
        <v>58</v>
      </c>
      <c r="U62">
        <f t="shared" si="30"/>
        <v>250</v>
      </c>
      <c r="V62">
        <f t="shared" si="24"/>
        <v>104</v>
      </c>
      <c r="W62">
        <f t="shared" si="33"/>
        <v>53</v>
      </c>
      <c r="X62">
        <f t="shared" si="34"/>
        <v>22</v>
      </c>
      <c r="Y62">
        <f t="shared" si="34"/>
        <v>35</v>
      </c>
      <c r="Z62">
        <f t="shared" si="20"/>
        <v>42</v>
      </c>
      <c r="AA62">
        <f t="shared" si="21"/>
        <v>53</v>
      </c>
      <c r="AB62">
        <f t="shared" si="22"/>
        <v>43</v>
      </c>
      <c r="AC62">
        <f t="shared" si="31"/>
        <v>1109</v>
      </c>
    </row>
    <row r="63" spans="1:29" x14ac:dyDescent="0.2">
      <c r="A63">
        <f t="shared" si="25"/>
        <v>1979</v>
      </c>
      <c r="B63">
        <v>250</v>
      </c>
      <c r="C63">
        <v>235</v>
      </c>
      <c r="D63">
        <v>71</v>
      </c>
      <c r="E63">
        <v>260</v>
      </c>
      <c r="F63">
        <v>102</v>
      </c>
      <c r="G63">
        <v>57</v>
      </c>
      <c r="H63">
        <v>20</v>
      </c>
      <c r="I63">
        <v>34</v>
      </c>
      <c r="J63">
        <v>56</v>
      </c>
      <c r="K63">
        <v>53</v>
      </c>
      <c r="L63">
        <f t="shared" si="26"/>
        <v>53</v>
      </c>
      <c r="M63">
        <f t="shared" si="23"/>
        <v>1191</v>
      </c>
      <c r="O63">
        <v>106</v>
      </c>
      <c r="P63">
        <f t="shared" si="7"/>
        <v>1135</v>
      </c>
      <c r="Q63">
        <f t="shared" si="32"/>
        <v>1979</v>
      </c>
      <c r="R63">
        <f t="shared" si="27"/>
        <v>250</v>
      </c>
      <c r="S63">
        <f t="shared" si="28"/>
        <v>235</v>
      </c>
      <c r="T63">
        <f t="shared" si="29"/>
        <v>71</v>
      </c>
      <c r="U63">
        <f t="shared" si="30"/>
        <v>260</v>
      </c>
      <c r="V63">
        <f t="shared" si="24"/>
        <v>102</v>
      </c>
      <c r="W63">
        <f t="shared" si="33"/>
        <v>57</v>
      </c>
      <c r="X63">
        <f t="shared" si="34"/>
        <v>20</v>
      </c>
      <c r="Y63">
        <f t="shared" si="34"/>
        <v>34</v>
      </c>
      <c r="Z63">
        <f t="shared" si="20"/>
        <v>56</v>
      </c>
      <c r="AA63">
        <f t="shared" si="21"/>
        <v>53</v>
      </c>
      <c r="AB63">
        <f t="shared" si="22"/>
        <v>53</v>
      </c>
      <c r="AC63">
        <f t="shared" si="31"/>
        <v>1191</v>
      </c>
    </row>
    <row r="64" spans="1:29" x14ac:dyDescent="0.2">
      <c r="A64">
        <f t="shared" si="25"/>
        <v>1980</v>
      </c>
      <c r="B64">
        <v>183</v>
      </c>
      <c r="C64">
        <v>243</v>
      </c>
      <c r="D64">
        <v>66</v>
      </c>
      <c r="E64">
        <v>196</v>
      </c>
      <c r="F64" s="3">
        <v>103</v>
      </c>
      <c r="G64" s="2">
        <v>55</v>
      </c>
      <c r="H64" s="2">
        <v>18</v>
      </c>
      <c r="I64">
        <v>28</v>
      </c>
      <c r="J64">
        <v>57</v>
      </c>
      <c r="K64">
        <v>49</v>
      </c>
      <c r="L64">
        <f t="shared" si="26"/>
        <v>52</v>
      </c>
      <c r="M64">
        <f t="shared" si="23"/>
        <v>1050</v>
      </c>
      <c r="O64" s="2">
        <v>101</v>
      </c>
      <c r="P64">
        <f t="shared" si="7"/>
        <v>993</v>
      </c>
      <c r="Q64">
        <f t="shared" si="32"/>
        <v>1980</v>
      </c>
      <c r="R64">
        <f t="shared" si="27"/>
        <v>183</v>
      </c>
      <c r="S64">
        <f t="shared" si="28"/>
        <v>243</v>
      </c>
      <c r="T64">
        <f t="shared" si="29"/>
        <v>66</v>
      </c>
      <c r="U64">
        <f t="shared" si="30"/>
        <v>196</v>
      </c>
      <c r="V64">
        <f t="shared" si="24"/>
        <v>103</v>
      </c>
      <c r="W64">
        <f t="shared" si="33"/>
        <v>55</v>
      </c>
      <c r="X64">
        <f t="shared" si="34"/>
        <v>18</v>
      </c>
      <c r="Y64">
        <f t="shared" si="34"/>
        <v>28</v>
      </c>
      <c r="Z64">
        <f t="shared" si="20"/>
        <v>57</v>
      </c>
      <c r="AA64">
        <f t="shared" si="21"/>
        <v>49</v>
      </c>
      <c r="AB64">
        <f t="shared" si="22"/>
        <v>52</v>
      </c>
      <c r="AC64">
        <f t="shared" si="31"/>
        <v>1050</v>
      </c>
    </row>
    <row r="65" spans="1:30" x14ac:dyDescent="0.2">
      <c r="A65">
        <f t="shared" si="25"/>
        <v>1981</v>
      </c>
      <c r="B65">
        <v>153</v>
      </c>
      <c r="C65">
        <v>328</v>
      </c>
      <c r="D65">
        <v>70</v>
      </c>
      <c r="E65">
        <v>181</v>
      </c>
      <c r="F65" s="2">
        <v>83</v>
      </c>
      <c r="G65" s="2">
        <v>60</v>
      </c>
      <c r="H65" s="2">
        <v>14</v>
      </c>
      <c r="I65">
        <v>25</v>
      </c>
      <c r="J65">
        <v>60</v>
      </c>
      <c r="K65">
        <v>46</v>
      </c>
      <c r="L65">
        <f t="shared" si="26"/>
        <v>41</v>
      </c>
      <c r="M65">
        <f t="shared" si="23"/>
        <v>1061</v>
      </c>
      <c r="O65" s="2">
        <v>87</v>
      </c>
      <c r="P65">
        <f t="shared" si="7"/>
        <v>1001</v>
      </c>
      <c r="Q65">
        <f t="shared" si="32"/>
        <v>1981</v>
      </c>
      <c r="R65">
        <f t="shared" si="27"/>
        <v>153</v>
      </c>
      <c r="S65">
        <f t="shared" si="28"/>
        <v>328</v>
      </c>
      <c r="T65">
        <f t="shared" si="29"/>
        <v>70</v>
      </c>
      <c r="U65">
        <f t="shared" si="30"/>
        <v>181</v>
      </c>
      <c r="V65">
        <f t="shared" si="24"/>
        <v>83</v>
      </c>
      <c r="W65">
        <f t="shared" si="33"/>
        <v>60</v>
      </c>
      <c r="X65">
        <f t="shared" si="34"/>
        <v>14</v>
      </c>
      <c r="Y65">
        <f t="shared" si="34"/>
        <v>25</v>
      </c>
      <c r="Z65">
        <f t="shared" si="20"/>
        <v>60</v>
      </c>
      <c r="AA65">
        <f t="shared" si="21"/>
        <v>46</v>
      </c>
      <c r="AB65">
        <f t="shared" si="22"/>
        <v>41</v>
      </c>
      <c r="AC65">
        <f t="shared" si="31"/>
        <v>1061</v>
      </c>
    </row>
    <row r="66" spans="1:30" x14ac:dyDescent="0.2">
      <c r="A66">
        <f t="shared" si="25"/>
        <v>1982</v>
      </c>
      <c r="B66">
        <v>125.81</v>
      </c>
      <c r="C66">
        <v>264</v>
      </c>
      <c r="D66">
        <v>44.44</v>
      </c>
      <c r="E66">
        <v>136.75</v>
      </c>
      <c r="F66" s="2">
        <v>82</v>
      </c>
      <c r="G66" s="2">
        <v>71</v>
      </c>
      <c r="H66" s="2">
        <v>19</v>
      </c>
      <c r="I66">
        <v>25</v>
      </c>
      <c r="J66" s="4">
        <f>DODCompareOld!AB59</f>
        <v>60</v>
      </c>
      <c r="K66">
        <v>38</v>
      </c>
      <c r="L66">
        <f t="shared" si="26"/>
        <v>30</v>
      </c>
      <c r="M66">
        <f t="shared" si="23"/>
        <v>896</v>
      </c>
      <c r="O66" s="2">
        <v>68</v>
      </c>
      <c r="P66">
        <f t="shared" si="7"/>
        <v>836</v>
      </c>
      <c r="Q66">
        <f t="shared" si="32"/>
        <v>1982</v>
      </c>
      <c r="R66">
        <f t="shared" si="27"/>
        <v>125.81</v>
      </c>
      <c r="S66">
        <f t="shared" si="28"/>
        <v>264</v>
      </c>
      <c r="T66">
        <f t="shared" si="29"/>
        <v>44.44</v>
      </c>
      <c r="U66">
        <f t="shared" si="30"/>
        <v>136.75</v>
      </c>
      <c r="V66">
        <f t="shared" si="24"/>
        <v>82</v>
      </c>
      <c r="W66">
        <f t="shared" si="33"/>
        <v>71</v>
      </c>
      <c r="X66">
        <f t="shared" si="34"/>
        <v>19</v>
      </c>
      <c r="Y66">
        <f t="shared" si="34"/>
        <v>25</v>
      </c>
      <c r="Z66">
        <f t="shared" si="20"/>
        <v>60</v>
      </c>
      <c r="AA66">
        <f t="shared" si="21"/>
        <v>38</v>
      </c>
      <c r="AB66">
        <f t="shared" si="22"/>
        <v>30</v>
      </c>
      <c r="AC66">
        <f t="shared" si="31"/>
        <v>896</v>
      </c>
    </row>
    <row r="67" spans="1:30" x14ac:dyDescent="0.2">
      <c r="A67">
        <f t="shared" si="25"/>
        <v>1983</v>
      </c>
      <c r="B67">
        <v>150.38999999999999</v>
      </c>
      <c r="C67">
        <v>280</v>
      </c>
      <c r="D67">
        <v>53.13</v>
      </c>
      <c r="E67">
        <v>163.47999999999999</v>
      </c>
      <c r="F67" s="2">
        <v>84</v>
      </c>
      <c r="G67" s="2">
        <v>84</v>
      </c>
      <c r="H67" s="2">
        <v>20</v>
      </c>
      <c r="I67">
        <v>29</v>
      </c>
      <c r="J67" s="8">
        <f>DODCompareOld!AB60</f>
        <v>69</v>
      </c>
      <c r="K67">
        <v>36</v>
      </c>
      <c r="L67">
        <f t="shared" si="26"/>
        <v>31</v>
      </c>
      <c r="M67">
        <f t="shared" si="23"/>
        <v>1000</v>
      </c>
      <c r="O67" s="2">
        <v>67</v>
      </c>
      <c r="P67">
        <f t="shared" si="7"/>
        <v>931</v>
      </c>
      <c r="Q67">
        <f t="shared" si="32"/>
        <v>1983</v>
      </c>
      <c r="R67">
        <f t="shared" si="27"/>
        <v>150.38999999999999</v>
      </c>
      <c r="S67">
        <f t="shared" si="28"/>
        <v>280</v>
      </c>
      <c r="T67">
        <f t="shared" si="29"/>
        <v>53.13</v>
      </c>
      <c r="U67">
        <f t="shared" si="30"/>
        <v>163.47999999999999</v>
      </c>
      <c r="V67">
        <f t="shared" si="24"/>
        <v>84</v>
      </c>
      <c r="W67">
        <f t="shared" si="33"/>
        <v>84</v>
      </c>
      <c r="X67">
        <f t="shared" si="34"/>
        <v>20</v>
      </c>
      <c r="Y67">
        <f t="shared" si="34"/>
        <v>29</v>
      </c>
      <c r="Z67">
        <f t="shared" si="20"/>
        <v>69</v>
      </c>
      <c r="AA67">
        <f t="shared" si="21"/>
        <v>36</v>
      </c>
      <c r="AB67">
        <f t="shared" si="22"/>
        <v>31</v>
      </c>
      <c r="AC67">
        <f t="shared" si="31"/>
        <v>1000</v>
      </c>
    </row>
    <row r="68" spans="1:30" x14ac:dyDescent="0.2">
      <c r="A68">
        <f t="shared" si="25"/>
        <v>1984</v>
      </c>
      <c r="B68">
        <v>204.08</v>
      </c>
      <c r="C68">
        <v>310</v>
      </c>
      <c r="D68">
        <v>72.09</v>
      </c>
      <c r="E68">
        <v>221.84</v>
      </c>
      <c r="F68" s="2">
        <v>100</v>
      </c>
      <c r="G68" s="2">
        <v>70</v>
      </c>
      <c r="H68" s="2">
        <v>23</v>
      </c>
      <c r="I68">
        <v>29</v>
      </c>
      <c r="J68">
        <f>DODCompareOld!AB61</f>
        <v>92.989999999999895</v>
      </c>
      <c r="K68">
        <v>37</v>
      </c>
      <c r="L68">
        <f t="shared" si="26"/>
        <v>34</v>
      </c>
      <c r="M68">
        <f t="shared" si="23"/>
        <v>1194</v>
      </c>
      <c r="O68" s="2">
        <v>71</v>
      </c>
      <c r="P68">
        <f t="shared" si="7"/>
        <v>1101.0100000000002</v>
      </c>
      <c r="Q68">
        <f t="shared" si="32"/>
        <v>1984</v>
      </c>
      <c r="R68">
        <f t="shared" si="27"/>
        <v>204.08</v>
      </c>
      <c r="S68">
        <f t="shared" si="28"/>
        <v>310</v>
      </c>
      <c r="T68">
        <f t="shared" si="29"/>
        <v>72.09</v>
      </c>
      <c r="U68">
        <f t="shared" si="30"/>
        <v>221.84</v>
      </c>
      <c r="V68">
        <f t="shared" si="24"/>
        <v>100</v>
      </c>
      <c r="W68">
        <f t="shared" si="33"/>
        <v>70</v>
      </c>
      <c r="X68">
        <f t="shared" si="34"/>
        <v>23</v>
      </c>
      <c r="Y68">
        <f t="shared" si="34"/>
        <v>29</v>
      </c>
      <c r="Z68">
        <f t="shared" si="20"/>
        <v>92.989999999999895</v>
      </c>
      <c r="AA68">
        <f t="shared" si="21"/>
        <v>37</v>
      </c>
      <c r="AB68">
        <f t="shared" si="22"/>
        <v>34</v>
      </c>
      <c r="AC68">
        <f t="shared" si="31"/>
        <v>1194</v>
      </c>
    </row>
    <row r="69" spans="1:30" x14ac:dyDescent="0.2">
      <c r="A69">
        <f t="shared" si="25"/>
        <v>1985</v>
      </c>
      <c r="B69">
        <v>236.79</v>
      </c>
      <c r="C69">
        <v>361.16</v>
      </c>
      <c r="D69">
        <v>83.65</v>
      </c>
      <c r="E69">
        <v>257.39999999999998</v>
      </c>
      <c r="F69" s="2">
        <v>111</v>
      </c>
      <c r="G69" s="2">
        <v>73</v>
      </c>
      <c r="H69" s="2">
        <v>28</v>
      </c>
      <c r="I69">
        <v>32</v>
      </c>
      <c r="J69">
        <f>DODCompareOld!AB62</f>
        <v>100</v>
      </c>
      <c r="K69">
        <v>44</v>
      </c>
      <c r="L69">
        <f t="shared" si="26"/>
        <v>38</v>
      </c>
      <c r="M69">
        <f t="shared" si="23"/>
        <v>1365</v>
      </c>
      <c r="N69">
        <f>DODCompareOld!AA62</f>
        <v>1039</v>
      </c>
      <c r="O69" s="2">
        <v>82</v>
      </c>
      <c r="P69">
        <f t="shared" si="7"/>
        <v>1265</v>
      </c>
      <c r="Q69">
        <f t="shared" si="32"/>
        <v>1985</v>
      </c>
      <c r="R69">
        <f t="shared" si="27"/>
        <v>236.79</v>
      </c>
      <c r="S69">
        <f t="shared" si="28"/>
        <v>361.16</v>
      </c>
      <c r="T69">
        <f t="shared" si="29"/>
        <v>83.65</v>
      </c>
      <c r="U69">
        <f t="shared" si="30"/>
        <v>257.39999999999998</v>
      </c>
      <c r="V69">
        <f t="shared" si="24"/>
        <v>111</v>
      </c>
      <c r="W69">
        <f t="shared" si="33"/>
        <v>73</v>
      </c>
      <c r="X69">
        <f t="shared" si="34"/>
        <v>28</v>
      </c>
      <c r="Y69">
        <f t="shared" si="34"/>
        <v>32</v>
      </c>
      <c r="Z69">
        <f t="shared" si="20"/>
        <v>100</v>
      </c>
      <c r="AA69">
        <f t="shared" si="21"/>
        <v>44</v>
      </c>
      <c r="AB69">
        <f t="shared" si="22"/>
        <v>38</v>
      </c>
      <c r="AC69">
        <f>SUM(R69:AB69)</f>
        <v>1365</v>
      </c>
    </row>
    <row r="70" spans="1:30" x14ac:dyDescent="0.2">
      <c r="A70">
        <f t="shared" si="25"/>
        <v>1986</v>
      </c>
      <c r="B70">
        <v>224.79</v>
      </c>
      <c r="C70">
        <v>320.45999999999998</v>
      </c>
      <c r="D70">
        <v>79.400000000000006</v>
      </c>
      <c r="E70">
        <v>244.35</v>
      </c>
      <c r="F70" s="2">
        <v>129</v>
      </c>
      <c r="G70" s="2">
        <v>73</v>
      </c>
      <c r="H70" s="2">
        <v>30</v>
      </c>
      <c r="I70">
        <v>32</v>
      </c>
      <c r="J70">
        <f>DODCompareOld!AB63</f>
        <v>91</v>
      </c>
      <c r="K70">
        <v>44</v>
      </c>
      <c r="L70">
        <f t="shared" si="26"/>
        <v>39</v>
      </c>
      <c r="M70">
        <f t="shared" si="23"/>
        <v>1307</v>
      </c>
      <c r="N70">
        <f>DODCompareOld!AA63</f>
        <v>960</v>
      </c>
      <c r="O70" s="2">
        <v>83</v>
      </c>
      <c r="P70">
        <f t="shared" si="7"/>
        <v>1216</v>
      </c>
      <c r="Q70">
        <f t="shared" si="32"/>
        <v>1986</v>
      </c>
      <c r="R70">
        <f t="shared" si="27"/>
        <v>224.79</v>
      </c>
      <c r="S70">
        <f t="shared" si="28"/>
        <v>320.45999999999998</v>
      </c>
      <c r="T70">
        <f t="shared" si="29"/>
        <v>79.400000000000006</v>
      </c>
      <c r="U70">
        <f t="shared" si="30"/>
        <v>244.35</v>
      </c>
      <c r="V70">
        <f t="shared" si="24"/>
        <v>129</v>
      </c>
      <c r="W70">
        <f t="shared" si="33"/>
        <v>73</v>
      </c>
      <c r="X70">
        <f t="shared" si="34"/>
        <v>30</v>
      </c>
      <c r="Y70">
        <f t="shared" si="34"/>
        <v>32</v>
      </c>
      <c r="Z70">
        <f t="shared" si="20"/>
        <v>91</v>
      </c>
      <c r="AA70">
        <f t="shared" si="21"/>
        <v>44</v>
      </c>
      <c r="AB70">
        <f t="shared" si="22"/>
        <v>39</v>
      </c>
      <c r="AC70">
        <f t="shared" ref="AC70:AC84" si="35">SUM(R70:AB70)</f>
        <v>1307</v>
      </c>
    </row>
    <row r="71" spans="1:30" x14ac:dyDescent="0.2">
      <c r="A71">
        <f t="shared" si="25"/>
        <v>1987</v>
      </c>
      <c r="B71">
        <v>233.96</v>
      </c>
      <c r="C71">
        <v>288.08</v>
      </c>
      <c r="D71">
        <v>82.64</v>
      </c>
      <c r="E71">
        <v>254.32</v>
      </c>
      <c r="F71" s="2">
        <v>139</v>
      </c>
      <c r="G71" s="2">
        <v>78</v>
      </c>
      <c r="H71" s="2">
        <v>42</v>
      </c>
      <c r="I71">
        <v>32</v>
      </c>
      <c r="J71">
        <f>DODCompareOld!AB64</f>
        <v>74</v>
      </c>
      <c r="K71" s="2">
        <v>46</v>
      </c>
      <c r="L71">
        <f t="shared" si="26"/>
        <v>38</v>
      </c>
      <c r="M71">
        <f t="shared" si="23"/>
        <v>1308</v>
      </c>
      <c r="N71">
        <f>DODCompareOld!AA64</f>
        <v>933</v>
      </c>
      <c r="O71" s="2">
        <v>84</v>
      </c>
      <c r="P71">
        <f t="shared" si="7"/>
        <v>1234</v>
      </c>
      <c r="Q71">
        <f t="shared" si="32"/>
        <v>1987</v>
      </c>
      <c r="R71">
        <f t="shared" si="27"/>
        <v>233.96</v>
      </c>
      <c r="S71">
        <f t="shared" si="28"/>
        <v>288.08</v>
      </c>
      <c r="T71">
        <f t="shared" si="29"/>
        <v>82.64</v>
      </c>
      <c r="U71">
        <f t="shared" si="30"/>
        <v>254.32</v>
      </c>
      <c r="V71">
        <f t="shared" si="24"/>
        <v>139</v>
      </c>
      <c r="W71">
        <f t="shared" si="33"/>
        <v>78</v>
      </c>
      <c r="X71">
        <f t="shared" si="34"/>
        <v>42</v>
      </c>
      <c r="Y71">
        <f t="shared" si="34"/>
        <v>32</v>
      </c>
      <c r="Z71">
        <f t="shared" si="20"/>
        <v>74</v>
      </c>
      <c r="AA71">
        <f t="shared" si="21"/>
        <v>46</v>
      </c>
      <c r="AB71">
        <f t="shared" si="22"/>
        <v>38</v>
      </c>
      <c r="AC71">
        <f t="shared" si="35"/>
        <v>1308</v>
      </c>
    </row>
    <row r="72" spans="1:30" x14ac:dyDescent="0.2">
      <c r="A72">
        <f t="shared" si="25"/>
        <v>1988</v>
      </c>
      <c r="B72">
        <v>213.56</v>
      </c>
      <c r="C72">
        <v>293.86</v>
      </c>
      <c r="D72">
        <v>75.44</v>
      </c>
      <c r="E72">
        <v>232.14</v>
      </c>
      <c r="F72" s="2">
        <v>142</v>
      </c>
      <c r="G72" s="2">
        <v>71</v>
      </c>
      <c r="H72" s="2">
        <v>38</v>
      </c>
      <c r="I72">
        <v>32</v>
      </c>
      <c r="J72">
        <f>DODCompareOld!AB65</f>
        <v>68</v>
      </c>
      <c r="K72" s="2">
        <v>49</v>
      </c>
      <c r="L72">
        <f t="shared" si="26"/>
        <v>37</v>
      </c>
      <c r="M72">
        <f t="shared" si="23"/>
        <v>1252</v>
      </c>
      <c r="N72">
        <f>DODCompareOld!AA65</f>
        <v>883</v>
      </c>
      <c r="O72" s="2">
        <v>86</v>
      </c>
      <c r="P72">
        <f t="shared" si="7"/>
        <v>1184</v>
      </c>
      <c r="Q72">
        <f t="shared" si="32"/>
        <v>1988</v>
      </c>
      <c r="R72">
        <f t="shared" si="27"/>
        <v>213.56</v>
      </c>
      <c r="S72">
        <f t="shared" si="28"/>
        <v>293.86</v>
      </c>
      <c r="T72">
        <f t="shared" si="29"/>
        <v>75.44</v>
      </c>
      <c r="U72">
        <f t="shared" si="30"/>
        <v>232.14</v>
      </c>
      <c r="V72">
        <f t="shared" si="24"/>
        <v>142</v>
      </c>
      <c r="W72">
        <f t="shared" si="33"/>
        <v>71</v>
      </c>
      <c r="X72">
        <f t="shared" si="34"/>
        <v>38</v>
      </c>
      <c r="Y72">
        <f t="shared" si="34"/>
        <v>32</v>
      </c>
      <c r="Z72">
        <f t="shared" si="20"/>
        <v>68</v>
      </c>
      <c r="AA72">
        <f t="shared" si="21"/>
        <v>49</v>
      </c>
      <c r="AB72">
        <f t="shared" si="22"/>
        <v>37</v>
      </c>
      <c r="AC72">
        <f t="shared" si="35"/>
        <v>1252</v>
      </c>
    </row>
    <row r="73" spans="1:30" x14ac:dyDescent="0.2">
      <c r="A73">
        <f t="shared" si="25"/>
        <v>1989</v>
      </c>
      <c r="B73">
        <v>201.76</v>
      </c>
      <c r="C73">
        <v>289.64999999999998</v>
      </c>
      <c r="D73">
        <v>71.27</v>
      </c>
      <c r="E73">
        <v>219.32</v>
      </c>
      <c r="F73" s="2">
        <v>151</v>
      </c>
      <c r="G73" s="2">
        <v>72</v>
      </c>
      <c r="H73" s="2">
        <v>41</v>
      </c>
      <c r="I73">
        <v>27</v>
      </c>
      <c r="J73">
        <f>DODCompareOld!AB66</f>
        <v>85</v>
      </c>
      <c r="K73" s="2">
        <v>48</v>
      </c>
      <c r="L73">
        <f>O73-K73</f>
        <v>35</v>
      </c>
      <c r="M73">
        <f t="shared" ref="M73:M85" si="36">SUM(B73:L73)</f>
        <v>1241</v>
      </c>
      <c r="N73">
        <f>DODCompareOld!AA66</f>
        <v>867</v>
      </c>
      <c r="O73" s="2">
        <f>48+35</f>
        <v>83</v>
      </c>
      <c r="P73">
        <f t="shared" si="7"/>
        <v>1156</v>
      </c>
      <c r="Q73">
        <f t="shared" si="32"/>
        <v>1989</v>
      </c>
      <c r="R73">
        <f t="shared" si="27"/>
        <v>201.76</v>
      </c>
      <c r="S73">
        <f t="shared" si="28"/>
        <v>289.64999999999998</v>
      </c>
      <c r="T73">
        <f t="shared" si="29"/>
        <v>71.27</v>
      </c>
      <c r="U73">
        <f t="shared" si="30"/>
        <v>219.32</v>
      </c>
      <c r="V73">
        <f t="shared" si="24"/>
        <v>151</v>
      </c>
      <c r="W73">
        <f t="shared" si="33"/>
        <v>72</v>
      </c>
      <c r="X73">
        <f t="shared" si="34"/>
        <v>41</v>
      </c>
      <c r="Y73">
        <f t="shared" si="34"/>
        <v>27</v>
      </c>
      <c r="Z73">
        <f t="shared" si="20"/>
        <v>85</v>
      </c>
      <c r="AA73">
        <f t="shared" si="21"/>
        <v>48</v>
      </c>
      <c r="AB73">
        <f t="shared" si="22"/>
        <v>35</v>
      </c>
      <c r="AC73">
        <f t="shared" si="35"/>
        <v>1241</v>
      </c>
      <c r="AD73">
        <f>SUM(AC44:AC73)</f>
        <v>31302</v>
      </c>
    </row>
    <row r="74" spans="1:30" x14ac:dyDescent="0.2">
      <c r="A74">
        <f t="shared" ref="A74:A94" si="37">A73+1</f>
        <v>1990</v>
      </c>
      <c r="B74" s="18">
        <f>B$103*$N74</f>
        <v>164.65972661255873</v>
      </c>
      <c r="C74" s="18">
        <f>C$103*$N74</f>
        <v>230.22805211448102</v>
      </c>
      <c r="D74" s="18">
        <f>D$103*$N74</f>
        <v>58.164374199060227</v>
      </c>
      <c r="E74" s="18">
        <f>E$103*$N74</f>
        <v>178.98885519008968</v>
      </c>
      <c r="F74" s="2">
        <v>152</v>
      </c>
      <c r="G74" s="2">
        <v>69</v>
      </c>
      <c r="H74" s="2">
        <v>47</v>
      </c>
      <c r="I74" s="2">
        <v>29</v>
      </c>
      <c r="J74">
        <f t="shared" ref="J74:J85" si="38">J$103*$N74</f>
        <v>61.958991883810334</v>
      </c>
      <c r="K74" s="2">
        <v>51</v>
      </c>
      <c r="L74">
        <v>32</v>
      </c>
      <c r="M74">
        <f t="shared" si="36"/>
        <v>1074</v>
      </c>
      <c r="N74">
        <f>DODCompareOld!AA67</f>
        <v>694</v>
      </c>
      <c r="O74" s="2">
        <f>SAUS2002!R6</f>
        <v>0</v>
      </c>
      <c r="P74">
        <f t="shared" ref="P74:P85" si="39">M74-J74</f>
        <v>1012.0410081161897</v>
      </c>
      <c r="Q74">
        <f t="shared" si="32"/>
        <v>1990</v>
      </c>
      <c r="R74">
        <f t="shared" si="27"/>
        <v>164.65972661255873</v>
      </c>
      <c r="S74">
        <f t="shared" si="28"/>
        <v>230.22805211448102</v>
      </c>
      <c r="T74">
        <f t="shared" si="29"/>
        <v>58.164374199060227</v>
      </c>
      <c r="U74">
        <f t="shared" si="30"/>
        <v>178.98885519008968</v>
      </c>
      <c r="V74">
        <f t="shared" si="24"/>
        <v>152</v>
      </c>
      <c r="W74">
        <f t="shared" si="33"/>
        <v>69</v>
      </c>
      <c r="X74">
        <f t="shared" si="34"/>
        <v>47</v>
      </c>
      <c r="Y74">
        <f t="shared" si="34"/>
        <v>29</v>
      </c>
      <c r="Z74">
        <f t="shared" si="20"/>
        <v>61.958991883810334</v>
      </c>
      <c r="AA74">
        <f t="shared" si="21"/>
        <v>51</v>
      </c>
      <c r="AB74">
        <f t="shared" si="22"/>
        <v>32</v>
      </c>
      <c r="AC74">
        <f t="shared" si="35"/>
        <v>1074</v>
      </c>
    </row>
    <row r="75" spans="1:30" x14ac:dyDescent="0.2">
      <c r="A75">
        <f t="shared" si="37"/>
        <v>1991</v>
      </c>
      <c r="B75" s="18">
        <f t="shared" ref="B75:E85" si="40">B$103*$N75</f>
        <v>113.17390431439556</v>
      </c>
      <c r="C75" s="18">
        <f t="shared" si="40"/>
        <v>158.24031824006838</v>
      </c>
      <c r="D75" s="18">
        <f t="shared" si="40"/>
        <v>39.977530969671072</v>
      </c>
      <c r="E75" s="18">
        <f t="shared" si="40"/>
        <v>123.02259931653138</v>
      </c>
      <c r="F75" s="2">
        <v>177</v>
      </c>
      <c r="G75" s="2">
        <v>72</v>
      </c>
      <c r="H75" s="2">
        <v>50</v>
      </c>
      <c r="I75" s="2">
        <v>29</v>
      </c>
      <c r="J75">
        <f t="shared" si="38"/>
        <v>42.585647159333618</v>
      </c>
      <c r="K75" s="2">
        <v>45</v>
      </c>
      <c r="L75">
        <v>33</v>
      </c>
      <c r="M75">
        <f t="shared" si="36"/>
        <v>883</v>
      </c>
      <c r="N75">
        <f>DODCompareOld!AA68</f>
        <v>477</v>
      </c>
      <c r="O75" s="2">
        <f>SAUS2002!R7</f>
        <v>0</v>
      </c>
      <c r="P75">
        <f t="shared" si="39"/>
        <v>840.41435284066642</v>
      </c>
      <c r="Q75">
        <f t="shared" si="32"/>
        <v>1991</v>
      </c>
      <c r="R75">
        <f t="shared" si="27"/>
        <v>113.17390431439556</v>
      </c>
      <c r="S75">
        <f t="shared" si="28"/>
        <v>158.24031824006838</v>
      </c>
      <c r="T75">
        <f t="shared" si="29"/>
        <v>39.977530969671072</v>
      </c>
      <c r="U75">
        <f t="shared" si="30"/>
        <v>123.02259931653138</v>
      </c>
      <c r="V75">
        <f t="shared" si="24"/>
        <v>177</v>
      </c>
      <c r="W75">
        <f t="shared" si="33"/>
        <v>72</v>
      </c>
      <c r="X75">
        <f t="shared" si="34"/>
        <v>50</v>
      </c>
      <c r="Y75">
        <f t="shared" si="34"/>
        <v>29</v>
      </c>
      <c r="Z75">
        <f t="shared" si="20"/>
        <v>42.585647159333618</v>
      </c>
      <c r="AA75">
        <f t="shared" si="21"/>
        <v>45</v>
      </c>
      <c r="AB75">
        <f t="shared" si="22"/>
        <v>33</v>
      </c>
      <c r="AC75">
        <f t="shared" si="35"/>
        <v>883</v>
      </c>
    </row>
    <row r="76" spans="1:30" x14ac:dyDescent="0.2">
      <c r="A76">
        <f t="shared" si="37"/>
        <v>1992</v>
      </c>
      <c r="B76" s="18">
        <f t="shared" si="40"/>
        <v>109.61497650576676</v>
      </c>
      <c r="C76" s="18">
        <f t="shared" si="40"/>
        <v>153.26420760358823</v>
      </c>
      <c r="D76" s="18">
        <f t="shared" si="40"/>
        <v>38.720375907731736</v>
      </c>
      <c r="E76" s="18">
        <f t="shared" si="40"/>
        <v>119.15396411789833</v>
      </c>
      <c r="F76" s="2">
        <v>156</v>
      </c>
      <c r="G76" s="2">
        <v>77</v>
      </c>
      <c r="H76" s="2">
        <v>41</v>
      </c>
      <c r="I76" s="2">
        <v>30</v>
      </c>
      <c r="J76">
        <f t="shared" si="38"/>
        <v>41.246475865014951</v>
      </c>
      <c r="K76" s="2">
        <v>42</v>
      </c>
      <c r="L76">
        <v>32</v>
      </c>
      <c r="M76">
        <f t="shared" si="36"/>
        <v>840.00000000000011</v>
      </c>
      <c r="N76">
        <f>DODCompareOld!AA69</f>
        <v>462</v>
      </c>
      <c r="O76" s="2">
        <f>SAUS2002!R8</f>
        <v>0</v>
      </c>
      <c r="P76">
        <f t="shared" si="39"/>
        <v>798.75352413498513</v>
      </c>
      <c r="Q76">
        <f t="shared" si="32"/>
        <v>1992</v>
      </c>
      <c r="R76">
        <f t="shared" si="27"/>
        <v>109.61497650576676</v>
      </c>
      <c r="S76">
        <f t="shared" si="28"/>
        <v>153.26420760358823</v>
      </c>
      <c r="T76">
        <f t="shared" si="29"/>
        <v>38.720375907731736</v>
      </c>
      <c r="U76">
        <f t="shared" si="30"/>
        <v>119.15396411789833</v>
      </c>
      <c r="V76">
        <f t="shared" si="24"/>
        <v>156</v>
      </c>
      <c r="W76">
        <f t="shared" si="33"/>
        <v>77</v>
      </c>
      <c r="X76">
        <f t="shared" si="34"/>
        <v>41</v>
      </c>
      <c r="Y76">
        <f t="shared" si="34"/>
        <v>30</v>
      </c>
      <c r="Z76">
        <f t="shared" si="20"/>
        <v>41.246475865014951</v>
      </c>
      <c r="AA76">
        <f t="shared" si="21"/>
        <v>42</v>
      </c>
      <c r="AB76">
        <f t="shared" si="22"/>
        <v>32</v>
      </c>
      <c r="AC76">
        <f t="shared" si="35"/>
        <v>840.00000000000011</v>
      </c>
    </row>
    <row r="77" spans="1:30" x14ac:dyDescent="0.2">
      <c r="A77">
        <f t="shared" si="37"/>
        <v>1993</v>
      </c>
      <c r="B77" s="18">
        <f t="shared" si="40"/>
        <v>114.1229517300299</v>
      </c>
      <c r="C77" s="18">
        <f t="shared" si="40"/>
        <v>159.56728107646308</v>
      </c>
      <c r="D77" s="18">
        <f t="shared" si="40"/>
        <v>40.312772319521564</v>
      </c>
      <c r="E77" s="18">
        <f t="shared" si="40"/>
        <v>124.0542353695002</v>
      </c>
      <c r="F77" s="2">
        <v>165</v>
      </c>
      <c r="G77" s="2">
        <v>75</v>
      </c>
      <c r="H77" s="2">
        <v>30</v>
      </c>
      <c r="I77" s="2">
        <v>30</v>
      </c>
      <c r="J77">
        <f t="shared" si="38"/>
        <v>42.942759504485259</v>
      </c>
      <c r="K77" s="2">
        <v>51</v>
      </c>
      <c r="L77">
        <v>29</v>
      </c>
      <c r="M77">
        <f t="shared" si="36"/>
        <v>861</v>
      </c>
      <c r="N77">
        <f>DODCompareOld!AA70</f>
        <v>481</v>
      </c>
      <c r="O77" s="2">
        <f>SAUS2002!R9</f>
        <v>0</v>
      </c>
      <c r="P77">
        <f t="shared" si="39"/>
        <v>818.05724049551475</v>
      </c>
      <c r="Q77">
        <f t="shared" si="32"/>
        <v>1993</v>
      </c>
      <c r="R77">
        <f t="shared" si="27"/>
        <v>114.1229517300299</v>
      </c>
      <c r="S77">
        <f t="shared" si="28"/>
        <v>159.56728107646308</v>
      </c>
      <c r="T77">
        <f t="shared" si="29"/>
        <v>40.312772319521564</v>
      </c>
      <c r="U77">
        <f t="shared" si="30"/>
        <v>124.0542353695002</v>
      </c>
      <c r="V77">
        <f t="shared" si="24"/>
        <v>165</v>
      </c>
      <c r="W77">
        <f t="shared" si="33"/>
        <v>75</v>
      </c>
      <c r="X77">
        <f t="shared" si="34"/>
        <v>30</v>
      </c>
      <c r="Y77">
        <f t="shared" si="34"/>
        <v>30</v>
      </c>
      <c r="Z77">
        <f t="shared" si="20"/>
        <v>42.942759504485259</v>
      </c>
      <c r="AA77">
        <f t="shared" si="21"/>
        <v>51</v>
      </c>
      <c r="AB77">
        <f t="shared" si="22"/>
        <v>29</v>
      </c>
      <c r="AC77">
        <f t="shared" si="35"/>
        <v>861</v>
      </c>
    </row>
    <row r="78" spans="1:30" x14ac:dyDescent="0.2">
      <c r="A78">
        <f t="shared" si="37"/>
        <v>1994</v>
      </c>
      <c r="B78" s="18">
        <f t="shared" si="40"/>
        <v>142.35711234515165</v>
      </c>
      <c r="C78" s="18">
        <f t="shared" si="40"/>
        <v>199.04442545920548</v>
      </c>
      <c r="D78" s="18">
        <f t="shared" si="40"/>
        <v>50.286202477573681</v>
      </c>
      <c r="E78" s="18">
        <f t="shared" si="40"/>
        <v>154.74540794532251</v>
      </c>
      <c r="F78" s="2">
        <v>172</v>
      </c>
      <c r="G78" s="2">
        <v>72</v>
      </c>
      <c r="H78" s="2">
        <v>45</v>
      </c>
      <c r="I78" s="2">
        <v>30</v>
      </c>
      <c r="J78">
        <f t="shared" si="38"/>
        <v>53.566851772746688</v>
      </c>
      <c r="K78" s="2">
        <v>51</v>
      </c>
      <c r="L78">
        <v>31</v>
      </c>
      <c r="M78">
        <f t="shared" si="36"/>
        <v>1001</v>
      </c>
      <c r="N78">
        <f>DODCompareOld!AA71</f>
        <v>600</v>
      </c>
      <c r="O78" s="2">
        <f>SAUS2002!R10</f>
        <v>0</v>
      </c>
      <c r="P78">
        <f t="shared" si="39"/>
        <v>947.43314822725335</v>
      </c>
      <c r="Q78">
        <f t="shared" si="32"/>
        <v>1994</v>
      </c>
      <c r="R78">
        <f t="shared" si="27"/>
        <v>142.35711234515165</v>
      </c>
      <c r="S78">
        <f t="shared" si="28"/>
        <v>199.04442545920548</v>
      </c>
      <c r="T78">
        <f t="shared" si="29"/>
        <v>50.286202477573681</v>
      </c>
      <c r="U78">
        <f t="shared" si="30"/>
        <v>154.74540794532251</v>
      </c>
      <c r="V78">
        <f t="shared" si="24"/>
        <v>172</v>
      </c>
      <c r="W78">
        <f t="shared" si="33"/>
        <v>72</v>
      </c>
      <c r="X78">
        <f t="shared" si="34"/>
        <v>45</v>
      </c>
      <c r="Y78">
        <f t="shared" si="34"/>
        <v>30</v>
      </c>
      <c r="Z78">
        <f t="shared" si="20"/>
        <v>53.566851772746688</v>
      </c>
      <c r="AA78">
        <f t="shared" si="21"/>
        <v>51</v>
      </c>
      <c r="AB78">
        <f t="shared" si="22"/>
        <v>31</v>
      </c>
      <c r="AC78">
        <f t="shared" si="35"/>
        <v>1001</v>
      </c>
    </row>
    <row r="79" spans="1:30" x14ac:dyDescent="0.2">
      <c r="A79">
        <f t="shared" si="37"/>
        <v>1995</v>
      </c>
      <c r="B79" s="18">
        <f t="shared" si="40"/>
        <v>166.08329773601025</v>
      </c>
      <c r="C79" s="18">
        <f t="shared" si="40"/>
        <v>232.21849636907308</v>
      </c>
      <c r="D79" s="18">
        <f t="shared" si="40"/>
        <v>58.667236223835957</v>
      </c>
      <c r="E79" s="18">
        <f t="shared" si="40"/>
        <v>180.53630926954293</v>
      </c>
      <c r="F79" s="2">
        <v>186</v>
      </c>
      <c r="G79" s="2">
        <v>70</v>
      </c>
      <c r="H79" s="2">
        <v>40</v>
      </c>
      <c r="I79" s="2">
        <v>33</v>
      </c>
      <c r="J79">
        <f t="shared" si="38"/>
        <v>62.4946604015378</v>
      </c>
      <c r="K79" s="2">
        <v>56</v>
      </c>
      <c r="L79">
        <v>33</v>
      </c>
      <c r="M79">
        <f t="shared" si="36"/>
        <v>1118</v>
      </c>
      <c r="N79">
        <f>DODCompareOld!AA72</f>
        <v>700</v>
      </c>
      <c r="O79" s="2">
        <f>SAUS2002!R11</f>
        <v>0</v>
      </c>
      <c r="P79">
        <f t="shared" si="39"/>
        <v>1055.5053395984621</v>
      </c>
      <c r="Q79">
        <f t="shared" si="32"/>
        <v>1995</v>
      </c>
      <c r="R79">
        <f t="shared" si="27"/>
        <v>166.08329773601025</v>
      </c>
      <c r="S79">
        <f t="shared" si="28"/>
        <v>232.21849636907308</v>
      </c>
      <c r="T79">
        <f t="shared" si="29"/>
        <v>58.667236223835957</v>
      </c>
      <c r="U79">
        <f t="shared" si="30"/>
        <v>180.53630926954293</v>
      </c>
      <c r="V79">
        <f t="shared" si="24"/>
        <v>186</v>
      </c>
      <c r="W79">
        <f t="shared" si="33"/>
        <v>70</v>
      </c>
      <c r="X79">
        <f t="shared" si="34"/>
        <v>40</v>
      </c>
      <c r="Y79">
        <f t="shared" si="34"/>
        <v>33</v>
      </c>
      <c r="Z79">
        <f t="shared" si="20"/>
        <v>62.4946604015378</v>
      </c>
      <c r="AA79">
        <f t="shared" si="21"/>
        <v>56</v>
      </c>
      <c r="AB79">
        <f t="shared" si="22"/>
        <v>33</v>
      </c>
      <c r="AC79">
        <f t="shared" si="35"/>
        <v>1118</v>
      </c>
    </row>
    <row r="80" spans="1:30" x14ac:dyDescent="0.2">
      <c r="A80">
        <f t="shared" si="37"/>
        <v>1996</v>
      </c>
      <c r="B80" s="18">
        <f t="shared" si="40"/>
        <v>171.54032037590773</v>
      </c>
      <c r="C80" s="18">
        <f t="shared" si="40"/>
        <v>239.84853267834262</v>
      </c>
      <c r="D80" s="18">
        <f t="shared" si="40"/>
        <v>60.594873985476283</v>
      </c>
      <c r="E80" s="18">
        <f t="shared" si="40"/>
        <v>186.46821657411363</v>
      </c>
      <c r="F80" s="2">
        <v>177</v>
      </c>
      <c r="G80" s="2">
        <v>77</v>
      </c>
      <c r="H80" s="2">
        <v>41</v>
      </c>
      <c r="I80" s="2">
        <v>32</v>
      </c>
      <c r="J80">
        <f t="shared" si="38"/>
        <v>64.548056386159757</v>
      </c>
      <c r="K80" s="2">
        <v>60</v>
      </c>
      <c r="L80">
        <v>33</v>
      </c>
      <c r="M80">
        <f t="shared" si="36"/>
        <v>1143</v>
      </c>
      <c r="N80">
        <f>DODCompareOld!AA73</f>
        <v>723</v>
      </c>
      <c r="O80" s="2">
        <f>SAUS2002!R12</f>
        <v>0</v>
      </c>
      <c r="P80">
        <f t="shared" si="39"/>
        <v>1078.4519436138403</v>
      </c>
      <c r="Q80">
        <f t="shared" si="32"/>
        <v>1996</v>
      </c>
      <c r="R80">
        <f t="shared" si="27"/>
        <v>171.54032037590773</v>
      </c>
      <c r="S80">
        <f t="shared" si="28"/>
        <v>239.84853267834262</v>
      </c>
      <c r="T80">
        <f t="shared" si="29"/>
        <v>60.594873985476283</v>
      </c>
      <c r="U80">
        <f t="shared" si="30"/>
        <v>186.46821657411363</v>
      </c>
      <c r="V80">
        <f t="shared" si="24"/>
        <v>177</v>
      </c>
      <c r="W80">
        <f t="shared" si="33"/>
        <v>77</v>
      </c>
      <c r="X80">
        <f t="shared" si="34"/>
        <v>41</v>
      </c>
      <c r="Y80">
        <f t="shared" si="34"/>
        <v>32</v>
      </c>
      <c r="Z80">
        <f t="shared" si="20"/>
        <v>64.548056386159757</v>
      </c>
      <c r="AA80">
        <f t="shared" si="21"/>
        <v>60</v>
      </c>
      <c r="AB80">
        <f t="shared" si="22"/>
        <v>33</v>
      </c>
      <c r="AC80">
        <f t="shared" si="35"/>
        <v>1143</v>
      </c>
    </row>
    <row r="81" spans="1:29" x14ac:dyDescent="0.2">
      <c r="A81">
        <f t="shared" si="37"/>
        <v>1997</v>
      </c>
      <c r="B81" s="18">
        <f t="shared" si="40"/>
        <v>202.85888509184107</v>
      </c>
      <c r="C81" s="18">
        <f t="shared" si="40"/>
        <v>283.63830627936784</v>
      </c>
      <c r="D81" s="18">
        <f t="shared" si="40"/>
        <v>71.657838530542492</v>
      </c>
      <c r="E81" s="18">
        <f t="shared" si="40"/>
        <v>220.51220632208455</v>
      </c>
      <c r="F81" s="2">
        <v>204</v>
      </c>
      <c r="G81" s="2">
        <v>89</v>
      </c>
      <c r="H81" s="2">
        <v>48</v>
      </c>
      <c r="I81" s="2">
        <v>42</v>
      </c>
      <c r="J81">
        <f t="shared" si="38"/>
        <v>76.332763776164029</v>
      </c>
      <c r="K81" s="2">
        <v>77</v>
      </c>
      <c r="L81">
        <v>35</v>
      </c>
      <c r="M81">
        <f t="shared" si="36"/>
        <v>1350</v>
      </c>
      <c r="N81">
        <f>DODCompareOld!AA74</f>
        <v>855</v>
      </c>
      <c r="O81" s="2">
        <f>SAUS2002!R13</f>
        <v>0</v>
      </c>
      <c r="P81">
        <f t="shared" si="39"/>
        <v>1273.667236223836</v>
      </c>
      <c r="Q81">
        <f t="shared" si="32"/>
        <v>1997</v>
      </c>
      <c r="R81">
        <f t="shared" si="27"/>
        <v>202.85888509184107</v>
      </c>
      <c r="S81">
        <f t="shared" si="28"/>
        <v>283.63830627936784</v>
      </c>
      <c r="T81">
        <f t="shared" si="29"/>
        <v>71.657838530542492</v>
      </c>
      <c r="U81">
        <f t="shared" si="30"/>
        <v>220.51220632208455</v>
      </c>
      <c r="V81">
        <f t="shared" si="24"/>
        <v>204</v>
      </c>
      <c r="W81">
        <f t="shared" si="33"/>
        <v>89</v>
      </c>
      <c r="X81">
        <f t="shared" si="34"/>
        <v>48</v>
      </c>
      <c r="Y81">
        <f t="shared" si="34"/>
        <v>42</v>
      </c>
      <c r="Z81">
        <f t="shared" si="20"/>
        <v>76.332763776164029</v>
      </c>
      <c r="AA81">
        <f t="shared" si="21"/>
        <v>77</v>
      </c>
      <c r="AB81">
        <f t="shared" si="22"/>
        <v>35</v>
      </c>
      <c r="AC81">
        <f t="shared" si="35"/>
        <v>1350</v>
      </c>
    </row>
    <row r="82" spans="1:29" x14ac:dyDescent="0.2">
      <c r="A82">
        <f t="shared" si="37"/>
        <v>1998</v>
      </c>
      <c r="B82" s="18">
        <f t="shared" si="40"/>
        <v>262.41161042289616</v>
      </c>
      <c r="C82" s="18">
        <f t="shared" si="40"/>
        <v>366.90522426313544</v>
      </c>
      <c r="D82" s="18">
        <f t="shared" si="40"/>
        <v>92.69423323366081</v>
      </c>
      <c r="E82" s="18">
        <f t="shared" si="40"/>
        <v>285.24736864587783</v>
      </c>
      <c r="F82" s="2">
        <v>219</v>
      </c>
      <c r="G82" s="2">
        <v>96</v>
      </c>
      <c r="H82" s="2">
        <v>42</v>
      </c>
      <c r="I82" s="2">
        <v>47</v>
      </c>
      <c r="J82">
        <f t="shared" si="38"/>
        <v>98.741563434429722</v>
      </c>
      <c r="K82" s="2">
        <v>85</v>
      </c>
      <c r="L82">
        <v>34</v>
      </c>
      <c r="M82">
        <f t="shared" si="36"/>
        <v>1629</v>
      </c>
      <c r="N82">
        <f>DODCompareOld!AA75</f>
        <v>1106</v>
      </c>
      <c r="O82" s="2">
        <f>SAUS2002!R14</f>
        <v>0</v>
      </c>
      <c r="P82">
        <f t="shared" si="39"/>
        <v>1530.2584365655703</v>
      </c>
      <c r="Q82">
        <f t="shared" si="32"/>
        <v>1998</v>
      </c>
      <c r="R82">
        <f t="shared" si="27"/>
        <v>262.41161042289616</v>
      </c>
      <c r="S82">
        <f t="shared" si="28"/>
        <v>366.90522426313544</v>
      </c>
      <c r="T82">
        <f t="shared" si="29"/>
        <v>92.69423323366081</v>
      </c>
      <c r="U82">
        <f t="shared" si="30"/>
        <v>285.24736864587783</v>
      </c>
      <c r="V82">
        <f t="shared" si="24"/>
        <v>219</v>
      </c>
      <c r="W82">
        <f t="shared" si="33"/>
        <v>96</v>
      </c>
      <c r="X82">
        <f t="shared" si="34"/>
        <v>42</v>
      </c>
      <c r="Y82">
        <f t="shared" si="34"/>
        <v>47</v>
      </c>
      <c r="Z82">
        <f t="shared" si="20"/>
        <v>98.741563434429722</v>
      </c>
      <c r="AA82">
        <f t="shared" si="21"/>
        <v>85</v>
      </c>
      <c r="AB82">
        <f t="shared" si="22"/>
        <v>34</v>
      </c>
      <c r="AC82">
        <f t="shared" si="35"/>
        <v>1629</v>
      </c>
    </row>
    <row r="83" spans="1:29" x14ac:dyDescent="0.2">
      <c r="A83">
        <f t="shared" si="37"/>
        <v>1999</v>
      </c>
      <c r="B83" s="18">
        <f t="shared" si="40"/>
        <v>265.02149081589062</v>
      </c>
      <c r="C83" s="18">
        <f t="shared" si="40"/>
        <v>370.55437206322091</v>
      </c>
      <c r="D83" s="18">
        <f t="shared" si="40"/>
        <v>93.616146945749662</v>
      </c>
      <c r="E83" s="18">
        <f t="shared" si="40"/>
        <v>288.08436779154204</v>
      </c>
      <c r="F83" s="2">
        <v>262</v>
      </c>
      <c r="G83" s="2">
        <v>99</v>
      </c>
      <c r="H83" s="2">
        <v>50</v>
      </c>
      <c r="I83" s="2">
        <v>49</v>
      </c>
      <c r="J83">
        <f t="shared" si="38"/>
        <v>99.723622383596748</v>
      </c>
      <c r="K83" s="2">
        <v>88</v>
      </c>
      <c r="L83">
        <v>39</v>
      </c>
      <c r="M83">
        <f t="shared" si="36"/>
        <v>1704</v>
      </c>
      <c r="N83">
        <f>DODCompareOld!AA76</f>
        <v>1117</v>
      </c>
      <c r="O83" s="2">
        <f>SAUS2002!R15</f>
        <v>0</v>
      </c>
      <c r="P83">
        <f t="shared" si="39"/>
        <v>1604.2763776164034</v>
      </c>
      <c r="Q83">
        <f t="shared" si="32"/>
        <v>1999</v>
      </c>
      <c r="R83">
        <f t="shared" si="27"/>
        <v>265.02149081589062</v>
      </c>
      <c r="S83">
        <f t="shared" si="28"/>
        <v>370.55437206322091</v>
      </c>
      <c r="T83">
        <f t="shared" si="29"/>
        <v>93.616146945749662</v>
      </c>
      <c r="U83">
        <f t="shared" si="30"/>
        <v>288.08436779154204</v>
      </c>
      <c r="V83">
        <f t="shared" si="24"/>
        <v>262</v>
      </c>
      <c r="W83">
        <f t="shared" si="33"/>
        <v>99</v>
      </c>
      <c r="X83">
        <f t="shared" si="34"/>
        <v>50</v>
      </c>
      <c r="Y83">
        <f t="shared" si="34"/>
        <v>49</v>
      </c>
      <c r="Z83">
        <f t="shared" si="20"/>
        <v>99.723622383596748</v>
      </c>
      <c r="AA83">
        <f t="shared" si="21"/>
        <v>88</v>
      </c>
      <c r="AB83">
        <f t="shared" si="22"/>
        <v>39</v>
      </c>
      <c r="AC83">
        <f t="shared" si="35"/>
        <v>1704</v>
      </c>
    </row>
    <row r="84" spans="1:29" x14ac:dyDescent="0.2">
      <c r="A84">
        <f t="shared" si="37"/>
        <v>2000</v>
      </c>
      <c r="B84" s="18">
        <f t="shared" si="40"/>
        <v>279.0199401964972</v>
      </c>
      <c r="C84" s="18">
        <f t="shared" si="40"/>
        <v>390.12707390004277</v>
      </c>
      <c r="D84" s="18">
        <f t="shared" si="40"/>
        <v>98.560956856044413</v>
      </c>
      <c r="E84" s="18">
        <f t="shared" si="40"/>
        <v>303.3009995728321</v>
      </c>
      <c r="F84" s="2">
        <v>273</v>
      </c>
      <c r="G84" s="2">
        <v>88</v>
      </c>
      <c r="H84" s="2">
        <v>44</v>
      </c>
      <c r="I84" s="2">
        <v>50</v>
      </c>
      <c r="J84">
        <f t="shared" si="38"/>
        <v>104.99102947458351</v>
      </c>
      <c r="K84" s="2">
        <v>94</v>
      </c>
      <c r="L84">
        <v>27</v>
      </c>
      <c r="M84">
        <f t="shared" si="36"/>
        <v>1752</v>
      </c>
      <c r="N84">
        <f>DODCompareOld!AA77</f>
        <v>1176</v>
      </c>
      <c r="O84" s="2">
        <f>SAUS2002!R16</f>
        <v>0</v>
      </c>
      <c r="P84">
        <f t="shared" si="39"/>
        <v>1647.0089705254165</v>
      </c>
      <c r="Q84">
        <f t="shared" si="32"/>
        <v>2000</v>
      </c>
      <c r="R84">
        <f t="shared" si="27"/>
        <v>279.0199401964972</v>
      </c>
      <c r="S84">
        <f t="shared" si="28"/>
        <v>390.12707390004277</v>
      </c>
      <c r="T84">
        <f t="shared" si="29"/>
        <v>98.560956856044413</v>
      </c>
      <c r="U84">
        <f t="shared" si="30"/>
        <v>303.3009995728321</v>
      </c>
      <c r="V84">
        <f t="shared" si="24"/>
        <v>273</v>
      </c>
      <c r="W84">
        <f t="shared" si="33"/>
        <v>88</v>
      </c>
      <c r="X84">
        <f t="shared" si="34"/>
        <v>44</v>
      </c>
      <c r="Y84">
        <f t="shared" si="34"/>
        <v>50</v>
      </c>
      <c r="Z84">
        <f t="shared" si="20"/>
        <v>104.99102947458351</v>
      </c>
      <c r="AA84">
        <f t="shared" si="21"/>
        <v>94</v>
      </c>
      <c r="AB84">
        <f t="shared" si="22"/>
        <v>27</v>
      </c>
      <c r="AC84">
        <f t="shared" si="35"/>
        <v>1752</v>
      </c>
    </row>
    <row r="85" spans="1:29" x14ac:dyDescent="0.2">
      <c r="A85">
        <f t="shared" si="37"/>
        <v>2001</v>
      </c>
      <c r="B85" s="18">
        <f t="shared" si="40"/>
        <v>270.33968639960023</v>
      </c>
      <c r="C85" s="18">
        <f t="shared" si="40"/>
        <v>377.99029968918057</v>
      </c>
      <c r="D85" s="18">
        <f t="shared" si="40"/>
        <v>95.494745461357084</v>
      </c>
      <c r="E85" s="18">
        <f t="shared" si="40"/>
        <v>293.86536693922659</v>
      </c>
      <c r="F85">
        <f>(40920/37237)*F84</f>
        <v>300.00161130058808</v>
      </c>
      <c r="G85">
        <f>(3367/3427)*G84</f>
        <v>86.45929384301138</v>
      </c>
      <c r="H85">
        <f>(26821/24214)*H84</f>
        <v>48.73725943668952</v>
      </c>
      <c r="I85" s="2">
        <v>50</v>
      </c>
      <c r="J85">
        <f t="shared" si="38"/>
        <v>101.72477982376978</v>
      </c>
      <c r="K85" s="2">
        <v>94</v>
      </c>
      <c r="L85">
        <v>27</v>
      </c>
      <c r="M85">
        <f t="shared" si="36"/>
        <v>1745.6130428934232</v>
      </c>
      <c r="N85">
        <f>DODCompareOld!AA78</f>
        <v>1139.4148783131343</v>
      </c>
      <c r="O85" s="2">
        <f>SAUS2002!R17</f>
        <v>0</v>
      </c>
      <c r="P85">
        <f t="shared" si="39"/>
        <v>1643.8882630696535</v>
      </c>
      <c r="Q85">
        <f t="shared" si="32"/>
        <v>2001</v>
      </c>
      <c r="R85">
        <f t="shared" ref="R85:AB85" si="41">B85</f>
        <v>270.33968639960023</v>
      </c>
      <c r="S85">
        <f t="shared" si="41"/>
        <v>377.99029968918057</v>
      </c>
      <c r="T85">
        <f t="shared" si="41"/>
        <v>95.494745461357084</v>
      </c>
      <c r="U85">
        <f t="shared" si="41"/>
        <v>293.86536693922659</v>
      </c>
      <c r="V85">
        <f t="shared" si="41"/>
        <v>300.00161130058808</v>
      </c>
      <c r="W85">
        <f t="shared" si="41"/>
        <v>86.45929384301138</v>
      </c>
      <c r="X85">
        <f t="shared" si="41"/>
        <v>48.73725943668952</v>
      </c>
      <c r="Y85">
        <f t="shared" si="41"/>
        <v>50</v>
      </c>
      <c r="Z85">
        <f t="shared" si="41"/>
        <v>101.72477982376978</v>
      </c>
      <c r="AA85">
        <f t="shared" si="41"/>
        <v>94</v>
      </c>
      <c r="AB85">
        <f t="shared" si="41"/>
        <v>27</v>
      </c>
      <c r="AC85">
        <f>SUM(R85:AB85)</f>
        <v>1745.6130428934232</v>
      </c>
    </row>
    <row r="86" spans="1:29" x14ac:dyDescent="0.2">
      <c r="A86">
        <f t="shared" si="37"/>
        <v>2002</v>
      </c>
      <c r="D86">
        <v>1985</v>
      </c>
      <c r="E86">
        <f>SUM(B69:E69)</f>
        <v>939</v>
      </c>
      <c r="J86">
        <f>J69</f>
        <v>100</v>
      </c>
      <c r="K86">
        <f>E86+J86</f>
        <v>1039</v>
      </c>
    </row>
    <row r="87" spans="1:29" x14ac:dyDescent="0.2">
      <c r="A87">
        <f t="shared" si="37"/>
        <v>2003</v>
      </c>
      <c r="E87">
        <f>SUM(B70:E70)</f>
        <v>869</v>
      </c>
      <c r="J87">
        <f>J70</f>
        <v>91</v>
      </c>
      <c r="K87">
        <f>E87+J87</f>
        <v>960</v>
      </c>
    </row>
    <row r="88" spans="1:29" x14ac:dyDescent="0.2">
      <c r="A88">
        <f t="shared" si="37"/>
        <v>2004</v>
      </c>
      <c r="E88">
        <f>SUM(B71:E71)</f>
        <v>859</v>
      </c>
      <c r="J88">
        <f>J71</f>
        <v>74</v>
      </c>
      <c r="K88">
        <f>E88+J88</f>
        <v>933</v>
      </c>
    </row>
    <row r="89" spans="1:29" x14ac:dyDescent="0.2">
      <c r="A89">
        <f t="shared" si="37"/>
        <v>2005</v>
      </c>
      <c r="E89">
        <f>SUM(B72:E72)</f>
        <v>815</v>
      </c>
      <c r="J89">
        <f>J72</f>
        <v>68</v>
      </c>
      <c r="K89">
        <f>E89+J89</f>
        <v>883</v>
      </c>
    </row>
    <row r="90" spans="1:29" x14ac:dyDescent="0.2">
      <c r="A90">
        <f t="shared" si="37"/>
        <v>2006</v>
      </c>
      <c r="E90">
        <f>SUM(B73:E73)</f>
        <v>782</v>
      </c>
      <c r="J90">
        <f>J73</f>
        <v>85</v>
      </c>
      <c r="K90">
        <f>E90+J90</f>
        <v>867</v>
      </c>
    </row>
    <row r="91" spans="1:29" x14ac:dyDescent="0.2">
      <c r="A91">
        <f t="shared" si="37"/>
        <v>2007</v>
      </c>
    </row>
    <row r="92" spans="1:29" x14ac:dyDescent="0.2">
      <c r="A92">
        <f t="shared" si="37"/>
        <v>2008</v>
      </c>
    </row>
    <row r="93" spans="1:29" x14ac:dyDescent="0.2">
      <c r="A93">
        <f t="shared" si="37"/>
        <v>2009</v>
      </c>
    </row>
    <row r="94" spans="1:29" x14ac:dyDescent="0.2">
      <c r="A94">
        <f t="shared" si="37"/>
        <v>2010</v>
      </c>
    </row>
    <row r="99" spans="1:14" x14ac:dyDescent="0.2">
      <c r="B99" s="4"/>
      <c r="C99" t="s">
        <v>97</v>
      </c>
    </row>
    <row r="101" spans="1:14" x14ac:dyDescent="0.2">
      <c r="M101" t="s">
        <v>121</v>
      </c>
      <c r="N101" t="s">
        <v>99</v>
      </c>
    </row>
    <row r="102" spans="1:14" x14ac:dyDescent="0.2">
      <c r="A102" t="s">
        <v>120</v>
      </c>
      <c r="B102">
        <f>SUM(B69:B73)</f>
        <v>1110.8599999999999</v>
      </c>
      <c r="C102">
        <f>SUM(C69:C73)</f>
        <v>1553.21</v>
      </c>
      <c r="D102">
        <f>SUM(D69:D73)</f>
        <v>392.4</v>
      </c>
      <c r="E102">
        <f>SUM(E69:E73)</f>
        <v>1207.53</v>
      </c>
      <c r="J102">
        <f>SUM(J69:J73)</f>
        <v>418</v>
      </c>
      <c r="M102">
        <f>SUM(B102:J102)</f>
        <v>4682</v>
      </c>
      <c r="N102">
        <f>SUM(N69:N73)</f>
        <v>4682</v>
      </c>
    </row>
    <row r="103" spans="1:14" x14ac:dyDescent="0.2">
      <c r="A103" t="s">
        <v>100</v>
      </c>
      <c r="B103">
        <f>B102/$N102</f>
        <v>0.23726185390858606</v>
      </c>
      <c r="C103">
        <f>C102/$N102</f>
        <v>0.33174070909867581</v>
      </c>
      <c r="D103">
        <f>D102/$N102</f>
        <v>8.38103374626228E-2</v>
      </c>
      <c r="E103">
        <f>E102/$N102</f>
        <v>0.25790901324220417</v>
      </c>
      <c r="J103">
        <f>J102/$N102</f>
        <v>8.9278086287911146E-2</v>
      </c>
      <c r="M103">
        <f>SUM(B103:J103)</f>
        <v>1</v>
      </c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P111"/>
  <sheetViews>
    <sheetView topLeftCell="A27" workbookViewId="0">
      <selection activeCell="B41" sqref="B41"/>
    </sheetView>
  </sheetViews>
  <sheetFormatPr defaultRowHeight="12.75" x14ac:dyDescent="0.2"/>
  <cols>
    <col min="2" max="2" width="9.42578125" customWidth="1"/>
    <col min="5" max="5" width="10.140625" customWidth="1"/>
    <col min="7" max="7" width="10.140625" customWidth="1"/>
    <col min="9" max="9" width="9.85546875" customWidth="1"/>
    <col min="10" max="10" width="9.28515625" bestFit="1" customWidth="1"/>
    <col min="13" max="13" width="9.28515625" bestFit="1" customWidth="1"/>
    <col min="14" max="14" width="3.140625" customWidth="1"/>
  </cols>
  <sheetData>
    <row r="1" spans="1:16" x14ac:dyDescent="0.2">
      <c r="A1" t="s">
        <v>122</v>
      </c>
    </row>
    <row r="3" spans="1:16" x14ac:dyDescent="0.2">
      <c r="B3" t="s">
        <v>123</v>
      </c>
    </row>
    <row r="4" spans="1:16" x14ac:dyDescent="0.2">
      <c r="B4">
        <v>1</v>
      </c>
      <c r="C4" s="9">
        <f>0.1</f>
        <v>0.1</v>
      </c>
      <c r="D4" t="s">
        <v>125</v>
      </c>
    </row>
    <row r="5" spans="1:16" x14ac:dyDescent="0.2">
      <c r="B5">
        <v>2</v>
      </c>
      <c r="C5" s="9">
        <v>0.8</v>
      </c>
      <c r="D5" t="s">
        <v>126</v>
      </c>
    </row>
    <row r="6" spans="1:16" x14ac:dyDescent="0.2">
      <c r="B6" t="s">
        <v>128</v>
      </c>
      <c r="C6" s="9">
        <v>0.8</v>
      </c>
      <c r="D6" t="s">
        <v>127</v>
      </c>
    </row>
    <row r="7" spans="1:16" x14ac:dyDescent="0.2">
      <c r="B7" t="s">
        <v>129</v>
      </c>
      <c r="C7" s="9">
        <v>0.11</v>
      </c>
      <c r="D7" t="s">
        <v>131</v>
      </c>
    </row>
    <row r="8" spans="1:16" x14ac:dyDescent="0.2">
      <c r="B8" t="s">
        <v>130</v>
      </c>
      <c r="C8" s="9">
        <v>0.09</v>
      </c>
      <c r="D8" t="s">
        <v>135</v>
      </c>
    </row>
    <row r="9" spans="1:16" x14ac:dyDescent="0.2">
      <c r="B9">
        <v>3</v>
      </c>
      <c r="C9" s="9">
        <v>0.05</v>
      </c>
      <c r="D9" t="s">
        <v>137</v>
      </c>
    </row>
    <row r="10" spans="1:16" x14ac:dyDescent="0.2">
      <c r="B10">
        <v>4</v>
      </c>
      <c r="C10" s="9">
        <v>0.05</v>
      </c>
      <c r="D10" t="s">
        <v>138</v>
      </c>
    </row>
    <row r="11" spans="1:16" x14ac:dyDescent="0.2">
      <c r="B11">
        <v>5</v>
      </c>
      <c r="C11" s="9">
        <v>0.75</v>
      </c>
      <c r="D11" t="s">
        <v>143</v>
      </c>
    </row>
    <row r="12" spans="1:16" x14ac:dyDescent="0.2">
      <c r="B12">
        <v>6</v>
      </c>
      <c r="C12" s="9">
        <v>0.1</v>
      </c>
      <c r="D12" t="s">
        <v>147</v>
      </c>
    </row>
    <row r="14" spans="1:16" x14ac:dyDescent="0.2">
      <c r="O14" t="s">
        <v>144</v>
      </c>
    </row>
    <row r="15" spans="1:16" x14ac:dyDescent="0.2">
      <c r="B15" t="s">
        <v>124</v>
      </c>
      <c r="C15" t="s">
        <v>91</v>
      </c>
      <c r="D15" t="s">
        <v>132</v>
      </c>
      <c r="E15" t="s">
        <v>133</v>
      </c>
      <c r="F15" t="s">
        <v>134</v>
      </c>
      <c r="G15" t="s">
        <v>136</v>
      </c>
      <c r="H15" t="s">
        <v>139</v>
      </c>
      <c r="I15" t="s">
        <v>78</v>
      </c>
      <c r="J15" t="s">
        <v>140</v>
      </c>
      <c r="K15" t="s">
        <v>80</v>
      </c>
      <c r="L15" t="s">
        <v>142</v>
      </c>
      <c r="M15" t="s">
        <v>141</v>
      </c>
      <c r="O15" t="s">
        <v>146</v>
      </c>
      <c r="P15" t="s">
        <v>145</v>
      </c>
    </row>
    <row r="16" spans="1:16" x14ac:dyDescent="0.2">
      <c r="B16">
        <v>1925</v>
      </c>
      <c r="C16">
        <f>DODRevOld!$S9+$C$4*DODRevOld!$V9</f>
        <v>63.334999999999994</v>
      </c>
      <c r="D16" s="5">
        <f>$C$6*(DODRevOld!$R9+$C$5*DODRevOld!$T9)</f>
        <v>58.419200000000004</v>
      </c>
      <c r="E16" s="5">
        <f>$C$7*(DODRevOld!$R9+$C$5*DODRevOld!$T9)</f>
        <v>8.0326400000000007</v>
      </c>
      <c r="F16" s="5">
        <f>$C$8*(DODRevOld!$R9+$C$5*DODRevOld!$T9)</f>
        <v>6.5721600000000002</v>
      </c>
      <c r="G16">
        <f>DODRevOld!$U9</f>
        <v>28.96</v>
      </c>
      <c r="H16">
        <f>(1-$C$4-$C$9-$C$10)*DODRevOld!$V9</f>
        <v>56.11999999999999</v>
      </c>
      <c r="I16">
        <f>$C$11*DODRevOld!$W9</f>
        <v>12.074999999999999</v>
      </c>
      <c r="J16" s="5">
        <f>DODRevOld!$Z9+(1-$C$11)*DODRevOld!$W9</f>
        <v>45.424999999999997</v>
      </c>
      <c r="K16">
        <f>DODRevOld!$Y9</f>
        <v>21.849999999999998</v>
      </c>
      <c r="L16">
        <f>DODRevOld!$AA9+$C$12*DODRevOld!$AB9+$C$9*DODRevOld!$V9</f>
        <v>40.422499999999999</v>
      </c>
      <c r="M16" s="5">
        <f>DODRevOld!$X9+(1-$C$12)*DODRevOld!$AB9+(1-$C$5)*DODRevOld!$T9+$C$10*DODRevOld!$V9</f>
        <v>15.438499999999999</v>
      </c>
      <c r="N16" s="5"/>
      <c r="O16">
        <f>SUM(C16:M16)</f>
        <v>356.65</v>
      </c>
      <c r="P16">
        <f>DODRevOld!$AC9</f>
        <v>356.64999999999992</v>
      </c>
    </row>
    <row r="17" spans="2:16" x14ac:dyDescent="0.2">
      <c r="B17">
        <f>B16+1</f>
        <v>1926</v>
      </c>
      <c r="C17">
        <f>DODRevOld!$S10+$C$4*DODRevOld!$V10</f>
        <v>59.713999999999999</v>
      </c>
      <c r="D17" s="5">
        <f>$C$6*(DODRevOld!$R10+$C$5*DODRevOld!$T10)</f>
        <v>55.498240000000003</v>
      </c>
      <c r="E17" s="5">
        <f>$C$7*(DODRevOld!$R10+$C$5*DODRevOld!$T10)</f>
        <v>7.6310079999999996</v>
      </c>
      <c r="F17" s="5">
        <f>$C$8*(DODRevOld!$R10+$C$5*DODRevOld!$T10)</f>
        <v>6.2435519999999993</v>
      </c>
      <c r="G17">
        <f>DODRevOld!$U10</f>
        <v>27.512</v>
      </c>
      <c r="H17">
        <f>(1-$C$4-$C$9-$C$10)*DODRevOld!$V10</f>
        <v>49.679999999999993</v>
      </c>
      <c r="I17">
        <f>$C$11*DODRevOld!$W10</f>
        <v>12.9375</v>
      </c>
      <c r="J17" s="5">
        <f>DODRevOld!$Z10+(1-$C$11)*DODRevOld!$W10</f>
        <v>43.412499999999994</v>
      </c>
      <c r="K17">
        <f>DODRevOld!$Y10</f>
        <v>18.399999999999999</v>
      </c>
      <c r="L17">
        <f>DODRevOld!$AA10+$C$12*DODRevOld!$AB10+$C$9*DODRevOld!$V10</f>
        <v>38.064999999999998</v>
      </c>
      <c r="M17" s="5">
        <f>DODRevOld!$X10+(1-$C$12)*DODRevOld!$AB10+(1-$C$5)*DODRevOld!$T10+$C$10*DODRevOld!$V10</f>
        <v>18.0562</v>
      </c>
      <c r="N17" s="5"/>
      <c r="O17">
        <f t="shared" ref="O17:O80" si="0">SUM(C17:M17)</f>
        <v>337.14999999999992</v>
      </c>
      <c r="P17">
        <f>DODRevOld!$AC10</f>
        <v>0</v>
      </c>
    </row>
    <row r="18" spans="2:16" x14ac:dyDescent="0.2">
      <c r="B18">
        <f t="shared" ref="B18:B81" si="1">B17+1</f>
        <v>1927</v>
      </c>
      <c r="C18">
        <f>DODRevOld!$S11+$C$4*DODRevOld!$V11</f>
        <v>56.193999999999996</v>
      </c>
      <c r="D18" s="5">
        <f>$C$6*(DODRevOld!$R11+$C$5*DODRevOld!$T11)</f>
        <v>51.847039999999993</v>
      </c>
      <c r="E18" s="5">
        <f>$C$7*(DODRevOld!$R11+$C$5*DODRevOld!$T11)</f>
        <v>7.1289679999999986</v>
      </c>
      <c r="F18" s="5">
        <f>$C$8*(DODRevOld!$R11+$C$5*DODRevOld!$T11)</f>
        <v>5.8327919999999986</v>
      </c>
      <c r="G18">
        <f>DODRevOld!$U11</f>
        <v>25.701999999999998</v>
      </c>
      <c r="H18">
        <f>(1-$C$4-$C$9-$C$10)*DODRevOld!$V11</f>
        <v>49.679999999999993</v>
      </c>
      <c r="I18">
        <f>$C$11*DODRevOld!$W11</f>
        <v>16.387499999999999</v>
      </c>
      <c r="J18" s="5">
        <f>DODRevOld!$Z11+(1-$C$11)*DODRevOld!$W11</f>
        <v>49.162499999999994</v>
      </c>
      <c r="K18">
        <f>DODRevOld!$Y11</f>
        <v>19.549999999999997</v>
      </c>
      <c r="L18">
        <f>DODRevOld!$AA11+$C$12*DODRevOld!$AB11+$C$9*DODRevOld!$V11</f>
        <v>43.009999999999991</v>
      </c>
      <c r="M18" s="5">
        <f>DODRevOld!$X11+(1-$C$12)*DODRevOld!$AB11+(1-$C$5)*DODRevOld!$T11+$C$10*DODRevOld!$V11</f>
        <v>23.355199999999996</v>
      </c>
      <c r="N18" s="5"/>
      <c r="O18">
        <f t="shared" si="0"/>
        <v>347.85</v>
      </c>
      <c r="P18">
        <f>DODRevOld!$AC11</f>
        <v>0</v>
      </c>
    </row>
    <row r="19" spans="2:16" x14ac:dyDescent="0.2">
      <c r="B19">
        <f t="shared" si="1"/>
        <v>1928</v>
      </c>
      <c r="C19">
        <f>DODRevOld!$S12+$C$4*DODRevOld!$V12</f>
        <v>62.982999999999997</v>
      </c>
      <c r="D19" s="5">
        <f>$C$6*(DODRevOld!$R12+$C$5*DODRevOld!$T12)</f>
        <v>58.054079999999999</v>
      </c>
      <c r="E19" s="5">
        <f>$C$7*(DODRevOld!$R12+$C$5*DODRevOld!$T12)</f>
        <v>7.9824359999999999</v>
      </c>
      <c r="F19" s="5">
        <f>$C$8*(DODRevOld!$R12+$C$5*DODRevOld!$T12)</f>
        <v>6.5310839999999999</v>
      </c>
      <c r="G19">
        <f>DODRevOld!$U12</f>
        <v>28.779</v>
      </c>
      <c r="H19">
        <f>(1-$C$4-$C$9-$C$10)*DODRevOld!$V12</f>
        <v>56.11999999999999</v>
      </c>
      <c r="I19">
        <f>$C$11*DODRevOld!$W12</f>
        <v>17.25</v>
      </c>
      <c r="J19" s="5">
        <f>DODRevOld!$Z12+(1-$C$11)*DODRevOld!$W12</f>
        <v>42.55</v>
      </c>
      <c r="K19">
        <f>DODRevOld!$Y12</f>
        <v>17.25</v>
      </c>
      <c r="L19">
        <f>DODRevOld!$AA12+$C$12*DODRevOld!$AB12+$C$9*DODRevOld!$V12</f>
        <v>36.397499999999994</v>
      </c>
      <c r="M19" s="5">
        <f>DODRevOld!$X12+(1-$C$12)*DODRevOld!$AB12+(1-$C$5)*DODRevOld!$T12+$C$10*DODRevOld!$V12</f>
        <v>24.052900000000001</v>
      </c>
      <c r="N19" s="5"/>
      <c r="O19">
        <f t="shared" si="0"/>
        <v>357.95</v>
      </c>
      <c r="P19">
        <f>DODRevOld!$AC12</f>
        <v>0</v>
      </c>
    </row>
    <row r="20" spans="2:16" x14ac:dyDescent="0.2">
      <c r="B20">
        <f t="shared" si="1"/>
        <v>1929</v>
      </c>
      <c r="C20">
        <f>DODRevOld!$S13+$C$4*DODRevOld!$V13</f>
        <v>63.456999999999994</v>
      </c>
      <c r="D20" s="5">
        <f>$C$6*(DODRevOld!$R13+$C$5*DODRevOld!$T13)</f>
        <v>58.784320000000008</v>
      </c>
      <c r="E20" s="5">
        <f>$C$7*(DODRevOld!$R13+$C$5*DODRevOld!$T13)</f>
        <v>8.0828439999999997</v>
      </c>
      <c r="F20" s="5">
        <f>$C$8*(DODRevOld!$R13+$C$5*DODRevOld!$T13)</f>
        <v>6.6132359999999997</v>
      </c>
      <c r="G20">
        <f>DODRevOld!$U13</f>
        <v>29.140999999999998</v>
      </c>
      <c r="H20">
        <f>(1-$C$4-$C$9-$C$10)*DODRevOld!$V13</f>
        <v>54.279999999999994</v>
      </c>
      <c r="I20">
        <f>$C$11*DODRevOld!$W13</f>
        <v>17.25</v>
      </c>
      <c r="J20" s="5">
        <f>DODRevOld!$Z13+(1-$C$11)*DODRevOld!$W13</f>
        <v>34.5</v>
      </c>
      <c r="K20">
        <f>DODRevOld!$Y13</f>
        <v>14.95</v>
      </c>
      <c r="L20">
        <f>DODRevOld!$AA13+$C$12*DODRevOld!$AB13+$C$9*DODRevOld!$V13</f>
        <v>29.3825</v>
      </c>
      <c r="M20" s="5">
        <f>DODRevOld!$X13+(1-$C$12)*DODRevOld!$AB13+(1-$C$5)*DODRevOld!$T13+$C$10*DODRevOld!$V13</f>
        <v>26.259099999999997</v>
      </c>
      <c r="N20" s="5"/>
      <c r="O20">
        <f t="shared" si="0"/>
        <v>342.69999999999993</v>
      </c>
      <c r="P20">
        <f>DODRevOld!$AC13</f>
        <v>0</v>
      </c>
    </row>
    <row r="21" spans="2:16" x14ac:dyDescent="0.2">
      <c r="B21">
        <f t="shared" si="1"/>
        <v>1930</v>
      </c>
      <c r="C21">
        <f>DODRevOld!$S14+$C$4*DODRevOld!$V14</f>
        <v>40.698999999999998</v>
      </c>
      <c r="D21" s="5">
        <f>$C$6*(DODRevOld!$R14+$C$5*DODRevOld!$T14)</f>
        <v>35.416640000000001</v>
      </c>
      <c r="E21" s="5">
        <f>$C$7*(DODRevOld!$R14+$C$5*DODRevOld!$T14)</f>
        <v>4.8697879999999998</v>
      </c>
      <c r="F21" s="5">
        <f>$C$8*(DODRevOld!$R14+$C$5*DODRevOld!$T14)</f>
        <v>3.984372</v>
      </c>
      <c r="G21">
        <f>DODRevOld!$U14</f>
        <v>17.556999999999999</v>
      </c>
      <c r="H21">
        <f>(1-$C$4-$C$9-$C$10)*DODRevOld!$V14</f>
        <v>52.439999999999991</v>
      </c>
      <c r="I21">
        <f>$C$11*DODRevOld!$W14</f>
        <v>16.387499999999999</v>
      </c>
      <c r="J21" s="5">
        <f>DODRevOld!$Z14+(1-$C$11)*DODRevOld!$W14</f>
        <v>26.162499999999998</v>
      </c>
      <c r="K21">
        <f>DODRevOld!$Y14</f>
        <v>12.649999999999999</v>
      </c>
      <c r="L21">
        <f>DODRevOld!$AA14+$C$12*DODRevOld!$AB14+$C$9*DODRevOld!$V14</f>
        <v>22.482499999999998</v>
      </c>
      <c r="M21" s="5">
        <f>DODRevOld!$X14+(1-$C$12)*DODRevOld!$AB14+(1-$C$5)*DODRevOld!$T14+$C$10*DODRevOld!$V14</f>
        <v>31.100699999999993</v>
      </c>
      <c r="N21" s="5"/>
      <c r="O21">
        <f t="shared" si="0"/>
        <v>263.74999999999994</v>
      </c>
      <c r="P21">
        <f>DODRevOld!$AC14</f>
        <v>0</v>
      </c>
    </row>
    <row r="22" spans="2:16" x14ac:dyDescent="0.2">
      <c r="B22">
        <f t="shared" si="1"/>
        <v>1931</v>
      </c>
      <c r="C22">
        <f>DODRevOld!$S15+$C$4*DODRevOld!$V15</f>
        <v>21.854999999999997</v>
      </c>
      <c r="D22" s="5">
        <f>$C$6*(DODRevOld!$R15+$C$5*DODRevOld!$T15)</f>
        <v>18.256</v>
      </c>
      <c r="E22" s="5">
        <f>$C$7*(DODRevOld!$R15+$C$5*DODRevOld!$T15)</f>
        <v>2.5102000000000002</v>
      </c>
      <c r="F22" s="5">
        <f>$C$8*(DODRevOld!$R15+$C$5*DODRevOld!$T15)</f>
        <v>2.0537999999999998</v>
      </c>
      <c r="G22">
        <f>DODRevOld!$U15</f>
        <v>9.0499999999999989</v>
      </c>
      <c r="H22">
        <f>(1-$C$4-$C$9-$C$10)*DODRevOld!$V15</f>
        <v>34.039999999999992</v>
      </c>
      <c r="I22">
        <f>$C$11*DODRevOld!$W15</f>
        <v>14.662499999999998</v>
      </c>
      <c r="J22" s="5">
        <f>DODRevOld!$Z15+(1-$C$11)*DODRevOld!$W15</f>
        <v>23.287499999999998</v>
      </c>
      <c r="K22">
        <f>DODRevOld!$Y15</f>
        <v>6.8999999999999995</v>
      </c>
      <c r="L22">
        <f>DODRevOld!$AA15+$C$12*DODRevOld!$AB15+$C$9*DODRevOld!$V15</f>
        <v>18.572499999999998</v>
      </c>
      <c r="M22" s="5">
        <f>DODRevOld!$X15+(1-$C$12)*DODRevOld!$AB15+(1-$C$5)*DODRevOld!$T15+$C$10*DODRevOld!$V15</f>
        <v>33.362499999999997</v>
      </c>
      <c r="N22" s="5"/>
      <c r="O22">
        <f t="shared" si="0"/>
        <v>184.54999999999995</v>
      </c>
      <c r="P22">
        <f>DODRevOld!$AC15</f>
        <v>0</v>
      </c>
    </row>
    <row r="23" spans="2:16" x14ac:dyDescent="0.2">
      <c r="B23">
        <f t="shared" si="1"/>
        <v>1932</v>
      </c>
      <c r="C23">
        <f>DODRevOld!$S16+$C$4*DODRevOld!$V16</f>
        <v>10.058</v>
      </c>
      <c r="D23" s="5">
        <f>$C$6*(DODRevOld!$R16+$C$5*DODRevOld!$T16)</f>
        <v>8.7628800000000009</v>
      </c>
      <c r="E23" s="5">
        <f>$C$7*(DODRevOld!$R16+$C$5*DODRevOld!$T16)</f>
        <v>1.204896</v>
      </c>
      <c r="F23" s="5">
        <f>$C$8*(DODRevOld!$R16+$C$5*DODRevOld!$T16)</f>
        <v>0.98582399999999992</v>
      </c>
      <c r="G23">
        <f>DODRevOld!$U16</f>
        <v>4.3439999999999994</v>
      </c>
      <c r="H23">
        <f>(1-$C$4-$C$9-$C$10)*DODRevOld!$V16</f>
        <v>12.879999999999997</v>
      </c>
      <c r="I23">
        <f>$C$11*DODRevOld!$W16</f>
        <v>6.0374999999999996</v>
      </c>
      <c r="J23" s="5">
        <f>DODRevOld!$Z16+(1-$C$11)*DODRevOld!$W16</f>
        <v>10.062499999999998</v>
      </c>
      <c r="K23">
        <f>DODRevOld!$Y16</f>
        <v>4.5999999999999996</v>
      </c>
      <c r="L23">
        <f>DODRevOld!$AA16+$C$12*DODRevOld!$AB16+$C$9*DODRevOld!$V16</f>
        <v>7.8199999999999994</v>
      </c>
      <c r="M23" s="5">
        <f>DODRevOld!$X16+(1-$C$12)*DODRevOld!$AB16+(1-$C$5)*DODRevOld!$T16+$C$10*DODRevOld!$V16</f>
        <v>20.494399999999999</v>
      </c>
      <c r="N23" s="5"/>
      <c r="O23">
        <f t="shared" si="0"/>
        <v>87.25</v>
      </c>
      <c r="P23">
        <f>DODRevOld!$AC16</f>
        <v>0</v>
      </c>
    </row>
    <row r="24" spans="2:16" x14ac:dyDescent="0.2">
      <c r="B24">
        <f t="shared" si="1"/>
        <v>1933</v>
      </c>
      <c r="C24">
        <f>DODRevOld!$S17+$C$4*DODRevOld!$V17</f>
        <v>8.7859999999999996</v>
      </c>
      <c r="D24" s="5">
        <f>$C$6*(DODRevOld!$R17+$C$5*DODRevOld!$T17)</f>
        <v>8.3977599999999999</v>
      </c>
      <c r="E24" s="5">
        <f>$C$7*(DODRevOld!$R17+$C$5*DODRevOld!$T17)</f>
        <v>1.1546920000000001</v>
      </c>
      <c r="F24" s="5">
        <f>$C$8*(DODRevOld!$R17+$C$5*DODRevOld!$T17)</f>
        <v>0.94474799999999992</v>
      </c>
      <c r="G24">
        <f>DODRevOld!$U17</f>
        <v>4.1630000000000003</v>
      </c>
      <c r="H24">
        <f>(1-$C$4-$C$9-$C$10)*DODRevOld!$V17</f>
        <v>5.5199999999999987</v>
      </c>
      <c r="I24">
        <f>$C$11*DODRevOld!$W17</f>
        <v>5.1749999999999998</v>
      </c>
      <c r="J24" s="5">
        <f>DODRevOld!$Z17+(1-$C$11)*DODRevOld!$W17</f>
        <v>9.7749999999999986</v>
      </c>
      <c r="K24">
        <f>DODRevOld!$Y17</f>
        <v>3.4499999999999997</v>
      </c>
      <c r="L24">
        <f>DODRevOld!$AA17+$C$12*DODRevOld!$AB17+$C$9*DODRevOld!$V17</f>
        <v>7.4749999999999988</v>
      </c>
      <c r="M24" s="5">
        <f>DODRevOld!$X17+(1-$C$12)*DODRevOld!$AB17+(1-$C$5)*DODRevOld!$T17+$C$10*DODRevOld!$V17</f>
        <v>14.158800000000001</v>
      </c>
      <c r="N24" s="5"/>
      <c r="O24">
        <f t="shared" si="0"/>
        <v>69</v>
      </c>
      <c r="P24">
        <f>DODRevOld!$AC17</f>
        <v>0</v>
      </c>
    </row>
    <row r="25" spans="2:16" x14ac:dyDescent="0.2">
      <c r="B25">
        <f t="shared" si="1"/>
        <v>1934</v>
      </c>
      <c r="C25">
        <f>DODRevOld!$S18+$C$4*DODRevOld!$V18</f>
        <v>11.811</v>
      </c>
      <c r="D25" s="5">
        <f>$C$6*(DODRevOld!$R18+$C$5*DODRevOld!$T18)</f>
        <v>10.22336</v>
      </c>
      <c r="E25" s="5">
        <f>$C$7*(DODRevOld!$R18+$C$5*DODRevOld!$T18)</f>
        <v>1.4057119999999999</v>
      </c>
      <c r="F25" s="5">
        <f>$C$8*(DODRevOld!$R18+$C$5*DODRevOld!$T18)</f>
        <v>1.1501279999999998</v>
      </c>
      <c r="G25">
        <f>DODRevOld!$U18</f>
        <v>5.0679999999999996</v>
      </c>
      <c r="H25">
        <f>(1-$C$4-$C$9-$C$10)*DODRevOld!$V18</f>
        <v>15.639999999999997</v>
      </c>
      <c r="I25">
        <f>$C$11*DODRevOld!$W18</f>
        <v>3.4499999999999997</v>
      </c>
      <c r="J25" s="5">
        <f>DODRevOld!$Z18+(1-$C$11)*DODRevOld!$W18</f>
        <v>10.35</v>
      </c>
      <c r="K25">
        <f>DODRevOld!$Y18</f>
        <v>3.4499999999999997</v>
      </c>
      <c r="L25">
        <f>DODRevOld!$AA18+$C$12*DODRevOld!$AB18+$C$9*DODRevOld!$V18</f>
        <v>9.1424999999999983</v>
      </c>
      <c r="M25" s="5">
        <f>DODRevOld!$X18+(1-$C$12)*DODRevOld!$AB18+(1-$C$5)*DODRevOld!$T18+$C$10*DODRevOld!$V18</f>
        <v>12.659299999999998</v>
      </c>
      <c r="N25" s="5"/>
      <c r="O25">
        <f t="shared" si="0"/>
        <v>84.35</v>
      </c>
      <c r="P25">
        <f>DODRevOld!$AC18</f>
        <v>0</v>
      </c>
    </row>
    <row r="26" spans="2:16" x14ac:dyDescent="0.2">
      <c r="B26">
        <f t="shared" si="1"/>
        <v>1935</v>
      </c>
      <c r="C26">
        <f>DODRevOld!$S19+$C$4*DODRevOld!$V19</f>
        <v>17.149999999999999</v>
      </c>
      <c r="D26" s="5">
        <f>$C$6*(DODRevOld!$R19+$C$5*DODRevOld!$T19)</f>
        <v>12.779199999999999</v>
      </c>
      <c r="E26" s="5">
        <f>$C$7*(DODRevOld!$R19+$C$5*DODRevOld!$T19)</f>
        <v>1.7571399999999999</v>
      </c>
      <c r="F26" s="5">
        <f>$C$8*(DODRevOld!$R19+$C$5*DODRevOld!$T19)</f>
        <v>1.4376599999999997</v>
      </c>
      <c r="G26">
        <f>DODRevOld!$U19</f>
        <v>6.335</v>
      </c>
      <c r="H26">
        <f>(1-$C$4-$C$9-$C$10)*DODRevOld!$V19</f>
        <v>38.639999999999993</v>
      </c>
      <c r="I26">
        <f>$C$11*DODRevOld!$W19</f>
        <v>5.1749999999999998</v>
      </c>
      <c r="J26" s="5">
        <f>DODRevOld!$Z19+(1-$C$11)*DODRevOld!$W19</f>
        <v>12.074999999999999</v>
      </c>
      <c r="K26">
        <f>DODRevOld!$Y19</f>
        <v>4.5999999999999996</v>
      </c>
      <c r="L26">
        <f>DODRevOld!$AA19+$C$12*DODRevOld!$AB19+$C$9*DODRevOld!$V19</f>
        <v>11.73</v>
      </c>
      <c r="M26" s="5">
        <f>DODRevOld!$X19+(1-$C$12)*DODRevOld!$AB19+(1-$C$5)*DODRevOld!$T19+$C$10*DODRevOld!$V19</f>
        <v>19.920999999999996</v>
      </c>
      <c r="N26" s="5"/>
      <c r="O26">
        <f t="shared" si="0"/>
        <v>131.6</v>
      </c>
      <c r="P26">
        <f>DODRevOld!$AC19</f>
        <v>0</v>
      </c>
    </row>
    <row r="27" spans="2:16" x14ac:dyDescent="0.2">
      <c r="B27">
        <f t="shared" si="1"/>
        <v>1936</v>
      </c>
      <c r="C27">
        <f>DODRevOld!$S20+$C$4*DODRevOld!$V20</f>
        <v>24.893999999999998</v>
      </c>
      <c r="D27" s="5">
        <f>$C$6*(DODRevOld!$R20+$C$5*DODRevOld!$T20)</f>
        <v>20.811840000000004</v>
      </c>
      <c r="E27" s="5">
        <f>$C$7*(DODRevOld!$R20+$C$5*DODRevOld!$T20)</f>
        <v>2.8616280000000001</v>
      </c>
      <c r="F27" s="5">
        <f>$C$8*(DODRevOld!$R20+$C$5*DODRevOld!$T20)</f>
        <v>2.341332</v>
      </c>
      <c r="G27">
        <f>DODRevOld!$U20</f>
        <v>10.317</v>
      </c>
      <c r="H27">
        <f>(1-$C$4-$C$9-$C$10)*DODRevOld!$V20</f>
        <v>38.639999999999993</v>
      </c>
      <c r="I27">
        <f>$C$11*DODRevOld!$W20</f>
        <v>8.625</v>
      </c>
      <c r="J27" s="5">
        <f>DODRevOld!$Z20+(1-$C$11)*DODRevOld!$W20</f>
        <v>22.424999999999997</v>
      </c>
      <c r="K27">
        <f>DODRevOld!$Y20</f>
        <v>4.5999999999999996</v>
      </c>
      <c r="L27">
        <f>DODRevOld!$AA20+$C$12*DODRevOld!$AB20+$C$9*DODRevOld!$V20</f>
        <v>17.48</v>
      </c>
      <c r="M27" s="5">
        <f>DODRevOld!$X20+(1-$C$12)*DODRevOld!$AB20+(1-$C$5)*DODRevOld!$T20+$C$10*DODRevOld!$V20</f>
        <v>20.154199999999996</v>
      </c>
      <c r="N27" s="5"/>
      <c r="O27">
        <f t="shared" si="0"/>
        <v>173.14999999999998</v>
      </c>
      <c r="P27">
        <f>DODRevOld!$AC20</f>
        <v>0</v>
      </c>
    </row>
    <row r="28" spans="2:16" x14ac:dyDescent="0.2">
      <c r="B28">
        <f t="shared" si="1"/>
        <v>1937</v>
      </c>
      <c r="C28">
        <f>DODRevOld!$S21+$C$4*DODRevOld!$V21</f>
        <v>25.963999999999999</v>
      </c>
      <c r="D28" s="5">
        <f>$C$6*(DODRevOld!$R21+$C$5*DODRevOld!$T21)</f>
        <v>22.637439999999998</v>
      </c>
      <c r="E28" s="5">
        <f>$C$7*(DODRevOld!$R21+$C$5*DODRevOld!$T21)</f>
        <v>3.1126479999999996</v>
      </c>
      <c r="F28" s="5">
        <f>$C$8*(DODRevOld!$R21+$C$5*DODRevOld!$T21)</f>
        <v>2.5467119999999999</v>
      </c>
      <c r="G28">
        <f>DODRevOld!$U21</f>
        <v>11.222</v>
      </c>
      <c r="H28">
        <f>(1-$C$4-$C$9-$C$10)*DODRevOld!$V21</f>
        <v>33.119999999999997</v>
      </c>
      <c r="I28">
        <f>$C$11*DODRevOld!$W21</f>
        <v>9.4874999999999989</v>
      </c>
      <c r="J28" s="5">
        <f>DODRevOld!$Z21+(1-$C$11)*DODRevOld!$W21</f>
        <v>22.712499999999999</v>
      </c>
      <c r="K28">
        <f>DODRevOld!$Y21</f>
        <v>6.8999999999999995</v>
      </c>
      <c r="L28">
        <f>DODRevOld!$AA21+$C$12*DODRevOld!$AB21+$C$9*DODRevOld!$V21</f>
        <v>18.284999999999997</v>
      </c>
      <c r="M28" s="5">
        <f>DODRevOld!$X21+(1-$C$12)*DODRevOld!$AB21+(1-$C$5)*DODRevOld!$T21+$C$10*DODRevOld!$V21</f>
        <v>17.562199999999997</v>
      </c>
      <c r="N28" s="5"/>
      <c r="O28">
        <f t="shared" si="0"/>
        <v>173.54999999999998</v>
      </c>
      <c r="P28">
        <f>DODRevOld!$AC21</f>
        <v>0</v>
      </c>
    </row>
    <row r="29" spans="2:16" x14ac:dyDescent="0.2">
      <c r="B29">
        <f t="shared" si="1"/>
        <v>1938</v>
      </c>
      <c r="C29">
        <f>DODRevOld!$S22+$C$4*DODRevOld!$V22</f>
        <v>21.338999999999999</v>
      </c>
      <c r="D29" s="5">
        <f>$C$6*(DODRevOld!$R22+$C$5*DODRevOld!$T22)</f>
        <v>15.335039999999999</v>
      </c>
      <c r="E29" s="5">
        <f>$C$7*(DODRevOld!$R22+$C$5*DODRevOld!$T22)</f>
        <v>2.1085679999999996</v>
      </c>
      <c r="F29" s="5">
        <f>$C$8*(DODRevOld!$R22+$C$5*DODRevOld!$T22)</f>
        <v>1.7251919999999996</v>
      </c>
      <c r="G29">
        <f>DODRevOld!$U22</f>
        <v>7.6019999999999994</v>
      </c>
      <c r="H29">
        <f>(1-$C$4-$C$9-$C$10)*DODRevOld!$V22</f>
        <v>52.439999999999991</v>
      </c>
      <c r="I29">
        <f>$C$11*DODRevOld!$W22</f>
        <v>14.662499999999998</v>
      </c>
      <c r="J29" s="5">
        <f>DODRevOld!$Z22+(1-$C$11)*DODRevOld!$W22</f>
        <v>29.037499999999998</v>
      </c>
      <c r="K29">
        <f>DODRevOld!$Y22</f>
        <v>5.75</v>
      </c>
      <c r="L29">
        <f>DODRevOld!$AA22+$C$12*DODRevOld!$AB22+$C$9*DODRevOld!$V22</f>
        <v>24.092499999999998</v>
      </c>
      <c r="M29" s="5">
        <f>DODRevOld!$X22+(1-$C$12)*DODRevOld!$AB22+(1-$C$5)*DODRevOld!$T22+$C$10*DODRevOld!$V22</f>
        <v>23.157699999999998</v>
      </c>
      <c r="N29" s="5"/>
      <c r="O29">
        <f t="shared" si="0"/>
        <v>197.24999999999997</v>
      </c>
      <c r="P29">
        <f>DODRevOld!$AC22</f>
        <v>0</v>
      </c>
    </row>
    <row r="30" spans="2:16" x14ac:dyDescent="0.2">
      <c r="B30">
        <f t="shared" si="1"/>
        <v>1939</v>
      </c>
      <c r="C30">
        <f>DODRevOld!$S23+$C$4*DODRevOld!$V23</f>
        <v>21.157999999999998</v>
      </c>
      <c r="D30" s="5">
        <f>$C$6*(DODRevOld!$R23+$C$5*DODRevOld!$T23)</f>
        <v>17.890879999999999</v>
      </c>
      <c r="E30" s="5">
        <f>$C$7*(DODRevOld!$R23+$C$5*DODRevOld!$T23)</f>
        <v>2.4599959999999998</v>
      </c>
      <c r="F30" s="5">
        <f>$C$8*(DODRevOld!$R23+$C$5*DODRevOld!$T23)</f>
        <v>2.012724</v>
      </c>
      <c r="G30">
        <f>DODRevOld!$U23</f>
        <v>8.8689999999999998</v>
      </c>
      <c r="H30">
        <f>(1-$C$4-$C$9-$C$10)*DODRevOld!$V23</f>
        <v>31.279999999999994</v>
      </c>
      <c r="I30">
        <f>$C$11*DODRevOld!$W23</f>
        <v>10.35</v>
      </c>
      <c r="J30" s="5">
        <f>DODRevOld!$Z23+(1-$C$11)*DODRevOld!$W23</f>
        <v>19.549999999999997</v>
      </c>
      <c r="K30">
        <f>DODRevOld!$Y23</f>
        <v>6.8999999999999995</v>
      </c>
      <c r="L30">
        <f>DODRevOld!$AA23+$C$12*DODRevOld!$AB23+$C$9*DODRevOld!$V23</f>
        <v>15.87</v>
      </c>
      <c r="M30" s="5">
        <f>DODRevOld!$X23+(1-$C$12)*DODRevOld!$AB23+(1-$C$5)*DODRevOld!$T23+$C$10*DODRevOld!$V23</f>
        <v>20.759399999999999</v>
      </c>
      <c r="N30" s="5"/>
      <c r="O30">
        <f t="shared" si="0"/>
        <v>157.09999999999997</v>
      </c>
      <c r="P30">
        <f>DODRevOld!$AC23</f>
        <v>0</v>
      </c>
    </row>
    <row r="31" spans="2:16" x14ac:dyDescent="0.2">
      <c r="B31">
        <f t="shared" si="1"/>
        <v>1940</v>
      </c>
      <c r="C31">
        <f>DODRevOld!$S24+$C$4*DODRevOld!$V24</f>
        <v>26.459</v>
      </c>
      <c r="D31" s="5">
        <f>$C$6*(DODRevOld!$R24+$C$5*DODRevOld!$T24)</f>
        <v>24.463040000000003</v>
      </c>
      <c r="E31" s="5">
        <f>$C$7*(DODRevOld!$R24+$C$5*DODRevOld!$T24)</f>
        <v>3.3636680000000001</v>
      </c>
      <c r="F31" s="5">
        <f>$C$8*(DODRevOld!$R24+$C$5*DODRevOld!$T24)</f>
        <v>2.7520920000000002</v>
      </c>
      <c r="G31">
        <f>DODRevOld!$U24</f>
        <v>12.126999999999999</v>
      </c>
      <c r="H31">
        <f>(1-$C$4-$C$9-$C$10)*DODRevOld!$V24</f>
        <v>22.999999999999996</v>
      </c>
      <c r="I31">
        <f>$C$11*DODRevOld!$W24</f>
        <v>12.074999999999999</v>
      </c>
      <c r="J31" s="5">
        <f>DODRevOld!$Z24+(1-$C$11)*DODRevOld!$W24</f>
        <v>20.124999999999996</v>
      </c>
      <c r="K31">
        <f>DODRevOld!$Y24</f>
        <v>8.0499999999999989</v>
      </c>
      <c r="L31">
        <f>DODRevOld!$AA24+$C$12*DODRevOld!$AB24+$C$9*DODRevOld!$V24</f>
        <v>19.4925</v>
      </c>
      <c r="M31" s="5">
        <f>DODRevOld!$X24+(1-$C$12)*DODRevOld!$AB24+(1-$C$5)*DODRevOld!$T24+$C$10*DODRevOld!$V24</f>
        <v>54.242699999999999</v>
      </c>
      <c r="N31" s="5"/>
      <c r="O31">
        <f t="shared" si="0"/>
        <v>206.15000000000003</v>
      </c>
      <c r="P31">
        <f>DODRevOld!$AC24</f>
        <v>0</v>
      </c>
    </row>
    <row r="32" spans="2:16" x14ac:dyDescent="0.2">
      <c r="B32">
        <f t="shared" si="1"/>
        <v>1941</v>
      </c>
      <c r="C32">
        <f>DODRevOld!$S25+$C$4*DODRevOld!$V25</f>
        <v>40.071999999999996</v>
      </c>
      <c r="D32" s="5">
        <f>$C$6*(DODRevOld!$R25+$C$5*DODRevOld!$T25)</f>
        <v>38.702719999999999</v>
      </c>
      <c r="E32" s="5">
        <f>$C$7*(DODRevOld!$R25+$C$5*DODRevOld!$T25)</f>
        <v>5.3216239999999999</v>
      </c>
      <c r="F32" s="5">
        <f>$C$8*(DODRevOld!$R25+$C$5*DODRevOld!$T25)</f>
        <v>4.3540559999999999</v>
      </c>
      <c r="G32">
        <f>DODRevOld!$U25</f>
        <v>19.186</v>
      </c>
      <c r="H32">
        <f>(1-$C$4-$C$9-$C$10)*DODRevOld!$V25</f>
        <v>22.079999999999995</v>
      </c>
      <c r="I32">
        <f>$C$11*DODRevOld!$W25</f>
        <v>12.9375</v>
      </c>
      <c r="J32" s="5">
        <f>DODRevOld!$Z25+(1-$C$11)*DODRevOld!$W25</f>
        <v>25.012499999999999</v>
      </c>
      <c r="K32">
        <f>DODRevOld!$Y25</f>
        <v>10.35</v>
      </c>
      <c r="L32">
        <f>DODRevOld!$AA25+$C$12*DODRevOld!$AB25+$C$9*DODRevOld!$V25</f>
        <v>26.564999999999998</v>
      </c>
      <c r="M32" s="5">
        <f>DODRevOld!$X25+(1-$C$12)*DODRevOld!$AB25+(1-$C$5)*DODRevOld!$T25+$C$10*DODRevOld!$V25</f>
        <v>90.018599999999978</v>
      </c>
      <c r="N32" s="5"/>
      <c r="O32">
        <f t="shared" si="0"/>
        <v>294.59999999999997</v>
      </c>
      <c r="P32">
        <f>DODRevOld!$AC25</f>
        <v>0</v>
      </c>
    </row>
    <row r="33" spans="2:16" x14ac:dyDescent="0.2">
      <c r="B33">
        <f t="shared" si="1"/>
        <v>1942</v>
      </c>
      <c r="C33">
        <f>DODRevOld!$S26+$C$4*DODRevOld!$V26</f>
        <v>29.613</v>
      </c>
      <c r="D33" s="5">
        <f>$C$6*(DODRevOld!$R26+$C$5*DODRevOld!$T26)</f>
        <v>27.018880000000003</v>
      </c>
      <c r="E33" s="5">
        <f>$C$7*(DODRevOld!$R26+$C$5*DODRevOld!$T26)</f>
        <v>3.7150960000000004</v>
      </c>
      <c r="F33" s="5">
        <f>$C$8*(DODRevOld!$R26+$C$5*DODRevOld!$T26)</f>
        <v>3.0396239999999999</v>
      </c>
      <c r="G33">
        <f>DODRevOld!$U26</f>
        <v>13.394</v>
      </c>
      <c r="H33">
        <f>(1-$C$4-$C$9-$C$10)*DODRevOld!$V26</f>
        <v>28.519999999999996</v>
      </c>
      <c r="I33">
        <f>$C$11*DODRevOld!$W26</f>
        <v>29.324999999999996</v>
      </c>
      <c r="J33" s="5">
        <f>DODRevOld!$Z26+(1-$C$11)*DODRevOld!$W26</f>
        <v>41.974999999999994</v>
      </c>
      <c r="K33">
        <f>DODRevOld!$Y26</f>
        <v>3.4499999999999997</v>
      </c>
      <c r="L33">
        <f>DODRevOld!$AA26+$C$12*DODRevOld!$AB26+$C$9*DODRevOld!$V26</f>
        <v>53.072499999999998</v>
      </c>
      <c r="M33" s="5">
        <f>DODRevOld!$X26+(1-$C$12)*DODRevOld!$AB26+(1-$C$5)*DODRevOld!$T26+$C$10*DODRevOld!$V26</f>
        <v>249.12689999999998</v>
      </c>
      <c r="N33" s="5"/>
      <c r="O33">
        <f t="shared" si="0"/>
        <v>482.24999999999994</v>
      </c>
      <c r="P33">
        <f>DODRevOld!$AC26</f>
        <v>0</v>
      </c>
    </row>
    <row r="34" spans="2:16" x14ac:dyDescent="0.2">
      <c r="B34">
        <f t="shared" si="1"/>
        <v>1943</v>
      </c>
      <c r="C34">
        <f>DODRevOld!$S27+$C$4*DODRevOld!$V27</f>
        <v>9.1239999999999988</v>
      </c>
      <c r="D34" s="5">
        <f>$C$6*(DODRevOld!$R27+$C$5*DODRevOld!$T27)</f>
        <v>8.0326399999999989</v>
      </c>
      <c r="E34" s="5">
        <f>$C$7*(DODRevOld!$R27+$C$5*DODRevOld!$T27)</f>
        <v>1.1044879999999999</v>
      </c>
      <c r="F34" s="5">
        <f>$C$8*(DODRevOld!$R27+$C$5*DODRevOld!$T27)</f>
        <v>0.90367199999999992</v>
      </c>
      <c r="G34">
        <f>DODRevOld!$U27</f>
        <v>3.9819999999999998</v>
      </c>
      <c r="H34">
        <f>(1-$C$4-$C$9-$C$10)*DODRevOld!$V27</f>
        <v>11.039999999999997</v>
      </c>
      <c r="I34">
        <f>$C$11*DODRevOld!$W27</f>
        <v>17.25</v>
      </c>
      <c r="J34" s="5">
        <f>DODRevOld!$Z27+(1-$C$11)*DODRevOld!$W27</f>
        <v>29.9</v>
      </c>
      <c r="K34">
        <f>DODRevOld!$Y27</f>
        <v>1.1499999999999999</v>
      </c>
      <c r="L34">
        <f>DODRevOld!$AA27+$C$12*DODRevOld!$AB27+$C$9*DODRevOld!$V27</f>
        <v>23.23</v>
      </c>
      <c r="M34" s="5">
        <f>DODRevOld!$X27+(1-$C$12)*DODRevOld!$AB27+(1-$C$5)*DODRevOld!$T27+$C$10*DODRevOld!$V27</f>
        <v>74.983199999999982</v>
      </c>
      <c r="N34" s="5"/>
      <c r="O34">
        <f t="shared" si="0"/>
        <v>180.7</v>
      </c>
      <c r="P34">
        <f>DODRevOld!$AC27</f>
        <v>0</v>
      </c>
    </row>
    <row r="35" spans="2:16" x14ac:dyDescent="0.2">
      <c r="B35">
        <f t="shared" si="1"/>
        <v>1944</v>
      </c>
      <c r="C35">
        <f>DODRevOld!$S28+$C$4*DODRevOld!$V28</f>
        <v>5.3740000000000006</v>
      </c>
      <c r="D35" s="5">
        <f>$C$6*(DODRevOld!$R28+$C$5*DODRevOld!$T28)</f>
        <v>4.3814400000000004</v>
      </c>
      <c r="E35" s="5">
        <f>$C$7*(DODRevOld!$R28+$C$5*DODRevOld!$T28)</f>
        <v>0.60244799999999998</v>
      </c>
      <c r="F35" s="5">
        <f>$C$8*(DODRevOld!$R28+$C$5*DODRevOld!$T28)</f>
        <v>0.49291199999999996</v>
      </c>
      <c r="G35">
        <f>DODRevOld!$U28</f>
        <v>2.1719999999999997</v>
      </c>
      <c r="H35">
        <f>(1-$C$4-$C$9-$C$10)*DODRevOld!$V28</f>
        <v>9.1999999999999993</v>
      </c>
      <c r="I35">
        <f>$C$11*DODRevOld!$W28</f>
        <v>6.8999999999999995</v>
      </c>
      <c r="J35" s="5">
        <f>DODRevOld!$Z28+(1-$C$11)*DODRevOld!$W28</f>
        <v>9.1999999999999993</v>
      </c>
      <c r="K35">
        <f>DODRevOld!$Y28</f>
        <v>1.1499999999999999</v>
      </c>
      <c r="L35">
        <f>DODRevOld!$AA28+$C$12*DODRevOld!$AB28+$C$9*DODRevOld!$V28</f>
        <v>10.119999999999999</v>
      </c>
      <c r="M35" s="5">
        <f>DODRevOld!$X28+(1-$C$12)*DODRevOld!$AB28+(1-$C$5)*DODRevOld!$T28+$C$10*DODRevOld!$V28</f>
        <v>37.157199999999996</v>
      </c>
      <c r="N35" s="5"/>
      <c r="O35">
        <f t="shared" si="0"/>
        <v>86.75</v>
      </c>
      <c r="P35">
        <f>DODRevOld!$AC28</f>
        <v>0</v>
      </c>
    </row>
    <row r="36" spans="2:16" x14ac:dyDescent="0.2">
      <c r="B36">
        <f t="shared" si="1"/>
        <v>1945</v>
      </c>
      <c r="C36">
        <f>DODRevOld!$S29+$C$4*DODRevOld!$V29</f>
        <v>23.670999999999999</v>
      </c>
      <c r="D36" s="5">
        <f>$C$6*(DODRevOld!$R29+$C$5*DODRevOld!$T29)</f>
        <v>23.002559999999999</v>
      </c>
      <c r="E36" s="5">
        <f>$C$7*(DODRevOld!$R29+$C$5*DODRevOld!$T29)</f>
        <v>3.1628519999999996</v>
      </c>
      <c r="F36" s="5">
        <f>$C$8*(DODRevOld!$R29+$C$5*DODRevOld!$T29)</f>
        <v>2.5877879999999998</v>
      </c>
      <c r="G36">
        <f>DODRevOld!$U29</f>
        <v>11.403</v>
      </c>
      <c r="H36">
        <f>(1-$C$4-$C$9-$C$10)*DODRevOld!$V29</f>
        <v>11.959999999999999</v>
      </c>
      <c r="I36">
        <f>$C$11*DODRevOld!$W29</f>
        <v>9.4874999999999989</v>
      </c>
      <c r="J36" s="5">
        <f>DODRevOld!$Z29+(1-$C$11)*DODRevOld!$W29</f>
        <v>16.962499999999999</v>
      </c>
      <c r="K36">
        <f>DODRevOld!$Y29</f>
        <v>5.75</v>
      </c>
      <c r="L36">
        <f>DODRevOld!$AA29+$C$12*DODRevOld!$AB29+$C$9*DODRevOld!$V29</f>
        <v>12.9375</v>
      </c>
      <c r="M36" s="5">
        <f>DODRevOld!$X29+(1-$C$12)*DODRevOld!$AB29+(1-$C$5)*DODRevOld!$T29+$C$10*DODRevOld!$V29</f>
        <v>30.625299999999999</v>
      </c>
      <c r="N36" s="5"/>
      <c r="O36">
        <f t="shared" si="0"/>
        <v>151.55000000000001</v>
      </c>
      <c r="P36">
        <f>DODRevOld!$AC29</f>
        <v>0</v>
      </c>
    </row>
    <row r="37" spans="2:16" x14ac:dyDescent="0.2">
      <c r="B37">
        <f t="shared" si="1"/>
        <v>1946</v>
      </c>
      <c r="C37">
        <f>DODRevOld!$S30+$C$4*DODRevOld!$V30</f>
        <v>45.007999999999996</v>
      </c>
      <c r="D37" s="5">
        <f>$C$6*(DODRevOld!$R30+$C$5*DODRevOld!$T30)</f>
        <v>43.449280000000002</v>
      </c>
      <c r="E37" s="5">
        <f>$C$7*(DODRevOld!$R30+$C$5*DODRevOld!$T30)</f>
        <v>5.9742759999999997</v>
      </c>
      <c r="F37" s="5">
        <f>$C$8*(DODRevOld!$R30+$C$5*DODRevOld!$T30)</f>
        <v>4.8880439999999998</v>
      </c>
      <c r="G37">
        <f>DODRevOld!$U30</f>
        <v>21.538999999999998</v>
      </c>
      <c r="H37">
        <f>(1-$C$4-$C$9-$C$10)*DODRevOld!$V30</f>
        <v>24.959999999999997</v>
      </c>
      <c r="I37">
        <f>$C$11*DODRevOld!$W30</f>
        <v>13.5</v>
      </c>
      <c r="J37" s="5">
        <f>DODRevOld!$Z30+(1-$C$11)*DODRevOld!$W30</f>
        <v>22.5</v>
      </c>
      <c r="K37">
        <f>DODRevOld!$Y30</f>
        <v>9.6</v>
      </c>
      <c r="L37">
        <f>DODRevOld!$AA30+$C$12*DODRevOld!$AB30+$C$9*DODRevOld!$V30</f>
        <v>16.559999999999999</v>
      </c>
      <c r="M37" s="5">
        <f>DODRevOld!$X30+(1-$C$12)*DODRevOld!$AB30+(1-$C$5)*DODRevOld!$T30+$C$10*DODRevOld!$V30</f>
        <v>21.421399999999995</v>
      </c>
      <c r="N37" s="5"/>
      <c r="O37">
        <f t="shared" si="0"/>
        <v>229.4</v>
      </c>
      <c r="P37">
        <f>DODRevOld!$AC30</f>
        <v>0</v>
      </c>
    </row>
    <row r="38" spans="2:16" x14ac:dyDescent="0.2">
      <c r="B38">
        <f t="shared" si="1"/>
        <v>1947</v>
      </c>
      <c r="C38">
        <f>DODRevOld!$S31+$C$4*DODRevOld!$V31</f>
        <v>40.119999999999997</v>
      </c>
      <c r="D38" s="5">
        <f>$C$6*(DODRevOld!$R31+$C$5*DODRevOld!$T31)</f>
        <v>36.512</v>
      </c>
      <c r="E38" s="5">
        <f>$C$7*(DODRevOld!$R31+$C$5*DODRevOld!$T31)</f>
        <v>5.0204000000000004</v>
      </c>
      <c r="F38" s="5">
        <f>$C$8*(DODRevOld!$R31+$C$5*DODRevOld!$T31)</f>
        <v>4.1075999999999997</v>
      </c>
      <c r="G38">
        <f>DODRevOld!$U31</f>
        <v>18.099999999999998</v>
      </c>
      <c r="H38">
        <f>(1-$C$4-$C$9-$C$10)*DODRevOld!$V31</f>
        <v>39.359999999999992</v>
      </c>
      <c r="I38">
        <f>$C$11*DODRevOld!$W31</f>
        <v>18</v>
      </c>
      <c r="J38" s="5">
        <f>DODRevOld!$Z31+(1-$C$11)*DODRevOld!$W31</f>
        <v>25.2</v>
      </c>
      <c r="K38">
        <f>DODRevOld!$Y31</f>
        <v>14.399999999999999</v>
      </c>
      <c r="L38">
        <f>DODRevOld!$AA31+$C$12*DODRevOld!$AB31+$C$9*DODRevOld!$V31</f>
        <v>20.700000000000003</v>
      </c>
      <c r="M38" s="5">
        <f>DODRevOld!$X31+(1-$C$12)*DODRevOld!$AB31+(1-$C$5)*DODRevOld!$T31+$C$10*DODRevOld!$V31</f>
        <v>23.679999999999996</v>
      </c>
      <c r="N38" s="5"/>
      <c r="O38">
        <f t="shared" si="0"/>
        <v>245.2</v>
      </c>
      <c r="P38">
        <f>DODRevOld!$AC31</f>
        <v>0</v>
      </c>
    </row>
    <row r="39" spans="2:16" x14ac:dyDescent="0.2">
      <c r="B39">
        <f t="shared" si="1"/>
        <v>1948</v>
      </c>
      <c r="C39">
        <f>DODRevOld!$S32+$C$4*DODRevOld!$V32</f>
        <v>44.192</v>
      </c>
      <c r="D39" s="5">
        <f>$C$6*(DODRevOld!$R32+$C$5*DODRevOld!$T32)</f>
        <v>36.877120000000005</v>
      </c>
      <c r="E39" s="5">
        <f>$C$7*(DODRevOld!$R32+$C$5*DODRevOld!$T32)</f>
        <v>5.0706040000000003</v>
      </c>
      <c r="F39" s="5">
        <f>$C$8*(DODRevOld!$R32+$C$5*DODRevOld!$T32)</f>
        <v>4.148676</v>
      </c>
      <c r="G39">
        <f>DODRevOld!$U32</f>
        <v>18.280999999999999</v>
      </c>
      <c r="H39">
        <f>(1-$C$4-$C$9-$C$10)*DODRevOld!$V32</f>
        <v>69.11999999999999</v>
      </c>
      <c r="I39">
        <f>$C$11*DODRevOld!$W32</f>
        <v>31.5</v>
      </c>
      <c r="J39" s="5">
        <f>DODRevOld!$Z32+(1-$C$11)*DODRevOld!$W32</f>
        <v>41.7</v>
      </c>
      <c r="K39">
        <f>DODRevOld!$Y32</f>
        <v>25.2</v>
      </c>
      <c r="L39">
        <f>DODRevOld!$AA32+$C$12*DODRevOld!$AB32+$C$9*DODRevOld!$V32</f>
        <v>32.879999999999995</v>
      </c>
      <c r="M39" s="5">
        <f>DODRevOld!$X32+(1-$C$12)*DODRevOld!$AB32+(1-$C$5)*DODRevOld!$T32+$C$10*DODRevOld!$V32</f>
        <v>32.030599999999993</v>
      </c>
      <c r="N39" s="5"/>
      <c r="O39">
        <f t="shared" si="0"/>
        <v>340.99999999999994</v>
      </c>
      <c r="P39">
        <f>DODRevOld!$AC32</f>
        <v>0</v>
      </c>
    </row>
    <row r="40" spans="2:16" x14ac:dyDescent="0.2">
      <c r="B40">
        <f t="shared" si="1"/>
        <v>1949</v>
      </c>
      <c r="C40">
        <f>DODRevOld!$S33+$C$4*DODRevOld!$V33</f>
        <v>39.751999999999995</v>
      </c>
      <c r="D40" s="5">
        <f>$C$6*(DODRevOld!$R33+$C$5*DODRevOld!$T33)</f>
        <v>31.400320000000001</v>
      </c>
      <c r="E40" s="5">
        <f>$C$7*(DODRevOld!$R33+$C$5*DODRevOld!$T33)</f>
        <v>4.3175439999999998</v>
      </c>
      <c r="F40" s="5">
        <f>$C$8*(DODRevOld!$R33+$C$5*DODRevOld!$T33)</f>
        <v>3.5325359999999999</v>
      </c>
      <c r="G40">
        <f>DODRevOld!$U33</f>
        <v>15.565999999999999</v>
      </c>
      <c r="H40">
        <f>(1-$C$4-$C$9-$C$10)*DODRevOld!$V33</f>
        <v>75.839999999999989</v>
      </c>
      <c r="I40">
        <f>$C$11*DODRevOld!$W33</f>
        <v>37.799999999999997</v>
      </c>
      <c r="J40" s="5">
        <f>DODRevOld!$Z33+(1-$C$11)*DODRevOld!$W33</f>
        <v>42.6</v>
      </c>
      <c r="K40">
        <f>DODRevOld!$Y33</f>
        <v>30</v>
      </c>
      <c r="L40">
        <f>DODRevOld!$AA33+$C$12*DODRevOld!$AB33+$C$9*DODRevOld!$V33</f>
        <v>32.58</v>
      </c>
      <c r="M40" s="5">
        <f>DODRevOld!$X33+(1-$C$12)*DODRevOld!$AB33+(1-$C$5)*DODRevOld!$T33+$C$10*DODRevOld!$V33</f>
        <v>39.011600000000001</v>
      </c>
      <c r="N40" s="5"/>
      <c r="O40">
        <f t="shared" si="0"/>
        <v>352.4</v>
      </c>
      <c r="P40">
        <f>DODRevOld!$AC33</f>
        <v>0</v>
      </c>
    </row>
    <row r="41" spans="2:16" x14ac:dyDescent="0.2">
      <c r="B41">
        <f t="shared" si="1"/>
        <v>1950</v>
      </c>
      <c r="C41">
        <f>DODRevOld!$S34+$C$4*DODRevOld!$V34</f>
        <v>56.263999999999996</v>
      </c>
      <c r="D41" s="5">
        <f>$C$6*(DODRevOld!$R34+$C$5*DODRevOld!$T34)</f>
        <v>44.544640000000001</v>
      </c>
      <c r="E41" s="5">
        <f>$C$7*(DODRevOld!$R34+$C$5*DODRevOld!$T34)</f>
        <v>6.1248879999999994</v>
      </c>
      <c r="F41" s="5">
        <f>$C$8*(DODRevOld!$R34+$C$5*DODRevOld!$T34)</f>
        <v>5.0112719999999999</v>
      </c>
      <c r="G41">
        <f>DODRevOld!$U34</f>
        <v>22.082000000000001</v>
      </c>
      <c r="H41">
        <f>(1-$C$4-$C$9-$C$10)*DODRevOld!$V34</f>
        <v>106.55999999999999</v>
      </c>
      <c r="I41">
        <f>$C$11*DODRevOld!$W34</f>
        <v>40.5</v>
      </c>
      <c r="J41" s="5">
        <f>DODRevOld!$Z34+(1-$C$11)*DODRevOld!$W34</f>
        <v>49.5</v>
      </c>
      <c r="K41">
        <f>DODRevOld!$Y34</f>
        <v>34.799999999999997</v>
      </c>
      <c r="L41">
        <f>DODRevOld!$AA34+$C$12*DODRevOld!$AB34+$C$9*DODRevOld!$V34</f>
        <v>38.819999999999993</v>
      </c>
      <c r="M41" s="5">
        <f>DODRevOld!$X34+(1-$C$12)*DODRevOld!$AB34+(1-$C$5)*DODRevOld!$T34+$C$10*DODRevOld!$V34</f>
        <v>50.193200000000004</v>
      </c>
      <c r="N41" s="5"/>
      <c r="O41">
        <f t="shared" si="0"/>
        <v>454.4</v>
      </c>
      <c r="P41">
        <f>DODRevOld!$AC34</f>
        <v>0</v>
      </c>
    </row>
    <row r="42" spans="2:16" x14ac:dyDescent="0.2">
      <c r="B42">
        <f t="shared" si="1"/>
        <v>1951</v>
      </c>
      <c r="C42">
        <f>DODRevOld!$S35+$C$4*DODRevOld!$V35</f>
        <v>40.304000000000002</v>
      </c>
      <c r="D42" s="5">
        <f>$C$6*(DODRevOld!$R35+$C$5*DODRevOld!$T35)</f>
        <v>28.114240000000002</v>
      </c>
      <c r="E42" s="5">
        <f>$C$7*(DODRevOld!$R35+$C$5*DODRevOld!$T35)</f>
        <v>3.8657080000000001</v>
      </c>
      <c r="F42" s="5">
        <f>$C$8*(DODRevOld!$R35+$C$5*DODRevOld!$T35)</f>
        <v>3.162852</v>
      </c>
      <c r="G42">
        <f>DODRevOld!$U35</f>
        <v>13.936999999999999</v>
      </c>
      <c r="H42">
        <f>(1-$C$4-$C$9-$C$10)*DODRevOld!$V35</f>
        <v>105.6</v>
      </c>
      <c r="I42">
        <f>$C$11*DODRevOld!$W35</f>
        <v>34.200000000000003</v>
      </c>
      <c r="J42" s="5">
        <f>DODRevOld!$Z35+(1-$C$11)*DODRevOld!$W35</f>
        <v>29.4</v>
      </c>
      <c r="K42">
        <f>DODRevOld!$Y35</f>
        <v>30</v>
      </c>
      <c r="L42">
        <f>DODRevOld!$AA35+$C$12*DODRevOld!$AB35+$C$9*DODRevOld!$V35</f>
        <v>25.8</v>
      </c>
      <c r="M42" s="5">
        <f>DODRevOld!$X35+(1-$C$12)*DODRevOld!$AB35+(1-$C$5)*DODRevOld!$T35+$C$10*DODRevOld!$V35</f>
        <v>74.616199999999992</v>
      </c>
      <c r="N42" s="5"/>
      <c r="O42">
        <f t="shared" si="0"/>
        <v>388.99999999999994</v>
      </c>
      <c r="P42">
        <f>DODRevOld!$AC35</f>
        <v>0</v>
      </c>
    </row>
    <row r="43" spans="2:16" x14ac:dyDescent="0.2">
      <c r="B43">
        <f t="shared" si="1"/>
        <v>1952</v>
      </c>
      <c r="C43">
        <f>DODRevOld!$S36+$C$4*DODRevOld!$V36</f>
        <v>41.704000000000001</v>
      </c>
      <c r="D43" s="5">
        <f>$C$6*(DODRevOld!$R36+$C$5*DODRevOld!$T36)</f>
        <v>29.93984</v>
      </c>
      <c r="E43" s="5">
        <f>$C$7*(DODRevOld!$R36+$C$5*DODRevOld!$T36)</f>
        <v>4.1167280000000002</v>
      </c>
      <c r="F43" s="5">
        <f>$C$8*(DODRevOld!$R36+$C$5*DODRevOld!$T36)</f>
        <v>3.3682319999999994</v>
      </c>
      <c r="G43">
        <f>DODRevOld!$U36</f>
        <v>14.841999999999999</v>
      </c>
      <c r="H43">
        <f>(1-$C$4-$C$9-$C$10)*DODRevOld!$V36</f>
        <v>102.72</v>
      </c>
      <c r="I43">
        <f>$C$11*DODRevOld!$W36</f>
        <v>23.4</v>
      </c>
      <c r="J43" s="5">
        <f>DODRevOld!$Z36+(1-$C$11)*DODRevOld!$W36</f>
        <v>29.4</v>
      </c>
      <c r="K43">
        <f>DODRevOld!$Y36</f>
        <v>26.4</v>
      </c>
      <c r="L43">
        <f>DODRevOld!$AA36+$C$12*DODRevOld!$AB36+$C$9*DODRevOld!$V36</f>
        <v>28.259999999999998</v>
      </c>
      <c r="M43" s="5">
        <f>DODRevOld!$X36+(1-$C$12)*DODRevOld!$AB36+(1-$C$5)*DODRevOld!$T36+$C$10*DODRevOld!$V36</f>
        <v>92.249200000000002</v>
      </c>
      <c r="N43" s="5"/>
      <c r="O43">
        <f t="shared" si="0"/>
        <v>396.4</v>
      </c>
      <c r="P43">
        <f>DODRevOld!$AC36</f>
        <v>0</v>
      </c>
    </row>
    <row r="44" spans="2:16" x14ac:dyDescent="0.2">
      <c r="B44">
        <f t="shared" si="1"/>
        <v>1953</v>
      </c>
      <c r="C44">
        <f>DODRevOld!$S37+$C$4*DODRevOld!$V37</f>
        <v>58.176000000000002</v>
      </c>
      <c r="D44" s="5">
        <f>$C$6*(DODRevOld!$R37+$C$5*DODRevOld!$T37)</f>
        <v>44.909760000000006</v>
      </c>
      <c r="E44" s="5">
        <f>$C$7*(DODRevOld!$R37+$C$5*DODRevOld!$T37)</f>
        <v>6.1750920000000002</v>
      </c>
      <c r="F44" s="5">
        <f>$C$8*(DODRevOld!$R37+$C$5*DODRevOld!$T37)</f>
        <v>5.0523479999999994</v>
      </c>
      <c r="G44">
        <f>DODRevOld!$U37</f>
        <v>22.262999999999998</v>
      </c>
      <c r="H44">
        <f>(1-$C$4-$C$9-$C$10)*DODRevOld!$V37</f>
        <v>119.03999999999998</v>
      </c>
      <c r="I44">
        <f>$C$11*DODRevOld!$W37</f>
        <v>20.7</v>
      </c>
      <c r="J44" s="5">
        <f>DODRevOld!$Z37+(1-$C$11)*DODRevOld!$W37</f>
        <v>32.1</v>
      </c>
      <c r="K44">
        <f>DODRevOld!$Y37</f>
        <v>33.6</v>
      </c>
      <c r="L44">
        <f>DODRevOld!$AA37+$C$12*DODRevOld!$AB37+$C$9*DODRevOld!$V37</f>
        <v>33.839999999999996</v>
      </c>
      <c r="M44" s="5">
        <f>DODRevOld!$X37+(1-$C$12)*DODRevOld!$AB37+(1-$C$5)*DODRevOld!$T37+$C$10*DODRevOld!$V37</f>
        <v>78.343799999999987</v>
      </c>
      <c r="N44" s="5"/>
      <c r="O44">
        <f t="shared" si="0"/>
        <v>454.2</v>
      </c>
      <c r="P44">
        <f>DODRevOld!$AC37</f>
        <v>0</v>
      </c>
    </row>
    <row r="45" spans="2:16" x14ac:dyDescent="0.2">
      <c r="B45">
        <f t="shared" si="1"/>
        <v>1954</v>
      </c>
      <c r="C45">
        <f>DODRevOld!$S38+$C$4*DODRevOld!$V38</f>
        <v>67.055999999999997</v>
      </c>
      <c r="D45" s="5">
        <f>$C$6*(DODRevOld!$R38+$C$5*DODRevOld!$T38)</f>
        <v>50.386560000000003</v>
      </c>
      <c r="E45" s="5">
        <f>$C$7*(DODRevOld!$R38+$C$5*DODRevOld!$T38)</f>
        <v>6.9281519999999999</v>
      </c>
      <c r="F45" s="5">
        <f>$C$8*(DODRevOld!$R38+$C$5*DODRevOld!$T38)</f>
        <v>5.6684879999999991</v>
      </c>
      <c r="G45">
        <f>DODRevOld!$U38</f>
        <v>24.977999999999998</v>
      </c>
      <c r="H45">
        <f>(1-$C$4-$C$9-$C$10)*DODRevOld!$V38</f>
        <v>147.83999999999997</v>
      </c>
      <c r="I45">
        <f>$C$11*DODRevOld!$W38</f>
        <v>25.200000000000003</v>
      </c>
      <c r="J45" s="5">
        <f>DODRevOld!$Z38+(1-$C$11)*DODRevOld!$W38</f>
        <v>37.199999999999996</v>
      </c>
      <c r="K45">
        <f>DODRevOld!$Y38</f>
        <v>40.799999999999997</v>
      </c>
      <c r="L45">
        <f>DODRevOld!$AA38+$C$12*DODRevOld!$AB38+$C$9*DODRevOld!$V38</f>
        <v>37.32</v>
      </c>
      <c r="M45" s="5">
        <f>DODRevOld!$X38+(1-$C$12)*DODRevOld!$AB38+(1-$C$5)*DODRevOld!$T38+$C$10*DODRevOld!$V38</f>
        <v>77.422799999999995</v>
      </c>
      <c r="N45" s="5"/>
      <c r="O45">
        <f t="shared" si="0"/>
        <v>520.79999999999995</v>
      </c>
      <c r="P45">
        <f>DODRevOld!$AC38</f>
        <v>0</v>
      </c>
    </row>
    <row r="46" spans="2:16" x14ac:dyDescent="0.2">
      <c r="B46">
        <f t="shared" si="1"/>
        <v>1955</v>
      </c>
      <c r="C46">
        <f>DODRevOld!$S39+$C$4*DODRevOld!$V39</f>
        <v>79.495999999999995</v>
      </c>
      <c r="D46" s="5">
        <f>$C$6*(DODRevOld!$R39+$C$5*DODRevOld!$T39)</f>
        <v>63.165760000000006</v>
      </c>
      <c r="E46" s="5">
        <f>$C$7*(DODRevOld!$R39+$C$5*DODRevOld!$T39)</f>
        <v>8.6852920000000005</v>
      </c>
      <c r="F46" s="5">
        <f>$C$8*(DODRevOld!$R39+$C$5*DODRevOld!$T39)</f>
        <v>7.1061480000000001</v>
      </c>
      <c r="G46">
        <f>DODRevOld!$U39</f>
        <v>31.312999999999999</v>
      </c>
      <c r="H46">
        <f>(1-$C$4-$C$9-$C$10)*DODRevOld!$V39</f>
        <v>148.79999999999998</v>
      </c>
      <c r="I46">
        <f>$C$11*DODRevOld!$W39</f>
        <v>20.7</v>
      </c>
      <c r="J46" s="5">
        <f>DODRevOld!$Z39+(1-$C$11)*DODRevOld!$W39</f>
        <v>38.1</v>
      </c>
      <c r="K46">
        <f>DODRevOld!$Y39</f>
        <v>44.4</v>
      </c>
      <c r="L46">
        <f>DODRevOld!$AA39+$C$12*DODRevOld!$AB39+$C$9*DODRevOld!$V39</f>
        <v>39.659999999999997</v>
      </c>
      <c r="M46" s="5">
        <f>DODRevOld!$X39+(1-$C$12)*DODRevOld!$AB39+(1-$C$5)*DODRevOld!$T39+$C$10*DODRevOld!$V39</f>
        <v>89.973799999999983</v>
      </c>
      <c r="N46" s="5"/>
      <c r="O46">
        <f t="shared" si="0"/>
        <v>571.4</v>
      </c>
      <c r="P46">
        <f>DODRevOld!$AC39</f>
        <v>0</v>
      </c>
    </row>
    <row r="47" spans="2:16" x14ac:dyDescent="0.2">
      <c r="B47">
        <f t="shared" si="1"/>
        <v>1956</v>
      </c>
      <c r="C47">
        <f>DODRevOld!$S40+$C$4*DODRevOld!$V40</f>
        <v>105.988</v>
      </c>
      <c r="D47" s="5">
        <f>$C$6*(DODRevOld!$R40+$C$5*DODRevOld!$T40)</f>
        <v>89.089280000000002</v>
      </c>
      <c r="E47" s="5">
        <f>$C$7*(DODRevOld!$R40+$C$5*DODRevOld!$T40)</f>
        <v>12.249775999999999</v>
      </c>
      <c r="F47" s="5">
        <f>$C$8*(DODRevOld!$R40+$C$5*DODRevOld!$T40)</f>
        <v>10.022544</v>
      </c>
      <c r="G47">
        <f>DODRevOld!$U40</f>
        <v>44.164000000000001</v>
      </c>
      <c r="H47">
        <f>(1-$C$4-$C$9-$C$10)*DODRevOld!$V40</f>
        <v>160.79999999999998</v>
      </c>
      <c r="I47">
        <f>$C$11*DODRevOld!$W40</f>
        <v>24.75</v>
      </c>
      <c r="J47" s="5">
        <f>DODRevOld!$Z40+(1-$C$11)*DODRevOld!$W40</f>
        <v>38.25</v>
      </c>
      <c r="K47">
        <f>DODRevOld!$Y40</f>
        <v>48</v>
      </c>
      <c r="L47">
        <f>DODRevOld!$AA40+$C$12*DODRevOld!$AB40+$C$9*DODRevOld!$V40</f>
        <v>44.849999999999994</v>
      </c>
      <c r="M47" s="5">
        <f>DODRevOld!$X40+(1-$C$12)*DODRevOld!$AB40+(1-$C$5)*DODRevOld!$T40+$C$10*DODRevOld!$V40</f>
        <v>82.836399999999998</v>
      </c>
      <c r="N47" s="5"/>
      <c r="O47">
        <f t="shared" si="0"/>
        <v>661</v>
      </c>
      <c r="P47">
        <f>DODRevOld!$AC40</f>
        <v>0</v>
      </c>
    </row>
    <row r="48" spans="2:16" x14ac:dyDescent="0.2">
      <c r="B48">
        <f t="shared" si="1"/>
        <v>1957</v>
      </c>
      <c r="C48">
        <f>DODRevOld!$S41+$C$4*DODRevOld!$V41</f>
        <v>107.03999999999999</v>
      </c>
      <c r="D48" s="5">
        <f>$C$6*(DODRevOld!$R41+$C$5*DODRevOld!$T41)</f>
        <v>89.454400000000007</v>
      </c>
      <c r="E48" s="5">
        <f>$C$7*(DODRevOld!$R41+$C$5*DODRevOld!$T41)</f>
        <v>12.29998</v>
      </c>
      <c r="F48" s="5">
        <f>$C$8*(DODRevOld!$R41+$C$5*DODRevOld!$T41)</f>
        <v>10.06362</v>
      </c>
      <c r="G48">
        <f>DODRevOld!$U41</f>
        <v>44.344999999999999</v>
      </c>
      <c r="H48">
        <f>(1-$C$4-$C$9-$C$10)*DODRevOld!$V41</f>
        <v>166.39999999999998</v>
      </c>
      <c r="I48">
        <f>$C$11*DODRevOld!$W41</f>
        <v>30</v>
      </c>
      <c r="J48" s="5">
        <f>DODRevOld!$Z41+(1-$C$11)*DODRevOld!$W41</f>
        <v>41</v>
      </c>
      <c r="K48">
        <f>DODRevOld!$Y41</f>
        <v>50</v>
      </c>
      <c r="L48">
        <f>DODRevOld!$AA41+$C$12*DODRevOld!$AB41+$C$9*DODRevOld!$V41</f>
        <v>44.699999999999996</v>
      </c>
      <c r="M48" s="5">
        <f>DODRevOld!$X41+(1-$C$12)*DODRevOld!$AB41+(1-$C$5)*DODRevOld!$T41+$C$10*DODRevOld!$V41</f>
        <v>69.697000000000003</v>
      </c>
      <c r="N48" s="5"/>
      <c r="O48">
        <f t="shared" si="0"/>
        <v>665</v>
      </c>
      <c r="P48">
        <f>DODRevOld!$AC41</f>
        <v>0</v>
      </c>
    </row>
    <row r="49" spans="2:16" x14ac:dyDescent="0.2">
      <c r="B49">
        <f t="shared" si="1"/>
        <v>1958</v>
      </c>
      <c r="C49">
        <f>DODRevOld!$S42+$C$4*DODRevOld!$V42</f>
        <v>105.736</v>
      </c>
      <c r="D49" s="5">
        <f>$C$6*(DODRevOld!$R42+$C$5*DODRevOld!$T42)</f>
        <v>88.724159999999998</v>
      </c>
      <c r="E49" s="5">
        <f>$C$7*(DODRevOld!$R42+$C$5*DODRevOld!$T42)</f>
        <v>12.199572</v>
      </c>
      <c r="F49" s="5">
        <f>$C$8*(DODRevOld!$R42+$C$5*DODRevOld!$T42)</f>
        <v>9.9814679999999996</v>
      </c>
      <c r="G49">
        <f>DODRevOld!$U42</f>
        <v>43.982999999999997</v>
      </c>
      <c r="H49">
        <f>(1-$C$4-$C$9-$C$10)*DODRevOld!$V42</f>
        <v>161.6</v>
      </c>
      <c r="I49">
        <f>$C$11*DODRevOld!$W42</f>
        <v>28.5</v>
      </c>
      <c r="J49" s="5">
        <f>DODRevOld!$Z42+(1-$C$11)*DODRevOld!$W42</f>
        <v>46.5</v>
      </c>
      <c r="K49">
        <f>DODRevOld!$Y42</f>
        <v>51</v>
      </c>
      <c r="L49">
        <f>DODRevOld!$AA42+$C$12*DODRevOld!$AB42+$C$9*DODRevOld!$V42</f>
        <v>51.800000000000004</v>
      </c>
      <c r="M49" s="5">
        <f>DODRevOld!$X42+(1-$C$12)*DODRevOld!$AB42+(1-$C$5)*DODRevOld!$T42+$C$10*DODRevOld!$V42</f>
        <v>91.975800000000021</v>
      </c>
      <c r="N49" s="5"/>
      <c r="O49">
        <f t="shared" si="0"/>
        <v>692</v>
      </c>
      <c r="P49">
        <f>DODRevOld!$AC42</f>
        <v>0</v>
      </c>
    </row>
    <row r="50" spans="2:16" x14ac:dyDescent="0.2">
      <c r="B50">
        <f t="shared" si="1"/>
        <v>1959</v>
      </c>
      <c r="C50">
        <f>DODRevOld!$S43+$C$4*DODRevOld!$V43</f>
        <v>117.11199999999999</v>
      </c>
      <c r="D50" s="5">
        <f>$C$6*(DODRevOld!$R43+$C$5*DODRevOld!$T43)</f>
        <v>102.59872000000001</v>
      </c>
      <c r="E50" s="5">
        <f>$C$7*(DODRevOld!$R43+$C$5*DODRevOld!$T43)</f>
        <v>14.107324</v>
      </c>
      <c r="F50" s="5">
        <f>$C$8*(DODRevOld!$R43+$C$5*DODRevOld!$T43)</f>
        <v>11.542356</v>
      </c>
      <c r="G50">
        <f>DODRevOld!$U43</f>
        <v>50.860999999999997</v>
      </c>
      <c r="H50">
        <f>(1-$C$4-$C$9-$C$10)*DODRevOld!$V43</f>
        <v>145.6</v>
      </c>
      <c r="I50">
        <f>$C$11*DODRevOld!$W43</f>
        <v>28.5</v>
      </c>
      <c r="J50" s="5">
        <f>DODRevOld!$Z43+(1-$C$11)*DODRevOld!$W43</f>
        <v>52.5</v>
      </c>
      <c r="K50">
        <f>DODRevOld!$Y43</f>
        <v>54</v>
      </c>
      <c r="L50">
        <f>DODRevOld!$AA43+$C$12*DODRevOld!$AB43+$C$9*DODRevOld!$V43</f>
        <v>55.6</v>
      </c>
      <c r="M50" s="5">
        <f>DODRevOld!$X43+(1-$C$12)*DODRevOld!$AB43+(1-$C$5)*DODRevOld!$T43+$C$10*DODRevOld!$V43</f>
        <v>77.578599999999994</v>
      </c>
      <c r="N50" s="5"/>
      <c r="O50">
        <f t="shared" si="0"/>
        <v>710</v>
      </c>
      <c r="P50">
        <f>DODRevOld!$AC43</f>
        <v>0</v>
      </c>
    </row>
    <row r="51" spans="2:16" x14ac:dyDescent="0.2">
      <c r="B51">
        <f t="shared" si="1"/>
        <v>1960</v>
      </c>
      <c r="C51">
        <f>DODRevOld!$S44+$C$4*DODRevOld!$V44</f>
        <v>96.8</v>
      </c>
      <c r="D51" s="5">
        <f>$C$6*(DODRevOld!$R44+$C$5*DODRevOld!$T44)</f>
        <v>115.36</v>
      </c>
      <c r="E51" s="5">
        <f>$C$7*(DODRevOld!$R44+$C$5*DODRevOld!$T44)</f>
        <v>15.861999999999998</v>
      </c>
      <c r="F51" s="5">
        <f>$C$8*(DODRevOld!$R44+$C$5*DODRevOld!$T44)</f>
        <v>12.977999999999998</v>
      </c>
      <c r="G51">
        <f>DODRevOld!$U44</f>
        <v>59</v>
      </c>
      <c r="H51">
        <f>(1-$C$4-$C$9-$C$10)*DODRevOld!$V44</f>
        <v>158.39999999999998</v>
      </c>
      <c r="I51">
        <f>$C$11*DODRevOld!$W44</f>
        <v>27</v>
      </c>
      <c r="J51" s="5">
        <f>DODRevOld!$Z44+(1-$C$11)*DODRevOld!$W44</f>
        <v>66</v>
      </c>
      <c r="K51">
        <f>DODRevOld!$Y44</f>
        <v>54</v>
      </c>
      <c r="L51">
        <f>DODRevOld!$AA44+$C$12*DODRevOld!$AB44+$C$9*DODRevOld!$V44</f>
        <v>57</v>
      </c>
      <c r="M51" s="5">
        <f>DODRevOld!$X44+(1-$C$12)*DODRevOld!$AB44+(1-$C$5)*DODRevOld!$T44+$C$10*DODRevOld!$V44</f>
        <v>76.600000000000009</v>
      </c>
      <c r="N51" s="5"/>
      <c r="O51">
        <f t="shared" si="0"/>
        <v>739</v>
      </c>
      <c r="P51">
        <f>DODRevOld!$AC44</f>
        <v>739</v>
      </c>
    </row>
    <row r="52" spans="2:16" x14ac:dyDescent="0.2">
      <c r="B52">
        <f t="shared" si="1"/>
        <v>1961</v>
      </c>
      <c r="C52">
        <f>DODRevOld!$S45+$C$4*DODRevOld!$V45</f>
        <v>95.7</v>
      </c>
      <c r="D52" s="5">
        <f>$C$6*(DODRevOld!$R45+$C$5*DODRevOld!$T45)</f>
        <v>119.84000000000002</v>
      </c>
      <c r="E52" s="5">
        <f>$C$7*(DODRevOld!$R45+$C$5*DODRevOld!$T45)</f>
        <v>16.478000000000002</v>
      </c>
      <c r="F52" s="5">
        <f>$C$8*(DODRevOld!$R45+$C$5*DODRevOld!$T45)</f>
        <v>13.482000000000001</v>
      </c>
      <c r="G52">
        <f>DODRevOld!$U45</f>
        <v>64</v>
      </c>
      <c r="H52">
        <f>(1-$C$4-$C$9-$C$10)*DODRevOld!$V45</f>
        <v>157.6</v>
      </c>
      <c r="I52">
        <f>$C$11*DODRevOld!$W45</f>
        <v>33.75</v>
      </c>
      <c r="J52" s="5">
        <f>DODRevOld!$Z45+(1-$C$11)*DODRevOld!$W45</f>
        <v>76.25</v>
      </c>
      <c r="K52">
        <f>DODRevOld!$Y45</f>
        <v>53</v>
      </c>
      <c r="L52">
        <f>DODRevOld!$AA45+$C$12*DODRevOld!$AB45+$C$9*DODRevOld!$V45</f>
        <v>53.85</v>
      </c>
      <c r="M52" s="5">
        <f>DODRevOld!$X45+(1-$C$12)*DODRevOld!$AB45+(1-$C$5)*DODRevOld!$T45+$C$10*DODRevOld!$V45</f>
        <v>75.050000000000011</v>
      </c>
      <c r="N52" s="5"/>
      <c r="O52">
        <f t="shared" si="0"/>
        <v>759</v>
      </c>
      <c r="P52">
        <f>DODRevOld!$AC45</f>
        <v>759</v>
      </c>
    </row>
    <row r="53" spans="2:16" x14ac:dyDescent="0.2">
      <c r="B53">
        <f t="shared" si="1"/>
        <v>1962</v>
      </c>
      <c r="C53">
        <f>DODRevOld!$S46+$C$4*DODRevOld!$V46</f>
        <v>118.3</v>
      </c>
      <c r="D53" s="5">
        <f>$C$6*(DODRevOld!$R46+$C$5*DODRevOld!$T46)</f>
        <v>123.68</v>
      </c>
      <c r="E53" s="5">
        <f>$C$7*(DODRevOld!$R46+$C$5*DODRevOld!$T46)</f>
        <v>17.006</v>
      </c>
      <c r="F53" s="5">
        <f>$C$8*(DODRevOld!$R46+$C$5*DODRevOld!$T46)</f>
        <v>13.914</v>
      </c>
      <c r="G53">
        <f>DODRevOld!$U46</f>
        <v>69</v>
      </c>
      <c r="H53">
        <f>(1-$C$4-$C$9-$C$10)*DODRevOld!$V46</f>
        <v>154.39999999999998</v>
      </c>
      <c r="I53">
        <f>$C$11*DODRevOld!$W46</f>
        <v>37.5</v>
      </c>
      <c r="J53" s="5">
        <f>DODRevOld!$Z46+(1-$C$11)*DODRevOld!$W46</f>
        <v>88.5</v>
      </c>
      <c r="K53">
        <f>DODRevOld!$Y46</f>
        <v>53</v>
      </c>
      <c r="L53">
        <f>DODRevOld!$AA46+$C$12*DODRevOld!$AB46+$C$9*DODRevOld!$V46</f>
        <v>52.449999999999996</v>
      </c>
      <c r="M53" s="5">
        <f>DODRevOld!$X46+(1-$C$12)*DODRevOld!$AB46+(1-$C$5)*DODRevOld!$T46+$C$10*DODRevOld!$V46</f>
        <v>75.25</v>
      </c>
      <c r="N53" s="5"/>
      <c r="O53">
        <f t="shared" si="0"/>
        <v>803</v>
      </c>
      <c r="P53">
        <f>DODRevOld!$AC46</f>
        <v>803</v>
      </c>
    </row>
    <row r="54" spans="2:16" x14ac:dyDescent="0.2">
      <c r="B54">
        <f t="shared" si="1"/>
        <v>1963</v>
      </c>
      <c r="C54">
        <f>DODRevOld!$S47+$C$4*DODRevOld!$V47</f>
        <v>124.9</v>
      </c>
      <c r="D54" s="5">
        <f>$C$6*(DODRevOld!$R47+$C$5*DODRevOld!$T47)</f>
        <v>132.32000000000002</v>
      </c>
      <c r="E54" s="5">
        <f>$C$7*(DODRevOld!$R47+$C$5*DODRevOld!$T47)</f>
        <v>18.193999999999999</v>
      </c>
      <c r="F54" s="5">
        <f>$C$8*(DODRevOld!$R47+$C$5*DODRevOld!$T47)</f>
        <v>14.885999999999999</v>
      </c>
      <c r="G54">
        <f>DODRevOld!$U47</f>
        <v>72</v>
      </c>
      <c r="H54">
        <f>(1-$C$4-$C$9-$C$10)*DODRevOld!$V47</f>
        <v>159.19999999999999</v>
      </c>
      <c r="I54">
        <f>$C$11*DODRevOld!$W47</f>
        <v>49.5</v>
      </c>
      <c r="J54" s="5">
        <f>DODRevOld!$Z47+(1-$C$11)*DODRevOld!$W47</f>
        <v>93.5</v>
      </c>
      <c r="K54">
        <f>DODRevOld!$Y47</f>
        <v>48</v>
      </c>
      <c r="L54">
        <f>DODRevOld!$AA47+$C$12*DODRevOld!$AB47+$C$9*DODRevOld!$V47</f>
        <v>52.25</v>
      </c>
      <c r="M54" s="5">
        <f>DODRevOld!$X47+(1-$C$12)*DODRevOld!$AB47+(1-$C$5)*DODRevOld!$T47+$C$10*DODRevOld!$V47</f>
        <v>89.25</v>
      </c>
      <c r="N54" s="5"/>
      <c r="O54">
        <f t="shared" si="0"/>
        <v>854</v>
      </c>
      <c r="P54">
        <f>DODRevOld!$AC47</f>
        <v>854</v>
      </c>
    </row>
    <row r="55" spans="2:16" x14ac:dyDescent="0.2">
      <c r="B55">
        <f t="shared" si="1"/>
        <v>1964</v>
      </c>
      <c r="C55">
        <f>DODRevOld!$S48+$C$4*DODRevOld!$V48</f>
        <v>117.5</v>
      </c>
      <c r="D55" s="5">
        <f>$C$6*(DODRevOld!$R48+$C$5*DODRevOld!$T48)</f>
        <v>140.32000000000002</v>
      </c>
      <c r="E55" s="5">
        <f>$C$7*(DODRevOld!$R48+$C$5*DODRevOld!$T48)</f>
        <v>19.294</v>
      </c>
      <c r="F55" s="5">
        <f>$C$8*(DODRevOld!$R48+$C$5*DODRevOld!$T48)</f>
        <v>15.786</v>
      </c>
      <c r="G55">
        <f>DODRevOld!$U48</f>
        <v>83</v>
      </c>
      <c r="H55">
        <f>(1-$C$4-$C$9-$C$10)*DODRevOld!$V48</f>
        <v>164</v>
      </c>
      <c r="I55">
        <f>$C$11*DODRevOld!$W48</f>
        <v>50.25</v>
      </c>
      <c r="J55" s="5">
        <f>DODRevOld!$Z48+(1-$C$11)*DODRevOld!$W48</f>
        <v>100.75</v>
      </c>
      <c r="K55">
        <f>DODRevOld!$Y48</f>
        <v>50</v>
      </c>
      <c r="L55">
        <f>DODRevOld!$AA48+$C$12*DODRevOld!$AB48+$C$9*DODRevOld!$V48</f>
        <v>49.95</v>
      </c>
      <c r="M55" s="5">
        <f>DODRevOld!$X48+(1-$C$12)*DODRevOld!$AB48+(1-$C$5)*DODRevOld!$T48+$C$10*DODRevOld!$V48</f>
        <v>85.15</v>
      </c>
      <c r="N55" s="5"/>
      <c r="O55">
        <f t="shared" si="0"/>
        <v>876.00000000000011</v>
      </c>
      <c r="P55">
        <f>DODRevOld!$AC48</f>
        <v>876</v>
      </c>
    </row>
    <row r="56" spans="2:16" x14ac:dyDescent="0.2">
      <c r="B56">
        <f t="shared" si="1"/>
        <v>1965</v>
      </c>
      <c r="C56">
        <f>DODRevOld!$S49+$C$4*DODRevOld!$V49</f>
        <v>131.80000000000001</v>
      </c>
      <c r="D56" s="5">
        <f>$C$6*(DODRevOld!$R49+$C$5*DODRevOld!$T49)</f>
        <v>168.48000000000002</v>
      </c>
      <c r="E56" s="5">
        <f>$C$7*(DODRevOld!$R49+$C$5*DODRevOld!$T49)</f>
        <v>23.166</v>
      </c>
      <c r="F56" s="5">
        <f>$C$8*(DODRevOld!$R49+$C$5*DODRevOld!$T49)</f>
        <v>18.953999999999997</v>
      </c>
      <c r="G56">
        <f>DODRevOld!$U49</f>
        <v>91</v>
      </c>
      <c r="H56">
        <f>(1-$C$4-$C$9-$C$10)*DODRevOld!$V49</f>
        <v>182.39999999999998</v>
      </c>
      <c r="I56">
        <f>$C$11*DODRevOld!$W49</f>
        <v>45</v>
      </c>
      <c r="J56" s="5">
        <f>DODRevOld!$Z49+(1-$C$11)*DODRevOld!$W49</f>
        <v>107</v>
      </c>
      <c r="K56">
        <f>DODRevOld!$Y49</f>
        <v>45</v>
      </c>
      <c r="L56">
        <f>DODRevOld!$AA49+$C$12*DODRevOld!$AB49+$C$9*DODRevOld!$V49</f>
        <v>63.4</v>
      </c>
      <c r="M56" s="5">
        <f>DODRevOld!$X49+(1-$C$12)*DODRevOld!$AB49+(1-$C$5)*DODRevOld!$T49+$C$10*DODRevOld!$V49</f>
        <v>90.800000000000011</v>
      </c>
      <c r="N56" s="5"/>
      <c r="O56">
        <f t="shared" si="0"/>
        <v>967</v>
      </c>
      <c r="P56">
        <f>DODRevOld!$AC49</f>
        <v>967</v>
      </c>
    </row>
    <row r="57" spans="2:16" x14ac:dyDescent="0.2">
      <c r="B57">
        <f t="shared" si="1"/>
        <v>1966</v>
      </c>
      <c r="C57">
        <f>DODRevOld!$S50+$C$4*DODRevOld!$V50</f>
        <v>134.80000000000001</v>
      </c>
      <c r="D57" s="5">
        <f>$C$6*(DODRevOld!$R50+$C$5*DODRevOld!$T50)</f>
        <v>170.56</v>
      </c>
      <c r="E57" s="5">
        <f>$C$7*(DODRevOld!$R50+$C$5*DODRevOld!$T50)</f>
        <v>23.451999999999998</v>
      </c>
      <c r="F57" s="5">
        <f>$C$8*(DODRevOld!$R50+$C$5*DODRevOld!$T50)</f>
        <v>19.187999999999999</v>
      </c>
      <c r="G57">
        <f>DODRevOld!$U50</f>
        <v>113</v>
      </c>
      <c r="H57">
        <f>(1-$C$4-$C$9-$C$10)*DODRevOld!$V50</f>
        <v>198.39999999999998</v>
      </c>
      <c r="I57">
        <f>$C$11*DODRevOld!$W50</f>
        <v>45</v>
      </c>
      <c r="J57" s="5">
        <f>DODRevOld!$Z50+(1-$C$11)*DODRevOld!$W50</f>
        <v>96</v>
      </c>
      <c r="K57">
        <f>DODRevOld!$Y50</f>
        <v>45</v>
      </c>
      <c r="L57">
        <f>DODRevOld!$AA50+$C$12*DODRevOld!$AB50+$C$9*DODRevOld!$V50</f>
        <v>63.6</v>
      </c>
      <c r="M57" s="5">
        <f>DODRevOld!$X50+(1-$C$12)*DODRevOld!$AB50+(1-$C$5)*DODRevOld!$T50+$C$10*DODRevOld!$V50</f>
        <v>95.000000000000014</v>
      </c>
      <c r="N57" s="5"/>
      <c r="O57">
        <f t="shared" si="0"/>
        <v>1004</v>
      </c>
      <c r="P57">
        <f>DODRevOld!$AC50</f>
        <v>1004</v>
      </c>
    </row>
    <row r="58" spans="2:16" x14ac:dyDescent="0.2">
      <c r="B58">
        <f t="shared" si="1"/>
        <v>1967</v>
      </c>
      <c r="C58">
        <f>DODRevOld!$S51+$C$4*DODRevOld!$V51</f>
        <v>146.5</v>
      </c>
      <c r="D58" s="5">
        <f>$C$6*(DODRevOld!$R51+$C$5*DODRevOld!$T51)</f>
        <v>160.96</v>
      </c>
      <c r="E58" s="5">
        <f>$C$7*(DODRevOld!$R51+$C$5*DODRevOld!$T51)</f>
        <v>22.131999999999998</v>
      </c>
      <c r="F58" s="5">
        <f>$C$8*(DODRevOld!$R51+$C$5*DODRevOld!$T51)</f>
        <v>18.107999999999997</v>
      </c>
      <c r="G58">
        <f>DODRevOld!$U51</f>
        <v>96</v>
      </c>
      <c r="H58">
        <f>(1-$C$4-$C$9-$C$10)*DODRevOld!$V51</f>
        <v>195.99999999999997</v>
      </c>
      <c r="I58">
        <f>$C$11*DODRevOld!$W51</f>
        <v>49.5</v>
      </c>
      <c r="J58" s="5">
        <f>DODRevOld!$Z51+(1-$C$11)*DODRevOld!$W51</f>
        <v>94.5</v>
      </c>
      <c r="K58">
        <f>DODRevOld!$Y51</f>
        <v>42</v>
      </c>
      <c r="L58">
        <f>DODRevOld!$AA51+$C$12*DODRevOld!$AB51+$C$9*DODRevOld!$V51</f>
        <v>59.75</v>
      </c>
      <c r="M58" s="5">
        <f>DODRevOld!$X51+(1-$C$12)*DODRevOld!$AB51+(1-$C$5)*DODRevOld!$T51+$C$10*DODRevOld!$V51</f>
        <v>97.55</v>
      </c>
      <c r="N58" s="5"/>
      <c r="O58">
        <f t="shared" si="0"/>
        <v>983</v>
      </c>
      <c r="P58">
        <f>DODRevOld!$AC51</f>
        <v>983</v>
      </c>
    </row>
    <row r="59" spans="2:16" x14ac:dyDescent="0.2">
      <c r="B59">
        <f t="shared" si="1"/>
        <v>1968</v>
      </c>
      <c r="C59">
        <f>DODRevOld!$S52+$C$4*DODRevOld!$V52</f>
        <v>176.7</v>
      </c>
      <c r="D59" s="5">
        <f>$C$6*(DODRevOld!$R52+$C$5*DODRevOld!$T52)</f>
        <v>180.8</v>
      </c>
      <c r="E59" s="5">
        <f>$C$7*(DODRevOld!$R52+$C$5*DODRevOld!$T52)</f>
        <v>24.86</v>
      </c>
      <c r="F59" s="5">
        <f>$C$8*(DODRevOld!$R52+$C$5*DODRevOld!$T52)</f>
        <v>20.34</v>
      </c>
      <c r="G59">
        <f>DODRevOld!$U52</f>
        <v>112</v>
      </c>
      <c r="H59">
        <f>(1-$C$4-$C$9-$C$10)*DODRevOld!$V52</f>
        <v>189.6</v>
      </c>
      <c r="I59">
        <f>$C$11*DODRevOld!$W52</f>
        <v>51.75</v>
      </c>
      <c r="J59" s="5">
        <f>DODRevOld!$Z52+(1-$C$11)*DODRevOld!$W52</f>
        <v>94.25</v>
      </c>
      <c r="K59">
        <f>DODRevOld!$Y52</f>
        <v>39</v>
      </c>
      <c r="L59">
        <f>DODRevOld!$AA52+$C$12*DODRevOld!$AB52+$C$9*DODRevOld!$V52</f>
        <v>63.75</v>
      </c>
      <c r="M59" s="5">
        <f>DODRevOld!$X52+(1-$C$12)*DODRevOld!$AB52+(1-$C$5)*DODRevOld!$T52+$C$10*DODRevOld!$V52</f>
        <v>103.94999999999999</v>
      </c>
      <c r="N59" s="5"/>
      <c r="O59">
        <f t="shared" si="0"/>
        <v>1057</v>
      </c>
      <c r="P59">
        <f>DODRevOld!$AC52</f>
        <v>1057</v>
      </c>
    </row>
    <row r="60" spans="2:16" x14ac:dyDescent="0.2">
      <c r="B60">
        <f t="shared" si="1"/>
        <v>1969</v>
      </c>
      <c r="C60">
        <f>DODRevOld!$S53+$C$4*DODRevOld!$V53</f>
        <v>214.2</v>
      </c>
      <c r="D60" s="5">
        <f>$C$6*(DODRevOld!$R53+$C$5*DODRevOld!$T53)</f>
        <v>197.28</v>
      </c>
      <c r="E60" s="5">
        <f>$C$7*(DODRevOld!$R53+$C$5*DODRevOld!$T53)</f>
        <v>27.126000000000001</v>
      </c>
      <c r="F60" s="5">
        <f>$C$8*(DODRevOld!$R53+$C$5*DODRevOld!$T53)</f>
        <v>22.193999999999999</v>
      </c>
      <c r="G60">
        <f>DODRevOld!$U53</f>
        <v>125</v>
      </c>
      <c r="H60">
        <f>(1-$C$4-$C$9-$C$10)*DODRevOld!$V53</f>
        <v>177.6</v>
      </c>
      <c r="I60">
        <f>$C$11*DODRevOld!$W53</f>
        <v>65.25</v>
      </c>
      <c r="J60" s="5">
        <f>DODRevOld!$Z53+(1-$C$11)*DODRevOld!$W53</f>
        <v>96.75</v>
      </c>
      <c r="K60">
        <f>DODRevOld!$Y53</f>
        <v>33</v>
      </c>
      <c r="L60">
        <f>DODRevOld!$AA53+$C$12*DODRevOld!$AB53+$C$9*DODRevOld!$V53</f>
        <v>68.7</v>
      </c>
      <c r="M60" s="5">
        <f>DODRevOld!$X53+(1-$C$12)*DODRevOld!$AB53+(1-$C$5)*DODRevOld!$T53+$C$10*DODRevOld!$V53</f>
        <v>98.9</v>
      </c>
      <c r="N60" s="5"/>
      <c r="O60">
        <f t="shared" si="0"/>
        <v>1126</v>
      </c>
      <c r="P60">
        <f>DODRevOld!$AC53</f>
        <v>1126</v>
      </c>
    </row>
    <row r="61" spans="2:16" x14ac:dyDescent="0.2">
      <c r="B61">
        <f t="shared" si="1"/>
        <v>1970</v>
      </c>
      <c r="C61">
        <f>DODRevOld!$S54+$C$4*DODRevOld!$V54</f>
        <v>190.5</v>
      </c>
      <c r="D61" s="5">
        <f>$C$6*(DODRevOld!$R54+$C$5*DODRevOld!$T54)</f>
        <v>185.76</v>
      </c>
      <c r="E61" s="5">
        <f>$C$7*(DODRevOld!$R54+$C$5*DODRevOld!$T54)</f>
        <v>25.541999999999998</v>
      </c>
      <c r="F61" s="5">
        <f>$C$8*(DODRevOld!$R54+$C$5*DODRevOld!$T54)</f>
        <v>20.898</v>
      </c>
      <c r="G61">
        <f>DODRevOld!$U54</f>
        <v>116</v>
      </c>
      <c r="H61">
        <f>(1-$C$4-$C$9-$C$10)*DODRevOld!$V54</f>
        <v>156</v>
      </c>
      <c r="I61">
        <f>$C$11*DODRevOld!$W54</f>
        <v>56.25</v>
      </c>
      <c r="J61" s="5">
        <f>DODRevOld!$Z54+(1-$C$11)*DODRevOld!$W54</f>
        <v>84.75</v>
      </c>
      <c r="K61">
        <f>DODRevOld!$Y54</f>
        <v>27</v>
      </c>
      <c r="L61">
        <f>DODRevOld!$AA54+$C$12*DODRevOld!$AB54+$C$9*DODRevOld!$V54</f>
        <v>60.95</v>
      </c>
      <c r="M61" s="5">
        <f>DODRevOld!$X54+(1-$C$12)*DODRevOld!$AB54+(1-$C$5)*DODRevOld!$T54+$C$10*DODRevOld!$V54</f>
        <v>87.350000000000009</v>
      </c>
      <c r="N61" s="5"/>
      <c r="O61">
        <f t="shared" si="0"/>
        <v>1011.0000000000001</v>
      </c>
      <c r="P61">
        <f>DODRevOld!$AC54</f>
        <v>1011</v>
      </c>
    </row>
    <row r="62" spans="2:16" x14ac:dyDescent="0.2">
      <c r="B62">
        <f t="shared" si="1"/>
        <v>1971</v>
      </c>
      <c r="C62">
        <f>DODRevOld!$S55+$C$4*DODRevOld!$V55</f>
        <v>190.9</v>
      </c>
      <c r="D62" s="5">
        <f>$C$6*(DODRevOld!$R55+$C$5*DODRevOld!$T55)</f>
        <v>196.16</v>
      </c>
      <c r="E62" s="5">
        <f>$C$7*(DODRevOld!$R55+$C$5*DODRevOld!$T55)</f>
        <v>26.971999999999998</v>
      </c>
      <c r="F62" s="5">
        <f>$C$8*(DODRevOld!$R55+$C$5*DODRevOld!$T55)</f>
        <v>22.067999999999998</v>
      </c>
      <c r="G62">
        <f>DODRevOld!$U55</f>
        <v>125</v>
      </c>
      <c r="H62">
        <f>(1-$C$4-$C$9-$C$10)*DODRevOld!$V55</f>
        <v>151.19999999999999</v>
      </c>
      <c r="I62">
        <f>$C$11*DODRevOld!$W55</f>
        <v>57</v>
      </c>
      <c r="J62" s="5">
        <f>DODRevOld!$Z55+(1-$C$11)*DODRevOld!$W55</f>
        <v>89</v>
      </c>
      <c r="K62">
        <f>DODRevOld!$Y55</f>
        <v>26</v>
      </c>
      <c r="L62">
        <f>DODRevOld!$AA55+$C$12*DODRevOld!$AB55+$C$9*DODRevOld!$V55</f>
        <v>66.05</v>
      </c>
      <c r="M62" s="5">
        <f>DODRevOld!$X55+(1-$C$12)*DODRevOld!$AB55+(1-$C$5)*DODRevOld!$T55+$C$10*DODRevOld!$V55</f>
        <v>100.65</v>
      </c>
      <c r="N62" s="5"/>
      <c r="O62">
        <f t="shared" si="0"/>
        <v>1051</v>
      </c>
      <c r="P62">
        <f>DODRevOld!$AC55</f>
        <v>1051</v>
      </c>
    </row>
    <row r="63" spans="2:16" x14ac:dyDescent="0.2">
      <c r="B63">
        <f t="shared" si="1"/>
        <v>1972</v>
      </c>
      <c r="C63">
        <f>DODRevOld!$S56+$C$4*DODRevOld!$V56</f>
        <v>203.7</v>
      </c>
      <c r="D63" s="5">
        <f>$C$6*(DODRevOld!$R56+$C$5*DODRevOld!$T56)</f>
        <v>229.76</v>
      </c>
      <c r="E63" s="5">
        <f>$C$7*(DODRevOld!$R56+$C$5*DODRevOld!$T56)</f>
        <v>31.591999999999999</v>
      </c>
      <c r="F63" s="5">
        <f>$C$8*(DODRevOld!$R56+$C$5*DODRevOld!$T56)</f>
        <v>25.847999999999999</v>
      </c>
      <c r="G63">
        <f>DODRevOld!$U56</f>
        <v>159</v>
      </c>
      <c r="H63">
        <f>(1-$C$4-$C$9-$C$10)*DODRevOld!$V56</f>
        <v>125.6</v>
      </c>
      <c r="I63">
        <f>$C$11*DODRevOld!$W56</f>
        <v>63</v>
      </c>
      <c r="J63" s="5">
        <f>DODRevOld!$Z56+(1-$C$11)*DODRevOld!$W56</f>
        <v>113</v>
      </c>
      <c r="K63">
        <f>DODRevOld!$Y56</f>
        <v>27</v>
      </c>
      <c r="L63">
        <f>DODRevOld!$AA56+$C$12*DODRevOld!$AB56+$C$9*DODRevOld!$V56</f>
        <v>63.35</v>
      </c>
      <c r="M63" s="5">
        <f>DODRevOld!$X56+(1-$C$12)*DODRevOld!$AB56+(1-$C$5)*DODRevOld!$T56+$C$10*DODRevOld!$V56</f>
        <v>96.149999999999991</v>
      </c>
      <c r="N63" s="5"/>
      <c r="O63">
        <f t="shared" si="0"/>
        <v>1138</v>
      </c>
      <c r="P63">
        <f>DODRevOld!$AC56</f>
        <v>1138</v>
      </c>
    </row>
    <row r="64" spans="2:16" x14ac:dyDescent="0.2">
      <c r="B64">
        <f t="shared" si="1"/>
        <v>1973</v>
      </c>
      <c r="C64">
        <f>DODRevOld!$S57+$C$4*DODRevOld!$V57</f>
        <v>210.6</v>
      </c>
      <c r="D64" s="5">
        <f>$C$6*(DODRevOld!$R57+$C$5*DODRevOld!$T57)</f>
        <v>238.56</v>
      </c>
      <c r="E64" s="5">
        <f>$C$7*(DODRevOld!$R57+$C$5*DODRevOld!$T57)</f>
        <v>32.802</v>
      </c>
      <c r="F64" s="5">
        <f>$C$8*(DODRevOld!$R57+$C$5*DODRevOld!$T57)</f>
        <v>26.837999999999997</v>
      </c>
      <c r="G64">
        <f>DODRevOld!$U57</f>
        <v>215</v>
      </c>
      <c r="H64">
        <f>(1-$C$4-$C$9-$C$10)*DODRevOld!$V57</f>
        <v>124.79999999999998</v>
      </c>
      <c r="I64">
        <f>$C$11*DODRevOld!$W57</f>
        <v>57</v>
      </c>
      <c r="J64" s="5">
        <f>DODRevOld!$Z57+(1-$C$11)*DODRevOld!$W57</f>
        <v>123</v>
      </c>
      <c r="K64">
        <f>DODRevOld!$Y57</f>
        <v>26</v>
      </c>
      <c r="L64">
        <f>DODRevOld!$AA57+$C$12*DODRevOld!$AB57+$C$9*DODRevOld!$V57</f>
        <v>76.5</v>
      </c>
      <c r="M64" s="5">
        <f>DODRevOld!$X57+(1-$C$12)*DODRevOld!$AB57+(1-$C$5)*DODRevOld!$T57+$C$10*DODRevOld!$V57</f>
        <v>116.9</v>
      </c>
      <c r="N64" s="5"/>
      <c r="O64">
        <f t="shared" si="0"/>
        <v>1248</v>
      </c>
      <c r="P64">
        <f>DODRevOld!$AC57</f>
        <v>1248</v>
      </c>
    </row>
    <row r="65" spans="2:16" x14ac:dyDescent="0.2">
      <c r="B65">
        <f t="shared" si="1"/>
        <v>1974</v>
      </c>
      <c r="C65">
        <f>DODRevOld!$S58+$C$4*DODRevOld!$V58</f>
        <v>176.6</v>
      </c>
      <c r="D65" s="5">
        <f>$C$6*(DODRevOld!$R58+$C$5*DODRevOld!$T58)</f>
        <v>194.4</v>
      </c>
      <c r="E65" s="5">
        <f>$C$7*(DODRevOld!$R58+$C$5*DODRevOld!$T58)</f>
        <v>26.73</v>
      </c>
      <c r="F65" s="5">
        <f>$C$8*(DODRevOld!$R58+$C$5*DODRevOld!$T58)</f>
        <v>21.869999999999997</v>
      </c>
      <c r="G65">
        <f>DODRevOld!$U58</f>
        <v>182</v>
      </c>
      <c r="H65">
        <f>(1-$C$4-$C$9-$C$10)*DODRevOld!$V58</f>
        <v>140.79999999999998</v>
      </c>
      <c r="I65">
        <f>$C$11*DODRevOld!$W58</f>
        <v>56.25</v>
      </c>
      <c r="J65" s="5">
        <f>DODRevOld!$Z58+(1-$C$11)*DODRevOld!$W58</f>
        <v>66.75</v>
      </c>
      <c r="K65">
        <f>DODRevOld!$Y58</f>
        <v>27</v>
      </c>
      <c r="L65">
        <f>DODRevOld!$AA58+$C$12*DODRevOld!$AB58+$C$9*DODRevOld!$V58</f>
        <v>72.7</v>
      </c>
      <c r="M65" s="5">
        <f>DODRevOld!$X58+(1-$C$12)*DODRevOld!$AB58+(1-$C$5)*DODRevOld!$T58+$C$10*DODRevOld!$V58</f>
        <v>118.89999999999999</v>
      </c>
      <c r="N65" s="5"/>
      <c r="O65">
        <f t="shared" si="0"/>
        <v>1084</v>
      </c>
      <c r="P65">
        <f>DODRevOld!$AC58</f>
        <v>1084</v>
      </c>
    </row>
    <row r="66" spans="2:16" x14ac:dyDescent="0.2">
      <c r="B66">
        <f t="shared" si="1"/>
        <v>1975</v>
      </c>
      <c r="C66">
        <f>DODRevOld!$S59+$C$4*DODRevOld!$V59</f>
        <v>122.2</v>
      </c>
      <c r="D66" s="5">
        <f>$C$6*(DODRevOld!$R59+$C$5*DODRevOld!$T59)</f>
        <v>149.28</v>
      </c>
      <c r="E66" s="5">
        <f>$C$7*(DODRevOld!$R59+$C$5*DODRevOld!$T59)</f>
        <v>20.526</v>
      </c>
      <c r="F66" s="5">
        <f>$C$8*(DODRevOld!$R59+$C$5*DODRevOld!$T59)</f>
        <v>16.794</v>
      </c>
      <c r="G66">
        <f>DODRevOld!$U59</f>
        <v>106</v>
      </c>
      <c r="H66">
        <f>(1-$C$4-$C$9-$C$10)*DODRevOld!$V59</f>
        <v>121.6</v>
      </c>
      <c r="I66">
        <f>$C$11*DODRevOld!$W59</f>
        <v>47.25</v>
      </c>
      <c r="J66" s="5">
        <f>DODRevOld!$Z59+(1-$C$11)*DODRevOld!$W59</f>
        <v>47.75</v>
      </c>
      <c r="K66">
        <f>DODRevOld!$Y59</f>
        <v>28</v>
      </c>
      <c r="L66">
        <f>DODRevOld!$AA59+$C$12*DODRevOld!$AB59+$C$9*DODRevOld!$V59</f>
        <v>64.899999999999991</v>
      </c>
      <c r="M66" s="5">
        <f>DODRevOld!$X59+(1-$C$12)*DODRevOld!$AB59+(1-$C$5)*DODRevOld!$T59+$C$10*DODRevOld!$V59</f>
        <v>110.69999999999999</v>
      </c>
      <c r="N66" s="5"/>
      <c r="O66">
        <f t="shared" si="0"/>
        <v>835</v>
      </c>
      <c r="P66">
        <f>DODRevOld!$AC59</f>
        <v>835</v>
      </c>
    </row>
    <row r="67" spans="2:16" x14ac:dyDescent="0.2">
      <c r="B67">
        <f t="shared" si="1"/>
        <v>1976</v>
      </c>
      <c r="C67">
        <f>DODRevOld!$S60+$C$4*DODRevOld!$V60</f>
        <v>117.8</v>
      </c>
      <c r="D67" s="5">
        <f>$C$6*(DODRevOld!$R60+$C$5*DODRevOld!$T60)</f>
        <v>164</v>
      </c>
      <c r="E67" s="5">
        <f>$C$7*(DODRevOld!$R60+$C$5*DODRevOld!$T60)</f>
        <v>22.55</v>
      </c>
      <c r="F67" s="5">
        <f>$C$8*(DODRevOld!$R60+$C$5*DODRevOld!$T60)</f>
        <v>18.45</v>
      </c>
      <c r="G67">
        <f>DODRevOld!$U60</f>
        <v>122</v>
      </c>
      <c r="H67">
        <f>(1-$C$4-$C$9-$C$10)*DODRevOld!$V60</f>
        <v>94.399999999999991</v>
      </c>
      <c r="I67">
        <f>$C$11*DODRevOld!$W60</f>
        <v>53.25</v>
      </c>
      <c r="J67" s="5">
        <f>DODRevOld!$Z60+(1-$C$11)*DODRevOld!$W60</f>
        <v>51.75</v>
      </c>
      <c r="K67">
        <f>DODRevOld!$Y60</f>
        <v>31</v>
      </c>
      <c r="L67">
        <f>DODRevOld!$AA60+$C$12*DODRevOld!$AB60+$C$9*DODRevOld!$V60</f>
        <v>59</v>
      </c>
      <c r="M67" s="5">
        <f>DODRevOld!$X60+(1-$C$12)*DODRevOld!$AB60+(1-$C$5)*DODRevOld!$T60+$C$10*DODRevOld!$V60</f>
        <v>100.80000000000001</v>
      </c>
      <c r="N67" s="5"/>
      <c r="O67">
        <f t="shared" si="0"/>
        <v>835</v>
      </c>
      <c r="P67">
        <f>DODRevOld!$AC60</f>
        <v>835</v>
      </c>
    </row>
    <row r="68" spans="2:16" x14ac:dyDescent="0.2">
      <c r="B68">
        <f t="shared" si="1"/>
        <v>1977</v>
      </c>
      <c r="C68">
        <f>DODRevOld!$S61+$C$4*DODRevOld!$V61</f>
        <v>148.19999999999999</v>
      </c>
      <c r="D68" s="5">
        <f>$C$6*(DODRevOld!$R61+$C$5*DODRevOld!$T61)</f>
        <v>197.76</v>
      </c>
      <c r="E68" s="5">
        <f>$C$7*(DODRevOld!$R61+$C$5*DODRevOld!$T61)</f>
        <v>27.192</v>
      </c>
      <c r="F68" s="5">
        <f>$C$8*(DODRevOld!$R61+$C$5*DODRevOld!$T61)</f>
        <v>22.247999999999998</v>
      </c>
      <c r="G68">
        <f>DODRevOld!$U61</f>
        <v>170</v>
      </c>
      <c r="H68">
        <f>(1-$C$4-$C$9-$C$10)*DODRevOld!$V61</f>
        <v>89.6</v>
      </c>
      <c r="I68">
        <f>$C$11*DODRevOld!$W61</f>
        <v>49.5</v>
      </c>
      <c r="J68" s="5">
        <f>DODRevOld!$Z61+(1-$C$11)*DODRevOld!$W61</f>
        <v>53.5</v>
      </c>
      <c r="K68">
        <f>DODRevOld!$Y61</f>
        <v>32</v>
      </c>
      <c r="L68">
        <f>DODRevOld!$AA61+$C$12*DODRevOld!$AB61+$C$9*DODRevOld!$V61</f>
        <v>59.300000000000004</v>
      </c>
      <c r="M68" s="5">
        <f>DODRevOld!$X61+(1-$C$12)*DODRevOld!$AB61+(1-$C$5)*DODRevOld!$T61+$C$10*DODRevOld!$V61</f>
        <v>108.7</v>
      </c>
      <c r="N68" s="5"/>
      <c r="O68">
        <f t="shared" si="0"/>
        <v>958</v>
      </c>
      <c r="P68">
        <f>DODRevOld!$AC61</f>
        <v>958</v>
      </c>
    </row>
    <row r="69" spans="2:16" x14ac:dyDescent="0.2">
      <c r="B69">
        <f t="shared" si="1"/>
        <v>1978</v>
      </c>
      <c r="C69">
        <f>DODRevOld!$S62+$C$4*DODRevOld!$V62</f>
        <v>217.4</v>
      </c>
      <c r="D69" s="5">
        <f>$C$6*(DODRevOld!$R62+$C$5*DODRevOld!$T62)</f>
        <v>230.72</v>
      </c>
      <c r="E69" s="5">
        <f>$C$7*(DODRevOld!$R62+$C$5*DODRevOld!$T62)</f>
        <v>31.723999999999997</v>
      </c>
      <c r="F69" s="5">
        <f>$C$8*(DODRevOld!$R62+$C$5*DODRevOld!$T62)</f>
        <v>25.955999999999996</v>
      </c>
      <c r="G69">
        <f>DODRevOld!$U62</f>
        <v>250</v>
      </c>
      <c r="H69">
        <f>(1-$C$4-$C$9-$C$10)*DODRevOld!$V62</f>
        <v>83.199999999999989</v>
      </c>
      <c r="I69">
        <f>$C$11*DODRevOld!$W62</f>
        <v>39.75</v>
      </c>
      <c r="J69" s="5">
        <f>DODRevOld!$Z62+(1-$C$11)*DODRevOld!$W62</f>
        <v>55.25</v>
      </c>
      <c r="K69">
        <f>DODRevOld!$Y62</f>
        <v>35</v>
      </c>
      <c r="L69">
        <f>DODRevOld!$AA62+$C$12*DODRevOld!$AB62+$C$9*DODRevOld!$V62</f>
        <v>62.5</v>
      </c>
      <c r="M69" s="5">
        <f>DODRevOld!$X62+(1-$C$12)*DODRevOld!$AB62+(1-$C$5)*DODRevOld!$T62+$C$10*DODRevOld!$V62</f>
        <v>77.5</v>
      </c>
      <c r="N69" s="5"/>
      <c r="O69">
        <f t="shared" si="0"/>
        <v>1109</v>
      </c>
      <c r="P69">
        <f>DODRevOld!$AC62</f>
        <v>1109</v>
      </c>
    </row>
    <row r="70" spans="2:16" x14ac:dyDescent="0.2">
      <c r="B70">
        <f t="shared" si="1"/>
        <v>1979</v>
      </c>
      <c r="C70">
        <f>DODRevOld!$S63+$C$4*DODRevOld!$V63</f>
        <v>245.2</v>
      </c>
      <c r="D70" s="5">
        <f>$C$6*(DODRevOld!$R63+$C$5*DODRevOld!$T63)</f>
        <v>245.44000000000003</v>
      </c>
      <c r="E70" s="5">
        <f>$C$7*(DODRevOld!$R63+$C$5*DODRevOld!$T63)</f>
        <v>33.748000000000005</v>
      </c>
      <c r="F70" s="5">
        <f>$C$8*(DODRevOld!$R63+$C$5*DODRevOld!$T63)</f>
        <v>27.611999999999998</v>
      </c>
      <c r="G70">
        <f>DODRevOld!$U63</f>
        <v>260</v>
      </c>
      <c r="H70">
        <f>(1-$C$4-$C$9-$C$10)*DODRevOld!$V63</f>
        <v>81.599999999999994</v>
      </c>
      <c r="I70">
        <f>$C$11*DODRevOld!$W63</f>
        <v>42.75</v>
      </c>
      <c r="J70" s="5">
        <f>DODRevOld!$Z63+(1-$C$11)*DODRevOld!$W63</f>
        <v>70.25</v>
      </c>
      <c r="K70">
        <f>DODRevOld!$Y63</f>
        <v>34</v>
      </c>
      <c r="L70">
        <f>DODRevOld!$AA63+$C$12*DODRevOld!$AB63+$C$9*DODRevOld!$V63</f>
        <v>63.4</v>
      </c>
      <c r="M70" s="5">
        <f>DODRevOld!$X63+(1-$C$12)*DODRevOld!$AB63+(1-$C$5)*DODRevOld!$T63+$C$10*DODRevOld!$V63</f>
        <v>87</v>
      </c>
      <c r="N70" s="5"/>
      <c r="O70">
        <f t="shared" si="0"/>
        <v>1191</v>
      </c>
      <c r="P70">
        <f>DODRevOld!$AC63</f>
        <v>1191</v>
      </c>
    </row>
    <row r="71" spans="2:16" x14ac:dyDescent="0.2">
      <c r="B71">
        <f t="shared" si="1"/>
        <v>1980</v>
      </c>
      <c r="C71">
        <f>DODRevOld!$S64+$C$4*DODRevOld!$V64</f>
        <v>253.3</v>
      </c>
      <c r="D71" s="5">
        <f>$C$6*(DODRevOld!$R64+$C$5*DODRevOld!$T64)</f>
        <v>188.64000000000001</v>
      </c>
      <c r="E71" s="5">
        <f>$C$7*(DODRevOld!$R64+$C$5*DODRevOld!$T64)</f>
        <v>25.938000000000002</v>
      </c>
      <c r="F71" s="5">
        <f>$C$8*(DODRevOld!$R64+$C$5*DODRevOld!$T64)</f>
        <v>21.222000000000001</v>
      </c>
      <c r="G71">
        <f>DODRevOld!$U64</f>
        <v>196</v>
      </c>
      <c r="H71">
        <f>(1-$C$4-$C$9-$C$10)*DODRevOld!$V64</f>
        <v>82.399999999999991</v>
      </c>
      <c r="I71">
        <f>$C$11*DODRevOld!$W64</f>
        <v>41.25</v>
      </c>
      <c r="J71" s="5">
        <f>DODRevOld!$Z64+(1-$C$11)*DODRevOld!$W64</f>
        <v>70.75</v>
      </c>
      <c r="K71">
        <f>DODRevOld!$Y64</f>
        <v>28</v>
      </c>
      <c r="L71">
        <f>DODRevOld!$AA64+$C$12*DODRevOld!$AB64+$C$9*DODRevOld!$V64</f>
        <v>59.35</v>
      </c>
      <c r="M71" s="5">
        <f>DODRevOld!$X64+(1-$C$12)*DODRevOld!$AB64+(1-$C$5)*DODRevOld!$T64+$C$10*DODRevOld!$V64</f>
        <v>83.15000000000002</v>
      </c>
      <c r="N71" s="5"/>
      <c r="O71">
        <f t="shared" si="0"/>
        <v>1050</v>
      </c>
      <c r="P71">
        <f>DODRevOld!$AC64</f>
        <v>1050</v>
      </c>
    </row>
    <row r="72" spans="2:16" x14ac:dyDescent="0.2">
      <c r="B72">
        <f t="shared" si="1"/>
        <v>1981</v>
      </c>
      <c r="C72">
        <f>DODRevOld!$S65+$C$4*DODRevOld!$V65</f>
        <v>336.3</v>
      </c>
      <c r="D72" s="5">
        <f>$C$6*(DODRevOld!$R65+$C$5*DODRevOld!$T65)</f>
        <v>167.20000000000002</v>
      </c>
      <c r="E72" s="5">
        <f>$C$7*(DODRevOld!$R65+$C$5*DODRevOld!$T65)</f>
        <v>22.99</v>
      </c>
      <c r="F72" s="5">
        <f>$C$8*(DODRevOld!$R65+$C$5*DODRevOld!$T65)</f>
        <v>18.809999999999999</v>
      </c>
      <c r="G72">
        <f>DODRevOld!$U65</f>
        <v>181</v>
      </c>
      <c r="H72">
        <f>(1-$C$4-$C$9-$C$10)*DODRevOld!$V65</f>
        <v>66.399999999999991</v>
      </c>
      <c r="I72">
        <f>$C$11*DODRevOld!$W65</f>
        <v>45</v>
      </c>
      <c r="J72" s="5">
        <f>DODRevOld!$Z65+(1-$C$11)*DODRevOld!$W65</f>
        <v>75</v>
      </c>
      <c r="K72">
        <f>DODRevOld!$Y65</f>
        <v>25</v>
      </c>
      <c r="L72">
        <f>DODRevOld!$AA65+$C$12*DODRevOld!$AB65+$C$9*DODRevOld!$V65</f>
        <v>54.25</v>
      </c>
      <c r="M72" s="5">
        <f>DODRevOld!$X65+(1-$C$12)*DODRevOld!$AB65+(1-$C$5)*DODRevOld!$T65+$C$10*DODRevOld!$V65</f>
        <v>69.05</v>
      </c>
      <c r="N72" s="5"/>
      <c r="O72">
        <f t="shared" si="0"/>
        <v>1061</v>
      </c>
      <c r="P72">
        <f>DODRevOld!$AC65</f>
        <v>1061</v>
      </c>
    </row>
    <row r="73" spans="2:16" x14ac:dyDescent="0.2">
      <c r="B73">
        <f t="shared" si="1"/>
        <v>1982</v>
      </c>
      <c r="C73">
        <f>DODRevOld!$S66+$C$4*DODRevOld!$V66</f>
        <v>272.2</v>
      </c>
      <c r="D73" s="5">
        <f>$C$6*(DODRevOld!$R66+$C$5*DODRevOld!$T66)</f>
        <v>129.08959999999999</v>
      </c>
      <c r="E73" s="5">
        <f>$C$7*(DODRevOld!$R66+$C$5*DODRevOld!$T66)</f>
        <v>17.74982</v>
      </c>
      <c r="F73" s="5">
        <f>$C$8*(DODRevOld!$R66+$C$5*DODRevOld!$T66)</f>
        <v>14.52258</v>
      </c>
      <c r="G73">
        <f>DODRevOld!$U66</f>
        <v>136.75</v>
      </c>
      <c r="H73">
        <f>(1-$C$4-$C$9-$C$10)*DODRevOld!$V66</f>
        <v>65.599999999999994</v>
      </c>
      <c r="I73">
        <f>$C$11*DODRevOld!$W66</f>
        <v>53.25</v>
      </c>
      <c r="J73" s="5">
        <f>DODRevOld!$Z66+(1-$C$11)*DODRevOld!$W66</f>
        <v>77.75</v>
      </c>
      <c r="K73">
        <f>DODRevOld!$Y66</f>
        <v>25</v>
      </c>
      <c r="L73">
        <f>DODRevOld!$AA66+$C$12*DODRevOld!$AB66+$C$9*DODRevOld!$V66</f>
        <v>45.1</v>
      </c>
      <c r="M73" s="5">
        <f>DODRevOld!$X66+(1-$C$12)*DODRevOld!$AB66+(1-$C$5)*DODRevOld!$T66+$C$10*DODRevOld!$V66</f>
        <v>58.988</v>
      </c>
      <c r="N73" s="5"/>
      <c r="O73">
        <f t="shared" si="0"/>
        <v>896</v>
      </c>
      <c r="P73">
        <f>DODRevOld!$AC66</f>
        <v>896</v>
      </c>
    </row>
    <row r="74" spans="2:16" x14ac:dyDescent="0.2">
      <c r="B74">
        <f t="shared" si="1"/>
        <v>1983</v>
      </c>
      <c r="C74">
        <f>DODRevOld!$S67+$C$4*DODRevOld!$V67</f>
        <v>288.39999999999998</v>
      </c>
      <c r="D74" s="5">
        <f>$C$6*(DODRevOld!$R67+$C$5*DODRevOld!$T67)</f>
        <v>154.3152</v>
      </c>
      <c r="E74" s="5">
        <f>$C$7*(DODRevOld!$R67+$C$5*DODRevOld!$T67)</f>
        <v>21.218340000000001</v>
      </c>
      <c r="F74" s="5">
        <f>$C$8*(DODRevOld!$R67+$C$5*DODRevOld!$T67)</f>
        <v>17.36046</v>
      </c>
      <c r="G74">
        <f>DODRevOld!$U67</f>
        <v>163.47999999999999</v>
      </c>
      <c r="H74">
        <f>(1-$C$4-$C$9-$C$10)*DODRevOld!$V67</f>
        <v>67.199999999999989</v>
      </c>
      <c r="I74">
        <f>$C$11*DODRevOld!$W67</f>
        <v>63</v>
      </c>
      <c r="J74" s="5">
        <f>DODRevOld!$Z67+(1-$C$11)*DODRevOld!$W67</f>
        <v>90</v>
      </c>
      <c r="K74">
        <f>DODRevOld!$Y67</f>
        <v>29</v>
      </c>
      <c r="L74">
        <f>DODRevOld!$AA67+$C$12*DODRevOld!$AB67+$C$9*DODRevOld!$V67</f>
        <v>43.300000000000004</v>
      </c>
      <c r="M74" s="5">
        <f>DODRevOld!$X67+(1-$C$12)*DODRevOld!$AB67+(1-$C$5)*DODRevOld!$T67+$C$10*DODRevOld!$V67</f>
        <v>62.726000000000006</v>
      </c>
      <c r="N74" s="5"/>
      <c r="O74">
        <f t="shared" si="0"/>
        <v>999.99999999999989</v>
      </c>
      <c r="P74">
        <f>DODRevOld!$AC67</f>
        <v>1000</v>
      </c>
    </row>
    <row r="75" spans="2:16" x14ac:dyDescent="0.2">
      <c r="B75">
        <f t="shared" si="1"/>
        <v>1984</v>
      </c>
      <c r="C75">
        <f>DODRevOld!$S68+$C$4*DODRevOld!$V68</f>
        <v>320</v>
      </c>
      <c r="D75" s="5">
        <f>$C$6*(DODRevOld!$R68+$C$5*DODRevOld!$T68)</f>
        <v>209.40160000000003</v>
      </c>
      <c r="E75" s="5">
        <f>$C$7*(DODRevOld!$R68+$C$5*DODRevOld!$T68)</f>
        <v>28.792720000000003</v>
      </c>
      <c r="F75" s="5">
        <f>$C$8*(DODRevOld!$R68+$C$5*DODRevOld!$T68)</f>
        <v>23.557680000000001</v>
      </c>
      <c r="G75">
        <f>DODRevOld!$U68</f>
        <v>221.84</v>
      </c>
      <c r="H75">
        <f>(1-$C$4-$C$9-$C$10)*DODRevOld!$V68</f>
        <v>80</v>
      </c>
      <c r="I75">
        <f>$C$11*DODRevOld!$W68</f>
        <v>52.5</v>
      </c>
      <c r="J75" s="5">
        <f>DODRevOld!$Z68+(1-$C$11)*DODRevOld!$W68</f>
        <v>110.4899999999999</v>
      </c>
      <c r="K75">
        <f>DODRevOld!$Y68</f>
        <v>29</v>
      </c>
      <c r="L75">
        <f>DODRevOld!$AA68+$C$12*DODRevOld!$AB68+$C$9*DODRevOld!$V68</f>
        <v>45.4</v>
      </c>
      <c r="M75" s="5">
        <f>DODRevOld!$X68+(1-$C$12)*DODRevOld!$AB68+(1-$C$5)*DODRevOld!$T68+$C$10*DODRevOld!$V68</f>
        <v>73.018000000000001</v>
      </c>
      <c r="N75" s="5"/>
      <c r="O75">
        <f t="shared" si="0"/>
        <v>1194</v>
      </c>
      <c r="P75">
        <f>DODRevOld!$AC68</f>
        <v>1194</v>
      </c>
    </row>
    <row r="76" spans="2:16" x14ac:dyDescent="0.2">
      <c r="B76">
        <f t="shared" si="1"/>
        <v>1985</v>
      </c>
      <c r="C76">
        <f>DODRevOld!$S69+$C$4*DODRevOld!$V69</f>
        <v>372.26000000000005</v>
      </c>
      <c r="D76" s="5">
        <f>$C$6*(DODRevOld!$R69+$C$5*DODRevOld!$T69)</f>
        <v>242.96799999999999</v>
      </c>
      <c r="E76" s="5">
        <f>$C$7*(DODRevOld!$R69+$C$5*DODRevOld!$T69)</f>
        <v>33.408099999999997</v>
      </c>
      <c r="F76" s="5">
        <f>$C$8*(DODRevOld!$R69+$C$5*DODRevOld!$T69)</f>
        <v>27.333899999999996</v>
      </c>
      <c r="G76">
        <f>DODRevOld!$U69</f>
        <v>257.39999999999998</v>
      </c>
      <c r="H76">
        <f>(1-$C$4-$C$9-$C$10)*DODRevOld!$V69</f>
        <v>88.8</v>
      </c>
      <c r="I76">
        <f>$C$11*DODRevOld!$W69</f>
        <v>54.75</v>
      </c>
      <c r="J76" s="5">
        <f>DODRevOld!$Z69+(1-$C$11)*DODRevOld!$W69</f>
        <v>118.25</v>
      </c>
      <c r="K76">
        <f>DODRevOld!$Y69</f>
        <v>32</v>
      </c>
      <c r="L76">
        <f>DODRevOld!$AA69+$C$12*DODRevOld!$AB69+$C$9*DODRevOld!$V69</f>
        <v>53.349999999999994</v>
      </c>
      <c r="M76" s="5">
        <f>DODRevOld!$X69+(1-$C$12)*DODRevOld!$AB69+(1-$C$5)*DODRevOld!$T69+$C$10*DODRevOld!$V69</f>
        <v>84.48</v>
      </c>
      <c r="N76" s="5"/>
      <c r="O76">
        <f t="shared" si="0"/>
        <v>1365</v>
      </c>
      <c r="P76">
        <f>DODRevOld!$AC69</f>
        <v>1365</v>
      </c>
    </row>
    <row r="77" spans="2:16" x14ac:dyDescent="0.2">
      <c r="B77">
        <f t="shared" si="1"/>
        <v>1986</v>
      </c>
      <c r="C77">
        <f>DODRevOld!$S70+$C$4*DODRevOld!$V70</f>
        <v>333.35999999999996</v>
      </c>
      <c r="D77" s="5">
        <f>$C$6*(DODRevOld!$R70+$C$5*DODRevOld!$T70)</f>
        <v>230.64800000000002</v>
      </c>
      <c r="E77" s="5">
        <f>$C$7*(DODRevOld!$R70+$C$5*DODRevOld!$T70)</f>
        <v>31.714100000000002</v>
      </c>
      <c r="F77" s="5">
        <f>$C$8*(DODRevOld!$R70+$C$5*DODRevOld!$T70)</f>
        <v>25.947900000000001</v>
      </c>
      <c r="G77">
        <f>DODRevOld!$U70</f>
        <v>244.35</v>
      </c>
      <c r="H77">
        <f>(1-$C$4-$C$9-$C$10)*DODRevOld!$V70</f>
        <v>103.19999999999999</v>
      </c>
      <c r="I77">
        <f>$C$11*DODRevOld!$W70</f>
        <v>54.75</v>
      </c>
      <c r="J77" s="5">
        <f>DODRevOld!$Z70+(1-$C$11)*DODRevOld!$W70</f>
        <v>109.25</v>
      </c>
      <c r="K77">
        <f>DODRevOld!$Y70</f>
        <v>32</v>
      </c>
      <c r="L77">
        <f>DODRevOld!$AA70+$C$12*DODRevOld!$AB70+$C$9*DODRevOld!$V70</f>
        <v>54.35</v>
      </c>
      <c r="M77" s="5">
        <f>DODRevOld!$X70+(1-$C$12)*DODRevOld!$AB70+(1-$C$5)*DODRevOld!$T70+$C$10*DODRevOld!$V70</f>
        <v>87.429999999999993</v>
      </c>
      <c r="N77" s="5"/>
      <c r="O77">
        <f t="shared" si="0"/>
        <v>1307</v>
      </c>
      <c r="P77">
        <f>DODRevOld!$AC70</f>
        <v>1307</v>
      </c>
    </row>
    <row r="78" spans="2:16" x14ac:dyDescent="0.2">
      <c r="B78">
        <f t="shared" si="1"/>
        <v>1987</v>
      </c>
      <c r="C78">
        <f>DODRevOld!$S71+$C$4*DODRevOld!$V71</f>
        <v>301.97999999999996</v>
      </c>
      <c r="D78" s="5">
        <f>$C$6*(DODRevOld!$R71+$C$5*DODRevOld!$T71)</f>
        <v>240.05760000000001</v>
      </c>
      <c r="E78" s="5">
        <f>$C$7*(DODRevOld!$R71+$C$5*DODRevOld!$T71)</f>
        <v>33.007919999999999</v>
      </c>
      <c r="F78" s="5">
        <f>$C$8*(DODRevOld!$R71+$C$5*DODRevOld!$T71)</f>
        <v>27.00648</v>
      </c>
      <c r="G78">
        <f>DODRevOld!$U71</f>
        <v>254.32</v>
      </c>
      <c r="H78">
        <f>(1-$C$4-$C$9-$C$10)*DODRevOld!$V71</f>
        <v>111.19999999999999</v>
      </c>
      <c r="I78">
        <f>$C$11*DODRevOld!$W71</f>
        <v>58.5</v>
      </c>
      <c r="J78" s="5">
        <f>DODRevOld!$Z71+(1-$C$11)*DODRevOld!$W71</f>
        <v>93.5</v>
      </c>
      <c r="K78">
        <f>DODRevOld!$Y71</f>
        <v>32</v>
      </c>
      <c r="L78">
        <f>DODRevOld!$AA71+$C$12*DODRevOld!$AB71+$C$9*DODRevOld!$V71</f>
        <v>56.75</v>
      </c>
      <c r="M78" s="5">
        <f>DODRevOld!$X71+(1-$C$12)*DODRevOld!$AB71+(1-$C$5)*DODRevOld!$T71+$C$10*DODRevOld!$V71</f>
        <v>99.677999999999997</v>
      </c>
      <c r="N78" s="5"/>
      <c r="O78">
        <f t="shared" si="0"/>
        <v>1308</v>
      </c>
      <c r="P78">
        <f>DODRevOld!$AC71</f>
        <v>1308</v>
      </c>
    </row>
    <row r="79" spans="2:16" x14ac:dyDescent="0.2">
      <c r="B79">
        <f t="shared" si="1"/>
        <v>1988</v>
      </c>
      <c r="C79">
        <f>DODRevOld!$S72+$C$4*DODRevOld!$V72</f>
        <v>308.06</v>
      </c>
      <c r="D79" s="5">
        <f>$C$6*(DODRevOld!$R72+$C$5*DODRevOld!$T72)</f>
        <v>219.12960000000004</v>
      </c>
      <c r="E79" s="5">
        <f>$C$7*(DODRevOld!$R72+$C$5*DODRevOld!$T72)</f>
        <v>30.130320000000005</v>
      </c>
      <c r="F79" s="5">
        <f>$C$8*(DODRevOld!$R72+$C$5*DODRevOld!$T72)</f>
        <v>24.652080000000002</v>
      </c>
      <c r="G79">
        <f>DODRevOld!$U72</f>
        <v>232.14</v>
      </c>
      <c r="H79">
        <f>(1-$C$4-$C$9-$C$10)*DODRevOld!$V72</f>
        <v>113.6</v>
      </c>
      <c r="I79">
        <f>$C$11*DODRevOld!$W72</f>
        <v>53.25</v>
      </c>
      <c r="J79" s="5">
        <f>DODRevOld!$Z72+(1-$C$11)*DODRevOld!$W72</f>
        <v>85.75</v>
      </c>
      <c r="K79">
        <f>DODRevOld!$Y72</f>
        <v>32</v>
      </c>
      <c r="L79">
        <f>DODRevOld!$AA72+$C$12*DODRevOld!$AB72+$C$9*DODRevOld!$V72</f>
        <v>59.800000000000004</v>
      </c>
      <c r="M79" s="5">
        <f>DODRevOld!$X72+(1-$C$12)*DODRevOld!$AB72+(1-$C$5)*DODRevOld!$T72+$C$10*DODRevOld!$V72</f>
        <v>93.488</v>
      </c>
      <c r="N79" s="5"/>
      <c r="O79">
        <f t="shared" si="0"/>
        <v>1252</v>
      </c>
      <c r="P79">
        <f>DODRevOld!$AC72</f>
        <v>1252</v>
      </c>
    </row>
    <row r="80" spans="2:16" x14ac:dyDescent="0.2">
      <c r="B80">
        <f t="shared" si="1"/>
        <v>1989</v>
      </c>
      <c r="C80">
        <f>DODRevOld!$S73+$C$4*DODRevOld!$V73</f>
        <v>304.75</v>
      </c>
      <c r="D80" s="5">
        <f>$C$6*(DODRevOld!$R73+$C$5*DODRevOld!$T73)</f>
        <v>207.02080000000001</v>
      </c>
      <c r="E80" s="5">
        <f>$C$7*(DODRevOld!$R73+$C$5*DODRevOld!$T73)</f>
        <v>28.46536</v>
      </c>
      <c r="F80" s="5">
        <f>$C$8*(DODRevOld!$R73+$C$5*DODRevOld!$T73)</f>
        <v>23.289840000000002</v>
      </c>
      <c r="G80">
        <f>DODRevOld!$U73</f>
        <v>219.32</v>
      </c>
      <c r="H80">
        <f>(1-$C$4-$C$9-$C$10)*DODRevOld!$V73</f>
        <v>120.79999999999998</v>
      </c>
      <c r="I80">
        <f>$C$11*DODRevOld!$W73</f>
        <v>54</v>
      </c>
      <c r="J80" s="5">
        <f>DODRevOld!$Z73+(1-$C$11)*DODRevOld!$W73</f>
        <v>103</v>
      </c>
      <c r="K80">
        <f>DODRevOld!$Y73</f>
        <v>27</v>
      </c>
      <c r="L80">
        <f>DODRevOld!$AA73+$C$12*DODRevOld!$AB73+$C$9*DODRevOld!$V73</f>
        <v>59.05</v>
      </c>
      <c r="M80" s="5">
        <f>DODRevOld!$X73+(1-$C$12)*DODRevOld!$AB73+(1-$C$5)*DODRevOld!$T73+$C$10*DODRevOld!$V73</f>
        <v>94.303999999999988</v>
      </c>
      <c r="N80" s="5"/>
      <c r="O80">
        <f t="shared" si="0"/>
        <v>1241</v>
      </c>
      <c r="P80">
        <f>DODRevOld!$AC73</f>
        <v>1241</v>
      </c>
    </row>
    <row r="81" spans="2:16" x14ac:dyDescent="0.2">
      <c r="B81">
        <f t="shared" si="1"/>
        <v>1990</v>
      </c>
      <c r="C81">
        <f>DODRevOld!$S74+$C$4*DODRevOld!$V74</f>
        <v>245.42805211448101</v>
      </c>
      <c r="D81" s="5">
        <f>$C$6*(DODRevOld!$R74+$C$5*DODRevOld!$T74)</f>
        <v>168.95298077744553</v>
      </c>
      <c r="E81" s="5">
        <f>$C$7*(DODRevOld!$R74+$C$5*DODRevOld!$T74)</f>
        <v>23.231034856898759</v>
      </c>
      <c r="F81" s="5">
        <f>$C$8*(DODRevOld!$R74+$C$5*DODRevOld!$T74)</f>
        <v>19.00721033746262</v>
      </c>
      <c r="G81">
        <f>DODRevOld!$U74</f>
        <v>178.98885519008968</v>
      </c>
      <c r="H81">
        <f>(1-$C$4-$C$9-$C$10)*DODRevOld!$V74</f>
        <v>121.6</v>
      </c>
      <c r="I81">
        <f>$C$11*DODRevOld!$W74</f>
        <v>51.75</v>
      </c>
      <c r="J81" s="5">
        <f>DODRevOld!$Z74+(1-$C$11)*DODRevOld!$W74</f>
        <v>79.208991883810342</v>
      </c>
      <c r="K81">
        <f>DODRevOld!$Y74</f>
        <v>29</v>
      </c>
      <c r="L81">
        <f>DODRevOld!$AA74+$C$12*DODRevOld!$AB74+$C$9*DODRevOld!$V74</f>
        <v>61.800000000000004</v>
      </c>
      <c r="M81" s="5">
        <f>DODRevOld!$X74+(1-$C$12)*DODRevOld!$AB74+(1-$C$5)*DODRevOld!$T74+$C$10*DODRevOld!$V74</f>
        <v>95.032874839812038</v>
      </c>
      <c r="N81" s="5"/>
      <c r="O81">
        <f t="shared" ref="O81:O111" si="2">SUM(C81:M81)</f>
        <v>1074</v>
      </c>
      <c r="P81">
        <f>DODRevOld!$AC74</f>
        <v>1074</v>
      </c>
    </row>
    <row r="82" spans="2:16" x14ac:dyDescent="0.2">
      <c r="B82">
        <f t="shared" ref="B82:B111" si="3">B81+1</f>
        <v>1991</v>
      </c>
      <c r="C82">
        <f>DODRevOld!$S75+$C$4*DODRevOld!$V75</f>
        <v>175.94031824006836</v>
      </c>
      <c r="D82" s="5">
        <f>$C$6*(DODRevOld!$R75+$C$5*DODRevOld!$T75)</f>
        <v>116.12474327210595</v>
      </c>
      <c r="E82" s="5">
        <f>$C$7*(DODRevOld!$R75+$C$5*DODRevOld!$T75)</f>
        <v>15.967152199914565</v>
      </c>
      <c r="F82" s="5">
        <f>$C$8*(DODRevOld!$R75+$C$5*DODRevOld!$T75)</f>
        <v>13.064033618111917</v>
      </c>
      <c r="G82">
        <f>DODRevOld!$U75</f>
        <v>123.02259931653138</v>
      </c>
      <c r="H82">
        <f>(1-$C$4-$C$9-$C$10)*DODRevOld!$V75</f>
        <v>141.6</v>
      </c>
      <c r="I82">
        <f>$C$11*DODRevOld!$W75</f>
        <v>54</v>
      </c>
      <c r="J82" s="5">
        <f>DODRevOld!$Z75+(1-$C$11)*DODRevOld!$W75</f>
        <v>60.585647159333618</v>
      </c>
      <c r="K82">
        <f>DODRevOld!$Y75</f>
        <v>29</v>
      </c>
      <c r="L82">
        <f>DODRevOld!$AA75+$C$12*DODRevOld!$AB75+$C$9*DODRevOld!$V75</f>
        <v>57.15</v>
      </c>
      <c r="M82" s="5">
        <f>DODRevOld!$X75+(1-$C$12)*DODRevOld!$AB75+(1-$C$5)*DODRevOld!$T75+$C$10*DODRevOld!$V75</f>
        <v>96.545506193934216</v>
      </c>
      <c r="N82" s="5"/>
      <c r="O82">
        <f t="shared" si="2"/>
        <v>883</v>
      </c>
      <c r="P82">
        <f>DODRevOld!$AC75</f>
        <v>883</v>
      </c>
    </row>
    <row r="83" spans="2:16" x14ac:dyDescent="0.2">
      <c r="B83">
        <f t="shared" si="3"/>
        <v>1992</v>
      </c>
      <c r="C83">
        <f>DODRevOld!$S76+$C$4*DODRevOld!$V76</f>
        <v>168.86420760358823</v>
      </c>
      <c r="D83" s="5">
        <f>$C$6*(DODRevOld!$R76+$C$5*DODRevOld!$T76)</f>
        <v>112.47302178556173</v>
      </c>
      <c r="E83" s="5">
        <f>$C$7*(DODRevOld!$R76+$C$5*DODRevOld!$T76)</f>
        <v>15.465040495514737</v>
      </c>
      <c r="F83" s="5">
        <f>$C$8*(DODRevOld!$R76+$C$5*DODRevOld!$T76)</f>
        <v>12.653214950875693</v>
      </c>
      <c r="G83">
        <f>DODRevOld!$U76</f>
        <v>119.15396411789833</v>
      </c>
      <c r="H83">
        <f>(1-$C$4-$C$9-$C$10)*DODRevOld!$V76</f>
        <v>124.79999999999998</v>
      </c>
      <c r="I83">
        <f>$C$11*DODRevOld!$W76</f>
        <v>57.75</v>
      </c>
      <c r="J83" s="5">
        <f>DODRevOld!$Z76+(1-$C$11)*DODRevOld!$W76</f>
        <v>60.496475865014951</v>
      </c>
      <c r="K83">
        <f>DODRevOld!$Y76</f>
        <v>30</v>
      </c>
      <c r="L83">
        <f>DODRevOld!$AA76+$C$12*DODRevOld!$AB76+$C$9*DODRevOld!$V76</f>
        <v>53</v>
      </c>
      <c r="M83" s="5">
        <f>DODRevOld!$X76+(1-$C$12)*DODRevOld!$AB76+(1-$C$5)*DODRevOld!$T76+$C$10*DODRevOld!$V76</f>
        <v>85.344075181546344</v>
      </c>
      <c r="N83" s="5"/>
      <c r="O83">
        <f t="shared" si="2"/>
        <v>840.00000000000011</v>
      </c>
      <c r="P83">
        <f>DODRevOld!$AC76</f>
        <v>840.00000000000011</v>
      </c>
    </row>
    <row r="84" spans="2:16" x14ac:dyDescent="0.2">
      <c r="B84">
        <f t="shared" si="3"/>
        <v>1993</v>
      </c>
      <c r="C84">
        <f>DODRevOld!$S77+$C$4*DODRevOld!$V77</f>
        <v>176.06728107646308</v>
      </c>
      <c r="D84" s="5">
        <f>$C$6*(DODRevOld!$R77+$C$5*DODRevOld!$T77)</f>
        <v>117.09853566851771</v>
      </c>
      <c r="E84" s="5">
        <f>$C$7*(DODRevOld!$R77+$C$5*DODRevOld!$T77)</f>
        <v>16.101048654421184</v>
      </c>
      <c r="F84" s="5">
        <f>$C$8*(DODRevOld!$R77+$C$5*DODRevOld!$T77)</f>
        <v>13.173585262708242</v>
      </c>
      <c r="G84">
        <f>DODRevOld!$U77</f>
        <v>124.0542353695002</v>
      </c>
      <c r="H84">
        <f>(1-$C$4-$C$9-$C$10)*DODRevOld!$V77</f>
        <v>132</v>
      </c>
      <c r="I84">
        <f>$C$11*DODRevOld!$W77</f>
        <v>56.25</v>
      </c>
      <c r="J84" s="5">
        <f>DODRevOld!$Z77+(1-$C$11)*DODRevOld!$W77</f>
        <v>61.692759504485259</v>
      </c>
      <c r="K84">
        <f>DODRevOld!$Y77</f>
        <v>30</v>
      </c>
      <c r="L84">
        <f>DODRevOld!$AA77+$C$12*DODRevOld!$AB77+$C$9*DODRevOld!$V77</f>
        <v>62.15</v>
      </c>
      <c r="M84" s="5">
        <f>DODRevOld!$X77+(1-$C$12)*DODRevOld!$AB77+(1-$C$5)*DODRevOld!$T77+$C$10*DODRevOld!$V77</f>
        <v>72.412554463904314</v>
      </c>
      <c r="N84" s="5"/>
      <c r="O84">
        <f t="shared" si="2"/>
        <v>861</v>
      </c>
      <c r="P84">
        <f>DODRevOld!$AC77</f>
        <v>861</v>
      </c>
    </row>
    <row r="85" spans="2:16" x14ac:dyDescent="0.2">
      <c r="B85">
        <f t="shared" si="3"/>
        <v>1994</v>
      </c>
      <c r="C85">
        <f>DODRevOld!$S78+$C$4*DODRevOld!$V78</f>
        <v>216.24442545920547</v>
      </c>
      <c r="D85" s="5">
        <f>$C$6*(DODRevOld!$R78+$C$5*DODRevOld!$T78)</f>
        <v>146.06885946176848</v>
      </c>
      <c r="E85" s="5">
        <f>$C$7*(DODRevOld!$R78+$C$5*DODRevOld!$T78)</f>
        <v>20.084468175993166</v>
      </c>
      <c r="F85" s="5">
        <f>$C$8*(DODRevOld!$R78+$C$5*DODRevOld!$T78)</f>
        <v>16.432746689448955</v>
      </c>
      <c r="G85">
        <f>DODRevOld!$U78</f>
        <v>154.74540794532251</v>
      </c>
      <c r="H85">
        <f>(1-$C$4-$C$9-$C$10)*DODRevOld!$V78</f>
        <v>137.6</v>
      </c>
      <c r="I85">
        <f>$C$11*DODRevOld!$W78</f>
        <v>54</v>
      </c>
      <c r="J85" s="5">
        <f>DODRevOld!$Z78+(1-$C$11)*DODRevOld!$W78</f>
        <v>71.566851772746688</v>
      </c>
      <c r="K85">
        <f>DODRevOld!$Y78</f>
        <v>30</v>
      </c>
      <c r="L85">
        <f>DODRevOld!$AA78+$C$12*DODRevOld!$AB78+$C$9*DODRevOld!$V78</f>
        <v>62.7</v>
      </c>
      <c r="M85" s="5">
        <f>DODRevOld!$X78+(1-$C$12)*DODRevOld!$AB78+(1-$C$5)*DODRevOld!$T78+$C$10*DODRevOld!$V78</f>
        <v>91.557240495514733</v>
      </c>
      <c r="N85" s="5"/>
      <c r="O85">
        <f t="shared" si="2"/>
        <v>1001</v>
      </c>
      <c r="P85">
        <f>DODRevOld!$AC78</f>
        <v>1001</v>
      </c>
    </row>
    <row r="86" spans="2:16" x14ac:dyDescent="0.2">
      <c r="B86">
        <f t="shared" si="3"/>
        <v>1995</v>
      </c>
      <c r="C86">
        <f>DODRevOld!$S79+$C$4*DODRevOld!$V79</f>
        <v>250.81849636907307</v>
      </c>
      <c r="D86" s="5">
        <f>$C$6*(DODRevOld!$R79+$C$5*DODRevOld!$T79)</f>
        <v>170.41366937206323</v>
      </c>
      <c r="E86" s="5">
        <f>$C$7*(DODRevOld!$R79+$C$5*DODRevOld!$T79)</f>
        <v>23.431879538658691</v>
      </c>
      <c r="F86" s="5">
        <f>$C$8*(DODRevOld!$R79+$C$5*DODRevOld!$T79)</f>
        <v>19.171537804357111</v>
      </c>
      <c r="G86">
        <f>DODRevOld!$U79</f>
        <v>180.53630926954293</v>
      </c>
      <c r="H86">
        <f>(1-$C$4-$C$9-$C$10)*DODRevOld!$V79</f>
        <v>148.79999999999998</v>
      </c>
      <c r="I86">
        <f>$C$11*DODRevOld!$W79</f>
        <v>52.5</v>
      </c>
      <c r="J86" s="5">
        <f>DODRevOld!$Z79+(1-$C$11)*DODRevOld!$W79</f>
        <v>79.9946604015378</v>
      </c>
      <c r="K86">
        <f>DODRevOld!$Y79</f>
        <v>33</v>
      </c>
      <c r="L86">
        <f>DODRevOld!$AA79+$C$12*DODRevOld!$AB79+$C$9*DODRevOld!$V79</f>
        <v>68.599999999999994</v>
      </c>
      <c r="M86" s="5">
        <f>DODRevOld!$X79+(1-$C$12)*DODRevOld!$AB79+(1-$C$5)*DODRevOld!$T79+$C$10*DODRevOld!$V79</f>
        <v>90.733447244767191</v>
      </c>
      <c r="N86" s="5"/>
      <c r="O86">
        <f t="shared" si="2"/>
        <v>1118</v>
      </c>
      <c r="P86">
        <f>DODRevOld!$AC79</f>
        <v>1118</v>
      </c>
    </row>
    <row r="87" spans="2:16" x14ac:dyDescent="0.2">
      <c r="B87">
        <f t="shared" si="3"/>
        <v>1996</v>
      </c>
      <c r="C87">
        <f>DODRevOld!$S80+$C$4*DODRevOld!$V80</f>
        <v>257.54853267834261</v>
      </c>
      <c r="D87" s="5">
        <f>$C$6*(DODRevOld!$R80+$C$5*DODRevOld!$T80)</f>
        <v>176.01297565143102</v>
      </c>
      <c r="E87" s="5">
        <f>$C$7*(DODRevOld!$R80+$C$5*DODRevOld!$T80)</f>
        <v>24.201784152071763</v>
      </c>
      <c r="F87" s="5">
        <f>$C$8*(DODRevOld!$R80+$C$5*DODRevOld!$T80)</f>
        <v>19.801459760785985</v>
      </c>
      <c r="G87">
        <f>DODRevOld!$U80</f>
        <v>186.46821657411363</v>
      </c>
      <c r="H87">
        <f>(1-$C$4-$C$9-$C$10)*DODRevOld!$V80</f>
        <v>141.6</v>
      </c>
      <c r="I87">
        <f>$C$11*DODRevOld!$W80</f>
        <v>57.75</v>
      </c>
      <c r="J87" s="5">
        <f>DODRevOld!$Z80+(1-$C$11)*DODRevOld!$W80</f>
        <v>83.798056386159757</v>
      </c>
      <c r="K87">
        <f>DODRevOld!$Y80</f>
        <v>32</v>
      </c>
      <c r="L87">
        <f>DODRevOld!$AA80+$C$12*DODRevOld!$AB80+$C$9*DODRevOld!$V80</f>
        <v>72.149999999999991</v>
      </c>
      <c r="M87" s="5">
        <f>DODRevOld!$X80+(1-$C$12)*DODRevOld!$AB80+(1-$C$5)*DODRevOld!$T80+$C$10*DODRevOld!$V80</f>
        <v>91.668974797095245</v>
      </c>
      <c r="N87" s="5"/>
      <c r="O87">
        <f t="shared" si="2"/>
        <v>1143</v>
      </c>
      <c r="P87">
        <f>DODRevOld!$AC80</f>
        <v>1143</v>
      </c>
    </row>
    <row r="88" spans="2:16" x14ac:dyDescent="0.2">
      <c r="B88">
        <f t="shared" si="3"/>
        <v>1997</v>
      </c>
      <c r="C88">
        <f>DODRevOld!$S81+$C$4*DODRevOld!$V81</f>
        <v>304.03830627936782</v>
      </c>
      <c r="D88" s="5">
        <f>$C$6*(DODRevOld!$R81+$C$5*DODRevOld!$T81)</f>
        <v>208.14812473302004</v>
      </c>
      <c r="E88" s="5">
        <f>$C$7*(DODRevOld!$R81+$C$5*DODRevOld!$T81)</f>
        <v>28.620367150790255</v>
      </c>
      <c r="F88" s="5">
        <f>$C$8*(DODRevOld!$R81+$C$5*DODRevOld!$T81)</f>
        <v>23.416664032464755</v>
      </c>
      <c r="G88">
        <f>DODRevOld!$U81</f>
        <v>220.51220632208455</v>
      </c>
      <c r="H88">
        <f>(1-$C$4-$C$9-$C$10)*DODRevOld!$V81</f>
        <v>163.19999999999999</v>
      </c>
      <c r="I88">
        <f>$C$11*DODRevOld!$W81</f>
        <v>66.75</v>
      </c>
      <c r="J88" s="5">
        <f>DODRevOld!$Z81+(1-$C$11)*DODRevOld!$W81</f>
        <v>98.582763776164029</v>
      </c>
      <c r="K88">
        <f>DODRevOld!$Y81</f>
        <v>42</v>
      </c>
      <c r="L88">
        <f>DODRevOld!$AA81+$C$12*DODRevOld!$AB81+$C$9*DODRevOld!$V81</f>
        <v>90.7</v>
      </c>
      <c r="M88" s="5">
        <f>DODRevOld!$X81+(1-$C$12)*DODRevOld!$AB81+(1-$C$5)*DODRevOld!$T81+$C$10*DODRevOld!$V81</f>
        <v>104.0315677061085</v>
      </c>
      <c r="N88" s="5"/>
      <c r="O88">
        <f t="shared" si="2"/>
        <v>1350</v>
      </c>
      <c r="P88">
        <f>DODRevOld!$AC81</f>
        <v>1350</v>
      </c>
    </row>
    <row r="89" spans="2:16" x14ac:dyDescent="0.2">
      <c r="B89">
        <f t="shared" si="3"/>
        <v>1998</v>
      </c>
      <c r="C89">
        <f>DODRevOld!$S82+$C$4*DODRevOld!$V82</f>
        <v>388.80522426313541</v>
      </c>
      <c r="D89" s="5">
        <f>$C$6*(DODRevOld!$R82+$C$5*DODRevOld!$T82)</f>
        <v>269.25359760785989</v>
      </c>
      <c r="E89" s="5">
        <f>$C$7*(DODRevOld!$R82+$C$5*DODRevOld!$T82)</f>
        <v>37.022369671080732</v>
      </c>
      <c r="F89" s="5">
        <f>$C$8*(DODRevOld!$R82+$C$5*DODRevOld!$T82)</f>
        <v>30.291029730884233</v>
      </c>
      <c r="G89">
        <f>DODRevOld!$U82</f>
        <v>285.24736864587783</v>
      </c>
      <c r="H89">
        <f>(1-$C$4-$C$9-$C$10)*DODRevOld!$V82</f>
        <v>175.2</v>
      </c>
      <c r="I89">
        <f>$C$11*DODRevOld!$W82</f>
        <v>72</v>
      </c>
      <c r="J89" s="5">
        <f>DODRevOld!$Z82+(1-$C$11)*DODRevOld!$W82</f>
        <v>122.74156343442972</v>
      </c>
      <c r="K89">
        <f>DODRevOld!$Y82</f>
        <v>47</v>
      </c>
      <c r="L89">
        <f>DODRevOld!$AA82+$C$12*DODRevOld!$AB82+$C$9*DODRevOld!$V82</f>
        <v>99.350000000000009</v>
      </c>
      <c r="M89" s="5">
        <f>DODRevOld!$X82+(1-$C$12)*DODRevOld!$AB82+(1-$C$5)*DODRevOld!$T82+$C$10*DODRevOld!$V82</f>
        <v>102.08884664673215</v>
      </c>
      <c r="N89" s="5"/>
      <c r="O89">
        <f t="shared" si="2"/>
        <v>1629</v>
      </c>
      <c r="P89">
        <f>DODRevOld!$AC82</f>
        <v>1629</v>
      </c>
    </row>
    <row r="90" spans="2:16" x14ac:dyDescent="0.2">
      <c r="B90">
        <f t="shared" si="3"/>
        <v>1999</v>
      </c>
      <c r="C90">
        <f>DODRevOld!$S83+$C$4*DODRevOld!$V83</f>
        <v>396.7543720632209</v>
      </c>
      <c r="D90" s="5">
        <f>$C$6*(DODRevOld!$R83+$C$5*DODRevOld!$T83)</f>
        <v>271.9315266979923</v>
      </c>
      <c r="E90" s="5">
        <f>$C$7*(DODRevOld!$R83+$C$5*DODRevOld!$T83)</f>
        <v>37.390584920973943</v>
      </c>
      <c r="F90" s="5">
        <f>$C$8*(DODRevOld!$R83+$C$5*DODRevOld!$T83)</f>
        <v>30.592296753524131</v>
      </c>
      <c r="G90">
        <f>DODRevOld!$U83</f>
        <v>288.08436779154204</v>
      </c>
      <c r="H90">
        <f>(1-$C$4-$C$9-$C$10)*DODRevOld!$V83</f>
        <v>209.6</v>
      </c>
      <c r="I90">
        <f>$C$11*DODRevOld!$W83</f>
        <v>74.25</v>
      </c>
      <c r="J90" s="5">
        <f>DODRevOld!$Z83+(1-$C$11)*DODRevOld!$W83</f>
        <v>124.47362238359675</v>
      </c>
      <c r="K90">
        <f>DODRevOld!$Y83</f>
        <v>49</v>
      </c>
      <c r="L90">
        <f>DODRevOld!$AA83+$C$12*DODRevOld!$AB83+$C$9*DODRevOld!$V83</f>
        <v>105</v>
      </c>
      <c r="M90" s="5">
        <f>DODRevOld!$X83+(1-$C$12)*DODRevOld!$AB83+(1-$C$5)*DODRevOld!$T83+$C$10*DODRevOld!$V83</f>
        <v>116.92322938914992</v>
      </c>
      <c r="N90" s="5"/>
      <c r="O90">
        <f t="shared" si="2"/>
        <v>1704</v>
      </c>
      <c r="P90">
        <f>DODRevOld!$AC83</f>
        <v>1704</v>
      </c>
    </row>
    <row r="91" spans="2:16" x14ac:dyDescent="0.2">
      <c r="B91">
        <f t="shared" si="3"/>
        <v>2000</v>
      </c>
      <c r="C91">
        <f>DODRevOld!$S84+$C$4*DODRevOld!$V84</f>
        <v>417.42707390004279</v>
      </c>
      <c r="D91" s="5">
        <f>$C$6*(DODRevOld!$R84+$C$5*DODRevOld!$T84)</f>
        <v>286.29496454506619</v>
      </c>
      <c r="E91" s="5">
        <f>$C$7*(DODRevOld!$R84+$C$5*DODRevOld!$T84)</f>
        <v>39.365557624946604</v>
      </c>
      <c r="F91" s="5">
        <f>$C$8*(DODRevOld!$R84+$C$5*DODRevOld!$T84)</f>
        <v>32.208183511319945</v>
      </c>
      <c r="G91">
        <f>DODRevOld!$U84</f>
        <v>303.3009995728321</v>
      </c>
      <c r="H91">
        <f>(1-$C$4-$C$9-$C$10)*DODRevOld!$V84</f>
        <v>218.39999999999998</v>
      </c>
      <c r="I91">
        <f>$C$11*DODRevOld!$W84</f>
        <v>66</v>
      </c>
      <c r="J91" s="5">
        <f>DODRevOld!$Z84+(1-$C$11)*DODRevOld!$W84</f>
        <v>126.99102947458351</v>
      </c>
      <c r="K91">
        <f>DODRevOld!$Y84</f>
        <v>50</v>
      </c>
      <c r="L91">
        <f>DODRevOld!$AA84+$C$12*DODRevOld!$AB84+$C$9*DODRevOld!$V84</f>
        <v>110.35000000000001</v>
      </c>
      <c r="M91" s="5">
        <f>DODRevOld!$X84+(1-$C$12)*DODRevOld!$AB84+(1-$C$5)*DODRevOld!$T84+$C$10*DODRevOld!$V84</f>
        <v>101.66219137120888</v>
      </c>
      <c r="N91" s="5"/>
      <c r="O91">
        <f t="shared" si="2"/>
        <v>1751.9999999999998</v>
      </c>
      <c r="P91">
        <f>DODRevOld!$AC84</f>
        <v>1752</v>
      </c>
    </row>
    <row r="92" spans="2:16" x14ac:dyDescent="0.2">
      <c r="B92">
        <f t="shared" si="3"/>
        <v>2001</v>
      </c>
      <c r="C92">
        <f>DODRevOld!$S85+$C$4*DODRevOld!$V85</f>
        <v>407.99046081923939</v>
      </c>
      <c r="D92" s="5">
        <f>$C$6*(DODRevOld!$R85+$C$5*DODRevOld!$T85)</f>
        <v>277.3883862149487</v>
      </c>
      <c r="E92" s="5">
        <f>$C$7*(DODRevOld!$R85+$C$5*DODRevOld!$T85)</f>
        <v>38.140903104555449</v>
      </c>
      <c r="F92" s="5">
        <f>$C$8*(DODRevOld!$R85+$C$5*DODRevOld!$T85)</f>
        <v>31.206193449181725</v>
      </c>
      <c r="G92">
        <f>DODRevOld!$U85</f>
        <v>293.86536693922659</v>
      </c>
      <c r="H92">
        <f>(1-$C$4-$C$9-$C$10)*DODRevOld!$V85</f>
        <v>240.00128904047045</v>
      </c>
      <c r="I92">
        <f>$C$11*DODRevOld!$W85</f>
        <v>64.844470382258535</v>
      </c>
      <c r="J92" s="5">
        <f>DODRevOld!$Z85+(1-$C$11)*DODRevOld!$W85</f>
        <v>123.33960328452262</v>
      </c>
      <c r="K92">
        <f>DODRevOld!$Y85</f>
        <v>50</v>
      </c>
      <c r="L92">
        <f>DODRevOld!$AA85+$C$12*DODRevOld!$AB85+$C$9*DODRevOld!$V85</f>
        <v>111.70008056502941</v>
      </c>
      <c r="M92" s="5">
        <f>DODRevOld!$X85+(1-$C$12)*DODRevOld!$AB85+(1-$C$5)*DODRevOld!$T85+$C$10*DODRevOld!$V85</f>
        <v>107.13628909399034</v>
      </c>
      <c r="N92" s="5"/>
      <c r="O92">
        <f t="shared" si="2"/>
        <v>1745.6130428934232</v>
      </c>
      <c r="P92">
        <f>DODRevOld!$AC85</f>
        <v>1745.6130428934232</v>
      </c>
    </row>
    <row r="93" spans="2:16" x14ac:dyDescent="0.2">
      <c r="B93">
        <f t="shared" si="3"/>
        <v>2002</v>
      </c>
      <c r="C93">
        <f>DODRevOld!$S86+$C$4*DODRevOld!$V86</f>
        <v>0</v>
      </c>
      <c r="D93" s="5">
        <f>$C$6*(DODRevOld!$R86+$C$5*DODRevOld!$T86)</f>
        <v>0</v>
      </c>
      <c r="E93" s="5">
        <f>$C$7*(DODRevOld!$R86+$C$5*DODRevOld!$T86)</f>
        <v>0</v>
      </c>
      <c r="F93" s="5">
        <f>$C$8*(DODRevOld!$R86+$C$5*DODRevOld!$T86)</f>
        <v>0</v>
      </c>
      <c r="G93">
        <f>DODRevOld!$U86</f>
        <v>0</v>
      </c>
      <c r="H93">
        <f>(1-$C$4-$C$9-$C$10)*DODRevOld!$V86</f>
        <v>0</v>
      </c>
      <c r="I93">
        <f>$C$11*DODRevOld!$W86</f>
        <v>0</v>
      </c>
      <c r="J93" s="5">
        <f>DODRevOld!$Z86+(1-$C$11)*DODRevOld!$W86</f>
        <v>0</v>
      </c>
      <c r="K93">
        <f>DODRevOld!$Y86</f>
        <v>0</v>
      </c>
      <c r="L93">
        <f>DODRevOld!$AA86+$C$12*DODRevOld!$AB86+$C$9*DODRevOld!$V86</f>
        <v>0</v>
      </c>
      <c r="M93" s="5">
        <f>DODRevOld!$X86+(1-$C$12)*DODRevOld!$AB86+(1-$C$5)*DODRevOld!$T86+$C$10*DODRevOld!$V86</f>
        <v>0</v>
      </c>
      <c r="N93" s="5"/>
      <c r="O93">
        <f t="shared" si="2"/>
        <v>0</v>
      </c>
      <c r="P93">
        <f>DODRevOld!$AC86</f>
        <v>0</v>
      </c>
    </row>
    <row r="94" spans="2:16" x14ac:dyDescent="0.2">
      <c r="B94">
        <f t="shared" si="3"/>
        <v>2003</v>
      </c>
      <c r="C94">
        <f>DODRevOld!$S87+$C$4*DODRevOld!$V87</f>
        <v>0</v>
      </c>
      <c r="D94" s="5">
        <f>$C$6*(DODRevOld!$R87+$C$5*DODRevOld!$T87)</f>
        <v>0</v>
      </c>
      <c r="E94" s="5">
        <f>$C$7*(DODRevOld!$R87+$C$5*DODRevOld!$T87)</f>
        <v>0</v>
      </c>
      <c r="F94" s="5">
        <f>$C$8*(DODRevOld!$R87+$C$5*DODRevOld!$T87)</f>
        <v>0</v>
      </c>
      <c r="G94">
        <f>DODRevOld!$U87</f>
        <v>0</v>
      </c>
      <c r="H94">
        <f>(1-$C$4-$C$9-$C$10)*DODRevOld!$V87</f>
        <v>0</v>
      </c>
      <c r="I94">
        <f>$C$11*DODRevOld!$W87</f>
        <v>0</v>
      </c>
      <c r="J94" s="5">
        <f>DODRevOld!$Z87+(1-$C$11)*DODRevOld!$W87</f>
        <v>0</v>
      </c>
      <c r="K94">
        <f>DODRevOld!$Y87</f>
        <v>0</v>
      </c>
      <c r="L94">
        <f>DODRevOld!$AA87+$C$12*DODRevOld!$AB87+$C$9*DODRevOld!$V87</f>
        <v>0</v>
      </c>
      <c r="M94" s="5">
        <f>DODRevOld!$X87+(1-$C$12)*DODRevOld!$AB87+(1-$C$5)*DODRevOld!$T87+$C$10*DODRevOld!$V87</f>
        <v>0</v>
      </c>
      <c r="N94" s="5"/>
      <c r="O94">
        <f t="shared" si="2"/>
        <v>0</v>
      </c>
      <c r="P94">
        <f>DODRevOld!$AC87</f>
        <v>0</v>
      </c>
    </row>
    <row r="95" spans="2:16" x14ac:dyDescent="0.2">
      <c r="B95">
        <f t="shared" si="3"/>
        <v>2004</v>
      </c>
      <c r="C95">
        <f>DODRevOld!$S88+$C$4*DODRevOld!$V88</f>
        <v>0</v>
      </c>
      <c r="D95" s="5">
        <f>$C$6*(DODRevOld!$R88+$C$5*DODRevOld!$T88)</f>
        <v>0</v>
      </c>
      <c r="E95" s="5">
        <f>$C$7*(DODRevOld!$R88+$C$5*DODRevOld!$T88)</f>
        <v>0</v>
      </c>
      <c r="F95" s="5">
        <f>$C$8*(DODRevOld!$R88+$C$5*DODRevOld!$T88)</f>
        <v>0</v>
      </c>
      <c r="G95">
        <f>DODRevOld!$U88</f>
        <v>0</v>
      </c>
      <c r="H95">
        <f>(1-$C$4-$C$9-$C$10)*DODRevOld!$V88</f>
        <v>0</v>
      </c>
      <c r="I95">
        <f>$C$11*DODRevOld!$W88</f>
        <v>0</v>
      </c>
      <c r="J95" s="5">
        <f>DODRevOld!$Z88+(1-$C$11)*DODRevOld!$W88</f>
        <v>0</v>
      </c>
      <c r="K95">
        <f>DODRevOld!$Y88</f>
        <v>0</v>
      </c>
      <c r="L95">
        <f>DODRevOld!$AA88+$C$12*DODRevOld!$AB88+$C$9*DODRevOld!$V88</f>
        <v>0</v>
      </c>
      <c r="M95" s="5">
        <f>DODRevOld!$X88+(1-$C$12)*DODRevOld!$AB88+(1-$C$5)*DODRevOld!$T88+$C$10*DODRevOld!$V88</f>
        <v>0</v>
      </c>
      <c r="N95" s="5"/>
      <c r="O95">
        <f t="shared" si="2"/>
        <v>0</v>
      </c>
      <c r="P95">
        <f>DODRevOld!$AC88</f>
        <v>0</v>
      </c>
    </row>
    <row r="96" spans="2:16" x14ac:dyDescent="0.2">
      <c r="B96">
        <f t="shared" si="3"/>
        <v>2005</v>
      </c>
      <c r="C96">
        <f>DODRevOld!$S89+$C$4*DODRevOld!$V89</f>
        <v>0</v>
      </c>
      <c r="D96" s="5">
        <f>$C$6*(DODRevOld!$R89+$C$5*DODRevOld!$T89)</f>
        <v>0</v>
      </c>
      <c r="E96" s="5">
        <f>$C$7*(DODRevOld!$R89+$C$5*DODRevOld!$T89)</f>
        <v>0</v>
      </c>
      <c r="F96" s="5">
        <f>$C$8*(DODRevOld!$R89+$C$5*DODRevOld!$T89)</f>
        <v>0</v>
      </c>
      <c r="G96">
        <f>DODRevOld!$U89</f>
        <v>0</v>
      </c>
      <c r="H96">
        <f>(1-$C$4-$C$9-$C$10)*DODRevOld!$V89</f>
        <v>0</v>
      </c>
      <c r="I96">
        <f>$C$11*DODRevOld!$W89</f>
        <v>0</v>
      </c>
      <c r="J96" s="5">
        <f>DODRevOld!$Z89+(1-$C$11)*DODRevOld!$W89</f>
        <v>0</v>
      </c>
      <c r="K96">
        <f>DODRevOld!$Y89</f>
        <v>0</v>
      </c>
      <c r="L96">
        <f>DODRevOld!$AA89+$C$12*DODRevOld!$AB89+$C$9*DODRevOld!$V89</f>
        <v>0</v>
      </c>
      <c r="M96" s="5">
        <f>DODRevOld!$X89+(1-$C$12)*DODRevOld!$AB89+(1-$C$5)*DODRevOld!$T89+$C$10*DODRevOld!$V89</f>
        <v>0</v>
      </c>
      <c r="N96" s="5"/>
      <c r="O96">
        <f t="shared" si="2"/>
        <v>0</v>
      </c>
      <c r="P96">
        <f>DODRevOld!$AC89</f>
        <v>0</v>
      </c>
    </row>
    <row r="97" spans="2:16" x14ac:dyDescent="0.2">
      <c r="B97">
        <f t="shared" si="3"/>
        <v>2006</v>
      </c>
      <c r="C97">
        <f>DODRevOld!$S90+$C$4*DODRevOld!$V90</f>
        <v>0</v>
      </c>
      <c r="D97" s="5">
        <f>$C$6*(DODRevOld!$R90+$C$5*DODRevOld!$T90)</f>
        <v>0</v>
      </c>
      <c r="E97" s="5">
        <f>$C$7*(DODRevOld!$R90+$C$5*DODRevOld!$T90)</f>
        <v>0</v>
      </c>
      <c r="F97" s="5">
        <f>$C$8*(DODRevOld!$R90+$C$5*DODRevOld!$T90)</f>
        <v>0</v>
      </c>
      <c r="G97">
        <f>DODRevOld!$U90</f>
        <v>0</v>
      </c>
      <c r="H97">
        <f>(1-$C$4-$C$9-$C$10)*DODRevOld!$V90</f>
        <v>0</v>
      </c>
      <c r="I97">
        <f>$C$11*DODRevOld!$W90</f>
        <v>0</v>
      </c>
      <c r="J97" s="5">
        <f>DODRevOld!$Z90+(1-$C$11)*DODRevOld!$W90</f>
        <v>0</v>
      </c>
      <c r="K97">
        <f>DODRevOld!$Y90</f>
        <v>0</v>
      </c>
      <c r="L97">
        <f>DODRevOld!$AA90+$C$12*DODRevOld!$AB90+$C$9*DODRevOld!$V90</f>
        <v>0</v>
      </c>
      <c r="M97" s="5">
        <f>DODRevOld!$X90+(1-$C$12)*DODRevOld!$AB90+(1-$C$5)*DODRevOld!$T90+$C$10*DODRevOld!$V90</f>
        <v>0</v>
      </c>
      <c r="N97" s="5"/>
      <c r="O97">
        <f t="shared" si="2"/>
        <v>0</v>
      </c>
      <c r="P97">
        <f>DODRevOld!$AC90</f>
        <v>0</v>
      </c>
    </row>
    <row r="98" spans="2:16" x14ac:dyDescent="0.2">
      <c r="B98">
        <f t="shared" si="3"/>
        <v>2007</v>
      </c>
      <c r="C98">
        <f>DODRevOld!$S91+$C$4*DODRevOld!$V91</f>
        <v>0</v>
      </c>
      <c r="D98" s="5">
        <f>$C$6*(DODRevOld!$R91+$C$5*DODRevOld!$T91)</f>
        <v>0</v>
      </c>
      <c r="E98" s="5">
        <f>$C$7*(DODRevOld!$R91+$C$5*DODRevOld!$T91)</f>
        <v>0</v>
      </c>
      <c r="F98" s="5">
        <f>$C$8*(DODRevOld!$R91+$C$5*DODRevOld!$T91)</f>
        <v>0</v>
      </c>
      <c r="G98">
        <f>DODRevOld!$U91</f>
        <v>0</v>
      </c>
      <c r="H98">
        <f>(1-$C$4-$C$9-$C$10)*DODRevOld!$V91</f>
        <v>0</v>
      </c>
      <c r="I98">
        <f>$C$11*DODRevOld!$W91</f>
        <v>0</v>
      </c>
      <c r="J98" s="5">
        <f>DODRevOld!$Z91+(1-$C$11)*DODRevOld!$W91</f>
        <v>0</v>
      </c>
      <c r="K98">
        <f>DODRevOld!$Y91</f>
        <v>0</v>
      </c>
      <c r="L98">
        <f>DODRevOld!$AA91+$C$12*DODRevOld!$AB91+$C$9*DODRevOld!$V91</f>
        <v>0</v>
      </c>
      <c r="M98" s="5">
        <f>DODRevOld!$X91+(1-$C$12)*DODRevOld!$AB91+(1-$C$5)*DODRevOld!$T91+$C$10*DODRevOld!$V91</f>
        <v>0</v>
      </c>
      <c r="N98" s="5"/>
      <c r="O98">
        <f t="shared" si="2"/>
        <v>0</v>
      </c>
      <c r="P98">
        <f>DODRevOld!$AC91</f>
        <v>0</v>
      </c>
    </row>
    <row r="99" spans="2:16" x14ac:dyDescent="0.2">
      <c r="B99">
        <f t="shared" si="3"/>
        <v>2008</v>
      </c>
      <c r="C99">
        <f>DODRevOld!$S92+$C$4*DODRevOld!$V92</f>
        <v>0</v>
      </c>
      <c r="D99" s="5">
        <f>$C$6*(DODRevOld!$R92+$C$5*DODRevOld!$T92)</f>
        <v>0</v>
      </c>
      <c r="E99" s="5">
        <f>$C$7*(DODRevOld!$R92+$C$5*DODRevOld!$T92)</f>
        <v>0</v>
      </c>
      <c r="F99" s="5">
        <f>$C$8*(DODRevOld!$R92+$C$5*DODRevOld!$T92)</f>
        <v>0</v>
      </c>
      <c r="G99">
        <f>DODRevOld!$U92</f>
        <v>0</v>
      </c>
      <c r="H99">
        <f>(1-$C$4-$C$9-$C$10)*DODRevOld!$V92</f>
        <v>0</v>
      </c>
      <c r="I99">
        <f>$C$11*DODRevOld!$W92</f>
        <v>0</v>
      </c>
      <c r="J99" s="5">
        <f>DODRevOld!$Z92+(1-$C$11)*DODRevOld!$W92</f>
        <v>0</v>
      </c>
      <c r="K99">
        <f>DODRevOld!$Y92</f>
        <v>0</v>
      </c>
      <c r="L99">
        <f>DODRevOld!$AA92+$C$12*DODRevOld!$AB92+$C$9*DODRevOld!$V92</f>
        <v>0</v>
      </c>
      <c r="M99" s="5">
        <f>DODRevOld!$X92+(1-$C$12)*DODRevOld!$AB92+(1-$C$5)*DODRevOld!$T92+$C$10*DODRevOld!$V92</f>
        <v>0</v>
      </c>
      <c r="N99" s="5"/>
      <c r="O99">
        <f t="shared" si="2"/>
        <v>0</v>
      </c>
      <c r="P99">
        <f>DODRevOld!$AC92</f>
        <v>0</v>
      </c>
    </row>
    <row r="100" spans="2:16" x14ac:dyDescent="0.2">
      <c r="B100">
        <f t="shared" si="3"/>
        <v>2009</v>
      </c>
      <c r="C100">
        <f>DODRevOld!$S93+$C$4*DODRevOld!$V93</f>
        <v>0</v>
      </c>
      <c r="D100" s="5">
        <f>$C$6*(DODRevOld!$R93+$C$5*DODRevOld!$T93)</f>
        <v>0</v>
      </c>
      <c r="E100" s="5">
        <f>$C$7*(DODRevOld!$R93+$C$5*DODRevOld!$T93)</f>
        <v>0</v>
      </c>
      <c r="F100" s="5">
        <f>$C$8*(DODRevOld!$R93+$C$5*DODRevOld!$T93)</f>
        <v>0</v>
      </c>
      <c r="G100">
        <f>DODRevOld!$U93</f>
        <v>0</v>
      </c>
      <c r="H100">
        <f>(1-$C$4-$C$9-$C$10)*DODRevOld!$V93</f>
        <v>0</v>
      </c>
      <c r="I100">
        <f>$C$11*DODRevOld!$W93</f>
        <v>0</v>
      </c>
      <c r="J100" s="5">
        <f>DODRevOld!$Z93+(1-$C$11)*DODRevOld!$W93</f>
        <v>0</v>
      </c>
      <c r="K100">
        <f>DODRevOld!$Y93</f>
        <v>0</v>
      </c>
      <c r="L100">
        <f>DODRevOld!$AA93+$C$12*DODRevOld!$AB93+$C$9*DODRevOld!$V93</f>
        <v>0</v>
      </c>
      <c r="M100" s="5">
        <f>DODRevOld!$X93+(1-$C$12)*DODRevOld!$AB93+(1-$C$5)*DODRevOld!$T93+$C$10*DODRevOld!$V93</f>
        <v>0</v>
      </c>
      <c r="N100" s="5"/>
      <c r="O100">
        <f t="shared" si="2"/>
        <v>0</v>
      </c>
      <c r="P100">
        <f>DODRevOld!$AC93</f>
        <v>0</v>
      </c>
    </row>
    <row r="101" spans="2:16" x14ac:dyDescent="0.2">
      <c r="B101">
        <f t="shared" si="3"/>
        <v>2010</v>
      </c>
      <c r="C101">
        <f>DODRevOld!$S94+$C$4*DODRevOld!$V94</f>
        <v>0</v>
      </c>
      <c r="D101" s="5">
        <f>$C$6*(DODRevOld!$R94+$C$5*DODRevOld!$T94)</f>
        <v>0</v>
      </c>
      <c r="E101" s="5">
        <f>$C$7*(DODRevOld!$R94+$C$5*DODRevOld!$T94)</f>
        <v>0</v>
      </c>
      <c r="F101" s="5">
        <f>$C$8*(DODRevOld!$R94+$C$5*DODRevOld!$T94)</f>
        <v>0</v>
      </c>
      <c r="G101">
        <f>DODRevOld!$U94</f>
        <v>0</v>
      </c>
      <c r="H101">
        <f>(1-$C$4-$C$9-$C$10)*DODRevOld!$V94</f>
        <v>0</v>
      </c>
      <c r="I101">
        <f>$C$11*DODRevOld!$W94</f>
        <v>0</v>
      </c>
      <c r="J101" s="5">
        <f>DODRevOld!$Z94+(1-$C$11)*DODRevOld!$W94</f>
        <v>0</v>
      </c>
      <c r="K101">
        <f>DODRevOld!$Y94</f>
        <v>0</v>
      </c>
      <c r="L101">
        <f>DODRevOld!$AA94+$C$12*DODRevOld!$AB94+$C$9*DODRevOld!$V94</f>
        <v>0</v>
      </c>
      <c r="M101" s="5">
        <f>DODRevOld!$X94+(1-$C$12)*DODRevOld!$AB94+(1-$C$5)*DODRevOld!$T94+$C$10*DODRevOld!$V94</f>
        <v>0</v>
      </c>
      <c r="N101" s="5"/>
      <c r="O101">
        <f t="shared" si="2"/>
        <v>0</v>
      </c>
      <c r="P101">
        <f>DODRevOld!$AC94</f>
        <v>0</v>
      </c>
    </row>
    <row r="102" spans="2:16" x14ac:dyDescent="0.2">
      <c r="B102">
        <f t="shared" si="3"/>
        <v>2011</v>
      </c>
      <c r="C102">
        <f>DODRevOld!$S95+$C$4*DODRevOld!$V95</f>
        <v>0</v>
      </c>
      <c r="D102" s="5">
        <f>$C$6*(DODRevOld!$R95+$C$5*DODRevOld!$T95)</f>
        <v>0</v>
      </c>
      <c r="E102" s="5">
        <f>$C$7*(DODRevOld!$R95+$C$5*DODRevOld!$T95)</f>
        <v>0</v>
      </c>
      <c r="F102" s="5">
        <f>$C$8*(DODRevOld!$R95+$C$5*DODRevOld!$T95)</f>
        <v>0</v>
      </c>
      <c r="G102">
        <f>DODRevOld!$U95</f>
        <v>0</v>
      </c>
      <c r="H102">
        <f>(1-$C$4-$C$9-$C$10)*DODRevOld!$V95</f>
        <v>0</v>
      </c>
      <c r="I102">
        <f>$C$11*DODRevOld!$W95</f>
        <v>0</v>
      </c>
      <c r="J102" s="5">
        <f>DODRevOld!$Z95+(1-$C$11)*DODRevOld!$W95</f>
        <v>0</v>
      </c>
      <c r="K102">
        <f>DODRevOld!$Y95</f>
        <v>0</v>
      </c>
      <c r="L102">
        <f>DODRevOld!$AA95+$C$12*DODRevOld!$AB95+$C$9*DODRevOld!$V95</f>
        <v>0</v>
      </c>
      <c r="M102" s="5">
        <f>DODRevOld!$X95+(1-$C$12)*DODRevOld!$AB95+(1-$C$5)*DODRevOld!$T95+$C$10*DODRevOld!$V95</f>
        <v>0</v>
      </c>
      <c r="N102" s="5"/>
      <c r="O102">
        <f t="shared" si="2"/>
        <v>0</v>
      </c>
      <c r="P102">
        <f>DODRevOld!$AC95</f>
        <v>0</v>
      </c>
    </row>
    <row r="103" spans="2:16" x14ac:dyDescent="0.2">
      <c r="B103">
        <f t="shared" si="3"/>
        <v>2012</v>
      </c>
      <c r="C103">
        <f>DODRevOld!$S96+$C$4*DODRevOld!$V96</f>
        <v>0</v>
      </c>
      <c r="D103" s="5">
        <f>$C$6*(DODRevOld!$R96+$C$5*DODRevOld!$T96)</f>
        <v>0</v>
      </c>
      <c r="E103" s="5">
        <f>$C$7*(DODRevOld!$R96+$C$5*DODRevOld!$T96)</f>
        <v>0</v>
      </c>
      <c r="F103" s="5">
        <f>$C$8*(DODRevOld!$R96+$C$5*DODRevOld!$T96)</f>
        <v>0</v>
      </c>
      <c r="G103">
        <f>DODRevOld!$U96</f>
        <v>0</v>
      </c>
      <c r="H103">
        <f>(1-$C$4-$C$9-$C$10)*DODRevOld!$V96</f>
        <v>0</v>
      </c>
      <c r="I103">
        <f>$C$11*DODRevOld!$W96</f>
        <v>0</v>
      </c>
      <c r="J103" s="5">
        <f>DODRevOld!$Z96+(1-$C$11)*DODRevOld!$W96</f>
        <v>0</v>
      </c>
      <c r="K103">
        <f>DODRevOld!$Y96</f>
        <v>0</v>
      </c>
      <c r="L103">
        <f>DODRevOld!$AA96+$C$12*DODRevOld!$AB96+$C$9*DODRevOld!$V96</f>
        <v>0</v>
      </c>
      <c r="M103" s="5">
        <f>DODRevOld!$X96+(1-$C$12)*DODRevOld!$AB96+(1-$C$5)*DODRevOld!$T96+$C$10*DODRevOld!$V96</f>
        <v>0</v>
      </c>
      <c r="N103" s="5"/>
      <c r="O103">
        <f t="shared" si="2"/>
        <v>0</v>
      </c>
      <c r="P103">
        <f>DODRevOld!$AC96</f>
        <v>0</v>
      </c>
    </row>
    <row r="104" spans="2:16" x14ac:dyDescent="0.2">
      <c r="B104">
        <f t="shared" si="3"/>
        <v>2013</v>
      </c>
      <c r="C104">
        <f>DODRevOld!$S97+$C$4*DODRevOld!$V97</f>
        <v>0</v>
      </c>
      <c r="D104" s="5">
        <f>$C$6*(DODRevOld!$R97+$C$5*DODRevOld!$T97)</f>
        <v>0</v>
      </c>
      <c r="E104" s="5">
        <f>$C$7*(DODRevOld!$R97+$C$5*DODRevOld!$T97)</f>
        <v>0</v>
      </c>
      <c r="F104" s="5">
        <f>$C$8*(DODRevOld!$R97+$C$5*DODRevOld!$T97)</f>
        <v>0</v>
      </c>
      <c r="G104">
        <f>DODRevOld!$U97</f>
        <v>0</v>
      </c>
      <c r="H104">
        <f>(1-$C$4-$C$9-$C$10)*DODRevOld!$V97</f>
        <v>0</v>
      </c>
      <c r="I104">
        <f>$C$11*DODRevOld!$W97</f>
        <v>0</v>
      </c>
      <c r="J104" s="5">
        <f>DODRevOld!$Z97+(1-$C$11)*DODRevOld!$W97</f>
        <v>0</v>
      </c>
      <c r="K104">
        <f>DODRevOld!$Y97</f>
        <v>0</v>
      </c>
      <c r="L104">
        <f>DODRevOld!$AA97+$C$12*DODRevOld!$AB97+$C$9*DODRevOld!$V97</f>
        <v>0</v>
      </c>
      <c r="M104" s="5">
        <f>DODRevOld!$X97+(1-$C$12)*DODRevOld!$AB97+(1-$C$5)*DODRevOld!$T97+$C$10*DODRevOld!$V97</f>
        <v>0</v>
      </c>
      <c r="N104" s="5"/>
      <c r="O104">
        <f t="shared" si="2"/>
        <v>0</v>
      </c>
      <c r="P104">
        <f>DODRevOld!$AC97</f>
        <v>0</v>
      </c>
    </row>
    <row r="105" spans="2:16" x14ac:dyDescent="0.2">
      <c r="B105">
        <f t="shared" si="3"/>
        <v>2014</v>
      </c>
      <c r="C105">
        <f>DODRevOld!$S98+$C$4*DODRevOld!$V98</f>
        <v>0</v>
      </c>
      <c r="D105" s="5">
        <f>$C$6*(DODRevOld!$R98+$C$5*DODRevOld!$T98)</f>
        <v>0</v>
      </c>
      <c r="E105" s="5">
        <f>$C$7*(DODRevOld!$R98+$C$5*DODRevOld!$T98)</f>
        <v>0</v>
      </c>
      <c r="F105" s="5">
        <f>$C$8*(DODRevOld!$R98+$C$5*DODRevOld!$T98)</f>
        <v>0</v>
      </c>
      <c r="G105">
        <f>DODRevOld!$U98</f>
        <v>0</v>
      </c>
      <c r="H105">
        <f>(1-$C$4-$C$9-$C$10)*DODRevOld!$V98</f>
        <v>0</v>
      </c>
      <c r="I105">
        <f>$C$11*DODRevOld!$W98</f>
        <v>0</v>
      </c>
      <c r="J105" s="5">
        <f>DODRevOld!$Z98+(1-$C$11)*DODRevOld!$W98</f>
        <v>0</v>
      </c>
      <c r="K105">
        <f>DODRevOld!$Y98</f>
        <v>0</v>
      </c>
      <c r="L105">
        <f>DODRevOld!$AA98+$C$12*DODRevOld!$AB98+$C$9*DODRevOld!$V98</f>
        <v>0</v>
      </c>
      <c r="M105" s="5">
        <f>DODRevOld!$X98+(1-$C$12)*DODRevOld!$AB98+(1-$C$5)*DODRevOld!$T98+$C$10*DODRevOld!$V98</f>
        <v>0</v>
      </c>
      <c r="N105" s="5"/>
      <c r="O105">
        <f t="shared" si="2"/>
        <v>0</v>
      </c>
      <c r="P105">
        <f>DODRevOld!$AC98</f>
        <v>0</v>
      </c>
    </row>
    <row r="106" spans="2:16" x14ac:dyDescent="0.2">
      <c r="B106">
        <f t="shared" si="3"/>
        <v>2015</v>
      </c>
      <c r="C106">
        <f>DODRevOld!$S99+$C$4*DODRevOld!$V99</f>
        <v>0</v>
      </c>
      <c r="D106" s="5">
        <f>$C$6*(DODRevOld!$R99+$C$5*DODRevOld!$T99)</f>
        <v>0</v>
      </c>
      <c r="E106" s="5">
        <f>$C$7*(DODRevOld!$R99+$C$5*DODRevOld!$T99)</f>
        <v>0</v>
      </c>
      <c r="F106" s="5">
        <f>$C$8*(DODRevOld!$R99+$C$5*DODRevOld!$T99)</f>
        <v>0</v>
      </c>
      <c r="G106">
        <f>DODRevOld!$U99</f>
        <v>0</v>
      </c>
      <c r="H106">
        <f>(1-$C$4-$C$9-$C$10)*DODRevOld!$V99</f>
        <v>0</v>
      </c>
      <c r="I106">
        <f>$C$11*DODRevOld!$W99</f>
        <v>0</v>
      </c>
      <c r="J106" s="5">
        <f>DODRevOld!$Z99+(1-$C$11)*DODRevOld!$W99</f>
        <v>0</v>
      </c>
      <c r="K106">
        <f>DODRevOld!$Y99</f>
        <v>0</v>
      </c>
      <c r="L106">
        <f>DODRevOld!$AA99+$C$12*DODRevOld!$AB99+$C$9*DODRevOld!$V99</f>
        <v>0</v>
      </c>
      <c r="M106" s="5">
        <f>DODRevOld!$X99+(1-$C$12)*DODRevOld!$AB99+(1-$C$5)*DODRevOld!$T99+$C$10*DODRevOld!$V99</f>
        <v>0</v>
      </c>
      <c r="N106" s="5"/>
      <c r="O106">
        <f t="shared" si="2"/>
        <v>0</v>
      </c>
      <c r="P106">
        <f>DODRevOld!$AC99</f>
        <v>0</v>
      </c>
    </row>
    <row r="107" spans="2:16" x14ac:dyDescent="0.2">
      <c r="B107">
        <f t="shared" si="3"/>
        <v>2016</v>
      </c>
      <c r="C107">
        <f>DODRevOld!$S100+$C$4*DODRevOld!$V100</f>
        <v>0</v>
      </c>
      <c r="D107" s="5">
        <f>$C$6*(DODRevOld!$R100+$C$5*DODRevOld!$T100)</f>
        <v>0</v>
      </c>
      <c r="E107" s="5">
        <f>$C$7*(DODRevOld!$R100+$C$5*DODRevOld!$T100)</f>
        <v>0</v>
      </c>
      <c r="F107" s="5">
        <f>$C$8*(DODRevOld!$R100+$C$5*DODRevOld!$T100)</f>
        <v>0</v>
      </c>
      <c r="G107">
        <f>DODRevOld!$U100</f>
        <v>0</v>
      </c>
      <c r="H107">
        <f>(1-$C$4-$C$9-$C$10)*DODRevOld!$V100</f>
        <v>0</v>
      </c>
      <c r="I107">
        <f>$C$11*DODRevOld!$W100</f>
        <v>0</v>
      </c>
      <c r="J107" s="5">
        <f>DODRevOld!$Z100+(1-$C$11)*DODRevOld!$W100</f>
        <v>0</v>
      </c>
      <c r="K107">
        <f>DODRevOld!$Y100</f>
        <v>0</v>
      </c>
      <c r="L107">
        <f>DODRevOld!$AA100+$C$12*DODRevOld!$AB100+$C$9*DODRevOld!$V100</f>
        <v>0</v>
      </c>
      <c r="M107" s="5">
        <f>DODRevOld!$X100+(1-$C$12)*DODRevOld!$AB100+(1-$C$5)*DODRevOld!$T100+$C$10*DODRevOld!$V100</f>
        <v>0</v>
      </c>
      <c r="N107" s="5"/>
      <c r="O107">
        <f t="shared" si="2"/>
        <v>0</v>
      </c>
      <c r="P107">
        <f>DODRevOld!$AC100</f>
        <v>0</v>
      </c>
    </row>
    <row r="108" spans="2:16" x14ac:dyDescent="0.2">
      <c r="B108">
        <f t="shared" si="3"/>
        <v>2017</v>
      </c>
      <c r="C108">
        <f>DODRevOld!$S101+$C$4*DODRevOld!$V101</f>
        <v>0</v>
      </c>
      <c r="D108" s="5">
        <f>$C$6*(DODRevOld!$R101+$C$5*DODRevOld!$T101)</f>
        <v>0</v>
      </c>
      <c r="E108" s="5">
        <f>$C$7*(DODRevOld!$R101+$C$5*DODRevOld!$T101)</f>
        <v>0</v>
      </c>
      <c r="F108" s="5">
        <f>$C$8*(DODRevOld!$R101+$C$5*DODRevOld!$T101)</f>
        <v>0</v>
      </c>
      <c r="G108">
        <f>DODRevOld!$U101</f>
        <v>0</v>
      </c>
      <c r="H108">
        <f>(1-$C$4-$C$9-$C$10)*DODRevOld!$V101</f>
        <v>0</v>
      </c>
      <c r="I108">
        <f>$C$11*DODRevOld!$W101</f>
        <v>0</v>
      </c>
      <c r="J108" s="5">
        <f>DODRevOld!$Z101+(1-$C$11)*DODRevOld!$W101</f>
        <v>0</v>
      </c>
      <c r="K108">
        <f>DODRevOld!$Y101</f>
        <v>0</v>
      </c>
      <c r="L108">
        <f>DODRevOld!$AA101+$C$12*DODRevOld!$AB101+$C$9*DODRevOld!$V101</f>
        <v>0</v>
      </c>
      <c r="M108" s="5">
        <f>DODRevOld!$X101+(1-$C$12)*DODRevOld!$AB101+(1-$C$5)*DODRevOld!$T101+$C$10*DODRevOld!$V101</f>
        <v>0</v>
      </c>
      <c r="N108" s="5"/>
      <c r="O108">
        <f t="shared" si="2"/>
        <v>0</v>
      </c>
      <c r="P108">
        <f>DODRevOld!$AC101</f>
        <v>0</v>
      </c>
    </row>
    <row r="109" spans="2:16" x14ac:dyDescent="0.2">
      <c r="B109">
        <f t="shared" si="3"/>
        <v>2018</v>
      </c>
      <c r="C109">
        <f>DODRevOld!$S102+$C$4*DODRevOld!$V102</f>
        <v>0</v>
      </c>
      <c r="D109" s="5">
        <f>$C$6*(DODRevOld!$R102+$C$5*DODRevOld!$T102)</f>
        <v>0</v>
      </c>
      <c r="E109" s="5">
        <f>$C$7*(DODRevOld!$R102+$C$5*DODRevOld!$T102)</f>
        <v>0</v>
      </c>
      <c r="F109" s="5">
        <f>$C$8*(DODRevOld!$R102+$C$5*DODRevOld!$T102)</f>
        <v>0</v>
      </c>
      <c r="G109">
        <f>DODRevOld!$U102</f>
        <v>0</v>
      </c>
      <c r="H109">
        <f>(1-$C$4-$C$9-$C$10)*DODRevOld!$V102</f>
        <v>0</v>
      </c>
      <c r="I109">
        <f>$C$11*DODRevOld!$W102</f>
        <v>0</v>
      </c>
      <c r="J109" s="5">
        <f>DODRevOld!$Z102+(1-$C$11)*DODRevOld!$W102</f>
        <v>0</v>
      </c>
      <c r="K109">
        <f>DODRevOld!$Y102</f>
        <v>0</v>
      </c>
      <c r="L109">
        <f>DODRevOld!$AA102+$C$12*DODRevOld!$AB102+$C$9*DODRevOld!$V102</f>
        <v>0</v>
      </c>
      <c r="M109" s="5">
        <f>DODRevOld!$X102+(1-$C$12)*DODRevOld!$AB102+(1-$C$5)*DODRevOld!$T102+$C$10*DODRevOld!$V102</f>
        <v>0</v>
      </c>
      <c r="N109" s="5"/>
      <c r="O109">
        <f t="shared" si="2"/>
        <v>0</v>
      </c>
      <c r="P109">
        <f>DODRevOld!$AC102</f>
        <v>0</v>
      </c>
    </row>
    <row r="110" spans="2:16" x14ac:dyDescent="0.2">
      <c r="B110">
        <f t="shared" si="3"/>
        <v>2019</v>
      </c>
      <c r="C110">
        <f>DODRevOld!$S103+$C$4*DODRevOld!$V103</f>
        <v>0</v>
      </c>
      <c r="D110" s="5">
        <f>$C$6*(DODRevOld!$R103+$C$5*DODRevOld!$T103)</f>
        <v>0</v>
      </c>
      <c r="E110" s="5">
        <f>$C$7*(DODRevOld!$R103+$C$5*DODRevOld!$T103)</f>
        <v>0</v>
      </c>
      <c r="F110" s="5">
        <f>$C$8*(DODRevOld!$R103+$C$5*DODRevOld!$T103)</f>
        <v>0</v>
      </c>
      <c r="G110">
        <f>DODRevOld!$U103</f>
        <v>0</v>
      </c>
      <c r="H110">
        <f>(1-$C$4-$C$9-$C$10)*DODRevOld!$V103</f>
        <v>0</v>
      </c>
      <c r="I110">
        <f>$C$11*DODRevOld!$W103</f>
        <v>0</v>
      </c>
      <c r="J110" s="5">
        <f>DODRevOld!$Z103+(1-$C$11)*DODRevOld!$W103</f>
        <v>0</v>
      </c>
      <c r="K110">
        <f>DODRevOld!$Y103</f>
        <v>0</v>
      </c>
      <c r="L110">
        <f>DODRevOld!$AA103+$C$12*DODRevOld!$AB103+$C$9*DODRevOld!$V103</f>
        <v>0</v>
      </c>
      <c r="M110" s="5">
        <f>DODRevOld!$X103+(1-$C$12)*DODRevOld!$AB103+(1-$C$5)*DODRevOld!$T103+$C$10*DODRevOld!$V103</f>
        <v>0</v>
      </c>
      <c r="N110" s="5"/>
      <c r="O110">
        <f t="shared" si="2"/>
        <v>0</v>
      </c>
      <c r="P110">
        <f>DODRevOld!$AC103</f>
        <v>0</v>
      </c>
    </row>
    <row r="111" spans="2:16" x14ac:dyDescent="0.2">
      <c r="B111">
        <f t="shared" si="3"/>
        <v>2020</v>
      </c>
      <c r="C111">
        <f>DODRevOld!$S104+$C$4*DODRevOld!$V104</f>
        <v>0</v>
      </c>
      <c r="D111" s="5">
        <f>$C$6*(DODRevOld!$R104+$C$5*DODRevOld!$T104)</f>
        <v>0</v>
      </c>
      <c r="E111" s="5">
        <f>$C$7*(DODRevOld!$R104+$C$5*DODRevOld!$T104)</f>
        <v>0</v>
      </c>
      <c r="F111" s="5">
        <f>$C$8*(DODRevOld!$R104+$C$5*DODRevOld!$T104)</f>
        <v>0</v>
      </c>
      <c r="G111">
        <f>DODRevOld!$U104</f>
        <v>0</v>
      </c>
      <c r="H111">
        <f>(1-$C$4-$C$9-$C$10)*DODRevOld!$V104</f>
        <v>0</v>
      </c>
      <c r="I111">
        <f>$C$11*DODRevOld!$W104</f>
        <v>0</v>
      </c>
      <c r="J111" s="5">
        <f>DODRevOld!$Z104+(1-$C$11)*DODRevOld!$W104</f>
        <v>0</v>
      </c>
      <c r="K111">
        <f>DODRevOld!$Y104</f>
        <v>0</v>
      </c>
      <c r="L111">
        <f>DODRevOld!$AA104+$C$12*DODRevOld!$AB104+$C$9*DODRevOld!$V104</f>
        <v>0</v>
      </c>
      <c r="M111" s="5">
        <f>DODRevOld!$X104+(1-$C$12)*DODRevOld!$AB104+(1-$C$5)*DODRevOld!$T104+$C$10*DODRevOld!$V104</f>
        <v>0</v>
      </c>
      <c r="N111" s="5"/>
      <c r="O111">
        <f t="shared" si="2"/>
        <v>0</v>
      </c>
      <c r="P111">
        <f>DODRevOld!$AC104</f>
        <v>0</v>
      </c>
    </row>
  </sheetData>
  <phoneticPr fontId="0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D5:O21"/>
  <sheetViews>
    <sheetView workbookViewId="0">
      <selection activeCell="G25" sqref="G25"/>
    </sheetView>
  </sheetViews>
  <sheetFormatPr defaultRowHeight="12.75" x14ac:dyDescent="0.2"/>
  <cols>
    <col min="5" max="5" width="11.28515625" customWidth="1"/>
    <col min="6" max="6" width="11.140625" customWidth="1"/>
  </cols>
  <sheetData>
    <row r="5" spans="4:15" x14ac:dyDescent="0.2">
      <c r="E5" t="s">
        <v>74</v>
      </c>
      <c r="F5" t="s">
        <v>77</v>
      </c>
      <c r="G5" t="s">
        <v>78</v>
      </c>
      <c r="H5" t="s">
        <v>79</v>
      </c>
      <c r="I5" t="s">
        <v>80</v>
      </c>
      <c r="J5" t="s">
        <v>81</v>
      </c>
      <c r="K5" t="s">
        <v>82</v>
      </c>
      <c r="L5" t="s">
        <v>83</v>
      </c>
      <c r="O5" t="s">
        <v>88</v>
      </c>
    </row>
    <row r="6" spans="4:15" x14ac:dyDescent="0.2">
      <c r="D6">
        <v>1990</v>
      </c>
      <c r="E6">
        <v>694</v>
      </c>
      <c r="F6">
        <v>152</v>
      </c>
      <c r="G6">
        <v>69</v>
      </c>
      <c r="H6">
        <v>47</v>
      </c>
      <c r="I6">
        <v>29</v>
      </c>
      <c r="J6">
        <v>51</v>
      </c>
      <c r="K6">
        <v>32</v>
      </c>
      <c r="L6">
        <f t="shared" ref="L6:L17" si="0">SUM(E6:K6)</f>
        <v>1074</v>
      </c>
      <c r="M6">
        <f>L6</f>
        <v>1074</v>
      </c>
      <c r="O6">
        <f>J6+K6</f>
        <v>83</v>
      </c>
    </row>
    <row r="7" spans="4:15" x14ac:dyDescent="0.2">
      <c r="D7">
        <f t="shared" ref="D7:D16" si="1">D6+1</f>
        <v>1991</v>
      </c>
      <c r="E7">
        <v>476</v>
      </c>
      <c r="F7">
        <v>177</v>
      </c>
      <c r="G7">
        <v>72</v>
      </c>
      <c r="H7">
        <v>50</v>
      </c>
      <c r="I7">
        <v>29</v>
      </c>
      <c r="J7">
        <v>45</v>
      </c>
      <c r="K7">
        <v>33</v>
      </c>
      <c r="L7">
        <f t="shared" si="0"/>
        <v>882</v>
      </c>
      <c r="M7">
        <f t="shared" ref="M7:M16" si="2">L7+M6</f>
        <v>1956</v>
      </c>
      <c r="O7">
        <f t="shared" ref="O7:O17" si="3">J7+K7</f>
        <v>78</v>
      </c>
    </row>
    <row r="8" spans="4:15" x14ac:dyDescent="0.2">
      <c r="D8">
        <f t="shared" si="1"/>
        <v>1992</v>
      </c>
      <c r="E8">
        <v>462</v>
      </c>
      <c r="F8">
        <v>156</v>
      </c>
      <c r="G8">
        <v>77</v>
      </c>
      <c r="H8">
        <v>41</v>
      </c>
      <c r="I8">
        <v>30</v>
      </c>
      <c r="J8">
        <v>42</v>
      </c>
      <c r="K8">
        <v>32</v>
      </c>
      <c r="L8">
        <f t="shared" si="0"/>
        <v>840</v>
      </c>
      <c r="M8">
        <f t="shared" si="2"/>
        <v>2796</v>
      </c>
      <c r="O8">
        <f t="shared" si="3"/>
        <v>74</v>
      </c>
    </row>
    <row r="9" spans="4:15" x14ac:dyDescent="0.2">
      <c r="D9">
        <f t="shared" si="1"/>
        <v>1993</v>
      </c>
      <c r="E9">
        <v>481</v>
      </c>
      <c r="F9">
        <v>165</v>
      </c>
      <c r="G9">
        <v>75</v>
      </c>
      <c r="H9">
        <v>30</v>
      </c>
      <c r="I9">
        <v>30</v>
      </c>
      <c r="J9">
        <v>51</v>
      </c>
      <c r="K9">
        <v>29</v>
      </c>
      <c r="L9">
        <f t="shared" si="0"/>
        <v>861</v>
      </c>
      <c r="M9">
        <f t="shared" si="2"/>
        <v>3657</v>
      </c>
      <c r="O9">
        <f t="shared" si="3"/>
        <v>80</v>
      </c>
    </row>
    <row r="10" spans="4:15" x14ac:dyDescent="0.2">
      <c r="D10">
        <f t="shared" si="1"/>
        <v>1994</v>
      </c>
      <c r="E10">
        <v>600</v>
      </c>
      <c r="F10">
        <v>172</v>
      </c>
      <c r="G10">
        <v>72</v>
      </c>
      <c r="H10">
        <v>45</v>
      </c>
      <c r="I10">
        <v>30</v>
      </c>
      <c r="J10">
        <v>51</v>
      </c>
      <c r="K10">
        <v>31</v>
      </c>
      <c r="L10">
        <f t="shared" si="0"/>
        <v>1001</v>
      </c>
      <c r="M10">
        <f t="shared" si="2"/>
        <v>4658</v>
      </c>
      <c r="O10">
        <f t="shared" si="3"/>
        <v>82</v>
      </c>
    </row>
    <row r="11" spans="4:15" x14ac:dyDescent="0.2">
      <c r="D11">
        <f t="shared" si="1"/>
        <v>1995</v>
      </c>
      <c r="E11">
        <v>700</v>
      </c>
      <c r="F11">
        <v>186</v>
      </c>
      <c r="G11">
        <v>70</v>
      </c>
      <c r="H11">
        <v>40</v>
      </c>
      <c r="I11">
        <v>33</v>
      </c>
      <c r="J11">
        <v>56</v>
      </c>
      <c r="K11">
        <v>33</v>
      </c>
      <c r="L11">
        <f t="shared" si="0"/>
        <v>1118</v>
      </c>
      <c r="M11">
        <f t="shared" si="2"/>
        <v>5776</v>
      </c>
      <c r="O11">
        <f t="shared" si="3"/>
        <v>89</v>
      </c>
    </row>
    <row r="12" spans="4:15" x14ac:dyDescent="0.2">
      <c r="D12">
        <f t="shared" si="1"/>
        <v>1996</v>
      </c>
      <c r="E12">
        <v>723</v>
      </c>
      <c r="F12">
        <v>177</v>
      </c>
      <c r="G12">
        <v>77</v>
      </c>
      <c r="H12">
        <v>41</v>
      </c>
      <c r="I12">
        <v>32</v>
      </c>
      <c r="J12">
        <v>60</v>
      </c>
      <c r="K12">
        <v>33</v>
      </c>
      <c r="L12">
        <f t="shared" si="0"/>
        <v>1143</v>
      </c>
      <c r="M12">
        <f t="shared" si="2"/>
        <v>6919</v>
      </c>
      <c r="O12">
        <f t="shared" si="3"/>
        <v>93</v>
      </c>
    </row>
    <row r="13" spans="4:15" x14ac:dyDescent="0.2">
      <c r="D13">
        <f t="shared" si="1"/>
        <v>1997</v>
      </c>
      <c r="E13">
        <v>855</v>
      </c>
      <c r="F13">
        <v>204</v>
      </c>
      <c r="G13">
        <v>89</v>
      </c>
      <c r="H13">
        <v>48</v>
      </c>
      <c r="I13">
        <v>42</v>
      </c>
      <c r="J13">
        <v>77</v>
      </c>
      <c r="K13">
        <v>35</v>
      </c>
      <c r="L13">
        <f t="shared" si="0"/>
        <v>1350</v>
      </c>
      <c r="M13">
        <f t="shared" si="2"/>
        <v>8269</v>
      </c>
      <c r="O13">
        <f t="shared" si="3"/>
        <v>112</v>
      </c>
    </row>
    <row r="14" spans="4:15" x14ac:dyDescent="0.2">
      <c r="D14">
        <f t="shared" si="1"/>
        <v>1998</v>
      </c>
      <c r="E14">
        <v>1106</v>
      </c>
      <c r="F14">
        <v>219</v>
      </c>
      <c r="G14">
        <v>96</v>
      </c>
      <c r="H14">
        <v>42</v>
      </c>
      <c r="I14">
        <v>47</v>
      </c>
      <c r="J14">
        <v>85</v>
      </c>
      <c r="K14">
        <v>34</v>
      </c>
      <c r="L14">
        <f t="shared" si="0"/>
        <v>1629</v>
      </c>
      <c r="M14">
        <f t="shared" si="2"/>
        <v>9898</v>
      </c>
      <c r="O14">
        <f t="shared" si="3"/>
        <v>119</v>
      </c>
    </row>
    <row r="15" spans="4:15" x14ac:dyDescent="0.2">
      <c r="D15">
        <f t="shared" si="1"/>
        <v>1999</v>
      </c>
      <c r="E15">
        <v>1118</v>
      </c>
      <c r="F15">
        <v>262</v>
      </c>
      <c r="G15">
        <v>99</v>
      </c>
      <c r="H15">
        <v>50</v>
      </c>
      <c r="I15">
        <v>49</v>
      </c>
      <c r="J15">
        <v>88</v>
      </c>
      <c r="K15">
        <v>39</v>
      </c>
      <c r="L15">
        <f t="shared" si="0"/>
        <v>1705</v>
      </c>
      <c r="M15">
        <f t="shared" si="2"/>
        <v>11603</v>
      </c>
      <c r="O15">
        <f t="shared" si="3"/>
        <v>127</v>
      </c>
    </row>
    <row r="16" spans="4:15" x14ac:dyDescent="0.2">
      <c r="D16">
        <f t="shared" si="1"/>
        <v>2000</v>
      </c>
      <c r="E16">
        <v>1189</v>
      </c>
      <c r="F16">
        <v>274</v>
      </c>
      <c r="G16">
        <v>88</v>
      </c>
      <c r="H16">
        <v>45</v>
      </c>
      <c r="I16">
        <v>50</v>
      </c>
      <c r="J16">
        <v>94</v>
      </c>
      <c r="K16">
        <v>29</v>
      </c>
      <c r="L16">
        <f t="shared" si="0"/>
        <v>1769</v>
      </c>
      <c r="M16">
        <f t="shared" si="2"/>
        <v>13372</v>
      </c>
      <c r="O16">
        <f t="shared" si="3"/>
        <v>123</v>
      </c>
    </row>
    <row r="17" spans="4:15" x14ac:dyDescent="0.2">
      <c r="D17">
        <v>2001</v>
      </c>
      <c r="E17">
        <v>986</v>
      </c>
      <c r="F17">
        <v>296</v>
      </c>
      <c r="G17">
        <v>90</v>
      </c>
      <c r="H17">
        <v>44</v>
      </c>
      <c r="I17">
        <v>51</v>
      </c>
      <c r="J17">
        <v>82</v>
      </c>
      <c r="K17">
        <v>27</v>
      </c>
      <c r="L17">
        <f t="shared" si="0"/>
        <v>1576</v>
      </c>
      <c r="O17">
        <f t="shared" si="3"/>
        <v>109</v>
      </c>
    </row>
    <row r="19" spans="4:15" x14ac:dyDescent="0.2">
      <c r="D19" t="s">
        <v>84</v>
      </c>
      <c r="E19">
        <f t="shared" ref="E19:L19" si="4">SUM(E6:E15)</f>
        <v>7215</v>
      </c>
      <c r="F19">
        <f t="shared" si="4"/>
        <v>1870</v>
      </c>
      <c r="G19">
        <f t="shared" si="4"/>
        <v>796</v>
      </c>
      <c r="H19">
        <f t="shared" si="4"/>
        <v>434</v>
      </c>
      <c r="I19">
        <f t="shared" si="4"/>
        <v>351</v>
      </c>
      <c r="J19">
        <f t="shared" si="4"/>
        <v>606</v>
      </c>
      <c r="K19">
        <f t="shared" si="4"/>
        <v>331</v>
      </c>
      <c r="L19">
        <f t="shared" si="4"/>
        <v>11603</v>
      </c>
    </row>
    <row r="20" spans="4:15" x14ac:dyDescent="0.2">
      <c r="H20" t="s">
        <v>85</v>
      </c>
      <c r="J20" t="s">
        <v>86</v>
      </c>
    </row>
    <row r="21" spans="4:15" x14ac:dyDescent="0.2">
      <c r="D21" t="s">
        <v>87</v>
      </c>
      <c r="F21">
        <v>1239</v>
      </c>
      <c r="G21">
        <v>473</v>
      </c>
      <c r="H21">
        <v>227</v>
      </c>
      <c r="I21">
        <v>357</v>
      </c>
      <c r="J21">
        <v>736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94846-3786-4FEA-B35F-75EB41BBC776}">
  <dimension ref="E3:F102"/>
  <sheetViews>
    <sheetView topLeftCell="E53" workbookViewId="0">
      <selection activeCell="M60" sqref="M60"/>
    </sheetView>
  </sheetViews>
  <sheetFormatPr defaultRowHeight="12.75" x14ac:dyDescent="0.2"/>
  <sheetData>
    <row r="3" spans="5:6" x14ac:dyDescent="0.2">
      <c r="F3" s="83" t="s">
        <v>478</v>
      </c>
    </row>
    <row r="4" spans="5:6" x14ac:dyDescent="0.2">
      <c r="E4">
        <f>1920</f>
        <v>1920</v>
      </c>
      <c r="F4" s="71">
        <f>'NEMS_Logistic (current) '!AL297</f>
        <v>308.23015382850036</v>
      </c>
    </row>
    <row r="5" spans="5:6" x14ac:dyDescent="0.2">
      <c r="E5">
        <f>E4+1</f>
        <v>1921</v>
      </c>
      <c r="F5" s="71">
        <f>'NEMS_Logistic (current) '!AL298</f>
        <v>288.27867405980146</v>
      </c>
    </row>
    <row r="6" spans="5:6" x14ac:dyDescent="0.2">
      <c r="E6">
        <f t="shared" ref="E6:E69" si="0">E5+1</f>
        <v>1922</v>
      </c>
      <c r="F6" s="71">
        <f>'NEMS_Logistic (current) '!AL299</f>
        <v>331.65292211700728</v>
      </c>
    </row>
    <row r="7" spans="5:6" x14ac:dyDescent="0.2">
      <c r="E7">
        <f t="shared" si="0"/>
        <v>1923</v>
      </c>
      <c r="F7" s="71">
        <f>'NEMS_Logistic (current) '!AL300</f>
        <v>456.85047185090446</v>
      </c>
    </row>
    <row r="8" spans="5:6" x14ac:dyDescent="0.2">
      <c r="E8">
        <f t="shared" si="0"/>
        <v>1924</v>
      </c>
      <c r="F8" s="71">
        <f>'NEMS_Logistic (current) '!AL301</f>
        <v>490.37160741490482</v>
      </c>
    </row>
    <row r="9" spans="5:6" x14ac:dyDescent="0.2">
      <c r="E9">
        <f t="shared" si="0"/>
        <v>1925</v>
      </c>
      <c r="F9" s="71">
        <f>'NEMS_Logistic (current) '!AL302</f>
        <v>576.75179141721094</v>
      </c>
    </row>
    <row r="10" spans="5:6" x14ac:dyDescent="0.2">
      <c r="E10">
        <f t="shared" si="0"/>
        <v>1926</v>
      </c>
      <c r="F10" s="71">
        <f>'NEMS_Logistic (current) '!AL303</f>
        <v>668.38551200780898</v>
      </c>
    </row>
    <row r="11" spans="5:6" x14ac:dyDescent="0.2">
      <c r="E11">
        <f t="shared" si="0"/>
        <v>1927</v>
      </c>
      <c r="F11" s="71">
        <f>'NEMS_Logistic (current) '!AL304</f>
        <v>650.8970757810273</v>
      </c>
    </row>
    <row r="12" spans="5:6" x14ac:dyDescent="0.2">
      <c r="E12">
        <f t="shared" si="0"/>
        <v>1928</v>
      </c>
      <c r="F12" s="71">
        <f>'NEMS_Logistic (current) '!AL305</f>
        <v>673.41528472471134</v>
      </c>
    </row>
    <row r="13" spans="5:6" x14ac:dyDescent="0.2">
      <c r="E13">
        <f t="shared" si="0"/>
        <v>1929</v>
      </c>
      <c r="F13" s="71">
        <f>'NEMS_Logistic (current) '!AL306</f>
        <v>695.07260913576863</v>
      </c>
    </row>
    <row r="14" spans="5:6" x14ac:dyDescent="0.2">
      <c r="E14">
        <f t="shared" si="0"/>
        <v>1930</v>
      </c>
      <c r="F14" s="71">
        <f>'NEMS_Logistic (current) '!AL307</f>
        <v>621.41084970066311</v>
      </c>
    </row>
    <row r="15" spans="5:6" x14ac:dyDescent="0.2">
      <c r="E15">
        <f t="shared" si="0"/>
        <v>1931</v>
      </c>
      <c r="F15" s="71">
        <f>'NEMS_Logistic (current) '!AL308</f>
        <v>450.8787712094138</v>
      </c>
    </row>
    <row r="16" spans="5:6" x14ac:dyDescent="0.2">
      <c r="E16">
        <f t="shared" si="0"/>
        <v>1932</v>
      </c>
      <c r="F16" s="71">
        <f>'NEMS_Logistic (current) '!AL309</f>
        <v>273.48973563841326</v>
      </c>
    </row>
    <row r="17" spans="5:6" x14ac:dyDescent="0.2">
      <c r="E17">
        <f t="shared" si="0"/>
        <v>1933</v>
      </c>
      <c r="F17" s="71">
        <f>'NEMS_Logistic (current) '!AL310</f>
        <v>149.95416127129226</v>
      </c>
    </row>
    <row r="18" spans="5:6" x14ac:dyDescent="0.2">
      <c r="E18">
        <f t="shared" si="0"/>
        <v>1934</v>
      </c>
      <c r="F18" s="71">
        <f>'NEMS_Logistic (current) '!AL311</f>
        <v>139.87329976831609</v>
      </c>
    </row>
    <row r="19" spans="5:6" x14ac:dyDescent="0.2">
      <c r="E19">
        <f t="shared" si="0"/>
        <v>1935</v>
      </c>
      <c r="F19" s="71">
        <f>'NEMS_Logistic (current) '!AL312</f>
        <v>179.45680540912556</v>
      </c>
    </row>
    <row r="20" spans="5:6" x14ac:dyDescent="0.2">
      <c r="E20">
        <f t="shared" si="0"/>
        <v>1936</v>
      </c>
      <c r="F20" s="71">
        <f>'NEMS_Logistic (current) '!AL313</f>
        <v>257.0416665928787</v>
      </c>
    </row>
    <row r="21" spans="5:6" x14ac:dyDescent="0.2">
      <c r="E21">
        <f t="shared" si="0"/>
        <v>1937</v>
      </c>
      <c r="F21" s="71">
        <f>'NEMS_Logistic (current) '!AL314</f>
        <v>326.2900684795033</v>
      </c>
    </row>
    <row r="22" spans="5:6" x14ac:dyDescent="0.2">
      <c r="E22">
        <f t="shared" si="0"/>
        <v>1938</v>
      </c>
      <c r="F22" s="71">
        <f>'NEMS_Logistic (current) '!AL315</f>
        <v>347.24101361308556</v>
      </c>
    </row>
    <row r="23" spans="5:6" x14ac:dyDescent="0.2">
      <c r="E23">
        <f t="shared" si="0"/>
        <v>1939</v>
      </c>
      <c r="F23" s="71">
        <f>'NEMS_Logistic (current) '!AL316</f>
        <v>350.07814131251132</v>
      </c>
    </row>
    <row r="24" spans="5:6" x14ac:dyDescent="0.2">
      <c r="E24">
        <f t="shared" si="0"/>
        <v>1940</v>
      </c>
      <c r="F24" s="71">
        <f>'NEMS_Logistic (current) '!AL317</f>
        <v>356.27514494817234</v>
      </c>
    </row>
    <row r="25" spans="5:6" x14ac:dyDescent="0.2">
      <c r="E25">
        <f t="shared" si="0"/>
        <v>1941</v>
      </c>
      <c r="F25" s="71">
        <f>'NEMS_Logistic (current) '!AL318</f>
        <v>500.04468915448342</v>
      </c>
    </row>
    <row r="26" spans="5:6" x14ac:dyDescent="0.2">
      <c r="E26">
        <f t="shared" si="0"/>
        <v>1942</v>
      </c>
      <c r="F26" s="71">
        <f>'NEMS_Logistic (current) '!AL319</f>
        <v>778.86062664769895</v>
      </c>
    </row>
    <row r="27" spans="5:6" x14ac:dyDescent="0.2">
      <c r="E27">
        <f t="shared" si="0"/>
        <v>1943</v>
      </c>
      <c r="F27" s="71">
        <f>'NEMS_Logistic (current) '!AL320</f>
        <v>748.87615298899914</v>
      </c>
    </row>
    <row r="28" spans="5:6" x14ac:dyDescent="0.2">
      <c r="E28">
        <f t="shared" si="0"/>
        <v>1944</v>
      </c>
      <c r="F28" s="71">
        <f>'NEMS_Logistic (current) '!AL321</f>
        <v>292.13114514092672</v>
      </c>
    </row>
    <row r="29" spans="5:6" x14ac:dyDescent="0.2">
      <c r="E29">
        <f t="shared" si="0"/>
        <v>1945</v>
      </c>
      <c r="F29" s="71">
        <f>'NEMS_Logistic (current) '!AL322</f>
        <v>259.7614086004366</v>
      </c>
    </row>
    <row r="30" spans="5:6" x14ac:dyDescent="0.2">
      <c r="E30">
        <f t="shared" si="0"/>
        <v>1946</v>
      </c>
      <c r="F30" s="71">
        <f>'NEMS_Logistic (current) '!AL323</f>
        <v>375.21060277194596</v>
      </c>
    </row>
    <row r="31" spans="5:6" x14ac:dyDescent="0.2">
      <c r="E31">
        <f t="shared" si="0"/>
        <v>1947</v>
      </c>
      <c r="F31" s="71">
        <f>'NEMS_Logistic (current) '!AL324</f>
        <v>464.06053605909665</v>
      </c>
    </row>
    <row r="32" spans="5:6" x14ac:dyDescent="0.2">
      <c r="E32">
        <f t="shared" si="0"/>
        <v>1948</v>
      </c>
      <c r="F32" s="71">
        <f>'NEMS_Logistic (current) '!AL325</f>
        <v>525.69278760466784</v>
      </c>
    </row>
    <row r="33" spans="5:6" x14ac:dyDescent="0.2">
      <c r="E33">
        <f t="shared" si="0"/>
        <v>1949</v>
      </c>
      <c r="F33" s="71">
        <f>'NEMS_Logistic (current) '!AL326</f>
        <v>612.33024206940502</v>
      </c>
    </row>
    <row r="34" spans="5:6" x14ac:dyDescent="0.2">
      <c r="E34">
        <f t="shared" si="0"/>
        <v>1950</v>
      </c>
      <c r="F34" s="71">
        <f>'NEMS_Logistic (current) '!AL327</f>
        <v>683.90156474414698</v>
      </c>
    </row>
    <row r="35" spans="5:6" x14ac:dyDescent="0.2">
      <c r="E35">
        <f t="shared" si="0"/>
        <v>1951</v>
      </c>
      <c r="F35" s="71">
        <f>'NEMS_Logistic (current) '!AL328</f>
        <v>750.66672940174408</v>
      </c>
    </row>
    <row r="36" spans="5:6" x14ac:dyDescent="0.2">
      <c r="E36">
        <f t="shared" si="0"/>
        <v>1952</v>
      </c>
      <c r="F36" s="71">
        <f>'NEMS_Logistic (current) '!AL329</f>
        <v>694.76081803935563</v>
      </c>
    </row>
    <row r="37" spans="5:6" x14ac:dyDescent="0.2">
      <c r="E37">
        <f t="shared" si="0"/>
        <v>1953</v>
      </c>
      <c r="F37" s="71">
        <f>'NEMS_Logistic (current) '!AL330</f>
        <v>738.66415609749458</v>
      </c>
    </row>
    <row r="38" spans="5:6" x14ac:dyDescent="0.2">
      <c r="E38">
        <f t="shared" si="0"/>
        <v>1954</v>
      </c>
      <c r="F38" s="71">
        <f>'NEMS_Logistic (current) '!AL331</f>
        <v>850.37496768590995</v>
      </c>
    </row>
    <row r="39" spans="5:6" x14ac:dyDescent="0.2">
      <c r="E39">
        <f t="shared" si="0"/>
        <v>1955</v>
      </c>
      <c r="F39" s="71">
        <f>'NEMS_Logistic (current) '!AL332</f>
        <v>968.13077263885066</v>
      </c>
    </row>
    <row r="40" spans="5:6" x14ac:dyDescent="0.2">
      <c r="E40">
        <f t="shared" si="0"/>
        <v>1956</v>
      </c>
      <c r="F40" s="71">
        <f>'NEMS_Logistic (current) '!AL333</f>
        <v>1067.6377090674123</v>
      </c>
    </row>
    <row r="41" spans="5:6" x14ac:dyDescent="0.2">
      <c r="E41">
        <f t="shared" si="0"/>
        <v>1957</v>
      </c>
      <c r="F41" s="71">
        <f>'NEMS_Logistic (current) '!AL334</f>
        <v>1115.0509545534462</v>
      </c>
    </row>
    <row r="42" spans="5:6" x14ac:dyDescent="0.2">
      <c r="E42">
        <f t="shared" si="0"/>
        <v>1958</v>
      </c>
      <c r="F42" s="71">
        <f>'NEMS_Logistic (current) '!AL335</f>
        <v>1132.3870919778333</v>
      </c>
    </row>
    <row r="43" spans="5:6" x14ac:dyDescent="0.2">
      <c r="E43">
        <f t="shared" si="0"/>
        <v>1959</v>
      </c>
      <c r="F43" s="71">
        <f>'NEMS_Logistic (current) '!AL336</f>
        <v>1164.3201989014206</v>
      </c>
    </row>
    <row r="44" spans="5:6" x14ac:dyDescent="0.2">
      <c r="E44">
        <f t="shared" si="0"/>
        <v>1960</v>
      </c>
      <c r="F44" s="71">
        <f>'NEMS_Logistic (current) '!AL337</f>
        <v>888.84626694577639</v>
      </c>
    </row>
    <row r="45" spans="5:6" x14ac:dyDescent="0.2">
      <c r="E45">
        <f t="shared" si="0"/>
        <v>1961</v>
      </c>
      <c r="F45" s="71">
        <f>'NEMS_Logistic (current) '!AL338</f>
        <v>907.92434385132992</v>
      </c>
    </row>
    <row r="46" spans="5:6" x14ac:dyDescent="0.2">
      <c r="E46">
        <f t="shared" si="0"/>
        <v>1962</v>
      </c>
      <c r="F46" s="71">
        <f>'NEMS_Logistic (current) '!AL339</f>
        <v>936.19544226330299</v>
      </c>
    </row>
    <row r="47" spans="5:6" x14ac:dyDescent="0.2">
      <c r="E47">
        <f t="shared" si="0"/>
        <v>1963</v>
      </c>
      <c r="F47" s="71">
        <f>'NEMS_Logistic (current) '!AL340</f>
        <v>990.21532042638671</v>
      </c>
    </row>
    <row r="48" spans="5:6" x14ac:dyDescent="0.2">
      <c r="E48">
        <f t="shared" si="0"/>
        <v>1964</v>
      </c>
      <c r="F48" s="71">
        <f>'NEMS_Logistic (current) '!AL341</f>
        <v>1038.1314548974144</v>
      </c>
    </row>
    <row r="49" spans="5:6" x14ac:dyDescent="0.2">
      <c r="E49">
        <f t="shared" si="0"/>
        <v>1965</v>
      </c>
      <c r="F49" s="71">
        <f>'NEMS_Logistic (current) '!AL342</f>
        <v>1095.4455751706835</v>
      </c>
    </row>
    <row r="50" spans="5:6" x14ac:dyDescent="0.2">
      <c r="E50">
        <f t="shared" si="0"/>
        <v>1966</v>
      </c>
      <c r="F50" s="71">
        <f>'NEMS_Logistic (current) '!AL343</f>
        <v>1188.4979692849329</v>
      </c>
    </row>
    <row r="51" spans="5:6" x14ac:dyDescent="0.2">
      <c r="E51">
        <f t="shared" si="0"/>
        <v>1967</v>
      </c>
      <c r="F51" s="71">
        <f>'NEMS_Logistic (current) '!AL344</f>
        <v>1217.016888106755</v>
      </c>
    </row>
    <row r="52" spans="5:6" x14ac:dyDescent="0.2">
      <c r="E52">
        <f t="shared" si="0"/>
        <v>1968</v>
      </c>
      <c r="F52" s="71">
        <f>'NEMS_Logistic (current) '!AL345</f>
        <v>1243.6899637318893</v>
      </c>
    </row>
    <row r="53" spans="5:6" x14ac:dyDescent="0.2">
      <c r="E53">
        <f t="shared" si="0"/>
        <v>1969</v>
      </c>
      <c r="F53" s="71">
        <f>'NEMS_Logistic (current) '!AL346</f>
        <v>1345.9159078383691</v>
      </c>
    </row>
    <row r="54" spans="5:6" x14ac:dyDescent="0.2">
      <c r="E54">
        <f t="shared" si="0"/>
        <v>1970</v>
      </c>
      <c r="F54" s="71">
        <f>'NEMS_Logistic (current) '!AL347</f>
        <v>1349.5332017778558</v>
      </c>
    </row>
    <row r="55" spans="5:6" x14ac:dyDescent="0.2">
      <c r="E55">
        <f t="shared" si="0"/>
        <v>1971</v>
      </c>
      <c r="F55" s="71">
        <f>'NEMS_Logistic (current) '!AL348</f>
        <v>1284.8734872119253</v>
      </c>
    </row>
    <row r="56" spans="5:6" x14ac:dyDescent="0.2">
      <c r="E56">
        <f t="shared" si="0"/>
        <v>1972</v>
      </c>
      <c r="F56" s="71">
        <f>'NEMS_Logistic (current) '!AL349</f>
        <v>1351.4285627255788</v>
      </c>
    </row>
    <row r="57" spans="5:6" x14ac:dyDescent="0.2">
      <c r="E57">
        <f t="shared" si="0"/>
        <v>1973</v>
      </c>
      <c r="F57" s="71">
        <f>'NEMS_Logistic (current) '!AL350</f>
        <v>1461.1022107468773</v>
      </c>
    </row>
    <row r="58" spans="5:6" x14ac:dyDescent="0.2">
      <c r="E58">
        <f t="shared" si="0"/>
        <v>1974</v>
      </c>
      <c r="F58" s="71">
        <f>'NEMS_Logistic (current) '!AL351</f>
        <v>1480.3299115257716</v>
      </c>
    </row>
    <row r="59" spans="5:6" x14ac:dyDescent="0.2">
      <c r="E59">
        <f t="shared" si="0"/>
        <v>1975</v>
      </c>
      <c r="F59" s="71">
        <f>'NEMS_Logistic (current) '!AL352</f>
        <v>1261.4786757856546</v>
      </c>
    </row>
    <row r="60" spans="5:6" x14ac:dyDescent="0.2">
      <c r="E60">
        <f t="shared" si="0"/>
        <v>1976</v>
      </c>
      <c r="F60" s="71">
        <f>'NEMS_Logistic (current) '!AL353</f>
        <v>1070.7699701154295</v>
      </c>
    </row>
    <row r="61" spans="5:6" x14ac:dyDescent="0.2">
      <c r="E61">
        <f t="shared" si="0"/>
        <v>1977</v>
      </c>
      <c r="F61" s="71">
        <f>'NEMS_Logistic (current) '!AL354</f>
        <v>1138.5427665783425</v>
      </c>
    </row>
    <row r="62" spans="5:6" x14ac:dyDescent="0.2">
      <c r="E62">
        <f t="shared" si="0"/>
        <v>1978</v>
      </c>
      <c r="F62" s="71">
        <f>'NEMS_Logistic (current) '!AL355</f>
        <v>1322.7752528902301</v>
      </c>
    </row>
    <row r="63" spans="5:6" x14ac:dyDescent="0.2">
      <c r="E63">
        <f t="shared" si="0"/>
        <v>1979</v>
      </c>
      <c r="F63" s="71">
        <f>'NEMS_Logistic (current) '!AL356</f>
        <v>1485.7915585589303</v>
      </c>
    </row>
    <row r="64" spans="5:6" x14ac:dyDescent="0.2">
      <c r="E64">
        <f t="shared" si="0"/>
        <v>1980</v>
      </c>
      <c r="F64" s="71">
        <f>'NEMS_Logistic (current) '!AL357</f>
        <v>1455.153819685552</v>
      </c>
    </row>
    <row r="65" spans="5:6" x14ac:dyDescent="0.2">
      <c r="E65">
        <f t="shared" si="0"/>
        <v>1981</v>
      </c>
      <c r="F65" s="71">
        <f>'NEMS_Logistic (current) '!AL358</f>
        <v>1331.541898323406</v>
      </c>
    </row>
    <row r="66" spans="5:6" x14ac:dyDescent="0.2">
      <c r="E66">
        <f t="shared" si="0"/>
        <v>1982</v>
      </c>
      <c r="F66" s="71">
        <f>'NEMS_Logistic (current) '!AL359</f>
        <v>1260.1503178179917</v>
      </c>
    </row>
    <row r="67" spans="5:6" x14ac:dyDescent="0.2">
      <c r="E67">
        <f t="shared" si="0"/>
        <v>1983</v>
      </c>
      <c r="F67" s="71">
        <f>'NEMS_Logistic (current) '!AL360</f>
        <v>1191.045300389263</v>
      </c>
    </row>
    <row r="68" spans="5:6" x14ac:dyDescent="0.2">
      <c r="E68">
        <f t="shared" si="0"/>
        <v>1984</v>
      </c>
      <c r="F68" s="71">
        <f>'NEMS_Logistic (current) '!AL361</f>
        <v>1368.8890952426084</v>
      </c>
    </row>
    <row r="69" spans="5:6" x14ac:dyDescent="0.2">
      <c r="E69">
        <f t="shared" si="0"/>
        <v>1985</v>
      </c>
      <c r="F69" s="71">
        <f>'NEMS_Logistic (current) '!AL362</f>
        <v>1603.6429044490249</v>
      </c>
    </row>
    <row r="70" spans="5:6" x14ac:dyDescent="0.2">
      <c r="E70">
        <f t="shared" ref="E70:E102" si="1">E69+1</f>
        <v>1986</v>
      </c>
      <c r="F70" s="71">
        <f>'NEMS_Logistic (current) '!AL363</f>
        <v>1704.5057423872795</v>
      </c>
    </row>
    <row r="71" spans="5:6" x14ac:dyDescent="0.2">
      <c r="E71">
        <f t="shared" si="1"/>
        <v>1987</v>
      </c>
      <c r="F71" s="71">
        <f>'NEMS_Logistic (current) '!AL364</f>
        <v>1660.8069813661716</v>
      </c>
    </row>
    <row r="72" spans="5:6" x14ac:dyDescent="0.2">
      <c r="E72">
        <f t="shared" si="1"/>
        <v>1988</v>
      </c>
      <c r="F72" s="71">
        <f>'NEMS_Logistic (current) '!AL365</f>
        <v>1633.1141618818647</v>
      </c>
    </row>
    <row r="73" spans="5:6" x14ac:dyDescent="0.2">
      <c r="E73">
        <f t="shared" si="1"/>
        <v>1989</v>
      </c>
      <c r="F73" s="71">
        <f>'NEMS_Logistic (current) '!AL366</f>
        <v>1584.8422747073853</v>
      </c>
    </row>
    <row r="74" spans="5:6" x14ac:dyDescent="0.2">
      <c r="E74">
        <f t="shared" si="1"/>
        <v>1990</v>
      </c>
      <c r="F74" s="71">
        <f>'NEMS_Logistic (current) '!AL367</f>
        <v>1409.04</v>
      </c>
    </row>
    <row r="75" spans="5:6" x14ac:dyDescent="0.2">
      <c r="E75">
        <f t="shared" si="1"/>
        <v>1991</v>
      </c>
      <c r="F75" s="71">
        <f>'NEMS_Logistic (current) '!AL368</f>
        <v>1196.6399999999999</v>
      </c>
    </row>
    <row r="76" spans="5:6" x14ac:dyDescent="0.2">
      <c r="E76">
        <f t="shared" si="1"/>
        <v>1992</v>
      </c>
      <c r="F76" s="71">
        <f>'NEMS_Logistic (current) '!AL369</f>
        <v>1038.24</v>
      </c>
    </row>
    <row r="77" spans="5:6" x14ac:dyDescent="0.2">
      <c r="E77">
        <f t="shared" si="1"/>
        <v>1993</v>
      </c>
      <c r="F77" s="71">
        <f>'NEMS_Logistic (current) '!AL370</f>
        <v>1018.08</v>
      </c>
    </row>
    <row r="78" spans="5:6" x14ac:dyDescent="0.2">
      <c r="E78">
        <f t="shared" si="1"/>
        <v>1994</v>
      </c>
      <c r="F78" s="71">
        <f>'NEMS_Logistic (current) '!AL371</f>
        <v>1100.3999999999999</v>
      </c>
    </row>
    <row r="79" spans="5:6" x14ac:dyDescent="0.2">
      <c r="E79">
        <f t="shared" si="1"/>
        <v>1995</v>
      </c>
      <c r="F79" s="71">
        <f>'NEMS_Logistic (current) '!AL372</f>
        <v>1257.3600000000001</v>
      </c>
    </row>
    <row r="80" spans="5:6" x14ac:dyDescent="0.2">
      <c r="E80">
        <f t="shared" si="1"/>
        <v>1996</v>
      </c>
      <c r="F80" s="71">
        <f>'NEMS_Logistic (current) '!AL373</f>
        <v>1353.6</v>
      </c>
    </row>
    <row r="81" spans="5:6" x14ac:dyDescent="0.2">
      <c r="E81">
        <f t="shared" si="1"/>
        <v>1997</v>
      </c>
      <c r="F81" s="71">
        <f>'NEMS_Logistic (current) '!AL374</f>
        <v>1470.9599999999998</v>
      </c>
    </row>
    <row r="82" spans="5:6" x14ac:dyDescent="0.2">
      <c r="E82">
        <f t="shared" si="1"/>
        <v>1998</v>
      </c>
      <c r="F82" s="71">
        <f>'NEMS_Logistic (current) '!AL375</f>
        <v>1754.3999999999999</v>
      </c>
    </row>
    <row r="83" spans="5:6" x14ac:dyDescent="0.2">
      <c r="E83">
        <f t="shared" si="1"/>
        <v>1999</v>
      </c>
      <c r="F83" s="71">
        <f>'NEMS_Logistic (current) '!AL376</f>
        <v>1988.16</v>
      </c>
    </row>
    <row r="84" spans="5:6" x14ac:dyDescent="0.2">
      <c r="E84">
        <f t="shared" si="1"/>
        <v>2000</v>
      </c>
      <c r="F84" s="71">
        <f>'NEMS_Logistic (current) '!AL377</f>
        <v>2065.1999999999998</v>
      </c>
    </row>
    <row r="85" spans="5:6" x14ac:dyDescent="0.2">
      <c r="E85">
        <f t="shared" si="1"/>
        <v>2001</v>
      </c>
      <c r="F85" s="71">
        <f>'NEMS_Logistic (current) '!AL378</f>
        <v>2022</v>
      </c>
    </row>
    <row r="86" spans="5:6" x14ac:dyDescent="0.2">
      <c r="E86">
        <f t="shared" si="1"/>
        <v>2002</v>
      </c>
      <c r="F86" s="71">
        <f>'NEMS_Logistic (current) '!AL379</f>
        <v>1793.04</v>
      </c>
    </row>
    <row r="87" spans="5:6" x14ac:dyDescent="0.2">
      <c r="E87">
        <f t="shared" si="1"/>
        <v>2003</v>
      </c>
      <c r="F87" s="71">
        <f>'NEMS_Logistic (current) '!AL380</f>
        <v>1624.3200000000002</v>
      </c>
    </row>
    <row r="88" spans="5:6" x14ac:dyDescent="0.2">
      <c r="E88">
        <f t="shared" si="1"/>
        <v>2004</v>
      </c>
      <c r="F88" s="71">
        <f>'NEMS_Logistic (current) '!AL381</f>
        <v>1615.44</v>
      </c>
    </row>
    <row r="89" spans="5:6" x14ac:dyDescent="0.2">
      <c r="E89">
        <f t="shared" si="1"/>
        <v>2005</v>
      </c>
      <c r="F89" s="71">
        <f>'NEMS_Logistic (current) '!AL382</f>
        <v>1682.3999999999999</v>
      </c>
    </row>
    <row r="90" spans="5:6" x14ac:dyDescent="0.2">
      <c r="E90">
        <f t="shared" si="1"/>
        <v>2006</v>
      </c>
      <c r="F90" s="71">
        <f>'NEMS_Logistic (current) '!AL383</f>
        <v>1787.28</v>
      </c>
    </row>
    <row r="91" spans="5:6" x14ac:dyDescent="0.2">
      <c r="E91">
        <f t="shared" si="1"/>
        <v>2007</v>
      </c>
      <c r="F91" s="71">
        <f>'NEMS_Logistic (current) '!AL384</f>
        <v>1875.12</v>
      </c>
    </row>
    <row r="92" spans="5:6" x14ac:dyDescent="0.2">
      <c r="E92">
        <f t="shared" si="1"/>
        <v>2008</v>
      </c>
      <c r="F92" s="71">
        <f>'NEMS_Logistic (current) '!AL385</f>
        <v>1758.48</v>
      </c>
    </row>
    <row r="93" spans="5:6" x14ac:dyDescent="0.2">
      <c r="E93">
        <f t="shared" si="1"/>
        <v>2009</v>
      </c>
      <c r="F93" s="71">
        <f>'NEMS_Logistic (current) '!AL386</f>
        <v>1289.76</v>
      </c>
    </row>
    <row r="94" spans="5:6" x14ac:dyDescent="0.2">
      <c r="E94">
        <f t="shared" si="1"/>
        <v>2010</v>
      </c>
      <c r="F94" s="71">
        <f>'NEMS_Logistic (current) '!AL387</f>
        <v>836.63999999999987</v>
      </c>
    </row>
    <row r="95" spans="5:6" x14ac:dyDescent="0.2">
      <c r="E95">
        <f t="shared" si="1"/>
        <v>2011</v>
      </c>
      <c r="F95" s="71">
        <f>'NEMS_Logistic (current) '!AL388</f>
        <v>767.75999999999988</v>
      </c>
    </row>
    <row r="96" spans="5:6" x14ac:dyDescent="0.2">
      <c r="E96">
        <f t="shared" si="1"/>
        <v>2012</v>
      </c>
      <c r="F96" s="71">
        <f>'NEMS_Logistic (current) '!AL389</f>
        <v>813.11999999999989</v>
      </c>
    </row>
    <row r="97" spans="5:6" x14ac:dyDescent="0.2">
      <c r="E97">
        <f t="shared" si="1"/>
        <v>2013</v>
      </c>
      <c r="F97" s="71">
        <f>'NEMS_Logistic (current) '!AL390</f>
        <v>911.7600000000001</v>
      </c>
    </row>
    <row r="98" spans="5:6" x14ac:dyDescent="0.2">
      <c r="E98">
        <f t="shared" si="1"/>
        <v>2014</v>
      </c>
      <c r="F98" s="71">
        <f>'NEMS_Logistic (current) '!AL391</f>
        <v>1038.96</v>
      </c>
    </row>
    <row r="99" spans="5:6" x14ac:dyDescent="0.2">
      <c r="E99">
        <f t="shared" si="1"/>
        <v>2015</v>
      </c>
      <c r="F99" s="71">
        <f>'NEMS_Logistic (current) '!AL392</f>
        <v>1139.76</v>
      </c>
    </row>
    <row r="100" spans="5:6" x14ac:dyDescent="0.2">
      <c r="E100">
        <f t="shared" si="1"/>
        <v>2016</v>
      </c>
      <c r="F100" s="71">
        <f>'NEMS_Logistic (current) '!AL393</f>
        <v>1213.2</v>
      </c>
    </row>
    <row r="101" spans="5:6" x14ac:dyDescent="0.2">
      <c r="E101">
        <f t="shared" si="1"/>
        <v>2017</v>
      </c>
      <c r="F101" s="71">
        <f>'NEMS_Logistic (current) '!AL394</f>
        <v>1303.44</v>
      </c>
    </row>
    <row r="102" spans="5:6" x14ac:dyDescent="0.2">
      <c r="E102">
        <f t="shared" si="1"/>
        <v>2018</v>
      </c>
      <c r="F102" s="71">
        <f>'NEMS_Logistic (current) '!AL395</f>
        <v>1329.12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125"/>
  <sheetViews>
    <sheetView workbookViewId="0">
      <pane xSplit="1" ySplit="3" topLeftCell="B83" activePane="bottomRight" state="frozen"/>
      <selection pane="topRight" activeCell="B1" sqref="B1"/>
      <selection pane="bottomLeft" activeCell="A2" sqref="A2"/>
      <selection pane="bottomRight" activeCell="D103" sqref="D103"/>
    </sheetView>
  </sheetViews>
  <sheetFormatPr defaultRowHeight="12.75" x14ac:dyDescent="0.2"/>
  <cols>
    <col min="1" max="1" width="9.7109375" customWidth="1"/>
    <col min="2" max="3" width="10.5703125" customWidth="1"/>
    <col min="5" max="5" width="9.5703125" customWidth="1"/>
    <col min="7" max="8" width="10.7109375" customWidth="1"/>
    <col min="9" max="9" width="10" customWidth="1"/>
    <col min="15" max="15" width="8.7109375" customWidth="1"/>
    <col min="16" max="16" width="5" customWidth="1"/>
    <col min="17" max="17" width="10.7109375" customWidth="1"/>
    <col min="21" max="27" width="11.28515625" customWidth="1"/>
    <col min="28" max="29" width="10.5703125" customWidth="1"/>
  </cols>
  <sheetData>
    <row r="1" spans="1:32" x14ac:dyDescent="0.2">
      <c r="B1" s="2" t="s">
        <v>237</v>
      </c>
    </row>
    <row r="2" spans="1:32" x14ac:dyDescent="0.2">
      <c r="B2" s="2"/>
      <c r="E2" t="s">
        <v>238</v>
      </c>
    </row>
    <row r="3" spans="1:32" ht="24.75" customHeight="1" x14ac:dyDescent="0.2">
      <c r="B3" s="31" t="s">
        <v>233</v>
      </c>
      <c r="C3" s="31" t="s">
        <v>234</v>
      </c>
      <c r="D3" t="s">
        <v>65</v>
      </c>
      <c r="E3" t="s">
        <v>67</v>
      </c>
      <c r="F3" t="s">
        <v>66</v>
      </c>
      <c r="G3" t="s">
        <v>68</v>
      </c>
      <c r="H3" t="s">
        <v>150</v>
      </c>
      <c r="I3" t="s">
        <v>69</v>
      </c>
      <c r="J3" t="s">
        <v>70</v>
      </c>
      <c r="K3" t="s">
        <v>71</v>
      </c>
      <c r="L3" t="s">
        <v>72</v>
      </c>
      <c r="M3" t="s">
        <v>95</v>
      </c>
      <c r="N3" t="s">
        <v>96</v>
      </c>
      <c r="O3" t="s">
        <v>83</v>
      </c>
      <c r="Q3" t="s">
        <v>74</v>
      </c>
      <c r="R3" t="s">
        <v>88</v>
      </c>
    </row>
    <row r="4" spans="1:32" x14ac:dyDescent="0.2">
      <c r="A4">
        <v>1919</v>
      </c>
      <c r="B4" s="19">
        <f>Hist_Stat_Adj!Q5</f>
        <v>123.20000000000002</v>
      </c>
      <c r="C4" s="19">
        <f>B4+H4</f>
        <v>135.10436432637573</v>
      </c>
      <c r="D4" s="29">
        <f t="shared" ref="D4:G23" si="0">D$119*$B4</f>
        <v>49.731826174328063</v>
      </c>
      <c r="E4" s="29">
        <f t="shared" si="0"/>
        <v>10.831449384576741</v>
      </c>
      <c r="F4" s="29">
        <f t="shared" si="0"/>
        <v>35.279577995478526</v>
      </c>
      <c r="G4" s="29">
        <f t="shared" si="0"/>
        <v>27.357146445616682</v>
      </c>
      <c r="H4" s="33">
        <f t="shared" ref="H4:H35" si="1">H$125*B4</f>
        <v>11.904364326375712</v>
      </c>
      <c r="I4" s="19">
        <f>Hist_Stat_Adj!R5</f>
        <v>23.105343511450386</v>
      </c>
      <c r="J4" s="19">
        <f>Hist_Stat_Adj!S5</f>
        <v>5.8265648854961833</v>
      </c>
      <c r="K4" s="19">
        <f>Hist_Stat_Adj!T5</f>
        <v>3.2146564885496187</v>
      </c>
      <c r="L4" s="19">
        <f>Hist_Stat_Adj!U5</f>
        <v>7.0320610687022906</v>
      </c>
      <c r="M4" s="19">
        <f>Hist_Stat_Adj!V5</f>
        <v>12.456793893129772</v>
      </c>
      <c r="N4" s="19">
        <f>Hist_Stat_Adj!W5</f>
        <v>1.0045801526717557</v>
      </c>
      <c r="O4" s="19">
        <f t="shared" ref="O4:O9" si="2">SUM(D4:N4)</f>
        <v>187.74436432637575</v>
      </c>
    </row>
    <row r="5" spans="1:32" x14ac:dyDescent="0.2">
      <c r="A5">
        <v>1920</v>
      </c>
      <c r="B5" s="19">
        <f>Hist_Stat_Adj!Q6</f>
        <v>94.080000000000013</v>
      </c>
      <c r="C5" s="19">
        <f t="shared" ref="C5:C68" si="3">B5+H5</f>
        <v>103.17060548559601</v>
      </c>
      <c r="D5" s="29">
        <f t="shared" si="0"/>
        <v>37.977030896759615</v>
      </c>
      <c r="E5" s="29">
        <f t="shared" si="0"/>
        <v>8.2712886209495107</v>
      </c>
      <c r="F5" s="29">
        <f t="shared" si="0"/>
        <v>26.940768651092693</v>
      </c>
      <c r="G5" s="29">
        <f t="shared" si="0"/>
        <v>20.890911831198196</v>
      </c>
      <c r="H5" s="33">
        <f t="shared" si="1"/>
        <v>9.0906054855959972</v>
      </c>
      <c r="I5" s="19">
        <f>Hist_Stat_Adj!R6</f>
        <v>24.088549618320613</v>
      </c>
      <c r="J5" s="19">
        <f>Hist_Stat_Adj!S6</f>
        <v>6.0745038167938938</v>
      </c>
      <c r="K5" s="19">
        <f>Hist_Stat_Adj!T6</f>
        <v>3.3514503816793897</v>
      </c>
      <c r="L5" s="19">
        <f>Hist_Stat_Adj!U6</f>
        <v>7.3312977099236649</v>
      </c>
      <c r="M5" s="19">
        <f>Hist_Stat_Adj!V6</f>
        <v>12.986870229007636</v>
      </c>
      <c r="N5" s="19">
        <f>Hist_Stat_Adj!W6</f>
        <v>1.0473282442748093</v>
      </c>
      <c r="O5" s="19">
        <f t="shared" si="2"/>
        <v>158.05060548559601</v>
      </c>
    </row>
    <row r="6" spans="1:32" x14ac:dyDescent="0.2">
      <c r="A6">
        <v>1921</v>
      </c>
      <c r="B6" s="19">
        <f>Hist_Stat_Adj!Q7</f>
        <v>72.800000000000011</v>
      </c>
      <c r="C6" s="19">
        <f t="shared" si="3"/>
        <v>79.834397101949293</v>
      </c>
      <c r="D6" s="29">
        <f t="shared" si="0"/>
        <v>29.38698819392113</v>
      </c>
      <c r="E6" s="29">
        <f t="shared" si="0"/>
        <v>6.4004019090680746</v>
      </c>
      <c r="F6" s="29">
        <f t="shared" si="0"/>
        <v>20.847023360964585</v>
      </c>
      <c r="G6" s="29">
        <f t="shared" si="0"/>
        <v>16.165586536046224</v>
      </c>
      <c r="H6" s="33">
        <f t="shared" si="1"/>
        <v>7.0343971019492848</v>
      </c>
      <c r="I6" s="19">
        <f>Hist_Stat_Adj!R7</f>
        <v>23.105343511450386</v>
      </c>
      <c r="J6" s="19">
        <f>Hist_Stat_Adj!S7</f>
        <v>5.8265648854961833</v>
      </c>
      <c r="K6" s="19">
        <f>Hist_Stat_Adj!T7</f>
        <v>3.2146564885496187</v>
      </c>
      <c r="L6" s="19">
        <f>Hist_Stat_Adj!U7</f>
        <v>7.0320610687022906</v>
      </c>
      <c r="M6" s="19">
        <f>Hist_Stat_Adj!V7</f>
        <v>12.456793893129772</v>
      </c>
      <c r="N6" s="19">
        <f>Hist_Stat_Adj!W7</f>
        <v>1.0045801526717557</v>
      </c>
      <c r="O6" s="19">
        <f t="shared" si="2"/>
        <v>132.47439710194931</v>
      </c>
    </row>
    <row r="7" spans="1:32" x14ac:dyDescent="0.2">
      <c r="A7">
        <v>1922</v>
      </c>
      <c r="B7" s="19">
        <f>Hist_Stat_Adj!Q8</f>
        <v>106.4</v>
      </c>
      <c r="C7" s="19">
        <f t="shared" si="3"/>
        <v>116.68104191823357</v>
      </c>
      <c r="D7" s="29">
        <f t="shared" si="0"/>
        <v>42.95021351419242</v>
      </c>
      <c r="E7" s="29">
        <f t="shared" si="0"/>
        <v>9.3544335594071839</v>
      </c>
      <c r="F7" s="29">
        <f t="shared" si="0"/>
        <v>30.468726450640542</v>
      </c>
      <c r="G7" s="29">
        <f t="shared" si="0"/>
        <v>23.62662647575986</v>
      </c>
      <c r="H7" s="33">
        <f t="shared" si="1"/>
        <v>10.281041918233569</v>
      </c>
      <c r="I7" s="19">
        <f>Hist_Stat_Adj!R8</f>
        <v>48.177099236641226</v>
      </c>
      <c r="J7" s="19">
        <f>Hist_Stat_Adj!S8</f>
        <v>12.149007633587788</v>
      </c>
      <c r="K7" s="19">
        <f>Hist_Stat_Adj!T8</f>
        <v>6.7029007633587794</v>
      </c>
      <c r="L7" s="19">
        <f>Hist_Stat_Adj!U8</f>
        <v>14.66259541984733</v>
      </c>
      <c r="M7" s="19">
        <f>Hist_Stat_Adj!V8</f>
        <v>25.973740458015271</v>
      </c>
      <c r="N7" s="19">
        <f>Hist_Stat_Adj!W8</f>
        <v>2.0946564885496186</v>
      </c>
      <c r="O7" s="19">
        <f t="shared" si="2"/>
        <v>226.44104191823357</v>
      </c>
    </row>
    <row r="8" spans="1:32" x14ac:dyDescent="0.2">
      <c r="A8">
        <v>1923</v>
      </c>
      <c r="B8" s="19">
        <f>Hist_Stat_Adj!Q9</f>
        <v>123.20000000000002</v>
      </c>
      <c r="C8" s="19">
        <f t="shared" si="3"/>
        <v>135.10436432637573</v>
      </c>
      <c r="D8" s="29">
        <f t="shared" si="0"/>
        <v>49.731826174328063</v>
      </c>
      <c r="E8" s="29">
        <f t="shared" si="0"/>
        <v>10.831449384576741</v>
      </c>
      <c r="F8" s="29">
        <f t="shared" si="0"/>
        <v>35.279577995478526</v>
      </c>
      <c r="G8" s="29">
        <f t="shared" si="0"/>
        <v>27.357146445616682</v>
      </c>
      <c r="H8" s="33">
        <f t="shared" si="1"/>
        <v>11.904364326375712</v>
      </c>
      <c r="I8" s="19">
        <f>Hist_Stat_Adj!R9</f>
        <v>48.668702290076347</v>
      </c>
      <c r="J8" s="19">
        <f>Hist_Stat_Adj!S9</f>
        <v>12.272977099236643</v>
      </c>
      <c r="K8" s="19">
        <f>Hist_Stat_Adj!T9</f>
        <v>6.7712977099236644</v>
      </c>
      <c r="L8" s="19">
        <f>Hist_Stat_Adj!U9</f>
        <v>14.812213740458017</v>
      </c>
      <c r="M8" s="19">
        <f>Hist_Stat_Adj!V9</f>
        <v>26.238778625954204</v>
      </c>
      <c r="N8" s="19">
        <f>Hist_Stat_Adj!W9</f>
        <v>2.1160305343511454</v>
      </c>
      <c r="O8" s="19">
        <f t="shared" si="2"/>
        <v>245.98436432637575</v>
      </c>
    </row>
    <row r="9" spans="1:32" x14ac:dyDescent="0.2">
      <c r="A9">
        <v>1924</v>
      </c>
      <c r="B9" s="19">
        <f>Hist_Stat_Adj!Q10</f>
        <v>125.44000000000001</v>
      </c>
      <c r="C9" s="19">
        <f t="shared" si="3"/>
        <v>137.560807314128</v>
      </c>
      <c r="D9" s="29">
        <f t="shared" si="0"/>
        <v>50.636041195679482</v>
      </c>
      <c r="E9" s="29">
        <f t="shared" si="0"/>
        <v>11.028384827932681</v>
      </c>
      <c r="F9" s="29">
        <f t="shared" si="0"/>
        <v>35.921024868123588</v>
      </c>
      <c r="G9" s="29">
        <f t="shared" si="0"/>
        <v>27.854549108264258</v>
      </c>
      <c r="H9" s="33">
        <f t="shared" si="1"/>
        <v>12.120807314127998</v>
      </c>
      <c r="I9" s="19">
        <f>Hist_Stat_Adj!R10</f>
        <v>53.584732824427491</v>
      </c>
      <c r="J9" s="19">
        <f>Hist_Stat_Adj!S10</f>
        <v>13.512671755725194</v>
      </c>
      <c r="K9" s="19">
        <f>Hist_Stat_Adj!T10</f>
        <v>7.4552671755725193</v>
      </c>
      <c r="L9" s="19">
        <f>Hist_Stat_Adj!U10</f>
        <v>16.308396946564887</v>
      </c>
      <c r="M9" s="19">
        <f>Hist_Stat_Adj!V10</f>
        <v>28.889160305343516</v>
      </c>
      <c r="N9" s="19">
        <f>Hist_Stat_Adj!W10</f>
        <v>2.3297709923664125</v>
      </c>
      <c r="O9" s="19">
        <f t="shared" si="2"/>
        <v>259.64080731412804</v>
      </c>
    </row>
    <row r="10" spans="1:32" x14ac:dyDescent="0.2">
      <c r="A10">
        <v>1925</v>
      </c>
      <c r="B10" s="19">
        <f>Hist_Stat_Adj!Q11</f>
        <v>180.32</v>
      </c>
      <c r="C10" s="19">
        <f t="shared" si="3"/>
        <v>197.743660514059</v>
      </c>
      <c r="D10" s="29">
        <f t="shared" si="0"/>
        <v>72.789309218789242</v>
      </c>
      <c r="E10" s="29">
        <f t="shared" si="0"/>
        <v>15.853303190153227</v>
      </c>
      <c r="F10" s="29">
        <f t="shared" si="0"/>
        <v>51.636473247927654</v>
      </c>
      <c r="G10" s="29">
        <f t="shared" si="0"/>
        <v>40.040914343129863</v>
      </c>
      <c r="H10" s="33">
        <f t="shared" si="1"/>
        <v>17.423660514058994</v>
      </c>
      <c r="I10" s="19">
        <f>Hist_Stat_Adj!R11</f>
        <v>68.747</v>
      </c>
      <c r="J10" s="19">
        <f>Hist_Stat_Adj!S11</f>
        <v>15.778</v>
      </c>
      <c r="K10" s="19">
        <f>Hist_Stat_Adj!T11</f>
        <v>9.016</v>
      </c>
      <c r="L10" s="19">
        <f>Hist_Stat_Adj!U11</f>
        <v>21.413</v>
      </c>
      <c r="M10" s="19">
        <f>Hist_Stat_Adj!V11</f>
        <v>36.064</v>
      </c>
      <c r="N10" s="19">
        <f>Hist_Stat_Adj!W11</f>
        <v>1.127</v>
      </c>
      <c r="O10" s="19">
        <f t="shared" ref="O10:O41" si="4">SUM(D10:N10)</f>
        <v>349.88866051405904</v>
      </c>
      <c r="Q10">
        <v>160</v>
      </c>
      <c r="R10">
        <v>37</v>
      </c>
      <c r="U10" s="5"/>
      <c r="W10" s="5"/>
      <c r="X10" s="5"/>
      <c r="Y10" s="5"/>
      <c r="Z10" s="5"/>
      <c r="AA10" s="5"/>
      <c r="AB10" s="5"/>
      <c r="AC10" s="5"/>
      <c r="AD10" s="5"/>
      <c r="AE10" s="5"/>
      <c r="AF10" s="5"/>
    </row>
    <row r="11" spans="1:32" x14ac:dyDescent="0.2">
      <c r="A11">
        <f t="shared" ref="A11:A42" si="5">A10+1</f>
        <v>1926</v>
      </c>
      <c r="B11" s="19">
        <f>Hist_Stat_Adj!Q12</f>
        <v>171.82080000000002</v>
      </c>
      <c r="C11" s="19">
        <f t="shared" si="3"/>
        <v>188.42321397767319</v>
      </c>
      <c r="D11" s="29">
        <f t="shared" si="0"/>
        <v>69.358459080633011</v>
      </c>
      <c r="E11" s="29">
        <f t="shared" si="0"/>
        <v>15.10607385079126</v>
      </c>
      <c r="F11" s="29">
        <f t="shared" si="0"/>
        <v>49.202640542577242</v>
      </c>
      <c r="G11" s="29">
        <f t="shared" si="0"/>
        <v>38.153626525998497</v>
      </c>
      <c r="H11" s="33">
        <f t="shared" si="1"/>
        <v>16.60241397767318</v>
      </c>
      <c r="I11" s="19">
        <f>Hist_Stat_Adj!R12</f>
        <v>61.041600000000003</v>
      </c>
      <c r="J11" s="19">
        <f>Hist_Stat_Adj!S12</f>
        <v>16.956</v>
      </c>
      <c r="K11" s="19">
        <f>Hist_Stat_Adj!T12</f>
        <v>9.0432000000000006</v>
      </c>
      <c r="L11" s="19">
        <f>Hist_Stat_Adj!U12</f>
        <v>18.086400000000001</v>
      </c>
      <c r="M11" s="19">
        <f>Hist_Stat_Adj!V12</f>
        <v>33.911999999999999</v>
      </c>
      <c r="N11" s="19">
        <f>Hist_Stat_Adj!W12</f>
        <v>4.5216000000000003</v>
      </c>
      <c r="O11" s="19">
        <f t="shared" si="4"/>
        <v>331.98401397767321</v>
      </c>
      <c r="Q11">
        <v>152</v>
      </c>
      <c r="R11">
        <v>38</v>
      </c>
      <c r="U11" s="5"/>
      <c r="W11" s="5"/>
      <c r="X11" s="5"/>
      <c r="Y11" s="5"/>
      <c r="Z11" s="5"/>
      <c r="AA11" s="5"/>
      <c r="AB11" s="5"/>
      <c r="AC11" s="5"/>
      <c r="AD11" s="5"/>
      <c r="AE11" s="5"/>
    </row>
    <row r="12" spans="1:32" x14ac:dyDescent="0.2">
      <c r="A12">
        <f t="shared" si="5"/>
        <v>1927</v>
      </c>
      <c r="B12" s="19">
        <f>Hist_Stat_Adj!Q13</f>
        <v>160.99959999999999</v>
      </c>
      <c r="C12" s="19">
        <f t="shared" si="3"/>
        <v>176.556401094162</v>
      </c>
      <c r="D12" s="29">
        <f t="shared" si="0"/>
        <v>64.990293192665149</v>
      </c>
      <c r="E12" s="29">
        <f t="shared" si="0"/>
        <v>14.154699824164782</v>
      </c>
      <c r="F12" s="29">
        <f t="shared" si="0"/>
        <v>46.103879427279573</v>
      </c>
      <c r="G12" s="29">
        <f t="shared" si="0"/>
        <v>35.750727555890478</v>
      </c>
      <c r="H12" s="33">
        <f t="shared" si="1"/>
        <v>15.556801094162003</v>
      </c>
      <c r="I12" s="19">
        <f>Hist_Stat_Adj!R13</f>
        <v>61.225199999999994</v>
      </c>
      <c r="J12" s="19">
        <f>Hist_Stat_Adj!S13</f>
        <v>21.542199999999998</v>
      </c>
      <c r="K12" s="19">
        <f>Hist_Stat_Adj!T13</f>
        <v>11.337999999999999</v>
      </c>
      <c r="L12" s="19">
        <f>Hist_Stat_Adj!U13</f>
        <v>19.2746</v>
      </c>
      <c r="M12" s="19">
        <f>Hist_Stat_Adj!V13</f>
        <v>38.549199999999999</v>
      </c>
      <c r="N12" s="19">
        <f>Hist_Stat_Adj!W13</f>
        <v>7.9365999999999994</v>
      </c>
      <c r="O12" s="19">
        <f t="shared" si="4"/>
        <v>336.42220109416201</v>
      </c>
      <c r="Q12">
        <v>142</v>
      </c>
      <c r="R12">
        <v>46</v>
      </c>
      <c r="U12" s="5"/>
      <c r="W12" s="5"/>
      <c r="X12" s="5"/>
      <c r="Y12" s="5"/>
      <c r="Z12" s="5"/>
      <c r="AA12" s="5"/>
      <c r="AB12" s="5"/>
      <c r="AC12" s="5"/>
      <c r="AD12" s="5"/>
      <c r="AE12" s="5"/>
    </row>
    <row r="13" spans="1:32" x14ac:dyDescent="0.2">
      <c r="A13">
        <f t="shared" si="5"/>
        <v>1928</v>
      </c>
      <c r="B13" s="19">
        <f>Hist_Stat_Adj!Q14</f>
        <v>180.81479999999999</v>
      </c>
      <c r="C13" s="19">
        <f t="shared" si="3"/>
        <v>198.28627122403213</v>
      </c>
      <c r="D13" s="29">
        <f t="shared" si="0"/>
        <v>72.989043858327051</v>
      </c>
      <c r="E13" s="29">
        <f t="shared" si="0"/>
        <v>15.896804822908816</v>
      </c>
      <c r="F13" s="29">
        <f t="shared" si="0"/>
        <v>51.778164280331566</v>
      </c>
      <c r="G13" s="29">
        <f t="shared" si="0"/>
        <v>40.150787038432554</v>
      </c>
      <c r="H13" s="33">
        <f t="shared" si="1"/>
        <v>17.471471224032133</v>
      </c>
      <c r="I13" s="19">
        <f>Hist_Stat_Adj!R14</f>
        <v>69.369200000000006</v>
      </c>
      <c r="J13" s="19">
        <f>Hist_Stat_Adj!S14</f>
        <v>22.744</v>
      </c>
      <c r="K13" s="19">
        <f>Hist_Stat_Adj!T14</f>
        <v>12.5092</v>
      </c>
      <c r="L13" s="19">
        <f>Hist_Stat_Adj!U14</f>
        <v>17.058</v>
      </c>
      <c r="M13" s="19">
        <f>Hist_Stat_Adj!V14</f>
        <v>31.8416</v>
      </c>
      <c r="N13" s="19">
        <f>Hist_Stat_Adj!W14</f>
        <v>6.8231999999999999</v>
      </c>
      <c r="O13" s="19">
        <f t="shared" si="4"/>
        <v>358.63147122403217</v>
      </c>
      <c r="Q13">
        <v>159</v>
      </c>
      <c r="R13">
        <v>39</v>
      </c>
      <c r="U13" s="5"/>
      <c r="W13" s="5"/>
      <c r="X13" s="5"/>
      <c r="Y13" s="5"/>
      <c r="Z13" s="5"/>
      <c r="AA13" s="5"/>
      <c r="AB13" s="5"/>
      <c r="AC13" s="5"/>
      <c r="AD13" s="5"/>
      <c r="AE13" s="5"/>
    </row>
    <row r="14" spans="1:32" x14ac:dyDescent="0.2">
      <c r="A14">
        <f t="shared" si="5"/>
        <v>1929</v>
      </c>
      <c r="B14" s="19">
        <f>Hist_Stat_Adj!Q15</f>
        <v>183.63660000000002</v>
      </c>
      <c r="C14" s="19">
        <f t="shared" si="3"/>
        <v>201.38073141279975</v>
      </c>
      <c r="D14" s="29">
        <f t="shared" si="0"/>
        <v>74.128112584777696</v>
      </c>
      <c r="E14" s="29">
        <f t="shared" si="0"/>
        <v>16.144890730972119</v>
      </c>
      <c r="F14" s="29">
        <f t="shared" si="0"/>
        <v>52.586215523737756</v>
      </c>
      <c r="G14" s="29">
        <f t="shared" si="0"/>
        <v>40.777381160512441</v>
      </c>
      <c r="H14" s="33">
        <f t="shared" si="1"/>
        <v>17.744131412799725</v>
      </c>
      <c r="I14" s="19">
        <f>Hist_Stat_Adj!R15</f>
        <v>67.295400000000001</v>
      </c>
      <c r="J14" s="19">
        <f>Hist_Stat_Adj!S15</f>
        <v>22.812000000000001</v>
      </c>
      <c r="K14" s="19">
        <f>Hist_Stat_Adj!T15</f>
        <v>14.8278</v>
      </c>
      <c r="L14" s="19">
        <f>Hist_Stat_Adj!U15</f>
        <v>14.8278</v>
      </c>
      <c r="M14" s="19">
        <f>Hist_Stat_Adj!V15</f>
        <v>25.093200000000003</v>
      </c>
      <c r="N14" s="19">
        <f>Hist_Stat_Adj!W15</f>
        <v>6.8436000000000003</v>
      </c>
      <c r="O14" s="19">
        <f t="shared" si="4"/>
        <v>353.08053141279981</v>
      </c>
      <c r="Q14">
        <v>161</v>
      </c>
      <c r="R14">
        <v>32</v>
      </c>
      <c r="U14" s="5"/>
      <c r="W14" s="5"/>
      <c r="X14" s="5"/>
      <c r="Y14" s="5"/>
      <c r="Z14" s="5"/>
      <c r="AA14" s="5"/>
      <c r="AB14" s="5"/>
      <c r="AC14" s="5"/>
      <c r="AD14" s="5"/>
      <c r="AE14" s="5"/>
    </row>
    <row r="15" spans="1:32" x14ac:dyDescent="0.2">
      <c r="A15">
        <f t="shared" si="5"/>
        <v>1930</v>
      </c>
      <c r="B15" s="19">
        <f>Hist_Stat_Adj!Q16</f>
        <v>110.96799999999999</v>
      </c>
      <c r="C15" s="19">
        <f t="shared" si="3"/>
        <v>121.69043101111411</v>
      </c>
      <c r="D15" s="29">
        <f t="shared" si="0"/>
        <v>44.794166289876912</v>
      </c>
      <c r="E15" s="29">
        <f t="shared" si="0"/>
        <v>9.7560411956794759</v>
      </c>
      <c r="F15" s="29">
        <f t="shared" si="0"/>
        <v>31.776819894498864</v>
      </c>
      <c r="G15" s="29">
        <f t="shared" si="0"/>
        <v>24.640972619944737</v>
      </c>
      <c r="H15" s="33">
        <f t="shared" si="1"/>
        <v>10.722431011114121</v>
      </c>
      <c r="I15" s="19">
        <f>Hist_Stat_Adj!R16</f>
        <v>65.207999999999998</v>
      </c>
      <c r="J15" s="19">
        <f>Hist_Stat_Adj!S16</f>
        <v>21.735999999999997</v>
      </c>
      <c r="K15" s="19">
        <f>Hist_Stat_Adj!T16</f>
        <v>19.447999999999997</v>
      </c>
      <c r="L15" s="19">
        <f>Hist_Stat_Adj!U16</f>
        <v>12.584</v>
      </c>
      <c r="M15" s="19">
        <f>Hist_Stat_Adj!V16</f>
        <v>18.303999999999998</v>
      </c>
      <c r="N15" s="19">
        <f>Hist_Stat_Adj!W16</f>
        <v>8.0079999999999991</v>
      </c>
      <c r="O15" s="19">
        <f t="shared" si="4"/>
        <v>266.97843101111408</v>
      </c>
      <c r="Q15">
        <v>97</v>
      </c>
      <c r="R15">
        <v>26</v>
      </c>
      <c r="U15" s="5"/>
      <c r="W15" s="5"/>
      <c r="X15" s="5"/>
      <c r="Y15" s="5"/>
      <c r="Z15" s="5"/>
      <c r="AA15" s="5"/>
      <c r="AB15" s="5"/>
      <c r="AC15" s="5"/>
      <c r="AD15" s="5"/>
      <c r="AE15" s="5"/>
    </row>
    <row r="16" spans="1:32" x14ac:dyDescent="0.2">
      <c r="A16">
        <f t="shared" si="5"/>
        <v>1931</v>
      </c>
      <c r="B16" s="19">
        <f>Hist_Stat_Adj!Q17</f>
        <v>56.96</v>
      </c>
      <c r="C16" s="19">
        <f t="shared" si="3"/>
        <v>62.463835974272406</v>
      </c>
      <c r="D16" s="29">
        <f t="shared" si="0"/>
        <v>22.992896257221805</v>
      </c>
      <c r="E16" s="29">
        <f t="shared" si="0"/>
        <v>5.0077869881939208</v>
      </c>
      <c r="F16" s="29">
        <f t="shared" si="0"/>
        <v>16.31107761868877</v>
      </c>
      <c r="G16" s="29">
        <f t="shared" si="0"/>
        <v>12.648239135895503</v>
      </c>
      <c r="H16" s="33">
        <f t="shared" si="1"/>
        <v>5.5038359742724063</v>
      </c>
      <c r="I16" s="19">
        <f>Hist_Stat_Adj!R17</f>
        <v>42.150399999999998</v>
      </c>
      <c r="J16" s="19">
        <f>Hist_Stat_Adj!S17</f>
        <v>19.366399999999999</v>
      </c>
      <c r="K16" s="19">
        <f>Hist_Stat_Adj!T17</f>
        <v>27.340800000000002</v>
      </c>
      <c r="L16" s="19">
        <f>Hist_Stat_Adj!U17</f>
        <v>6.8352000000000004</v>
      </c>
      <c r="M16" s="19">
        <f>Hist_Stat_Adj!V17</f>
        <v>15.9488</v>
      </c>
      <c r="N16" s="19">
        <f>Hist_Stat_Adj!W17</f>
        <v>3.4176000000000002</v>
      </c>
      <c r="O16" s="19">
        <f t="shared" si="4"/>
        <v>177.52303597427237</v>
      </c>
      <c r="Q16">
        <v>50</v>
      </c>
      <c r="R16">
        <v>19</v>
      </c>
      <c r="U16" s="5"/>
      <c r="W16" s="5"/>
      <c r="X16" s="5"/>
      <c r="Y16" s="5"/>
      <c r="Z16" s="5"/>
      <c r="AA16" s="5"/>
      <c r="AB16" s="5"/>
      <c r="AC16" s="5"/>
      <c r="AD16" s="5"/>
      <c r="AE16" s="5"/>
    </row>
    <row r="17" spans="1:31" x14ac:dyDescent="0.2">
      <c r="A17">
        <f t="shared" si="5"/>
        <v>1932</v>
      </c>
      <c r="B17" s="19">
        <f>Hist_Stat_Adj!Q18</f>
        <v>27.225599999999996</v>
      </c>
      <c r="C17" s="19">
        <f t="shared" si="3"/>
        <v>29.85630991399492</v>
      </c>
      <c r="D17" s="29">
        <f t="shared" si="0"/>
        <v>10.990087716654106</v>
      </c>
      <c r="E17" s="29">
        <f t="shared" si="0"/>
        <v>2.3936096458176332</v>
      </c>
      <c r="F17" s="29">
        <f t="shared" si="0"/>
        <v>7.7963285606631487</v>
      </c>
      <c r="G17" s="29">
        <f t="shared" si="0"/>
        <v>6.0455740768651083</v>
      </c>
      <c r="H17" s="33">
        <f t="shared" si="1"/>
        <v>2.6307099139949228</v>
      </c>
      <c r="I17" s="19">
        <f>Hist_Stat_Adj!R18</f>
        <v>15.881599999999999</v>
      </c>
      <c r="J17" s="19">
        <f>Hist_Stat_Adj!S18</f>
        <v>7.9407999999999994</v>
      </c>
      <c r="K17" s="19">
        <f>Hist_Stat_Adj!T18</f>
        <v>18.150399999999998</v>
      </c>
      <c r="L17" s="19">
        <f>Hist_Stat_Adj!U18</f>
        <v>4.5375999999999994</v>
      </c>
      <c r="M17" s="19">
        <f>Hist_Stat_Adj!V18</f>
        <v>6.8063999999999991</v>
      </c>
      <c r="N17" s="19">
        <f>Hist_Stat_Adj!W18</f>
        <v>1.1343999999999999</v>
      </c>
      <c r="O17" s="19">
        <f t="shared" si="4"/>
        <v>84.30750991399492</v>
      </c>
      <c r="Q17">
        <v>24</v>
      </c>
      <c r="R17">
        <v>8</v>
      </c>
      <c r="U17" s="5"/>
      <c r="W17" s="5"/>
      <c r="X17" s="5"/>
      <c r="Y17" s="5"/>
      <c r="Z17" s="5"/>
      <c r="AA17" s="5"/>
      <c r="AB17" s="5"/>
      <c r="AC17" s="5"/>
      <c r="AD17" s="5"/>
      <c r="AE17" s="5"/>
    </row>
    <row r="18" spans="1:31" x14ac:dyDescent="0.2">
      <c r="A18">
        <f t="shared" si="5"/>
        <v>1933</v>
      </c>
      <c r="B18" s="19">
        <f>Hist_Stat_Adj!Q19</f>
        <v>25.980799999999999</v>
      </c>
      <c r="C18" s="19">
        <f t="shared" si="3"/>
        <v>28.491229453658296</v>
      </c>
      <c r="D18" s="29">
        <f t="shared" si="0"/>
        <v>10.487602511931675</v>
      </c>
      <c r="E18" s="29">
        <f t="shared" si="0"/>
        <v>2.2841698065812608</v>
      </c>
      <c r="F18" s="29">
        <f t="shared" si="0"/>
        <v>7.4398673700075353</v>
      </c>
      <c r="G18" s="29">
        <f t="shared" si="0"/>
        <v>5.7691603114795278</v>
      </c>
      <c r="H18" s="33">
        <f t="shared" si="1"/>
        <v>2.5104294536582956</v>
      </c>
      <c r="I18" s="19">
        <f>Hist_Stat_Adj!R19</f>
        <v>6.7775999999999996</v>
      </c>
      <c r="J18" s="19">
        <f>Hist_Stat_Adj!S19</f>
        <v>6.7775999999999996</v>
      </c>
      <c r="K18" s="19">
        <f>Hist_Stat_Adj!T19</f>
        <v>11.295999999999999</v>
      </c>
      <c r="L18" s="19">
        <f>Hist_Stat_Adj!U19</f>
        <v>3.3887999999999998</v>
      </c>
      <c r="M18" s="19">
        <f>Hist_Stat_Adj!V19</f>
        <v>6.7775999999999996</v>
      </c>
      <c r="N18" s="19">
        <f>Hist_Stat_Adj!W19</f>
        <v>2.2591999999999999</v>
      </c>
      <c r="O18" s="19">
        <f t="shared" si="4"/>
        <v>65.768029453658301</v>
      </c>
      <c r="Q18">
        <v>23</v>
      </c>
      <c r="R18">
        <v>9</v>
      </c>
      <c r="U18" s="5"/>
      <c r="W18" s="5"/>
      <c r="X18" s="5"/>
      <c r="Y18" s="5"/>
      <c r="Z18" s="5"/>
      <c r="AA18" s="5"/>
      <c r="AB18" s="5"/>
      <c r="AC18" s="5"/>
      <c r="AD18" s="5"/>
      <c r="AE18" s="5"/>
    </row>
    <row r="19" spans="1:31" x14ac:dyDescent="0.2">
      <c r="A19">
        <f t="shared" si="5"/>
        <v>1934</v>
      </c>
      <c r="B19" s="19">
        <f>Hist_Stat_Adj!Q20</f>
        <v>31.494399999999999</v>
      </c>
      <c r="C19" s="19">
        <f t="shared" si="3"/>
        <v>34.537588407797138</v>
      </c>
      <c r="D19" s="29">
        <f t="shared" si="0"/>
        <v>12.713263200200954</v>
      </c>
      <c r="E19" s="29">
        <f t="shared" si="0"/>
        <v>2.7689123335845265</v>
      </c>
      <c r="F19" s="29">
        <f t="shared" si="0"/>
        <v>9.0187430293895989</v>
      </c>
      <c r="G19" s="29">
        <f t="shared" si="0"/>
        <v>6.9934814368249185</v>
      </c>
      <c r="H19" s="33">
        <f t="shared" si="1"/>
        <v>3.0431884077971358</v>
      </c>
      <c r="I19" s="19">
        <f>Hist_Stat_Adj!R20</f>
        <v>19.121600000000001</v>
      </c>
      <c r="J19" s="19">
        <f>Hist_Stat_Adj!S20</f>
        <v>4.4992000000000001</v>
      </c>
      <c r="K19" s="19">
        <f>Hist_Stat_Adj!T20</f>
        <v>10.123200000000001</v>
      </c>
      <c r="L19" s="19">
        <f>Hist_Stat_Adj!U20</f>
        <v>3.3744000000000001</v>
      </c>
      <c r="M19" s="19">
        <f>Hist_Stat_Adj!V20</f>
        <v>7.8735999999999997</v>
      </c>
      <c r="N19" s="19">
        <f>Hist_Stat_Adj!W20</f>
        <v>1.1248</v>
      </c>
      <c r="O19" s="19">
        <f t="shared" si="4"/>
        <v>80.654388407797114</v>
      </c>
      <c r="Q19">
        <v>28</v>
      </c>
      <c r="R19">
        <v>9</v>
      </c>
      <c r="U19" s="5"/>
      <c r="W19" s="5"/>
      <c r="X19" s="5"/>
      <c r="Y19" s="5"/>
      <c r="Z19" s="5"/>
      <c r="AA19" s="5"/>
      <c r="AB19" s="5"/>
      <c r="AC19" s="5"/>
      <c r="AD19" s="5"/>
      <c r="AE19" s="5"/>
    </row>
    <row r="20" spans="1:31" x14ac:dyDescent="0.2">
      <c r="A20">
        <f t="shared" si="5"/>
        <v>1935</v>
      </c>
      <c r="B20" s="19">
        <f>Hist_Stat_Adj!Q21</f>
        <v>39.200000000000003</v>
      </c>
      <c r="C20" s="19">
        <f t="shared" si="3"/>
        <v>42.987752285665003</v>
      </c>
      <c r="D20" s="29">
        <f t="shared" si="0"/>
        <v>15.823762873649837</v>
      </c>
      <c r="E20" s="29">
        <f t="shared" si="0"/>
        <v>3.4463702587289626</v>
      </c>
      <c r="F20" s="29">
        <f t="shared" si="0"/>
        <v>11.225320271288622</v>
      </c>
      <c r="G20" s="29">
        <f t="shared" si="0"/>
        <v>8.7045465963325803</v>
      </c>
      <c r="H20" s="33">
        <f t="shared" si="1"/>
        <v>3.787752285664999</v>
      </c>
      <c r="I20" s="19">
        <f>Hist_Stat_Adj!R21</f>
        <v>29.120000000000005</v>
      </c>
      <c r="J20" s="19">
        <f>Hist_Stat_Adj!S21</f>
        <v>6.7200000000000006</v>
      </c>
      <c r="K20" s="19">
        <f>Hist_Stat_Adj!T21</f>
        <v>15.680000000000001</v>
      </c>
      <c r="L20" s="19">
        <f>Hist_Stat_Adj!U21</f>
        <v>4.4800000000000004</v>
      </c>
      <c r="M20" s="19">
        <f>Hist_Stat_Adj!V21</f>
        <v>8.9600000000000009</v>
      </c>
      <c r="N20" s="19">
        <f>Hist_Stat_Adj!W21</f>
        <v>1.1200000000000001</v>
      </c>
      <c r="O20" s="19">
        <f t="shared" si="4"/>
        <v>109.06775228566502</v>
      </c>
      <c r="Q20">
        <v>35</v>
      </c>
      <c r="R20">
        <v>10</v>
      </c>
      <c r="U20" s="5"/>
      <c r="W20" s="5"/>
      <c r="X20" s="5"/>
      <c r="Y20" s="5"/>
      <c r="Z20" s="5"/>
      <c r="AA20" s="5"/>
      <c r="AB20" s="5"/>
      <c r="AC20" s="5"/>
      <c r="AD20" s="5"/>
      <c r="AE20" s="5"/>
    </row>
    <row r="21" spans="1:31" x14ac:dyDescent="0.2">
      <c r="A21">
        <f t="shared" si="5"/>
        <v>1936</v>
      </c>
      <c r="B21" s="19">
        <f>Hist_Stat_Adj!Q22</f>
        <v>64.546800000000005</v>
      </c>
      <c r="C21" s="19">
        <f t="shared" si="3"/>
        <v>70.783720643682699</v>
      </c>
      <c r="D21" s="29">
        <f t="shared" si="0"/>
        <v>26.055440241145444</v>
      </c>
      <c r="E21" s="29">
        <f t="shared" si="0"/>
        <v>5.6748003014318016</v>
      </c>
      <c r="F21" s="29">
        <f t="shared" si="0"/>
        <v>18.483635267520725</v>
      </c>
      <c r="G21" s="29">
        <f t="shared" si="0"/>
        <v>14.332924189902036</v>
      </c>
      <c r="H21" s="33">
        <f t="shared" si="1"/>
        <v>6.2369206436826925</v>
      </c>
      <c r="I21" s="19">
        <f>Hist_Stat_Adj!R22</f>
        <v>47.5608</v>
      </c>
      <c r="J21" s="19">
        <f>Hist_Stat_Adj!S22</f>
        <v>11.324000000000002</v>
      </c>
      <c r="K21" s="19">
        <f>Hist_Stat_Adj!T22</f>
        <v>15.8536</v>
      </c>
      <c r="L21" s="19">
        <f>Hist_Stat_Adj!U22</f>
        <v>4.5296000000000003</v>
      </c>
      <c r="M21" s="19">
        <f>Hist_Stat_Adj!V22</f>
        <v>14.721200000000001</v>
      </c>
      <c r="N21" s="19">
        <f>Hist_Stat_Adj!W22</f>
        <v>1.1324000000000001</v>
      </c>
      <c r="O21" s="19">
        <f t="shared" si="4"/>
        <v>165.9053206436827</v>
      </c>
      <c r="Q21">
        <v>57</v>
      </c>
      <c r="R21">
        <v>18</v>
      </c>
      <c r="U21" s="5"/>
      <c r="W21" s="5"/>
      <c r="X21" s="5"/>
      <c r="Y21" s="5"/>
      <c r="Z21" s="5"/>
      <c r="AA21" s="5"/>
      <c r="AB21" s="5"/>
      <c r="AC21" s="5"/>
      <c r="AD21" s="5"/>
      <c r="AE21" s="5"/>
    </row>
    <row r="22" spans="1:31" x14ac:dyDescent="0.2">
      <c r="A22">
        <f t="shared" si="5"/>
        <v>1937</v>
      </c>
      <c r="B22" s="19">
        <f>Hist_Stat_Adj!Q23</f>
        <v>70.977599999999995</v>
      </c>
      <c r="C22" s="19">
        <f t="shared" si="3"/>
        <v>77.83590527119938</v>
      </c>
      <c r="D22" s="29">
        <f t="shared" si="0"/>
        <v>28.651344687264505</v>
      </c>
      <c r="E22" s="29">
        <f t="shared" si="0"/>
        <v>6.240180859080632</v>
      </c>
      <c r="F22" s="29">
        <f t="shared" si="0"/>
        <v>20.32516051243406</v>
      </c>
      <c r="G22" s="29">
        <f t="shared" si="0"/>
        <v>15.760913941220798</v>
      </c>
      <c r="H22" s="33">
        <f t="shared" si="1"/>
        <v>6.8583052711993879</v>
      </c>
      <c r="I22" s="19">
        <f>Hist_Stat_Adj!R23</f>
        <v>41.212800000000001</v>
      </c>
      <c r="J22" s="19">
        <f>Hist_Stat_Adj!S23</f>
        <v>12.5928</v>
      </c>
      <c r="K22" s="19">
        <f>Hist_Stat_Adj!T23</f>
        <v>13.7376</v>
      </c>
      <c r="L22" s="19">
        <f>Hist_Stat_Adj!U23</f>
        <v>6.8688000000000002</v>
      </c>
      <c r="M22" s="19">
        <f>Hist_Stat_Adj!V23</f>
        <v>16.027200000000001</v>
      </c>
      <c r="N22" s="19">
        <f>Hist_Stat_Adj!W23</f>
        <v>1.1448</v>
      </c>
      <c r="O22" s="19">
        <f t="shared" si="4"/>
        <v>169.41990527119935</v>
      </c>
      <c r="Q22">
        <v>62</v>
      </c>
      <c r="R22">
        <v>18</v>
      </c>
      <c r="U22" s="5"/>
      <c r="W22" s="5"/>
      <c r="X22" s="5"/>
      <c r="Y22" s="5"/>
      <c r="Z22" s="5"/>
      <c r="AA22" s="5"/>
      <c r="AB22" s="5"/>
      <c r="AC22" s="5"/>
      <c r="AD22" s="5"/>
      <c r="AE22" s="5"/>
    </row>
    <row r="23" spans="1:31" x14ac:dyDescent="0.2">
      <c r="A23">
        <f t="shared" si="5"/>
        <v>1938</v>
      </c>
      <c r="B23" s="19">
        <f>Hist_Stat_Adj!Q24</f>
        <v>48.602400000000003</v>
      </c>
      <c r="C23" s="19">
        <f t="shared" si="3"/>
        <v>53.298671726755224</v>
      </c>
      <c r="D23" s="29">
        <f t="shared" si="0"/>
        <v>19.619205425772421</v>
      </c>
      <c r="E23" s="29">
        <f t="shared" si="0"/>
        <v>4.273006782215524</v>
      </c>
      <c r="F23" s="29">
        <f t="shared" si="0"/>
        <v>13.917793519216277</v>
      </c>
      <c r="G23" s="29">
        <f t="shared" si="0"/>
        <v>10.79239427279578</v>
      </c>
      <c r="H23" s="33">
        <f t="shared" si="1"/>
        <v>4.6962717267552181</v>
      </c>
      <c r="I23" s="19">
        <f>Hist_Stat_Adj!R24</f>
        <v>65.960400000000007</v>
      </c>
      <c r="J23" s="19">
        <f>Hist_Stat_Adj!S24</f>
        <v>19.6724</v>
      </c>
      <c r="K23" s="19">
        <f>Hist_Stat_Adj!T24</f>
        <v>18.5152</v>
      </c>
      <c r="L23" s="19">
        <f>Hist_Stat_Adj!U24</f>
        <v>5.7859999999999996</v>
      </c>
      <c r="M23" s="19">
        <f>Hist_Stat_Adj!V24</f>
        <v>20.829599999999999</v>
      </c>
      <c r="N23" s="19">
        <f>Hist_Stat_Adj!W24</f>
        <v>6.9432</v>
      </c>
      <c r="O23" s="19">
        <f t="shared" si="4"/>
        <v>191.00547172675522</v>
      </c>
      <c r="Q23">
        <v>42</v>
      </c>
      <c r="R23">
        <v>28</v>
      </c>
      <c r="U23" s="5"/>
      <c r="W23" s="5"/>
      <c r="X23" s="5"/>
      <c r="Y23" s="5"/>
      <c r="Z23" s="5"/>
      <c r="AA23" s="5"/>
      <c r="AB23" s="5"/>
      <c r="AC23" s="5"/>
      <c r="AD23" s="5"/>
      <c r="AE23" s="5"/>
    </row>
    <row r="24" spans="1:31" x14ac:dyDescent="0.2">
      <c r="A24">
        <f t="shared" si="5"/>
        <v>1939</v>
      </c>
      <c r="B24" s="19">
        <f>Hist_Stat_Adj!Q25</f>
        <v>57.310400000000001</v>
      </c>
      <c r="C24" s="19">
        <f t="shared" si="3"/>
        <v>62.848093841642232</v>
      </c>
      <c r="D24" s="29">
        <f t="shared" ref="D24:G44" si="6">D$119*$B24</f>
        <v>23.134341321276061</v>
      </c>
      <c r="E24" s="29">
        <f t="shared" si="6"/>
        <v>5.0385933182617428</v>
      </c>
      <c r="F24" s="29">
        <f t="shared" si="6"/>
        <v>16.411418236623962</v>
      </c>
      <c r="G24" s="29">
        <f t="shared" si="6"/>
        <v>12.726047123838232</v>
      </c>
      <c r="H24" s="33">
        <f t="shared" si="1"/>
        <v>5.5376938416422279</v>
      </c>
      <c r="I24" s="19">
        <f>Hist_Stat_Adj!R25</f>
        <v>39.766399999999997</v>
      </c>
      <c r="J24" s="19">
        <f>Hist_Stat_Adj!S25</f>
        <v>14.0352</v>
      </c>
      <c r="K24" s="19">
        <f>Hist_Stat_Adj!T25</f>
        <v>17.544</v>
      </c>
      <c r="L24" s="19">
        <f>Hist_Stat_Adj!U25</f>
        <v>7.0175999999999998</v>
      </c>
      <c r="M24" s="19">
        <f>Hist_Stat_Adj!V25</f>
        <v>14.0352</v>
      </c>
      <c r="N24" s="19">
        <f>Hist_Stat_Adj!W25</f>
        <v>7.0175999999999998</v>
      </c>
      <c r="O24" s="19">
        <f t="shared" si="4"/>
        <v>162.26409384164222</v>
      </c>
      <c r="Q24">
        <v>49</v>
      </c>
      <c r="R24">
        <v>21</v>
      </c>
      <c r="U24" s="5"/>
      <c r="W24" s="5"/>
      <c r="X24" s="5"/>
      <c r="Y24" s="5"/>
      <c r="Z24" s="5"/>
      <c r="AA24" s="5"/>
      <c r="AB24" s="5"/>
      <c r="AC24" s="5"/>
      <c r="AD24" s="5"/>
      <c r="AE24" s="5"/>
    </row>
    <row r="25" spans="1:31" x14ac:dyDescent="0.2">
      <c r="A25">
        <f t="shared" si="5"/>
        <v>1940</v>
      </c>
      <c r="B25" s="19">
        <f>Hist_Stat_Adj!Q26</f>
        <v>79.194000000000003</v>
      </c>
      <c r="C25" s="19">
        <f t="shared" si="3"/>
        <v>86.846225880381482</v>
      </c>
      <c r="D25" s="29">
        <f t="shared" si="6"/>
        <v>31.968037678975133</v>
      </c>
      <c r="E25" s="29">
        <f t="shared" si="6"/>
        <v>6.9625470987189146</v>
      </c>
      <c r="F25" s="29">
        <f t="shared" si="6"/>
        <v>22.678010550113036</v>
      </c>
      <c r="G25" s="29">
        <f t="shared" si="6"/>
        <v>17.585404672192919</v>
      </c>
      <c r="H25" s="33">
        <f t="shared" si="1"/>
        <v>7.6522258803814776</v>
      </c>
      <c r="I25" s="19">
        <f>Hist_Stat_Adj!R26</f>
        <v>29.549999999999997</v>
      </c>
      <c r="J25" s="19">
        <f>Hist_Stat_Adj!S26</f>
        <v>16.547999999999998</v>
      </c>
      <c r="K25" s="19">
        <f>Hist_Stat_Adj!T26</f>
        <v>14.183999999999999</v>
      </c>
      <c r="L25" s="19">
        <f>Hist_Stat_Adj!U26</f>
        <v>8.2739999999999991</v>
      </c>
      <c r="M25" s="19">
        <f>Hist_Stat_Adj!V26</f>
        <v>14.183999999999999</v>
      </c>
      <c r="N25" s="19">
        <f>Hist_Stat_Adj!W26</f>
        <v>43.733999999999995</v>
      </c>
      <c r="O25" s="19">
        <f t="shared" si="4"/>
        <v>213.32022588038149</v>
      </c>
      <c r="Q25">
        <v>67</v>
      </c>
      <c r="R25">
        <v>56</v>
      </c>
      <c r="U25" s="5"/>
      <c r="W25" s="5"/>
      <c r="X25" s="5"/>
      <c r="Y25" s="5"/>
      <c r="Z25" s="5"/>
      <c r="AA25" s="5"/>
      <c r="AB25" s="5"/>
      <c r="AC25" s="5"/>
      <c r="AD25" s="5"/>
      <c r="AE25" s="5"/>
    </row>
    <row r="26" spans="1:31" x14ac:dyDescent="0.2">
      <c r="A26">
        <f t="shared" si="5"/>
        <v>1941</v>
      </c>
      <c r="B26" s="19">
        <f>Hist_Stat_Adj!Q27</f>
        <v>129.76519999999999</v>
      </c>
      <c r="C26" s="19">
        <f t="shared" si="3"/>
        <v>142.30393553315753</v>
      </c>
      <c r="D26" s="29">
        <f t="shared" si="6"/>
        <v>52.381983521728209</v>
      </c>
      <c r="E26" s="29">
        <f t="shared" si="6"/>
        <v>11.408646068826927</v>
      </c>
      <c r="F26" s="29">
        <f t="shared" si="6"/>
        <v>37.159590052750559</v>
      </c>
      <c r="G26" s="29">
        <f t="shared" si="6"/>
        <v>28.814980356694296</v>
      </c>
      <c r="H26" s="33">
        <f t="shared" si="1"/>
        <v>12.538735533157542</v>
      </c>
      <c r="I26" s="19">
        <f>Hist_Stat_Adj!R27</f>
        <v>29.380800000000001</v>
      </c>
      <c r="J26" s="19">
        <f>Hist_Stat_Adj!S27</f>
        <v>18.363</v>
      </c>
      <c r="K26" s="19">
        <f>Hist_Stat_Adj!T27</f>
        <v>17.1388</v>
      </c>
      <c r="L26" s="19">
        <f>Hist_Stat_Adj!U27</f>
        <v>11.017799999999999</v>
      </c>
      <c r="M26" s="19">
        <f>Hist_Stat_Adj!V27</f>
        <v>18.363</v>
      </c>
      <c r="N26" s="19">
        <f>Hist_Stat_Adj!W27</f>
        <v>84.469799999999992</v>
      </c>
      <c r="O26" s="19">
        <f t="shared" si="4"/>
        <v>321.03713553315754</v>
      </c>
      <c r="Q26">
        <v>106</v>
      </c>
      <c r="R26">
        <v>96</v>
      </c>
      <c r="U26" s="5"/>
      <c r="W26" s="5"/>
      <c r="X26" s="5"/>
      <c r="Y26" s="5"/>
      <c r="Z26" s="5"/>
      <c r="AA26" s="5"/>
      <c r="AB26" s="5"/>
      <c r="AC26" s="5"/>
      <c r="AD26" s="5"/>
      <c r="AE26" s="5"/>
    </row>
    <row r="27" spans="1:31" x14ac:dyDescent="0.2">
      <c r="A27">
        <f t="shared" si="5"/>
        <v>1942</v>
      </c>
      <c r="B27" s="19">
        <f>Hist_Stat_Adj!Q28</f>
        <v>93.7136</v>
      </c>
      <c r="C27" s="19">
        <f t="shared" si="3"/>
        <v>102.76880159688508</v>
      </c>
      <c r="D27" s="29">
        <f t="shared" si="6"/>
        <v>37.82912715398141</v>
      </c>
      <c r="E27" s="29">
        <f t="shared" si="6"/>
        <v>8.2390756091434305</v>
      </c>
      <c r="F27" s="29">
        <f t="shared" si="6"/>
        <v>26.835846269781459</v>
      </c>
      <c r="G27" s="29">
        <f t="shared" si="6"/>
        <v>20.809550967093696</v>
      </c>
      <c r="H27" s="33">
        <f t="shared" si="1"/>
        <v>9.0552015968850874</v>
      </c>
      <c r="I27" s="19">
        <f>Hist_Stat_Adj!R28</f>
        <v>39.258400000000002</v>
      </c>
      <c r="J27" s="19">
        <f>Hist_Stat_Adj!S28</f>
        <v>43.057600000000001</v>
      </c>
      <c r="K27" s="19">
        <f>Hist_Stat_Adj!T28</f>
        <v>25.327999999999999</v>
      </c>
      <c r="L27" s="19">
        <f>Hist_Stat_Adj!U28</f>
        <v>3.7991999999999999</v>
      </c>
      <c r="M27" s="19">
        <f>Hist_Stat_Adj!V28</f>
        <v>29.127199999999998</v>
      </c>
      <c r="N27" s="19">
        <f>Hist_Stat_Adj!W28</f>
        <v>273.54239999999999</v>
      </c>
      <c r="O27" s="19">
        <f t="shared" si="4"/>
        <v>516.88160159688505</v>
      </c>
      <c r="Q27">
        <v>74</v>
      </c>
      <c r="R27">
        <v>272</v>
      </c>
      <c r="U27" s="5"/>
      <c r="W27" s="5"/>
      <c r="X27" s="5"/>
      <c r="Y27" s="5"/>
      <c r="Z27" s="5"/>
      <c r="AA27" s="5"/>
      <c r="AB27" s="5"/>
      <c r="AC27" s="5"/>
      <c r="AD27" s="5"/>
      <c r="AE27" s="5"/>
    </row>
    <row r="28" spans="1:31" x14ac:dyDescent="0.2">
      <c r="A28">
        <f t="shared" si="5"/>
        <v>1943</v>
      </c>
      <c r="B28" s="19">
        <f>Hist_Stat_Adj!Q29</f>
        <v>28.789200000000001</v>
      </c>
      <c r="C28" s="19">
        <f t="shared" si="3"/>
        <v>31.570994849552726</v>
      </c>
      <c r="D28" s="29">
        <f t="shared" si="6"/>
        <v>11.621262094951017</v>
      </c>
      <c r="E28" s="29">
        <f t="shared" si="6"/>
        <v>2.5310776186887716</v>
      </c>
      <c r="F28" s="29">
        <f t="shared" si="6"/>
        <v>8.2440813865862843</v>
      </c>
      <c r="G28" s="29">
        <f t="shared" si="6"/>
        <v>6.3927788997739263</v>
      </c>
      <c r="H28" s="33">
        <f t="shared" si="1"/>
        <v>2.7817948495527243</v>
      </c>
      <c r="I28" s="19">
        <f>Hist_Stat_Adj!R29</f>
        <v>15.703199999999999</v>
      </c>
      <c r="J28" s="19">
        <f>Hist_Stat_Adj!S29</f>
        <v>26.172000000000001</v>
      </c>
      <c r="K28" s="19">
        <f>Hist_Stat_Adj!T29</f>
        <v>6.5430000000000001</v>
      </c>
      <c r="L28" s="19">
        <f>Hist_Stat_Adj!U29</f>
        <v>1.3086</v>
      </c>
      <c r="M28" s="19">
        <f>Hist_Stat_Adj!V29</f>
        <v>17.011800000000001</v>
      </c>
      <c r="N28" s="19">
        <f>Hist_Stat_Adj!W29</f>
        <v>86.367599999999996</v>
      </c>
      <c r="O28" s="19">
        <f t="shared" si="4"/>
        <v>184.67719484955273</v>
      </c>
      <c r="Q28">
        <v>22</v>
      </c>
      <c r="R28">
        <v>100</v>
      </c>
      <c r="U28" s="5"/>
      <c r="W28" s="5"/>
      <c r="X28" s="5"/>
      <c r="Y28" s="5"/>
      <c r="Z28" s="5"/>
      <c r="AA28" s="5"/>
      <c r="AB28" s="5"/>
      <c r="AC28" s="5"/>
      <c r="AD28" s="5"/>
      <c r="AE28" s="5"/>
    </row>
    <row r="29" spans="1:31" x14ac:dyDescent="0.2">
      <c r="A29">
        <f t="shared" si="5"/>
        <v>1944</v>
      </c>
      <c r="B29" s="19">
        <f>Hist_Stat_Adj!Q30</f>
        <v>16.209600000000002</v>
      </c>
      <c r="C29" s="19">
        <f t="shared" si="3"/>
        <v>17.775874220656007</v>
      </c>
      <c r="D29" s="29">
        <f t="shared" si="6"/>
        <v>6.5432874152223066</v>
      </c>
      <c r="E29" s="29">
        <f t="shared" si="6"/>
        <v>1.4251092690278826</v>
      </c>
      <c r="F29" s="29">
        <f t="shared" si="6"/>
        <v>4.641784476262246</v>
      </c>
      <c r="G29" s="29">
        <f t="shared" si="6"/>
        <v>3.5994188394875666</v>
      </c>
      <c r="H29" s="33">
        <f t="shared" si="1"/>
        <v>1.5662742206560043</v>
      </c>
      <c r="I29" s="19">
        <f>Hist_Stat_Adj!R30</f>
        <v>13.507999999999999</v>
      </c>
      <c r="J29" s="19">
        <f>Hist_Stat_Adj!S30</f>
        <v>10.8064</v>
      </c>
      <c r="K29" s="19">
        <f>Hist_Stat_Adj!T30</f>
        <v>2.7016</v>
      </c>
      <c r="L29" s="19">
        <f>Hist_Stat_Adj!U30</f>
        <v>1.3508</v>
      </c>
      <c r="M29" s="19">
        <f>Hist_Stat_Adj!V30</f>
        <v>6.7539999999999996</v>
      </c>
      <c r="N29" s="19">
        <f>Hist_Stat_Adj!W30</f>
        <v>44.5764</v>
      </c>
      <c r="O29" s="19">
        <f t="shared" si="4"/>
        <v>97.473074220656002</v>
      </c>
      <c r="Q29">
        <v>12</v>
      </c>
      <c r="R29">
        <v>44</v>
      </c>
      <c r="U29" s="5"/>
      <c r="W29" s="5"/>
      <c r="X29" s="5"/>
      <c r="Y29" s="5"/>
      <c r="Z29" s="5"/>
      <c r="AA29" s="5"/>
      <c r="AB29" s="5"/>
      <c r="AC29" s="5"/>
      <c r="AD29" s="5"/>
      <c r="AE29" s="5"/>
    </row>
    <row r="30" spans="1:31" x14ac:dyDescent="0.2">
      <c r="A30">
        <f t="shared" si="5"/>
        <v>1945</v>
      </c>
      <c r="B30" s="19">
        <f>Hist_Stat_Adj!Q31</f>
        <v>87.759</v>
      </c>
      <c r="C30" s="19">
        <f t="shared" si="3"/>
        <v>96.238830429532513</v>
      </c>
      <c r="D30" s="29">
        <f t="shared" si="6"/>
        <v>35.425449133383573</v>
      </c>
      <c r="E30" s="29">
        <f t="shared" si="6"/>
        <v>7.7155614167294644</v>
      </c>
      <c r="F30" s="29">
        <f t="shared" si="6"/>
        <v>25.130685757347401</v>
      </c>
      <c r="G30" s="29">
        <f t="shared" si="6"/>
        <v>19.487303692539562</v>
      </c>
      <c r="H30" s="33">
        <f t="shared" si="1"/>
        <v>8.479830429532516</v>
      </c>
      <c r="I30" s="19">
        <f>Hist_Stat_Adj!R31</f>
        <v>18.109000000000002</v>
      </c>
      <c r="J30" s="19">
        <f>Hist_Stat_Adj!S31</f>
        <v>15.323</v>
      </c>
      <c r="K30" s="19">
        <f>Hist_Stat_Adj!T31</f>
        <v>2.786</v>
      </c>
      <c r="L30" s="19">
        <f>Hist_Stat_Adj!U31</f>
        <v>6.9649999999999999</v>
      </c>
      <c r="M30" s="19">
        <f>Hist_Stat_Adj!V31</f>
        <v>11.144</v>
      </c>
      <c r="N30" s="19">
        <f>Hist_Stat_Adj!W31</f>
        <v>36.218000000000004</v>
      </c>
      <c r="O30" s="19">
        <f t="shared" si="4"/>
        <v>186.78383042953254</v>
      </c>
      <c r="Q30">
        <v>63</v>
      </c>
      <c r="R30">
        <v>44</v>
      </c>
      <c r="U30" s="5"/>
      <c r="W30" s="5"/>
      <c r="X30" s="5"/>
      <c r="Y30" s="5"/>
      <c r="Z30" s="5"/>
      <c r="AA30" s="5"/>
      <c r="AB30" s="5"/>
      <c r="AC30" s="5"/>
      <c r="AD30" s="5"/>
      <c r="AE30" s="5"/>
    </row>
    <row r="31" spans="1:31" x14ac:dyDescent="0.2">
      <c r="A31">
        <f t="shared" si="5"/>
        <v>1946</v>
      </c>
      <c r="B31" s="19">
        <f>Hist_Stat_Adj!Q32</f>
        <v>155.2355</v>
      </c>
      <c r="C31" s="19">
        <f t="shared" si="3"/>
        <v>170.23533724340177</v>
      </c>
      <c r="D31" s="29">
        <f t="shared" si="6"/>
        <v>62.663513815624214</v>
      </c>
      <c r="E31" s="29">
        <f t="shared" si="6"/>
        <v>13.647933936196935</v>
      </c>
      <c r="F31" s="29">
        <f t="shared" si="6"/>
        <v>44.453270535041447</v>
      </c>
      <c r="G31" s="29">
        <f t="shared" si="6"/>
        <v>34.470781713137406</v>
      </c>
      <c r="H31" s="33">
        <f t="shared" si="1"/>
        <v>14.999837243401759</v>
      </c>
      <c r="I31" s="19">
        <f>Hist_Stat_Adj!R32</f>
        <v>33.917000000000002</v>
      </c>
      <c r="J31" s="19">
        <f>Hist_Stat_Adj!S32</f>
        <v>19.567499999999999</v>
      </c>
      <c r="K31" s="19">
        <f>Hist_Stat_Adj!T32</f>
        <v>2.609</v>
      </c>
      <c r="L31" s="19">
        <f>Hist_Stat_Adj!U32</f>
        <v>10.436</v>
      </c>
      <c r="M31" s="19">
        <f>Hist_Stat_Adj!V32</f>
        <v>14.349499999999999</v>
      </c>
      <c r="N31" s="19">
        <f>Hist_Stat_Adj!W32</f>
        <v>19.567499999999999</v>
      </c>
      <c r="O31" s="19">
        <f t="shared" si="4"/>
        <v>270.68183724340179</v>
      </c>
      <c r="Q31">
        <v>119</v>
      </c>
      <c r="R31">
        <v>34</v>
      </c>
      <c r="U31" s="5"/>
      <c r="W31" s="5"/>
      <c r="X31" s="5"/>
      <c r="Y31" s="5"/>
      <c r="Z31" s="5"/>
      <c r="AA31" s="5"/>
      <c r="AB31" s="5"/>
      <c r="AC31" s="5"/>
      <c r="AD31" s="5"/>
      <c r="AE31" s="5"/>
    </row>
    <row r="32" spans="1:31" x14ac:dyDescent="0.2">
      <c r="A32">
        <f t="shared" si="5"/>
        <v>1947</v>
      </c>
      <c r="B32" s="19">
        <f>Hist_Stat_Adj!Q33</f>
        <v>128.23750000000001</v>
      </c>
      <c r="C32" s="19">
        <f t="shared" si="3"/>
        <v>140.62861948298382</v>
      </c>
      <c r="D32" s="29">
        <f t="shared" si="6"/>
        <v>51.765300803818143</v>
      </c>
      <c r="E32" s="29">
        <f t="shared" si="6"/>
        <v>11.274334338106005</v>
      </c>
      <c r="F32" s="29">
        <f t="shared" si="6"/>
        <v>36.72211755840241</v>
      </c>
      <c r="G32" s="29">
        <f t="shared" si="6"/>
        <v>28.475747299673451</v>
      </c>
      <c r="H32" s="33">
        <f t="shared" si="1"/>
        <v>12.391119482983809</v>
      </c>
      <c r="I32" s="19">
        <f>Hist_Stat_Adj!R33</f>
        <v>52.577375000000004</v>
      </c>
      <c r="J32" s="19">
        <f>Hist_Stat_Adj!S33</f>
        <v>25.647500000000001</v>
      </c>
      <c r="K32" s="19">
        <f>Hist_Stat_Adj!T33</f>
        <v>7.6942500000000003</v>
      </c>
      <c r="L32" s="19">
        <f>Hist_Stat_Adj!U33</f>
        <v>15.388500000000001</v>
      </c>
      <c r="M32" s="19">
        <f>Hist_Stat_Adj!V33</f>
        <v>17.953250000000001</v>
      </c>
      <c r="N32" s="19">
        <f>Hist_Stat_Adj!W33</f>
        <v>15.388500000000001</v>
      </c>
      <c r="O32" s="19">
        <f t="shared" si="4"/>
        <v>275.2779944829839</v>
      </c>
      <c r="Q32">
        <v>100</v>
      </c>
      <c r="R32">
        <v>30</v>
      </c>
      <c r="U32" s="5"/>
      <c r="W32" s="5"/>
      <c r="X32" s="5"/>
      <c r="Y32" s="5"/>
      <c r="Z32" s="5"/>
      <c r="AA32" s="5"/>
      <c r="AB32" s="5"/>
      <c r="AC32" s="5"/>
      <c r="AD32" s="5"/>
      <c r="AE32" s="5"/>
    </row>
    <row r="33" spans="1:31" x14ac:dyDescent="0.2">
      <c r="A33">
        <f t="shared" si="5"/>
        <v>1948</v>
      </c>
      <c r="B33" s="19">
        <f>Hist_Stat_Adj!Q34</f>
        <v>127.28525</v>
      </c>
      <c r="C33" s="19">
        <f t="shared" si="3"/>
        <v>139.58435705660563</v>
      </c>
      <c r="D33" s="29">
        <f t="shared" si="6"/>
        <v>51.380908502888722</v>
      </c>
      <c r="E33" s="29">
        <f t="shared" si="6"/>
        <v>11.190614795277568</v>
      </c>
      <c r="F33" s="29">
        <f t="shared" si="6"/>
        <v>36.449431047475507</v>
      </c>
      <c r="G33" s="29">
        <f t="shared" si="6"/>
        <v>28.264295654358204</v>
      </c>
      <c r="H33" s="33">
        <f t="shared" si="1"/>
        <v>12.299107056605633</v>
      </c>
      <c r="I33" s="19">
        <f>Hist_Stat_Adj!R34</f>
        <v>90.738</v>
      </c>
      <c r="J33" s="19">
        <f>Hist_Stat_Adj!S34</f>
        <v>44.108750000000001</v>
      </c>
      <c r="K33" s="19">
        <f>Hist_Stat_Adj!T34</f>
        <v>7.5615000000000006</v>
      </c>
      <c r="L33" s="19">
        <f>Hist_Stat_Adj!U34</f>
        <v>26.465250000000001</v>
      </c>
      <c r="M33" s="19">
        <f>Hist_Stat_Adj!V34</f>
        <v>27.725500000000004</v>
      </c>
      <c r="N33" s="19">
        <f>Hist_Stat_Adj!W34</f>
        <v>22.6845</v>
      </c>
      <c r="O33" s="19">
        <f t="shared" si="4"/>
        <v>358.86785705660571</v>
      </c>
      <c r="Q33">
        <v>101</v>
      </c>
      <c r="R33">
        <v>47</v>
      </c>
      <c r="U33" s="5"/>
      <c r="W33" s="5"/>
      <c r="X33" s="5"/>
      <c r="Y33" s="5"/>
      <c r="Z33" s="5"/>
      <c r="AA33" s="5"/>
      <c r="AB33" s="5"/>
      <c r="AC33" s="5"/>
      <c r="AD33" s="5"/>
      <c r="AE33" s="5"/>
    </row>
    <row r="34" spans="1:31" x14ac:dyDescent="0.2">
      <c r="A34">
        <f t="shared" si="5"/>
        <v>1949</v>
      </c>
      <c r="B34" s="19">
        <f>Hist_Stat_Adj!Q35</f>
        <v>106.47874999999999</v>
      </c>
      <c r="C34" s="19">
        <f t="shared" si="3"/>
        <v>116.76740124202172</v>
      </c>
      <c r="D34" s="29">
        <f t="shared" si="6"/>
        <v>42.982002323536797</v>
      </c>
      <c r="E34" s="29">
        <f t="shared" si="6"/>
        <v>9.3613570710876655</v>
      </c>
      <c r="F34" s="29">
        <f t="shared" si="6"/>
        <v>30.491277317256966</v>
      </c>
      <c r="G34" s="29">
        <f t="shared" si="6"/>
        <v>23.644113288118561</v>
      </c>
      <c r="H34" s="33">
        <f t="shared" si="1"/>
        <v>10.288651242021734</v>
      </c>
      <c r="I34" s="19">
        <f>Hist_Stat_Adj!R35</f>
        <v>97.811875000000001</v>
      </c>
      <c r="J34" s="19">
        <f>Hist_Stat_Adj!S35</f>
        <v>52.001249999999999</v>
      </c>
      <c r="K34" s="19">
        <f>Hist_Stat_Adj!T35</f>
        <v>9.9049999999999994</v>
      </c>
      <c r="L34" s="19">
        <f>Hist_Stat_Adj!U35</f>
        <v>30.953124999999996</v>
      </c>
      <c r="M34" s="19">
        <f>Hist_Stat_Adj!V35</f>
        <v>26.000624999999999</v>
      </c>
      <c r="N34" s="19">
        <f>Hist_Stat_Adj!W35</f>
        <v>27.23875</v>
      </c>
      <c r="O34" s="19">
        <f t="shared" si="4"/>
        <v>360.6780262420217</v>
      </c>
      <c r="Q34">
        <v>86</v>
      </c>
      <c r="R34">
        <v>51</v>
      </c>
      <c r="U34" s="5"/>
      <c r="W34" s="5"/>
      <c r="X34" s="5"/>
      <c r="Y34" s="5"/>
      <c r="Z34" s="5"/>
      <c r="AA34" s="5"/>
      <c r="AB34" s="5"/>
      <c r="AC34" s="5"/>
      <c r="AD34" s="5"/>
      <c r="AE34" s="5"/>
    </row>
    <row r="35" spans="1:31" x14ac:dyDescent="0.2">
      <c r="A35">
        <f t="shared" si="5"/>
        <v>1950</v>
      </c>
      <c r="B35" s="19">
        <f>Hist_Stat_Adj!Q36</f>
        <v>148.352</v>
      </c>
      <c r="C35" s="19">
        <f t="shared" si="3"/>
        <v>162.68670987456568</v>
      </c>
      <c r="D35" s="29">
        <f t="shared" si="6"/>
        <v>59.884869128359711</v>
      </c>
      <c r="E35" s="29">
        <f t="shared" si="6"/>
        <v>13.042753077116302</v>
      </c>
      <c r="F35" s="29">
        <f t="shared" si="6"/>
        <v>42.482110022607387</v>
      </c>
      <c r="G35" s="29">
        <f t="shared" si="6"/>
        <v>32.942267771916605</v>
      </c>
      <c r="H35" s="33">
        <f t="shared" si="1"/>
        <v>14.334709874565661</v>
      </c>
      <c r="I35" s="19">
        <f>Hist_Stat_Adj!R36</f>
        <v>134.976</v>
      </c>
      <c r="J35" s="19">
        <f>Hist_Stat_Adj!S36</f>
        <v>54.72</v>
      </c>
      <c r="K35" s="19">
        <f>Hist_Stat_Adj!T36</f>
        <v>12.16</v>
      </c>
      <c r="L35" s="19">
        <f>Hist_Stat_Adj!U36</f>
        <v>35.263999999999996</v>
      </c>
      <c r="M35" s="19">
        <f>Hist_Stat_Adj!V36</f>
        <v>29.183999999999997</v>
      </c>
      <c r="N35" s="19">
        <f>Hist_Stat_Adj!W36</f>
        <v>34.048000000000002</v>
      </c>
      <c r="O35" s="19">
        <f t="shared" si="4"/>
        <v>463.03870987456571</v>
      </c>
      <c r="Q35">
        <v>122</v>
      </c>
      <c r="R35">
        <v>64</v>
      </c>
      <c r="U35" s="5"/>
      <c r="W35" s="5"/>
      <c r="X35" s="5"/>
      <c r="Y35" s="5"/>
      <c r="Z35" s="5"/>
      <c r="AA35" s="5"/>
      <c r="AB35" s="5"/>
      <c r="AC35" s="5"/>
      <c r="AD35" s="5"/>
      <c r="AE35" s="5"/>
    </row>
    <row r="36" spans="1:31" x14ac:dyDescent="0.2">
      <c r="A36">
        <f t="shared" si="5"/>
        <v>1951</v>
      </c>
      <c r="B36" s="19">
        <f>Hist_Stat_Adj!Q37</f>
        <v>95.249000000000009</v>
      </c>
      <c r="C36" s="19">
        <f t="shared" si="3"/>
        <v>104.45256166982924</v>
      </c>
      <c r="D36" s="29">
        <f t="shared" si="6"/>
        <v>38.448918111027382</v>
      </c>
      <c r="E36" s="29">
        <f t="shared" si="6"/>
        <v>8.3740643054508919</v>
      </c>
      <c r="F36" s="29">
        <f t="shared" si="6"/>
        <v>27.275523737754334</v>
      </c>
      <c r="G36" s="29">
        <f t="shared" si="6"/>
        <v>21.150493845767397</v>
      </c>
      <c r="H36" s="33">
        <f t="shared" ref="H36:H64" si="7">H$125*B36</f>
        <v>9.203561669829222</v>
      </c>
      <c r="I36" s="19">
        <f>Hist_Stat_Adj!R37</f>
        <v>136.07000000000002</v>
      </c>
      <c r="J36" s="19">
        <f>Hist_Stat_Adj!S37</f>
        <v>47.006</v>
      </c>
      <c r="K36" s="19">
        <f>Hist_Stat_Adj!T37</f>
        <v>13.607000000000001</v>
      </c>
      <c r="L36" s="19">
        <f>Hist_Stat_Adj!U37</f>
        <v>30.925000000000004</v>
      </c>
      <c r="M36" s="19">
        <f>Hist_Stat_Adj!V37</f>
        <v>13.607000000000001</v>
      </c>
      <c r="N36" s="19">
        <f>Hist_Stat_Adj!W37</f>
        <v>61.850000000000009</v>
      </c>
      <c r="O36" s="19">
        <f t="shared" si="4"/>
        <v>407.51756166982938</v>
      </c>
      <c r="Q36">
        <v>77</v>
      </c>
      <c r="R36">
        <v>75</v>
      </c>
      <c r="U36" s="5"/>
      <c r="W36" s="5"/>
      <c r="X36" s="5"/>
      <c r="Y36" s="5"/>
      <c r="Z36" s="5"/>
      <c r="AA36" s="5"/>
      <c r="AB36" s="5"/>
      <c r="AC36" s="5"/>
      <c r="AD36" s="5"/>
      <c r="AE36" s="5"/>
    </row>
    <row r="37" spans="1:31" x14ac:dyDescent="0.2">
      <c r="A37">
        <f t="shared" si="5"/>
        <v>1952</v>
      </c>
      <c r="B37" s="19">
        <f>Hist_Stat_Adj!Q38</f>
        <v>100.36799999999999</v>
      </c>
      <c r="C37" s="19">
        <f t="shared" si="3"/>
        <v>110.06619187264349</v>
      </c>
      <c r="D37" s="29">
        <f t="shared" si="6"/>
        <v>40.515291635267516</v>
      </c>
      <c r="E37" s="29">
        <f t="shared" si="6"/>
        <v>8.8241145440844004</v>
      </c>
      <c r="F37" s="29">
        <f t="shared" si="6"/>
        <v>28.741401657874903</v>
      </c>
      <c r="G37" s="29">
        <f t="shared" si="6"/>
        <v>22.28719216277317</v>
      </c>
      <c r="H37" s="33">
        <f t="shared" si="7"/>
        <v>9.6981918726434841</v>
      </c>
      <c r="I37" s="19">
        <f>Hist_Stat_Adj!R38</f>
        <v>130.96799999999999</v>
      </c>
      <c r="J37" s="19">
        <f>Hist_Stat_Adj!S38</f>
        <v>31.823999999999998</v>
      </c>
      <c r="K37" s="19">
        <f>Hist_Stat_Adj!T38</f>
        <v>18.36</v>
      </c>
      <c r="L37" s="19">
        <f>Hist_Stat_Adj!U38</f>
        <v>26.928000000000001</v>
      </c>
      <c r="M37" s="19">
        <f>Hist_Stat_Adj!V38</f>
        <v>14.687999999999999</v>
      </c>
      <c r="N37" s="19">
        <f>Hist_Stat_Adj!W38</f>
        <v>75.888000000000005</v>
      </c>
      <c r="O37" s="19">
        <f t="shared" si="4"/>
        <v>408.72219187264341</v>
      </c>
      <c r="Q37">
        <v>82</v>
      </c>
      <c r="R37">
        <v>94</v>
      </c>
      <c r="U37" s="5"/>
      <c r="W37" s="5"/>
      <c r="X37" s="5"/>
      <c r="Y37" s="5"/>
      <c r="Z37" s="5"/>
      <c r="AA37" s="5"/>
      <c r="AB37" s="5"/>
      <c r="AC37" s="5"/>
      <c r="AD37" s="5"/>
      <c r="AE37" s="5"/>
    </row>
    <row r="38" spans="1:31" x14ac:dyDescent="0.2">
      <c r="A38">
        <f t="shared" si="5"/>
        <v>1953</v>
      </c>
      <c r="B38" s="19">
        <f>Hist_Stat_Adj!Q39</f>
        <v>148.70700000000002</v>
      </c>
      <c r="C38" s="19">
        <f t="shared" si="3"/>
        <v>163.07601222307107</v>
      </c>
      <c r="D38" s="29">
        <f t="shared" si="6"/>
        <v>60.028171062547109</v>
      </c>
      <c r="E38" s="29">
        <f t="shared" si="6"/>
        <v>13.073963828183874</v>
      </c>
      <c r="F38" s="29">
        <f t="shared" si="6"/>
        <v>42.583767897513191</v>
      </c>
      <c r="G38" s="29">
        <f t="shared" si="6"/>
        <v>33.021097211755844</v>
      </c>
      <c r="H38" s="33">
        <f t="shared" si="7"/>
        <v>14.369012223071048</v>
      </c>
      <c r="I38" s="19">
        <f>Hist_Stat_Adj!R39</f>
        <v>149.916</v>
      </c>
      <c r="J38" s="19">
        <f>Hist_Stat_Adj!S39</f>
        <v>27.807000000000002</v>
      </c>
      <c r="K38" s="19">
        <f>Hist_Stat_Adj!T39</f>
        <v>15.717000000000001</v>
      </c>
      <c r="L38" s="19">
        <f>Hist_Stat_Adj!U39</f>
        <v>33.852000000000004</v>
      </c>
      <c r="M38" s="19">
        <f>Hist_Stat_Adj!V39</f>
        <v>20.553000000000001</v>
      </c>
      <c r="N38" s="19">
        <f>Hist_Stat_Adj!W39</f>
        <v>60.45</v>
      </c>
      <c r="O38" s="19">
        <f t="shared" si="4"/>
        <v>471.37101222307098</v>
      </c>
      <c r="Q38">
        <v>123</v>
      </c>
      <c r="R38">
        <v>81</v>
      </c>
      <c r="U38" s="5"/>
      <c r="W38" s="5"/>
      <c r="X38" s="5"/>
      <c r="Y38" s="5"/>
      <c r="Z38" s="5"/>
      <c r="AA38" s="5"/>
      <c r="AB38" s="5"/>
      <c r="AC38" s="5"/>
      <c r="AD38" s="5"/>
      <c r="AE38" s="5"/>
    </row>
    <row r="39" spans="1:31" x14ac:dyDescent="0.2">
      <c r="A39">
        <f t="shared" si="5"/>
        <v>1954</v>
      </c>
      <c r="B39" s="19">
        <f>Hist_Stat_Adj!Q40</f>
        <v>167.39400000000001</v>
      </c>
      <c r="C39" s="19">
        <f t="shared" si="3"/>
        <v>183.56866852312774</v>
      </c>
      <c r="D39" s="29">
        <f t="shared" si="6"/>
        <v>67.571504144687268</v>
      </c>
      <c r="E39" s="29">
        <f t="shared" si="6"/>
        <v>14.71688018085908</v>
      </c>
      <c r="F39" s="29">
        <f t="shared" si="6"/>
        <v>47.934981160512436</v>
      </c>
      <c r="G39" s="29">
        <f t="shared" si="6"/>
        <v>37.170634513941224</v>
      </c>
      <c r="H39" s="33">
        <f t="shared" si="7"/>
        <v>16.174668523127725</v>
      </c>
      <c r="I39" s="19">
        <f>Hist_Stat_Adj!R40</f>
        <v>186.80200000000002</v>
      </c>
      <c r="J39" s="19">
        <f>Hist_Stat_Adj!S40</f>
        <v>33.963999999999999</v>
      </c>
      <c r="K39" s="19">
        <f>Hist_Stat_Adj!T40</f>
        <v>19.408000000000001</v>
      </c>
      <c r="L39" s="19">
        <f>Hist_Stat_Adj!U40</f>
        <v>41.242000000000004</v>
      </c>
      <c r="M39" s="19">
        <f>Hist_Stat_Adj!V40</f>
        <v>23.047000000000001</v>
      </c>
      <c r="N39" s="19">
        <f>Hist_Stat_Adj!W40</f>
        <v>53.372</v>
      </c>
      <c r="O39" s="19">
        <f t="shared" si="4"/>
        <v>541.40366852312775</v>
      </c>
      <c r="Q39">
        <v>138</v>
      </c>
      <c r="R39">
        <v>77</v>
      </c>
      <c r="U39" s="5"/>
      <c r="W39" s="5"/>
      <c r="X39" s="5"/>
      <c r="Y39" s="5"/>
      <c r="Z39" s="5"/>
      <c r="AA39" s="5"/>
      <c r="AB39" s="5"/>
      <c r="AC39" s="5"/>
      <c r="AD39" s="5"/>
      <c r="AE39" s="5"/>
    </row>
    <row r="40" spans="1:31" x14ac:dyDescent="0.2">
      <c r="A40">
        <f t="shared" si="5"/>
        <v>1955</v>
      </c>
      <c r="B40" s="19">
        <f>Hist_Stat_Adj!Q41</f>
        <v>212.61700000000002</v>
      </c>
      <c r="C40" s="19">
        <f t="shared" si="3"/>
        <v>233.16140121737845</v>
      </c>
      <c r="D40" s="29">
        <f t="shared" si="6"/>
        <v>85.826555890479781</v>
      </c>
      <c r="E40" s="29">
        <f t="shared" si="6"/>
        <v>18.692778196433057</v>
      </c>
      <c r="F40" s="29">
        <f t="shared" si="6"/>
        <v>60.885048982667676</v>
      </c>
      <c r="G40" s="29">
        <f t="shared" si="6"/>
        <v>47.2126169304195</v>
      </c>
      <c r="H40" s="33">
        <f t="shared" si="7"/>
        <v>20.544401217378446</v>
      </c>
      <c r="I40" s="19">
        <f>Hist_Stat_Adj!R41</f>
        <v>190.495</v>
      </c>
      <c r="J40" s="19">
        <f>Hist_Stat_Adj!S41</f>
        <v>28.267000000000003</v>
      </c>
      <c r="K40" s="19">
        <f>Hist_Stat_Adj!T41</f>
        <v>22.122</v>
      </c>
      <c r="L40" s="19">
        <f>Hist_Stat_Adj!U41</f>
        <v>45.473000000000006</v>
      </c>
      <c r="M40" s="19">
        <f>Hist_Stat_Adj!V41</f>
        <v>24.580000000000002</v>
      </c>
      <c r="N40" s="19">
        <f>Hist_Stat_Adj!W41</f>
        <v>65.137</v>
      </c>
      <c r="O40" s="19">
        <f t="shared" si="4"/>
        <v>609.23540121737847</v>
      </c>
      <c r="Q40">
        <v>173</v>
      </c>
      <c r="R40">
        <v>90</v>
      </c>
      <c r="U40" s="5"/>
      <c r="W40" s="5"/>
      <c r="X40" s="5"/>
      <c r="Y40" s="5"/>
      <c r="Z40" s="5"/>
      <c r="AA40" s="5"/>
      <c r="AB40" s="5"/>
      <c r="AC40" s="5"/>
      <c r="AD40" s="5"/>
      <c r="AE40" s="5"/>
    </row>
    <row r="41" spans="1:31" x14ac:dyDescent="0.2">
      <c r="A41">
        <f t="shared" si="5"/>
        <v>1956</v>
      </c>
      <c r="B41" s="19">
        <f>Hist_Stat_Adj!Q42</f>
        <v>244</v>
      </c>
      <c r="C41" s="19">
        <f t="shared" si="3"/>
        <v>267.57682545158826</v>
      </c>
      <c r="D41" s="29">
        <f t="shared" si="6"/>
        <v>98.494850540065315</v>
      </c>
      <c r="E41" s="29">
        <f t="shared" si="6"/>
        <v>21.451896508414972</v>
      </c>
      <c r="F41" s="29">
        <f t="shared" si="6"/>
        <v>69.871891484551611</v>
      </c>
      <c r="G41" s="29">
        <f t="shared" si="6"/>
        <v>54.181361466968099</v>
      </c>
      <c r="H41" s="33">
        <f t="shared" si="7"/>
        <v>23.576825451588256</v>
      </c>
      <c r="I41" s="19">
        <f>Hist_Stat_Adj!R42</f>
        <v>200</v>
      </c>
      <c r="J41" s="19">
        <f>Hist_Stat_Adj!S42</f>
        <v>33</v>
      </c>
      <c r="K41" s="19">
        <f>Hist_Stat_Adj!T42</f>
        <v>27</v>
      </c>
      <c r="L41" s="19">
        <f>Hist_Stat_Adj!U42</f>
        <v>48</v>
      </c>
      <c r="M41" s="19">
        <f>Hist_Stat_Adj!V42</f>
        <v>30</v>
      </c>
      <c r="N41" s="19">
        <f>Hist_Stat_Adj!W42</f>
        <v>48</v>
      </c>
      <c r="O41" s="19">
        <f t="shared" si="4"/>
        <v>653.57682545158832</v>
      </c>
      <c r="Q41">
        <v>244</v>
      </c>
      <c r="R41">
        <v>78</v>
      </c>
      <c r="U41" s="5"/>
      <c r="W41" s="5"/>
      <c r="X41" s="5"/>
    </row>
    <row r="42" spans="1:31" x14ac:dyDescent="0.2">
      <c r="A42">
        <f t="shared" si="5"/>
        <v>1957</v>
      </c>
      <c r="B42" s="19">
        <f>Hist_Stat_Adj!Q43</f>
        <v>245</v>
      </c>
      <c r="C42" s="19">
        <f t="shared" si="3"/>
        <v>268.67345178540626</v>
      </c>
      <c r="D42" s="29">
        <f t="shared" si="6"/>
        <v>98.89851796031148</v>
      </c>
      <c r="E42" s="29">
        <f t="shared" si="6"/>
        <v>21.539814117056014</v>
      </c>
      <c r="F42" s="29">
        <f t="shared" si="6"/>
        <v>70.158251695553872</v>
      </c>
      <c r="G42" s="29">
        <f t="shared" si="6"/>
        <v>54.403416227078623</v>
      </c>
      <c r="H42" s="33">
        <f t="shared" si="7"/>
        <v>23.673451785406243</v>
      </c>
      <c r="I42" s="19">
        <f>Hist_Stat_Adj!R43</f>
        <v>207</v>
      </c>
      <c r="J42" s="19">
        <f>Hist_Stat_Adj!S43</f>
        <v>40</v>
      </c>
      <c r="K42" s="19">
        <f>Hist_Stat_Adj!T43</f>
        <v>27</v>
      </c>
      <c r="L42" s="19">
        <f>Hist_Stat_Adj!U43</f>
        <v>50</v>
      </c>
      <c r="M42" s="19">
        <f>Hist_Stat_Adj!V43</f>
        <v>31</v>
      </c>
      <c r="N42" s="19">
        <f>Hist_Stat_Adj!W43</f>
        <v>33</v>
      </c>
      <c r="O42" s="19">
        <f t="shared" ref="O42:O73" si="8">SUM(D42:N42)</f>
        <v>656.6734517854062</v>
      </c>
      <c r="Q42">
        <v>245</v>
      </c>
      <c r="R42">
        <v>64</v>
      </c>
      <c r="U42" s="5"/>
      <c r="W42" s="5"/>
      <c r="X42" s="5"/>
    </row>
    <row r="43" spans="1:31" x14ac:dyDescent="0.2">
      <c r="A43">
        <f t="shared" ref="A43:A74" si="9">A42+1</f>
        <v>1958</v>
      </c>
      <c r="B43" s="19">
        <f>Hist_Stat_Adj!Q44</f>
        <v>243</v>
      </c>
      <c r="C43" s="19">
        <f t="shared" si="3"/>
        <v>266.48019911777027</v>
      </c>
      <c r="D43" s="29">
        <f t="shared" si="6"/>
        <v>98.091183119819135</v>
      </c>
      <c r="E43" s="29">
        <f t="shared" si="6"/>
        <v>21.363978899773926</v>
      </c>
      <c r="F43" s="29">
        <f t="shared" si="6"/>
        <v>69.58553127354935</v>
      </c>
      <c r="G43" s="29">
        <f t="shared" si="6"/>
        <v>53.959306706857575</v>
      </c>
      <c r="H43" s="33">
        <f t="shared" si="7"/>
        <v>23.480199117770272</v>
      </c>
      <c r="I43" s="19">
        <f>Hist_Stat_Adj!R44</f>
        <v>201</v>
      </c>
      <c r="J43" s="19">
        <f>Hist_Stat_Adj!S44</f>
        <v>38</v>
      </c>
      <c r="K43" s="19">
        <f>Hist_Stat_Adj!T44</f>
        <v>37</v>
      </c>
      <c r="L43" s="19">
        <f>Hist_Stat_Adj!U44</f>
        <v>51</v>
      </c>
      <c r="M43" s="19">
        <f>Hist_Stat_Adj!V44</f>
        <v>37</v>
      </c>
      <c r="N43" s="19">
        <f>Hist_Stat_Adj!W44</f>
        <v>47</v>
      </c>
      <c r="O43" s="19">
        <f t="shared" si="8"/>
        <v>677.48019911777033</v>
      </c>
      <c r="Q43">
        <v>243</v>
      </c>
      <c r="R43">
        <v>84</v>
      </c>
      <c r="U43" s="5"/>
      <c r="W43" s="5"/>
      <c r="X43" s="5"/>
    </row>
    <row r="44" spans="1:31" x14ac:dyDescent="0.2">
      <c r="A44">
        <f t="shared" si="9"/>
        <v>1959</v>
      </c>
      <c r="B44" s="19">
        <f>Hist_Stat_Adj!Q45</f>
        <v>281</v>
      </c>
      <c r="C44" s="19">
        <f t="shared" si="3"/>
        <v>308.15199980285371</v>
      </c>
      <c r="D44" s="29">
        <f t="shared" si="6"/>
        <v>113.43054508917358</v>
      </c>
      <c r="E44" s="29">
        <f t="shared" si="6"/>
        <v>24.704848028133632</v>
      </c>
      <c r="F44" s="29">
        <f t="shared" si="6"/>
        <v>80.46721929163526</v>
      </c>
      <c r="G44" s="29">
        <f t="shared" si="6"/>
        <v>62.397387591057523</v>
      </c>
      <c r="H44" s="33">
        <f t="shared" si="7"/>
        <v>27.151999802853691</v>
      </c>
      <c r="I44" s="19">
        <f>Hist_Stat_Adj!R45</f>
        <v>181</v>
      </c>
      <c r="J44" s="19">
        <f>Hist_Stat_Adj!S45</f>
        <v>38</v>
      </c>
      <c r="K44" s="19">
        <f>Hist_Stat_Adj!T45</f>
        <v>34</v>
      </c>
      <c r="L44" s="19">
        <f>Hist_Stat_Adj!U45</f>
        <v>54</v>
      </c>
      <c r="M44" s="19">
        <f>Hist_Stat_Adj!V45</f>
        <v>43</v>
      </c>
      <c r="N44" s="19">
        <f>Hist_Stat_Adj!W45</f>
        <v>35</v>
      </c>
      <c r="O44" s="19">
        <f t="shared" si="8"/>
        <v>693.15199980285365</v>
      </c>
      <c r="Q44">
        <v>281</v>
      </c>
      <c r="R44">
        <v>78</v>
      </c>
      <c r="U44" s="5"/>
      <c r="W44" s="5"/>
      <c r="X44" s="5"/>
    </row>
    <row r="45" spans="1:31" x14ac:dyDescent="0.2">
      <c r="A45">
        <f t="shared" si="9"/>
        <v>1960</v>
      </c>
      <c r="B45">
        <f>SUM(D45:G45)</f>
        <v>285</v>
      </c>
      <c r="C45" s="19">
        <f t="shared" si="3"/>
        <v>312.53850513812563</v>
      </c>
      <c r="D45" s="28">
        <f>DODCompareOld!B37</f>
        <v>125</v>
      </c>
      <c r="E45" s="28">
        <f>DODCompareOld!D37</f>
        <v>24</v>
      </c>
      <c r="F45" s="28">
        <f>DODCompareOld!C37</f>
        <v>77</v>
      </c>
      <c r="G45" s="28">
        <f>DODCompareOld!E37</f>
        <v>59</v>
      </c>
      <c r="H45" s="33">
        <f t="shared" si="7"/>
        <v>27.538505138125629</v>
      </c>
      <c r="I45">
        <v>198</v>
      </c>
      <c r="J45">
        <v>36</v>
      </c>
      <c r="K45">
        <v>34</v>
      </c>
      <c r="L45">
        <v>54</v>
      </c>
      <c r="M45">
        <v>44</v>
      </c>
      <c r="N45">
        <v>31</v>
      </c>
      <c r="O45" s="19">
        <f t="shared" si="8"/>
        <v>709.53850513812563</v>
      </c>
      <c r="Q45">
        <v>283</v>
      </c>
      <c r="R45">
        <v>76</v>
      </c>
    </row>
    <row r="46" spans="1:31" x14ac:dyDescent="0.2">
      <c r="A46">
        <f t="shared" si="9"/>
        <v>1961</v>
      </c>
      <c r="B46">
        <f t="shared" ref="B46:B74" si="10">SUM(D46:G46)</f>
        <v>295</v>
      </c>
      <c r="C46" s="19">
        <f t="shared" si="3"/>
        <v>323.50476847630546</v>
      </c>
      <c r="D46" s="28">
        <f>DODCompareOld!B38</f>
        <v>129</v>
      </c>
      <c r="E46" s="28">
        <f>DODCompareOld!D38</f>
        <v>26</v>
      </c>
      <c r="F46" s="28">
        <f>DODCompareOld!C38</f>
        <v>76</v>
      </c>
      <c r="G46" s="28">
        <f>DODCompareOld!E38</f>
        <v>64</v>
      </c>
      <c r="H46" s="33">
        <f t="shared" si="7"/>
        <v>28.504768476305475</v>
      </c>
      <c r="I46">
        <v>197</v>
      </c>
      <c r="J46">
        <v>45</v>
      </c>
      <c r="K46">
        <v>33</v>
      </c>
      <c r="L46">
        <v>53</v>
      </c>
      <c r="M46">
        <v>41</v>
      </c>
      <c r="N46">
        <f t="shared" ref="N46:N74" si="11">R46-M46</f>
        <v>30</v>
      </c>
      <c r="O46" s="19">
        <f t="shared" si="8"/>
        <v>722.50476847630546</v>
      </c>
      <c r="Q46">
        <v>293</v>
      </c>
      <c r="R46">
        <v>71</v>
      </c>
    </row>
    <row r="47" spans="1:31" x14ac:dyDescent="0.2">
      <c r="A47">
        <f t="shared" si="9"/>
        <v>1962</v>
      </c>
      <c r="B47">
        <f t="shared" si="10"/>
        <v>328</v>
      </c>
      <c r="C47" s="19">
        <f t="shared" si="3"/>
        <v>359.69343749229898</v>
      </c>
      <c r="D47" s="28">
        <f>DODCompareOld!B39</f>
        <v>133</v>
      </c>
      <c r="E47" s="28">
        <f>DODCompareOld!D39</f>
        <v>27</v>
      </c>
      <c r="F47" s="28">
        <f>DODCompareOld!C39</f>
        <v>99</v>
      </c>
      <c r="G47" s="28">
        <f>DODCompareOld!E39</f>
        <v>69</v>
      </c>
      <c r="H47" s="33">
        <f t="shared" si="7"/>
        <v>31.693437492298969</v>
      </c>
      <c r="I47">
        <v>193</v>
      </c>
      <c r="J47">
        <v>50</v>
      </c>
      <c r="K47">
        <v>35</v>
      </c>
      <c r="L47">
        <v>53</v>
      </c>
      <c r="M47">
        <v>40</v>
      </c>
      <c r="N47">
        <f t="shared" si="11"/>
        <v>28</v>
      </c>
      <c r="O47" s="19">
        <f t="shared" si="8"/>
        <v>758.69343749229893</v>
      </c>
      <c r="Q47">
        <v>326</v>
      </c>
      <c r="R47">
        <v>68</v>
      </c>
    </row>
    <row r="48" spans="1:31" x14ac:dyDescent="0.2">
      <c r="A48">
        <f t="shared" si="9"/>
        <v>1963</v>
      </c>
      <c r="B48">
        <f t="shared" si="10"/>
        <v>349</v>
      </c>
      <c r="C48" s="19">
        <f t="shared" si="3"/>
        <v>382.72259050247663</v>
      </c>
      <c r="D48" s="28">
        <f>DODCompareOld!B40</f>
        <v>139</v>
      </c>
      <c r="E48" s="28">
        <f>DODCompareOld!D40</f>
        <v>33</v>
      </c>
      <c r="F48" s="28">
        <f>DODCompareOld!C40</f>
        <v>105</v>
      </c>
      <c r="G48" s="28">
        <f>DODCompareOld!E40</f>
        <v>72</v>
      </c>
      <c r="H48" s="33">
        <f t="shared" si="7"/>
        <v>33.722590502476649</v>
      </c>
      <c r="I48">
        <v>199</v>
      </c>
      <c r="J48">
        <v>66</v>
      </c>
      <c r="K48">
        <v>43</v>
      </c>
      <c r="L48">
        <v>48</v>
      </c>
      <c r="M48">
        <v>39</v>
      </c>
      <c r="N48">
        <f t="shared" si="11"/>
        <v>33</v>
      </c>
      <c r="O48" s="19">
        <f t="shared" si="8"/>
        <v>810.72259050247658</v>
      </c>
      <c r="Q48">
        <v>347</v>
      </c>
      <c r="R48">
        <v>72</v>
      </c>
    </row>
    <row r="49" spans="1:18" x14ac:dyDescent="0.2">
      <c r="A49">
        <f t="shared" si="9"/>
        <v>1964</v>
      </c>
      <c r="B49">
        <f t="shared" si="10"/>
        <v>362</v>
      </c>
      <c r="C49" s="19">
        <f t="shared" si="3"/>
        <v>396.97873284211045</v>
      </c>
      <c r="D49" s="28">
        <f>DODCompareOld!B41</f>
        <v>149</v>
      </c>
      <c r="E49" s="28">
        <f>DODCompareOld!D41</f>
        <v>33</v>
      </c>
      <c r="F49" s="28">
        <f>DODCompareOld!C41</f>
        <v>97</v>
      </c>
      <c r="G49" s="28">
        <f>DODCompareOld!E41</f>
        <v>83</v>
      </c>
      <c r="H49" s="33">
        <f t="shared" si="7"/>
        <v>34.978732842110446</v>
      </c>
      <c r="I49">
        <v>205</v>
      </c>
      <c r="J49">
        <v>67</v>
      </c>
      <c r="K49">
        <v>35</v>
      </c>
      <c r="L49">
        <v>50</v>
      </c>
      <c r="M49">
        <v>36</v>
      </c>
      <c r="N49">
        <f t="shared" si="11"/>
        <v>37</v>
      </c>
      <c r="O49" s="19">
        <f t="shared" si="8"/>
        <v>826.9787328421105</v>
      </c>
      <c r="Q49">
        <v>360</v>
      </c>
      <c r="R49">
        <v>73</v>
      </c>
    </row>
    <row r="50" spans="1:18" x14ac:dyDescent="0.2">
      <c r="A50">
        <f t="shared" si="9"/>
        <v>1965</v>
      </c>
      <c r="B50">
        <f t="shared" si="10"/>
        <v>418</v>
      </c>
      <c r="C50" s="19">
        <f t="shared" si="3"/>
        <v>458.38980753591761</v>
      </c>
      <c r="D50" s="28">
        <f>DODCompareOld!B42</f>
        <v>181</v>
      </c>
      <c r="E50" s="28">
        <f>DODCompareOld!D42</f>
        <v>37</v>
      </c>
      <c r="F50" s="28">
        <f>DODCompareOld!C42</f>
        <v>109</v>
      </c>
      <c r="G50" s="28">
        <f>DODCompareOld!E42</f>
        <v>91</v>
      </c>
      <c r="H50" s="33">
        <f t="shared" si="7"/>
        <v>40.389807535917591</v>
      </c>
      <c r="I50">
        <v>228</v>
      </c>
      <c r="J50">
        <v>60</v>
      </c>
      <c r="K50">
        <v>36</v>
      </c>
      <c r="L50">
        <v>45</v>
      </c>
      <c r="M50">
        <v>48</v>
      </c>
      <c r="N50">
        <f t="shared" si="11"/>
        <v>40</v>
      </c>
      <c r="O50" s="19">
        <f t="shared" si="8"/>
        <v>915.38980753591761</v>
      </c>
      <c r="Q50">
        <v>415</v>
      </c>
      <c r="R50">
        <v>88</v>
      </c>
    </row>
    <row r="51" spans="1:18" x14ac:dyDescent="0.2">
      <c r="A51">
        <f t="shared" si="9"/>
        <v>1966</v>
      </c>
      <c r="B51">
        <f t="shared" si="10"/>
        <v>444</v>
      </c>
      <c r="C51" s="19">
        <f t="shared" si="3"/>
        <v>486.90209221518518</v>
      </c>
      <c r="D51" s="28">
        <f>DODCompareOld!B43</f>
        <v>182</v>
      </c>
      <c r="E51" s="28">
        <f>DODCompareOld!D43</f>
        <v>39</v>
      </c>
      <c r="F51" s="28">
        <f>DODCompareOld!C43</f>
        <v>110</v>
      </c>
      <c r="G51" s="28">
        <f>DODCompareOld!E43</f>
        <v>113</v>
      </c>
      <c r="H51" s="33">
        <f t="shared" si="7"/>
        <v>42.902092215185192</v>
      </c>
      <c r="I51">
        <v>248</v>
      </c>
      <c r="J51">
        <v>60</v>
      </c>
      <c r="K51">
        <v>37</v>
      </c>
      <c r="L51">
        <v>45</v>
      </c>
      <c r="M51">
        <v>47</v>
      </c>
      <c r="N51">
        <f t="shared" si="11"/>
        <v>42</v>
      </c>
      <c r="O51" s="19">
        <f t="shared" si="8"/>
        <v>965.90209221518512</v>
      </c>
      <c r="Q51">
        <v>442</v>
      </c>
      <c r="R51">
        <v>89</v>
      </c>
    </row>
    <row r="52" spans="1:18" x14ac:dyDescent="0.2">
      <c r="A52">
        <f t="shared" si="9"/>
        <v>1967</v>
      </c>
      <c r="B52">
        <f t="shared" si="10"/>
        <v>427</v>
      </c>
      <c r="C52" s="19">
        <f t="shared" si="3"/>
        <v>468.25944454027945</v>
      </c>
      <c r="D52" s="28">
        <f>DODCompareOld!B44</f>
        <v>170</v>
      </c>
      <c r="E52" s="28">
        <f>DODCompareOld!D44</f>
        <v>39</v>
      </c>
      <c r="F52" s="28">
        <f>DODCompareOld!C44</f>
        <v>122</v>
      </c>
      <c r="G52" s="28">
        <f>DODCompareOld!E44</f>
        <v>96</v>
      </c>
      <c r="H52" s="33">
        <f t="shared" si="7"/>
        <v>41.259444540279453</v>
      </c>
      <c r="I52">
        <v>245</v>
      </c>
      <c r="J52">
        <v>66</v>
      </c>
      <c r="K52">
        <v>37</v>
      </c>
      <c r="L52">
        <v>42</v>
      </c>
      <c r="M52">
        <v>43</v>
      </c>
      <c r="N52">
        <f t="shared" si="11"/>
        <v>45</v>
      </c>
      <c r="O52" s="19">
        <f t="shared" si="8"/>
        <v>946.25944454027945</v>
      </c>
      <c r="Q52">
        <v>424</v>
      </c>
      <c r="R52">
        <v>88</v>
      </c>
    </row>
    <row r="53" spans="1:18" x14ac:dyDescent="0.2">
      <c r="A53">
        <f t="shared" si="9"/>
        <v>1968</v>
      </c>
      <c r="B53">
        <f t="shared" si="10"/>
        <v>499</v>
      </c>
      <c r="C53" s="19">
        <f t="shared" si="3"/>
        <v>547.21654057517435</v>
      </c>
      <c r="D53" s="28">
        <f>DODCompareOld!B45</f>
        <v>194</v>
      </c>
      <c r="E53" s="28">
        <f>DODCompareOld!D45</f>
        <v>40</v>
      </c>
      <c r="F53" s="28">
        <f>DODCompareOld!C45</f>
        <v>153</v>
      </c>
      <c r="G53" s="28">
        <f>DODCompareOld!E45</f>
        <v>112</v>
      </c>
      <c r="H53" s="33">
        <f t="shared" si="7"/>
        <v>48.216540575174349</v>
      </c>
      <c r="I53">
        <v>237</v>
      </c>
      <c r="J53">
        <v>69</v>
      </c>
      <c r="K53">
        <v>40</v>
      </c>
      <c r="L53">
        <v>39</v>
      </c>
      <c r="M53">
        <v>47</v>
      </c>
      <c r="N53">
        <f t="shared" si="11"/>
        <v>49</v>
      </c>
      <c r="O53" s="19">
        <f t="shared" si="8"/>
        <v>1028.2165405751743</v>
      </c>
      <c r="Q53">
        <v>496</v>
      </c>
      <c r="R53">
        <v>96</v>
      </c>
    </row>
    <row r="54" spans="1:18" x14ac:dyDescent="0.2">
      <c r="A54">
        <f t="shared" si="9"/>
        <v>1969</v>
      </c>
      <c r="B54">
        <f t="shared" si="10"/>
        <v>574</v>
      </c>
      <c r="C54" s="19">
        <f t="shared" si="3"/>
        <v>629.46351561152323</v>
      </c>
      <c r="D54" s="28">
        <f>DODCompareOld!B46</f>
        <v>205</v>
      </c>
      <c r="E54" s="28">
        <f>DODCompareOld!D46</f>
        <v>52</v>
      </c>
      <c r="F54" s="28">
        <f>DODCompareOld!C46</f>
        <v>192</v>
      </c>
      <c r="G54" s="28">
        <f>DODCompareOld!E46</f>
        <v>125</v>
      </c>
      <c r="H54" s="33">
        <f t="shared" si="7"/>
        <v>55.463515611523192</v>
      </c>
      <c r="I54">
        <v>222</v>
      </c>
      <c r="J54">
        <v>87</v>
      </c>
      <c r="K54">
        <v>36</v>
      </c>
      <c r="L54">
        <v>33</v>
      </c>
      <c r="M54">
        <v>53</v>
      </c>
      <c r="N54">
        <f t="shared" si="11"/>
        <v>46</v>
      </c>
      <c r="O54" s="19">
        <f t="shared" si="8"/>
        <v>1106.4635156115232</v>
      </c>
      <c r="Q54">
        <v>573</v>
      </c>
      <c r="R54">
        <v>99</v>
      </c>
    </row>
    <row r="55" spans="1:18" x14ac:dyDescent="0.2">
      <c r="A55">
        <f t="shared" si="9"/>
        <v>1970</v>
      </c>
      <c r="B55">
        <f t="shared" si="10"/>
        <v>530</v>
      </c>
      <c r="C55" s="19">
        <f t="shared" si="3"/>
        <v>581.21195692353183</v>
      </c>
      <c r="D55" s="28">
        <f>DODCompareOld!B47</f>
        <v>189</v>
      </c>
      <c r="E55" s="28">
        <f>DODCompareOld!D47</f>
        <v>54</v>
      </c>
      <c r="F55" s="28">
        <f>DODCompareOld!C47</f>
        <v>171</v>
      </c>
      <c r="G55" s="28">
        <f>DODCompareOld!E47</f>
        <v>116</v>
      </c>
      <c r="H55" s="33">
        <f t="shared" si="7"/>
        <v>51.211956923531872</v>
      </c>
      <c r="I55">
        <v>195</v>
      </c>
      <c r="J55">
        <v>75</v>
      </c>
      <c r="K55">
        <v>29</v>
      </c>
      <c r="L55">
        <v>27</v>
      </c>
      <c r="M55">
        <v>47</v>
      </c>
      <c r="N55">
        <f t="shared" si="11"/>
        <v>42</v>
      </c>
      <c r="O55" s="19">
        <f t="shared" si="8"/>
        <v>996.21195692353183</v>
      </c>
      <c r="Q55">
        <v>530</v>
      </c>
      <c r="R55">
        <v>89</v>
      </c>
    </row>
    <row r="56" spans="1:18" x14ac:dyDescent="0.2">
      <c r="A56">
        <f t="shared" si="9"/>
        <v>1971</v>
      </c>
      <c r="B56">
        <f t="shared" si="10"/>
        <v>552</v>
      </c>
      <c r="C56" s="19">
        <f t="shared" si="3"/>
        <v>605.33773626752759</v>
      </c>
      <c r="D56" s="28">
        <f>DODCompareOld!B48</f>
        <v>206</v>
      </c>
      <c r="E56" s="28">
        <f>DODCompareOld!D48</f>
        <v>49</v>
      </c>
      <c r="F56" s="28">
        <f>DODCompareOld!C48</f>
        <v>172</v>
      </c>
      <c r="G56" s="28">
        <f>DODCompareOld!E48</f>
        <v>125</v>
      </c>
      <c r="H56" s="33">
        <f t="shared" si="7"/>
        <v>53.337736267527532</v>
      </c>
      <c r="I56">
        <v>189</v>
      </c>
      <c r="J56">
        <v>76</v>
      </c>
      <c r="K56">
        <v>40</v>
      </c>
      <c r="L56">
        <v>26</v>
      </c>
      <c r="M56">
        <v>52</v>
      </c>
      <c r="N56">
        <f t="shared" si="11"/>
        <v>46</v>
      </c>
      <c r="O56" s="19">
        <f t="shared" si="8"/>
        <v>1034.3377362675276</v>
      </c>
      <c r="R56">
        <v>98</v>
      </c>
    </row>
    <row r="57" spans="1:18" x14ac:dyDescent="0.2">
      <c r="A57">
        <f t="shared" si="9"/>
        <v>1972</v>
      </c>
      <c r="B57">
        <f t="shared" si="10"/>
        <v>643</v>
      </c>
      <c r="C57" s="19">
        <f t="shared" si="3"/>
        <v>705.13073264496416</v>
      </c>
      <c r="D57" s="28">
        <f>DODCompareOld!B49</f>
        <v>252</v>
      </c>
      <c r="E57" s="28">
        <f>DODCompareOld!D49</f>
        <v>44</v>
      </c>
      <c r="F57" s="28">
        <f>DODCompareOld!C49</f>
        <v>188</v>
      </c>
      <c r="G57" s="28">
        <f>DODCompareOld!E49</f>
        <v>159</v>
      </c>
      <c r="H57" s="33">
        <f t="shared" si="7"/>
        <v>62.130732644964134</v>
      </c>
      <c r="I57">
        <v>157</v>
      </c>
      <c r="J57">
        <v>84</v>
      </c>
      <c r="K57">
        <v>39</v>
      </c>
      <c r="L57">
        <v>27</v>
      </c>
      <c r="M57">
        <v>51</v>
      </c>
      <c r="N57">
        <f t="shared" si="11"/>
        <v>45</v>
      </c>
      <c r="O57" s="19">
        <f t="shared" si="8"/>
        <v>1108.1307326449642</v>
      </c>
      <c r="R57">
        <v>96</v>
      </c>
    </row>
    <row r="58" spans="1:18" x14ac:dyDescent="0.2">
      <c r="A58">
        <f t="shared" si="9"/>
        <v>1973</v>
      </c>
      <c r="B58">
        <f t="shared" si="10"/>
        <v>717</v>
      </c>
      <c r="C58" s="19">
        <f t="shared" si="3"/>
        <v>786.28108134749505</v>
      </c>
      <c r="D58" s="28">
        <f>DODCompareOld!B50</f>
        <v>263</v>
      </c>
      <c r="E58" s="28">
        <f>DODCompareOld!D50</f>
        <v>44</v>
      </c>
      <c r="F58" s="28">
        <f>DODCompareOld!C50</f>
        <v>195</v>
      </c>
      <c r="G58" s="28">
        <f>DODCompareOld!E50</f>
        <v>215</v>
      </c>
      <c r="H58" s="33">
        <f t="shared" si="7"/>
        <v>69.281081347495004</v>
      </c>
      <c r="I58">
        <v>156</v>
      </c>
      <c r="J58">
        <v>76</v>
      </c>
      <c r="K58">
        <v>49</v>
      </c>
      <c r="L58">
        <v>26</v>
      </c>
      <c r="M58">
        <v>63</v>
      </c>
      <c r="N58">
        <f t="shared" si="11"/>
        <v>57</v>
      </c>
      <c r="O58" s="19">
        <f t="shared" si="8"/>
        <v>1213.281081347495</v>
      </c>
      <c r="R58">
        <v>120</v>
      </c>
    </row>
    <row r="59" spans="1:18" x14ac:dyDescent="0.2">
      <c r="A59">
        <f t="shared" si="9"/>
        <v>1974</v>
      </c>
      <c r="B59">
        <f t="shared" si="10"/>
        <v>594</v>
      </c>
      <c r="C59" s="19">
        <f t="shared" si="3"/>
        <v>651.39604228788289</v>
      </c>
      <c r="D59" s="28">
        <f>DODCompareOld!B51</f>
        <v>203</v>
      </c>
      <c r="E59" s="28">
        <f>DODCompareOld!D51</f>
        <v>50</v>
      </c>
      <c r="F59" s="28">
        <f>DODCompareOld!C51</f>
        <v>159</v>
      </c>
      <c r="G59" s="28">
        <f>DODCompareOld!E51</f>
        <v>182</v>
      </c>
      <c r="H59" s="33">
        <f t="shared" si="7"/>
        <v>57.396042287882885</v>
      </c>
      <c r="I59">
        <v>176</v>
      </c>
      <c r="J59">
        <v>75</v>
      </c>
      <c r="K59">
        <v>47</v>
      </c>
      <c r="L59">
        <v>27</v>
      </c>
      <c r="M59">
        <v>58</v>
      </c>
      <c r="N59">
        <f t="shared" si="11"/>
        <v>59</v>
      </c>
      <c r="O59" s="19">
        <f t="shared" si="8"/>
        <v>1093.3960422878829</v>
      </c>
      <c r="R59">
        <v>117</v>
      </c>
    </row>
    <row r="60" spans="1:18" x14ac:dyDescent="0.2">
      <c r="A60">
        <f t="shared" si="9"/>
        <v>1975</v>
      </c>
      <c r="B60">
        <f t="shared" si="10"/>
        <v>409</v>
      </c>
      <c r="C60" s="19">
        <f t="shared" si="3"/>
        <v>448.52017053155572</v>
      </c>
      <c r="D60" s="28">
        <f>DODCompareOld!B52</f>
        <v>149</v>
      </c>
      <c r="E60" s="28">
        <f>DODCompareOld!D52</f>
        <v>47</v>
      </c>
      <c r="F60" s="28">
        <f>DODCompareOld!C52</f>
        <v>107</v>
      </c>
      <c r="G60" s="28">
        <f>DODCompareOld!E52</f>
        <v>106</v>
      </c>
      <c r="H60" s="33">
        <f t="shared" si="7"/>
        <v>39.520170531555728</v>
      </c>
      <c r="I60">
        <v>152</v>
      </c>
      <c r="J60">
        <v>63</v>
      </c>
      <c r="K60">
        <v>46</v>
      </c>
      <c r="L60">
        <v>28</v>
      </c>
      <c r="M60">
        <v>52</v>
      </c>
      <c r="N60">
        <f t="shared" si="11"/>
        <v>53</v>
      </c>
      <c r="O60" s="19">
        <f t="shared" si="8"/>
        <v>842.52017053155578</v>
      </c>
      <c r="R60">
        <v>105</v>
      </c>
    </row>
    <row r="61" spans="1:18" x14ac:dyDescent="0.2">
      <c r="A61">
        <f t="shared" si="9"/>
        <v>1976</v>
      </c>
      <c r="B61">
        <f t="shared" si="10"/>
        <v>440</v>
      </c>
      <c r="C61" s="19">
        <f t="shared" si="3"/>
        <v>482.51558687991326</v>
      </c>
      <c r="D61" s="28">
        <f>DODCompareOld!B53</f>
        <v>177</v>
      </c>
      <c r="E61" s="28">
        <f>DODCompareOld!D53</f>
        <v>35</v>
      </c>
      <c r="F61" s="28">
        <f>DODCompareOld!C53</f>
        <v>106</v>
      </c>
      <c r="G61" s="28">
        <f>DODCompareOld!E53</f>
        <v>122</v>
      </c>
      <c r="H61" s="33">
        <f t="shared" si="7"/>
        <v>42.515586879913251</v>
      </c>
      <c r="I61">
        <v>118</v>
      </c>
      <c r="J61">
        <v>71</v>
      </c>
      <c r="K61">
        <v>42</v>
      </c>
      <c r="L61">
        <v>31</v>
      </c>
      <c r="M61">
        <v>48</v>
      </c>
      <c r="N61">
        <f t="shared" si="11"/>
        <v>51</v>
      </c>
      <c r="O61" s="19">
        <f t="shared" si="8"/>
        <v>843.51558687991326</v>
      </c>
      <c r="R61">
        <v>99</v>
      </c>
    </row>
    <row r="62" spans="1:18" x14ac:dyDescent="0.2">
      <c r="A62">
        <f t="shared" si="9"/>
        <v>1977</v>
      </c>
      <c r="B62">
        <f t="shared" si="10"/>
        <v>563</v>
      </c>
      <c r="C62" s="19">
        <f t="shared" si="3"/>
        <v>617.40062593952541</v>
      </c>
      <c r="D62" s="28">
        <f>DODCompareOld!B54</f>
        <v>212</v>
      </c>
      <c r="E62" s="28">
        <f>DODCompareOld!D54</f>
        <v>44</v>
      </c>
      <c r="F62" s="28">
        <f>DODCompareOld!C54</f>
        <v>137</v>
      </c>
      <c r="G62" s="28">
        <f>DODCompareOld!E54</f>
        <v>170</v>
      </c>
      <c r="H62" s="33">
        <f t="shared" si="7"/>
        <v>54.400625939525362</v>
      </c>
      <c r="I62">
        <v>112</v>
      </c>
      <c r="J62">
        <v>66</v>
      </c>
      <c r="K62">
        <v>43</v>
      </c>
      <c r="L62">
        <v>32</v>
      </c>
      <c r="M62">
        <v>48</v>
      </c>
      <c r="N62">
        <f t="shared" si="11"/>
        <v>57</v>
      </c>
      <c r="O62" s="19">
        <f t="shared" si="8"/>
        <v>975.40062593952541</v>
      </c>
      <c r="R62">
        <v>105</v>
      </c>
    </row>
    <row r="63" spans="1:18" x14ac:dyDescent="0.2">
      <c r="A63">
        <f t="shared" si="9"/>
        <v>1978</v>
      </c>
      <c r="B63">
        <f t="shared" si="10"/>
        <v>757</v>
      </c>
      <c r="C63" s="19">
        <f t="shared" si="3"/>
        <v>830.14613470021436</v>
      </c>
      <c r="D63" s="28">
        <f>DODCompareOld!B55</f>
        <v>242</v>
      </c>
      <c r="E63" s="28">
        <f>DODCompareOld!D55</f>
        <v>58</v>
      </c>
      <c r="F63" s="28">
        <f>DODCompareOld!C55</f>
        <v>207</v>
      </c>
      <c r="G63" s="28">
        <f>DODCompareOld!E55</f>
        <v>250</v>
      </c>
      <c r="H63" s="33">
        <f t="shared" si="7"/>
        <v>73.14613470021439</v>
      </c>
      <c r="I63">
        <v>104</v>
      </c>
      <c r="J63">
        <v>53</v>
      </c>
      <c r="K63">
        <v>22</v>
      </c>
      <c r="L63">
        <v>35</v>
      </c>
      <c r="M63">
        <v>53</v>
      </c>
      <c r="N63">
        <f t="shared" si="11"/>
        <v>43</v>
      </c>
      <c r="O63" s="19">
        <f t="shared" si="8"/>
        <v>1140.1461347002144</v>
      </c>
      <c r="R63">
        <v>96</v>
      </c>
    </row>
    <row r="64" spans="1:18" x14ac:dyDescent="0.2">
      <c r="A64">
        <f t="shared" si="9"/>
        <v>1979</v>
      </c>
      <c r="B64">
        <f t="shared" si="10"/>
        <v>816</v>
      </c>
      <c r="C64" s="19">
        <f t="shared" si="3"/>
        <v>894.84708839547545</v>
      </c>
      <c r="D64" s="28">
        <f>DODCompareOld!B56</f>
        <v>250</v>
      </c>
      <c r="E64" s="28">
        <f>DODCompareOld!D56</f>
        <v>71</v>
      </c>
      <c r="F64" s="28">
        <f>DODCompareOld!C56</f>
        <v>235</v>
      </c>
      <c r="G64" s="28">
        <f>DODCompareOld!E56</f>
        <v>260</v>
      </c>
      <c r="H64" s="33">
        <f t="shared" si="7"/>
        <v>78.847088395475481</v>
      </c>
      <c r="I64">
        <v>102</v>
      </c>
      <c r="J64">
        <v>57</v>
      </c>
      <c r="K64">
        <v>20</v>
      </c>
      <c r="L64">
        <v>34</v>
      </c>
      <c r="M64">
        <v>53</v>
      </c>
      <c r="N64">
        <f t="shared" si="11"/>
        <v>53</v>
      </c>
      <c r="O64" s="19">
        <f t="shared" si="8"/>
        <v>1213.8470883954756</v>
      </c>
      <c r="R64">
        <v>106</v>
      </c>
    </row>
    <row r="65" spans="1:30" x14ac:dyDescent="0.2">
      <c r="A65">
        <f t="shared" si="9"/>
        <v>1980</v>
      </c>
      <c r="B65">
        <f t="shared" si="10"/>
        <v>688</v>
      </c>
      <c r="C65" s="19">
        <f t="shared" si="3"/>
        <v>738</v>
      </c>
      <c r="D65" s="28">
        <f>DODCompareOld!B57</f>
        <v>183</v>
      </c>
      <c r="E65" s="28">
        <f>DODCompareOld!D57</f>
        <v>66</v>
      </c>
      <c r="F65" s="28">
        <f>DODCompareOld!C57</f>
        <v>243</v>
      </c>
      <c r="G65" s="28">
        <f>DODCompareOld!E57</f>
        <v>196</v>
      </c>
      <c r="H65" s="10">
        <f>DODCompareOld!AB57</f>
        <v>50</v>
      </c>
      <c r="I65" s="3">
        <v>103</v>
      </c>
      <c r="J65" s="2">
        <v>55</v>
      </c>
      <c r="K65" s="2">
        <v>18</v>
      </c>
      <c r="L65">
        <v>28</v>
      </c>
      <c r="M65">
        <v>49</v>
      </c>
      <c r="N65">
        <f t="shared" si="11"/>
        <v>52</v>
      </c>
      <c r="O65">
        <f t="shared" si="8"/>
        <v>1043</v>
      </c>
      <c r="R65" s="2">
        <v>101</v>
      </c>
    </row>
    <row r="66" spans="1:30" x14ac:dyDescent="0.2">
      <c r="A66">
        <f t="shared" si="9"/>
        <v>1981</v>
      </c>
      <c r="B66">
        <f t="shared" si="10"/>
        <v>732</v>
      </c>
      <c r="C66" s="19">
        <f t="shared" si="3"/>
        <v>787</v>
      </c>
      <c r="D66" s="28">
        <f>DODCompareOld!B58</f>
        <v>153</v>
      </c>
      <c r="E66" s="28">
        <f>DODCompareOld!D58</f>
        <v>70</v>
      </c>
      <c r="F66" s="28">
        <f>DODCompareOld!C58</f>
        <v>328</v>
      </c>
      <c r="G66" s="28">
        <f>DODCompareOld!E58</f>
        <v>181</v>
      </c>
      <c r="H66" s="10">
        <f>DODCompareOld!AB58</f>
        <v>55</v>
      </c>
      <c r="I66" s="2">
        <v>83</v>
      </c>
      <c r="J66" s="2">
        <v>60</v>
      </c>
      <c r="K66" s="2">
        <v>14</v>
      </c>
      <c r="L66">
        <v>25</v>
      </c>
      <c r="M66">
        <v>46</v>
      </c>
      <c r="N66">
        <f t="shared" si="11"/>
        <v>41</v>
      </c>
      <c r="O66">
        <f t="shared" si="8"/>
        <v>1056</v>
      </c>
      <c r="R66" s="2">
        <v>87</v>
      </c>
    </row>
    <row r="67" spans="1:30" x14ac:dyDescent="0.2">
      <c r="A67">
        <f t="shared" si="9"/>
        <v>1982</v>
      </c>
      <c r="B67">
        <f t="shared" si="10"/>
        <v>571</v>
      </c>
      <c r="C67" s="19">
        <f t="shared" si="3"/>
        <v>631</v>
      </c>
      <c r="D67">
        <v>125.81</v>
      </c>
      <c r="E67">
        <v>44.44</v>
      </c>
      <c r="F67" s="28">
        <v>264</v>
      </c>
      <c r="G67">
        <v>136.75</v>
      </c>
      <c r="H67" s="10">
        <f>DODCompareOld!AB59</f>
        <v>60</v>
      </c>
      <c r="I67" s="2">
        <v>82</v>
      </c>
      <c r="J67" s="2">
        <v>71</v>
      </c>
      <c r="K67" s="2">
        <v>19</v>
      </c>
      <c r="L67">
        <v>25</v>
      </c>
      <c r="M67">
        <v>38</v>
      </c>
      <c r="N67">
        <f t="shared" si="11"/>
        <v>30</v>
      </c>
      <c r="O67">
        <f t="shared" si="8"/>
        <v>896</v>
      </c>
      <c r="R67" s="2">
        <v>68</v>
      </c>
    </row>
    <row r="68" spans="1:30" x14ac:dyDescent="0.2">
      <c r="A68">
        <f t="shared" si="9"/>
        <v>1983</v>
      </c>
      <c r="B68">
        <f t="shared" si="10"/>
        <v>647</v>
      </c>
      <c r="C68" s="19">
        <f t="shared" si="3"/>
        <v>716</v>
      </c>
      <c r="D68">
        <v>150.38999999999999</v>
      </c>
      <c r="E68">
        <v>53.13</v>
      </c>
      <c r="F68" s="28">
        <v>280</v>
      </c>
      <c r="G68">
        <v>163.47999999999999</v>
      </c>
      <c r="H68" s="10">
        <f>DODCompareOld!AB60</f>
        <v>69</v>
      </c>
      <c r="I68" s="2">
        <v>84</v>
      </c>
      <c r="J68" s="2">
        <v>84</v>
      </c>
      <c r="K68" s="2">
        <v>20</v>
      </c>
      <c r="L68">
        <v>29</v>
      </c>
      <c r="M68">
        <v>36</v>
      </c>
      <c r="N68">
        <f t="shared" si="11"/>
        <v>31</v>
      </c>
      <c r="O68">
        <f t="shared" si="8"/>
        <v>1000</v>
      </c>
      <c r="R68" s="2">
        <v>67</v>
      </c>
    </row>
    <row r="69" spans="1:30" x14ac:dyDescent="0.2">
      <c r="A69">
        <f t="shared" si="9"/>
        <v>1984</v>
      </c>
      <c r="B69">
        <f t="shared" si="10"/>
        <v>808.0100000000001</v>
      </c>
      <c r="C69" s="19">
        <f t="shared" ref="C69:C74" si="12">B69+H69</f>
        <v>901</v>
      </c>
      <c r="D69">
        <v>204.08</v>
      </c>
      <c r="E69">
        <v>72.09</v>
      </c>
      <c r="F69" s="28">
        <v>310</v>
      </c>
      <c r="G69">
        <v>221.84</v>
      </c>
      <c r="H69" s="10">
        <f>DODCompareOld!AB61</f>
        <v>92.989999999999895</v>
      </c>
      <c r="I69" s="2">
        <v>100</v>
      </c>
      <c r="J69" s="2">
        <v>70</v>
      </c>
      <c r="K69" s="2">
        <v>23</v>
      </c>
      <c r="L69">
        <v>29</v>
      </c>
      <c r="M69">
        <v>37</v>
      </c>
      <c r="N69">
        <f t="shared" si="11"/>
        <v>34</v>
      </c>
      <c r="O69">
        <f t="shared" si="8"/>
        <v>1194</v>
      </c>
      <c r="R69" s="2">
        <v>71</v>
      </c>
    </row>
    <row r="70" spans="1:30" x14ac:dyDescent="0.2">
      <c r="A70">
        <f t="shared" si="9"/>
        <v>1985</v>
      </c>
      <c r="B70">
        <f t="shared" si="10"/>
        <v>939</v>
      </c>
      <c r="C70" s="19">
        <f t="shared" si="12"/>
        <v>1039</v>
      </c>
      <c r="D70">
        <v>236.79</v>
      </c>
      <c r="E70">
        <v>83.65</v>
      </c>
      <c r="F70">
        <v>361.16</v>
      </c>
      <c r="G70">
        <v>257.39999999999998</v>
      </c>
      <c r="H70" s="10">
        <f>DODCompareOld!AB62</f>
        <v>100</v>
      </c>
      <c r="I70" s="2">
        <v>111</v>
      </c>
      <c r="J70" s="2">
        <v>73</v>
      </c>
      <c r="K70" s="2">
        <v>28</v>
      </c>
      <c r="L70">
        <v>32</v>
      </c>
      <c r="M70">
        <v>44</v>
      </c>
      <c r="N70">
        <f t="shared" si="11"/>
        <v>38</v>
      </c>
      <c r="O70">
        <f t="shared" si="8"/>
        <v>1365</v>
      </c>
      <c r="Q70">
        <f>DODCompareOld!AA62</f>
        <v>1039</v>
      </c>
      <c r="R70" s="2">
        <v>82</v>
      </c>
    </row>
    <row r="71" spans="1:30" x14ac:dyDescent="0.2">
      <c r="A71">
        <f t="shared" si="9"/>
        <v>1986</v>
      </c>
      <c r="B71">
        <f t="shared" si="10"/>
        <v>869</v>
      </c>
      <c r="C71" s="19">
        <f t="shared" si="12"/>
        <v>960</v>
      </c>
      <c r="D71">
        <v>224.79</v>
      </c>
      <c r="E71">
        <v>79.400000000000006</v>
      </c>
      <c r="F71">
        <v>320.45999999999998</v>
      </c>
      <c r="G71">
        <v>244.35</v>
      </c>
      <c r="H71" s="10">
        <f>DODCompareOld!AB63</f>
        <v>91</v>
      </c>
      <c r="I71" s="2">
        <v>129</v>
      </c>
      <c r="J71" s="2">
        <v>73</v>
      </c>
      <c r="K71" s="2">
        <v>30</v>
      </c>
      <c r="L71">
        <v>32</v>
      </c>
      <c r="M71">
        <v>44</v>
      </c>
      <c r="N71">
        <f t="shared" si="11"/>
        <v>39</v>
      </c>
      <c r="O71">
        <f t="shared" si="8"/>
        <v>1307</v>
      </c>
      <c r="Q71">
        <f>DODCompareOld!AA63</f>
        <v>960</v>
      </c>
      <c r="R71" s="2">
        <v>83</v>
      </c>
    </row>
    <row r="72" spans="1:30" x14ac:dyDescent="0.2">
      <c r="A72">
        <f t="shared" si="9"/>
        <v>1987</v>
      </c>
      <c r="B72">
        <f t="shared" si="10"/>
        <v>859</v>
      </c>
      <c r="C72" s="19">
        <f t="shared" si="12"/>
        <v>933</v>
      </c>
      <c r="D72">
        <v>233.96</v>
      </c>
      <c r="E72">
        <v>82.64</v>
      </c>
      <c r="F72">
        <v>288.08</v>
      </c>
      <c r="G72">
        <v>254.32</v>
      </c>
      <c r="H72" s="10">
        <f>DODCompareOld!AB64</f>
        <v>74</v>
      </c>
      <c r="I72" s="2">
        <v>139</v>
      </c>
      <c r="J72" s="2">
        <v>78</v>
      </c>
      <c r="K72" s="2">
        <v>42</v>
      </c>
      <c r="L72">
        <v>32</v>
      </c>
      <c r="M72" s="2">
        <v>46</v>
      </c>
      <c r="N72">
        <f t="shared" si="11"/>
        <v>38</v>
      </c>
      <c r="O72">
        <f t="shared" si="8"/>
        <v>1308</v>
      </c>
      <c r="Q72">
        <f>DODCompareOld!AA64</f>
        <v>933</v>
      </c>
      <c r="R72" s="2">
        <v>84</v>
      </c>
    </row>
    <row r="73" spans="1:30" x14ac:dyDescent="0.2">
      <c r="A73">
        <f t="shared" si="9"/>
        <v>1988</v>
      </c>
      <c r="B73">
        <f t="shared" si="10"/>
        <v>815</v>
      </c>
      <c r="C73" s="19">
        <f t="shared" si="12"/>
        <v>883</v>
      </c>
      <c r="D73">
        <v>213.56</v>
      </c>
      <c r="E73">
        <v>75.44</v>
      </c>
      <c r="F73">
        <v>293.86</v>
      </c>
      <c r="G73">
        <v>232.14</v>
      </c>
      <c r="H73" s="10">
        <f>DODCompareOld!AB65</f>
        <v>68</v>
      </c>
      <c r="I73" s="2">
        <v>142</v>
      </c>
      <c r="J73" s="2">
        <v>71</v>
      </c>
      <c r="K73" s="2">
        <v>38</v>
      </c>
      <c r="L73">
        <v>32</v>
      </c>
      <c r="M73" s="2">
        <v>49</v>
      </c>
      <c r="N73">
        <f t="shared" si="11"/>
        <v>37</v>
      </c>
      <c r="O73">
        <f t="shared" si="8"/>
        <v>1252</v>
      </c>
      <c r="Q73">
        <f>DODCompareOld!AA65</f>
        <v>883</v>
      </c>
      <c r="R73" s="2">
        <v>86</v>
      </c>
    </row>
    <row r="74" spans="1:30" x14ac:dyDescent="0.2">
      <c r="A74">
        <f t="shared" si="9"/>
        <v>1989</v>
      </c>
      <c r="B74">
        <f t="shared" si="10"/>
        <v>782</v>
      </c>
      <c r="C74" s="19">
        <f t="shared" si="12"/>
        <v>867</v>
      </c>
      <c r="D74">
        <v>201.76</v>
      </c>
      <c r="E74">
        <v>71.27</v>
      </c>
      <c r="F74">
        <v>289.64999999999998</v>
      </c>
      <c r="G74">
        <v>219.32</v>
      </c>
      <c r="H74" s="10">
        <f>DODCompareOld!AB66</f>
        <v>85</v>
      </c>
      <c r="I74" s="2">
        <v>151</v>
      </c>
      <c r="J74" s="2">
        <v>72</v>
      </c>
      <c r="K74" s="2">
        <v>41</v>
      </c>
      <c r="L74">
        <v>27</v>
      </c>
      <c r="M74" s="2">
        <v>48</v>
      </c>
      <c r="N74">
        <f t="shared" si="11"/>
        <v>35</v>
      </c>
      <c r="O74">
        <f t="shared" ref="O74:O103" si="13">SUM(D74:N74)</f>
        <v>1241</v>
      </c>
      <c r="Q74">
        <f>DODCompareOld!AA66</f>
        <v>867</v>
      </c>
      <c r="R74" s="2">
        <f>48+35</f>
        <v>83</v>
      </c>
    </row>
    <row r="75" spans="1:30" x14ac:dyDescent="0.2">
      <c r="A75">
        <f t="shared" ref="A75:A96" si="14">A74+1</f>
        <v>1990</v>
      </c>
      <c r="B75" t="s">
        <v>205</v>
      </c>
      <c r="C75" s="19">
        <f>SAUS2002!E6</f>
        <v>694</v>
      </c>
      <c r="D75" s="32">
        <f t="shared" ref="D75:H84" si="15">D$115*$Q75</f>
        <v>164.65972661255873</v>
      </c>
      <c r="E75" s="32">
        <f t="shared" si="15"/>
        <v>58.164374199060227</v>
      </c>
      <c r="F75" s="32">
        <f t="shared" si="15"/>
        <v>230.22805211448102</v>
      </c>
      <c r="G75" s="32">
        <f t="shared" si="15"/>
        <v>178.98885519008968</v>
      </c>
      <c r="H75" s="32">
        <f t="shared" si="15"/>
        <v>61.958991883810334</v>
      </c>
      <c r="I75" s="2">
        <f>SAUS2002!F6</f>
        <v>152</v>
      </c>
      <c r="J75" s="2">
        <f>SAUS2002!G6</f>
        <v>69</v>
      </c>
      <c r="K75" s="2">
        <f>SAUS2002!H6</f>
        <v>47</v>
      </c>
      <c r="L75" s="2">
        <f>SAUS2002!I6</f>
        <v>29</v>
      </c>
      <c r="M75" s="2">
        <f>SAUS2002!J6</f>
        <v>51</v>
      </c>
      <c r="N75">
        <f>SAUS2002!K6</f>
        <v>32</v>
      </c>
      <c r="O75">
        <f t="shared" si="13"/>
        <v>1074</v>
      </c>
      <c r="Q75" s="19">
        <f>C75</f>
        <v>694</v>
      </c>
      <c r="R75" s="2">
        <f>SAUS2002!R6</f>
        <v>0</v>
      </c>
    </row>
    <row r="76" spans="1:30" x14ac:dyDescent="0.2">
      <c r="A76">
        <f t="shared" si="14"/>
        <v>1991</v>
      </c>
      <c r="B76" t="s">
        <v>205</v>
      </c>
      <c r="C76" s="19">
        <f>SAUS2002!E7</f>
        <v>476</v>
      </c>
      <c r="D76" s="32">
        <f t="shared" si="15"/>
        <v>112.93664246048696</v>
      </c>
      <c r="E76" s="32">
        <f t="shared" si="15"/>
        <v>39.893720632208449</v>
      </c>
      <c r="F76" s="32">
        <f t="shared" si="15"/>
        <v>157.90857753096969</v>
      </c>
      <c r="G76" s="32">
        <f t="shared" si="15"/>
        <v>122.76469030328919</v>
      </c>
      <c r="H76" s="32">
        <f t="shared" si="15"/>
        <v>42.496369073045706</v>
      </c>
      <c r="I76" s="2">
        <f>SAUS2002!F7</f>
        <v>177</v>
      </c>
      <c r="J76" s="2">
        <f>SAUS2002!G7</f>
        <v>72</v>
      </c>
      <c r="K76" s="2">
        <f>SAUS2002!H7</f>
        <v>50</v>
      </c>
      <c r="L76" s="2">
        <f>SAUS2002!I7</f>
        <v>29</v>
      </c>
      <c r="M76" s="2">
        <f>SAUS2002!J7</f>
        <v>45</v>
      </c>
      <c r="N76">
        <f>SAUS2002!K7</f>
        <v>33</v>
      </c>
      <c r="O76">
        <f t="shared" si="13"/>
        <v>882</v>
      </c>
      <c r="Q76" s="19">
        <f t="shared" ref="Q76:Q103" si="16">C76</f>
        <v>476</v>
      </c>
      <c r="R76" s="2">
        <f>SAUS2002!R7</f>
        <v>0</v>
      </c>
    </row>
    <row r="77" spans="1:30" x14ac:dyDescent="0.2">
      <c r="A77">
        <f t="shared" si="14"/>
        <v>1992</v>
      </c>
      <c r="B77" t="s">
        <v>205</v>
      </c>
      <c r="C77" s="19">
        <f>SAUS2002!E8</f>
        <v>462</v>
      </c>
      <c r="D77" s="32">
        <f t="shared" si="15"/>
        <v>109.61497650576676</v>
      </c>
      <c r="E77" s="32">
        <f t="shared" si="15"/>
        <v>38.720375907731736</v>
      </c>
      <c r="F77" s="32">
        <f t="shared" si="15"/>
        <v>153.26420760358823</v>
      </c>
      <c r="G77" s="32">
        <f t="shared" si="15"/>
        <v>119.15396411789833</v>
      </c>
      <c r="H77" s="32">
        <f t="shared" si="15"/>
        <v>41.246475865014951</v>
      </c>
      <c r="I77" s="2">
        <f>SAUS2002!F8</f>
        <v>156</v>
      </c>
      <c r="J77" s="2">
        <f>SAUS2002!G8</f>
        <v>77</v>
      </c>
      <c r="K77" s="2">
        <f>SAUS2002!H8</f>
        <v>41</v>
      </c>
      <c r="L77" s="2">
        <f>SAUS2002!I8</f>
        <v>30</v>
      </c>
      <c r="M77" s="2">
        <f>SAUS2002!J8</f>
        <v>42</v>
      </c>
      <c r="N77">
        <f>SAUS2002!K8</f>
        <v>32</v>
      </c>
      <c r="O77">
        <f t="shared" si="13"/>
        <v>840</v>
      </c>
      <c r="Q77" s="19">
        <f t="shared" si="16"/>
        <v>462</v>
      </c>
      <c r="R77" s="2">
        <f>SAUS2002!R8</f>
        <v>0</v>
      </c>
    </row>
    <row r="78" spans="1:30" x14ac:dyDescent="0.2">
      <c r="A78">
        <f t="shared" si="14"/>
        <v>1993</v>
      </c>
      <c r="B78" t="s">
        <v>205</v>
      </c>
      <c r="C78" s="19">
        <f>SAUS2002!E9</f>
        <v>481</v>
      </c>
      <c r="D78" s="32">
        <f t="shared" si="15"/>
        <v>114.1229517300299</v>
      </c>
      <c r="E78" s="32">
        <f t="shared" si="15"/>
        <v>40.312772319521564</v>
      </c>
      <c r="F78" s="32">
        <f t="shared" si="15"/>
        <v>159.56728107646308</v>
      </c>
      <c r="G78" s="32">
        <f t="shared" si="15"/>
        <v>124.0542353695002</v>
      </c>
      <c r="H78" s="32">
        <f t="shared" si="15"/>
        <v>42.942759504485259</v>
      </c>
      <c r="I78" s="2">
        <f>SAUS2002!F9</f>
        <v>165</v>
      </c>
      <c r="J78" s="2">
        <f>SAUS2002!G9</f>
        <v>75</v>
      </c>
      <c r="K78" s="2">
        <f>SAUS2002!H9</f>
        <v>30</v>
      </c>
      <c r="L78" s="2">
        <f>SAUS2002!I9</f>
        <v>30</v>
      </c>
      <c r="M78" s="2">
        <f>SAUS2002!J9</f>
        <v>51</v>
      </c>
      <c r="N78">
        <f>SAUS2002!K9</f>
        <v>29</v>
      </c>
      <c r="O78">
        <f t="shared" si="13"/>
        <v>861</v>
      </c>
      <c r="Q78" s="19">
        <f t="shared" si="16"/>
        <v>481</v>
      </c>
      <c r="R78" s="2">
        <f>SAUS2002!R9</f>
        <v>0</v>
      </c>
    </row>
    <row r="79" spans="1:30" x14ac:dyDescent="0.2">
      <c r="A79">
        <f t="shared" si="14"/>
        <v>1994</v>
      </c>
      <c r="B79" t="s">
        <v>205</v>
      </c>
      <c r="C79" s="19">
        <f>SAUS2002!E10</f>
        <v>600</v>
      </c>
      <c r="D79" s="32">
        <f t="shared" si="15"/>
        <v>142.35711234515165</v>
      </c>
      <c r="E79" s="32">
        <f t="shared" si="15"/>
        <v>50.286202477573681</v>
      </c>
      <c r="F79" s="32">
        <f t="shared" si="15"/>
        <v>199.04442545920548</v>
      </c>
      <c r="G79" s="32">
        <f t="shared" si="15"/>
        <v>154.74540794532251</v>
      </c>
      <c r="H79" s="32">
        <f t="shared" si="15"/>
        <v>53.566851772746688</v>
      </c>
      <c r="I79" s="2">
        <f>SAUS2002!F10</f>
        <v>172</v>
      </c>
      <c r="J79" s="2">
        <f>SAUS2002!G10</f>
        <v>72</v>
      </c>
      <c r="K79" s="2">
        <f>SAUS2002!H10</f>
        <v>45</v>
      </c>
      <c r="L79" s="2">
        <f>SAUS2002!I10</f>
        <v>30</v>
      </c>
      <c r="M79" s="2">
        <f>SAUS2002!J10</f>
        <v>51</v>
      </c>
      <c r="N79">
        <f>SAUS2002!K10</f>
        <v>31</v>
      </c>
      <c r="O79">
        <f t="shared" si="13"/>
        <v>1001</v>
      </c>
      <c r="Q79" s="19">
        <f t="shared" si="16"/>
        <v>600</v>
      </c>
      <c r="R79" s="2">
        <f>SAUS2002!R10</f>
        <v>0</v>
      </c>
    </row>
    <row r="80" spans="1:30" x14ac:dyDescent="0.2">
      <c r="A80">
        <f t="shared" si="14"/>
        <v>1995</v>
      </c>
      <c r="B80" t="s">
        <v>205</v>
      </c>
      <c r="C80" s="19">
        <f>SAUS2002!E11</f>
        <v>700</v>
      </c>
      <c r="D80" s="32">
        <f t="shared" si="15"/>
        <v>166.08329773601025</v>
      </c>
      <c r="E80" s="32">
        <f t="shared" si="15"/>
        <v>58.667236223835957</v>
      </c>
      <c r="F80" s="32">
        <f t="shared" si="15"/>
        <v>232.21849636907308</v>
      </c>
      <c r="G80" s="32">
        <f t="shared" si="15"/>
        <v>180.53630926954293</v>
      </c>
      <c r="H80" s="32">
        <f t="shared" si="15"/>
        <v>62.4946604015378</v>
      </c>
      <c r="I80" s="2">
        <f>SAUS2002!F11</f>
        <v>186</v>
      </c>
      <c r="J80" s="2">
        <f>SAUS2002!G11</f>
        <v>70</v>
      </c>
      <c r="K80" s="2">
        <f>SAUS2002!H11</f>
        <v>40</v>
      </c>
      <c r="L80" s="2">
        <f>SAUS2002!I11</f>
        <v>33</v>
      </c>
      <c r="M80" s="2">
        <f>SAUS2002!J11</f>
        <v>56</v>
      </c>
      <c r="N80">
        <f>SAUS2002!K11</f>
        <v>33</v>
      </c>
      <c r="O80">
        <f t="shared" si="13"/>
        <v>1118</v>
      </c>
      <c r="Q80" s="19">
        <f t="shared" si="16"/>
        <v>700</v>
      </c>
      <c r="R80" s="2">
        <f>SAUS2002!R11</f>
        <v>0</v>
      </c>
    </row>
    <row r="81" spans="1:18" x14ac:dyDescent="0.2">
      <c r="A81">
        <f t="shared" si="14"/>
        <v>1996</v>
      </c>
      <c r="B81" t="s">
        <v>205</v>
      </c>
      <c r="C81" s="19">
        <f>SAUS2002!E12</f>
        <v>723</v>
      </c>
      <c r="D81" s="32">
        <f t="shared" si="15"/>
        <v>171.54032037590773</v>
      </c>
      <c r="E81" s="32">
        <f t="shared" si="15"/>
        <v>60.594873985476283</v>
      </c>
      <c r="F81" s="32">
        <f t="shared" si="15"/>
        <v>239.84853267834262</v>
      </c>
      <c r="G81" s="32">
        <f t="shared" si="15"/>
        <v>186.46821657411363</v>
      </c>
      <c r="H81" s="32">
        <f t="shared" si="15"/>
        <v>64.548056386159757</v>
      </c>
      <c r="I81" s="2">
        <f>SAUS2002!F12</f>
        <v>177</v>
      </c>
      <c r="J81" s="2">
        <f>SAUS2002!G12</f>
        <v>77</v>
      </c>
      <c r="K81" s="2">
        <f>SAUS2002!H12</f>
        <v>41</v>
      </c>
      <c r="L81" s="2">
        <f>SAUS2002!I12</f>
        <v>32</v>
      </c>
      <c r="M81" s="2">
        <f>SAUS2002!J12</f>
        <v>60</v>
      </c>
      <c r="N81">
        <f>SAUS2002!K12</f>
        <v>33</v>
      </c>
      <c r="O81">
        <f t="shared" si="13"/>
        <v>1143</v>
      </c>
      <c r="Q81" s="19">
        <f t="shared" si="16"/>
        <v>723</v>
      </c>
      <c r="R81" s="2">
        <f>SAUS2002!R12</f>
        <v>0</v>
      </c>
    </row>
    <row r="82" spans="1:18" x14ac:dyDescent="0.2">
      <c r="A82">
        <f t="shared" si="14"/>
        <v>1997</v>
      </c>
      <c r="B82" t="s">
        <v>205</v>
      </c>
      <c r="C82" s="19">
        <f>SAUS2002!E13</f>
        <v>855</v>
      </c>
      <c r="D82" s="32">
        <f t="shared" si="15"/>
        <v>202.85888509184107</v>
      </c>
      <c r="E82" s="32">
        <f t="shared" si="15"/>
        <v>71.657838530542492</v>
      </c>
      <c r="F82" s="32">
        <f t="shared" si="15"/>
        <v>283.63830627936784</v>
      </c>
      <c r="G82" s="32">
        <f t="shared" si="15"/>
        <v>220.51220632208455</v>
      </c>
      <c r="H82" s="32">
        <f t="shared" si="15"/>
        <v>76.332763776164029</v>
      </c>
      <c r="I82" s="2">
        <f>SAUS2002!F13</f>
        <v>204</v>
      </c>
      <c r="J82" s="2">
        <f>SAUS2002!G13</f>
        <v>89</v>
      </c>
      <c r="K82" s="2">
        <f>SAUS2002!H13</f>
        <v>48</v>
      </c>
      <c r="L82" s="2">
        <f>SAUS2002!I13</f>
        <v>42</v>
      </c>
      <c r="M82" s="2">
        <f>SAUS2002!J13</f>
        <v>77</v>
      </c>
      <c r="N82">
        <f>SAUS2002!K13</f>
        <v>35</v>
      </c>
      <c r="O82">
        <f t="shared" si="13"/>
        <v>1350</v>
      </c>
      <c r="Q82" s="19">
        <f t="shared" si="16"/>
        <v>855</v>
      </c>
      <c r="R82" s="2">
        <f>SAUS2002!R13</f>
        <v>0</v>
      </c>
    </row>
    <row r="83" spans="1:18" x14ac:dyDescent="0.2">
      <c r="A83">
        <f t="shared" si="14"/>
        <v>1998</v>
      </c>
      <c r="B83" t="s">
        <v>205</v>
      </c>
      <c r="C83" s="19">
        <v>1107</v>
      </c>
      <c r="D83" s="32">
        <f t="shared" si="15"/>
        <v>262.64887227680475</v>
      </c>
      <c r="E83" s="32">
        <f t="shared" si="15"/>
        <v>92.778043571123433</v>
      </c>
      <c r="F83" s="32">
        <f t="shared" si="15"/>
        <v>367.23696497223415</v>
      </c>
      <c r="G83" s="32">
        <f t="shared" si="15"/>
        <v>285.50527765912</v>
      </c>
      <c r="H83" s="32">
        <f t="shared" si="15"/>
        <v>98.830841520717641</v>
      </c>
      <c r="I83" s="2">
        <f>SAUS2002!F14</f>
        <v>219</v>
      </c>
      <c r="J83" s="2">
        <f>SAUS2002!G14</f>
        <v>96</v>
      </c>
      <c r="K83" s="2">
        <f>SAUS2002!H14</f>
        <v>42</v>
      </c>
      <c r="L83" s="2">
        <f>SAUS2002!I14</f>
        <v>47</v>
      </c>
      <c r="M83" s="2">
        <f>SAUS2002!J14</f>
        <v>85</v>
      </c>
      <c r="N83">
        <f>SAUS2002!K14</f>
        <v>34</v>
      </c>
      <c r="O83">
        <f t="shared" si="13"/>
        <v>1630</v>
      </c>
      <c r="Q83" s="19">
        <f t="shared" si="16"/>
        <v>1107</v>
      </c>
      <c r="R83" s="2">
        <f>SAUS2002!R14</f>
        <v>0</v>
      </c>
    </row>
    <row r="84" spans="1:18" x14ac:dyDescent="0.2">
      <c r="A84">
        <f t="shared" si="14"/>
        <v>1999</v>
      </c>
      <c r="B84" t="s">
        <v>205</v>
      </c>
      <c r="C84" s="19">
        <v>1115</v>
      </c>
      <c r="D84" s="32">
        <f t="shared" si="15"/>
        <v>264.54696710807343</v>
      </c>
      <c r="E84" s="32">
        <f t="shared" si="15"/>
        <v>93.448526270824416</v>
      </c>
      <c r="F84" s="32">
        <f t="shared" si="15"/>
        <v>369.89089064502355</v>
      </c>
      <c r="G84" s="32">
        <f t="shared" si="15"/>
        <v>287.56854976505764</v>
      </c>
      <c r="H84" s="32">
        <f t="shared" si="15"/>
        <v>99.545066211020924</v>
      </c>
      <c r="I84" s="2">
        <v>261</v>
      </c>
      <c r="J84" s="2">
        <v>98</v>
      </c>
      <c r="K84" s="2">
        <v>49</v>
      </c>
      <c r="L84" s="2">
        <v>48</v>
      </c>
      <c r="M84" s="2">
        <v>87</v>
      </c>
      <c r="N84">
        <f>SAUS2002!K15</f>
        <v>39</v>
      </c>
      <c r="O84">
        <f t="shared" si="13"/>
        <v>1697</v>
      </c>
      <c r="Q84" s="19">
        <f t="shared" si="16"/>
        <v>1115</v>
      </c>
      <c r="R84" s="2">
        <f>SAUS2002!R15</f>
        <v>0</v>
      </c>
    </row>
    <row r="85" spans="1:18" x14ac:dyDescent="0.2">
      <c r="A85">
        <f t="shared" si="14"/>
        <v>2000</v>
      </c>
      <c r="B85" t="s">
        <v>205</v>
      </c>
      <c r="C85" s="19">
        <v>1180</v>
      </c>
      <c r="D85" s="32">
        <f t="shared" ref="D85:H103" si="17">D$115*$Q85</f>
        <v>279.96898761213157</v>
      </c>
      <c r="E85" s="32">
        <f t="shared" si="17"/>
        <v>98.896198205894905</v>
      </c>
      <c r="F85" s="32">
        <f t="shared" si="17"/>
        <v>391.45403673643744</v>
      </c>
      <c r="G85" s="32">
        <f t="shared" si="17"/>
        <v>304.33263562580089</v>
      </c>
      <c r="H85" s="32">
        <f t="shared" si="17"/>
        <v>105.34814181973515</v>
      </c>
      <c r="I85" s="2">
        <v>273</v>
      </c>
      <c r="J85" s="2">
        <f>SAUS2002!G16</f>
        <v>88</v>
      </c>
      <c r="K85" s="2">
        <v>44</v>
      </c>
      <c r="L85" s="2">
        <v>49</v>
      </c>
      <c r="M85" s="2">
        <v>94</v>
      </c>
      <c r="N85">
        <f>SAUS2002!K16</f>
        <v>29</v>
      </c>
      <c r="O85">
        <f t="shared" si="13"/>
        <v>1757</v>
      </c>
      <c r="Q85" s="19">
        <f t="shared" si="16"/>
        <v>1180</v>
      </c>
      <c r="R85" s="2">
        <f>SAUS2002!R16</f>
        <v>0</v>
      </c>
    </row>
    <row r="86" spans="1:18" x14ac:dyDescent="0.2">
      <c r="A86">
        <f t="shared" si="14"/>
        <v>2001</v>
      </c>
      <c r="B86" t="s">
        <v>205</v>
      </c>
      <c r="C86" s="19">
        <v>988</v>
      </c>
      <c r="D86" s="32">
        <f t="shared" si="17"/>
        <v>234.41471166168304</v>
      </c>
      <c r="E86" s="32">
        <f t="shared" si="17"/>
        <v>82.804613413071323</v>
      </c>
      <c r="F86" s="32">
        <f t="shared" si="17"/>
        <v>327.75982058949171</v>
      </c>
      <c r="G86" s="32">
        <f t="shared" si="17"/>
        <v>254.8141050832977</v>
      </c>
      <c r="H86" s="32">
        <f t="shared" si="17"/>
        <v>88.206749252456206</v>
      </c>
      <c r="I86" s="2">
        <v>295</v>
      </c>
      <c r="J86" s="2">
        <v>92</v>
      </c>
      <c r="K86">
        <v>44</v>
      </c>
      <c r="L86" s="2">
        <v>50</v>
      </c>
      <c r="M86" s="2">
        <v>81</v>
      </c>
      <c r="N86">
        <f>SAUS2002!K17</f>
        <v>27</v>
      </c>
      <c r="O86">
        <f t="shared" si="13"/>
        <v>1577</v>
      </c>
      <c r="Q86" s="19">
        <f t="shared" si="16"/>
        <v>988</v>
      </c>
      <c r="R86" s="2">
        <f>SAUS2002!R17</f>
        <v>0</v>
      </c>
    </row>
    <row r="87" spans="1:18" x14ac:dyDescent="0.2">
      <c r="A87">
        <f t="shared" si="14"/>
        <v>2002</v>
      </c>
      <c r="C87" s="19">
        <v>810</v>
      </c>
      <c r="D87" s="32">
        <f t="shared" si="17"/>
        <v>192.18210166595472</v>
      </c>
      <c r="E87" s="32">
        <f t="shared" si="17"/>
        <v>67.886373344724461</v>
      </c>
      <c r="F87" s="32">
        <f t="shared" si="17"/>
        <v>268.70997436992741</v>
      </c>
      <c r="G87" s="32">
        <f t="shared" si="17"/>
        <v>208.90630072618538</v>
      </c>
      <c r="H87" s="32">
        <f t="shared" si="17"/>
        <v>72.315249893208033</v>
      </c>
      <c r="I87" s="2">
        <v>277</v>
      </c>
      <c r="J87">
        <v>97</v>
      </c>
      <c r="K87" s="2">
        <v>37</v>
      </c>
      <c r="L87" s="2">
        <v>52</v>
      </c>
      <c r="M87" s="2">
        <v>71</v>
      </c>
      <c r="N87" s="2">
        <v>26</v>
      </c>
      <c r="O87">
        <f t="shared" si="13"/>
        <v>1370</v>
      </c>
      <c r="Q87" s="19">
        <f t="shared" si="16"/>
        <v>810</v>
      </c>
      <c r="R87" s="2">
        <f>SAUS2002!R18</f>
        <v>0</v>
      </c>
    </row>
    <row r="88" spans="1:18" x14ac:dyDescent="0.2">
      <c r="A88">
        <f t="shared" si="14"/>
        <v>2003</v>
      </c>
      <c r="C88" s="19">
        <v>794</v>
      </c>
      <c r="D88" s="32">
        <f t="shared" si="17"/>
        <v>188.38591200341733</v>
      </c>
      <c r="E88" s="32">
        <f t="shared" si="17"/>
        <v>66.545407945322509</v>
      </c>
      <c r="F88" s="32">
        <f t="shared" si="17"/>
        <v>263.40212302434861</v>
      </c>
      <c r="G88" s="32">
        <f t="shared" si="17"/>
        <v>204.77975651431009</v>
      </c>
      <c r="H88" s="32">
        <f t="shared" si="17"/>
        <v>70.886800512601454</v>
      </c>
      <c r="I88" s="2">
        <v>270</v>
      </c>
      <c r="J88" s="2">
        <v>92</v>
      </c>
      <c r="K88" s="2">
        <v>35</v>
      </c>
      <c r="L88" s="2">
        <v>45</v>
      </c>
      <c r="M88" s="2">
        <v>67</v>
      </c>
      <c r="N88" s="2">
        <v>26</v>
      </c>
      <c r="O88">
        <f t="shared" si="13"/>
        <v>1329</v>
      </c>
      <c r="Q88" s="19">
        <f t="shared" si="16"/>
        <v>794</v>
      </c>
      <c r="R88" s="2">
        <f>SAUS2002!R19</f>
        <v>0</v>
      </c>
    </row>
    <row r="89" spans="1:18" x14ac:dyDescent="0.2">
      <c r="A89">
        <f t="shared" si="14"/>
        <v>2004</v>
      </c>
      <c r="C89" s="19">
        <v>875</v>
      </c>
      <c r="D89" s="32">
        <f t="shared" si="17"/>
        <v>207.6041221700128</v>
      </c>
      <c r="E89" s="32">
        <f t="shared" si="17"/>
        <v>73.33404527979495</v>
      </c>
      <c r="F89" s="32">
        <f t="shared" si="17"/>
        <v>290.27312046134136</v>
      </c>
      <c r="G89" s="32">
        <f t="shared" si="17"/>
        <v>225.67038658692866</v>
      </c>
      <c r="H89" s="32">
        <f t="shared" si="17"/>
        <v>78.118325501922257</v>
      </c>
      <c r="I89" s="2">
        <v>231</v>
      </c>
      <c r="J89" s="2">
        <v>94</v>
      </c>
      <c r="K89" s="2">
        <v>34</v>
      </c>
      <c r="L89" s="2">
        <v>43</v>
      </c>
      <c r="M89" s="2">
        <v>68</v>
      </c>
      <c r="N89" s="2">
        <v>27</v>
      </c>
      <c r="O89">
        <f t="shared" si="13"/>
        <v>1372</v>
      </c>
      <c r="Q89" s="19">
        <f t="shared" si="16"/>
        <v>875</v>
      </c>
    </row>
    <row r="90" spans="1:18" x14ac:dyDescent="0.2">
      <c r="A90">
        <f>A89+1</f>
        <v>2005</v>
      </c>
      <c r="C90" s="19">
        <v>927</v>
      </c>
      <c r="D90" s="32">
        <f t="shared" si="17"/>
        <v>219.94173857325927</v>
      </c>
      <c r="E90" s="32">
        <f t="shared" si="17"/>
        <v>77.69218282785134</v>
      </c>
      <c r="F90" s="32">
        <f t="shared" si="17"/>
        <v>307.52363733447248</v>
      </c>
      <c r="G90" s="32">
        <f t="shared" si="17"/>
        <v>239.08165527552327</v>
      </c>
      <c r="H90" s="32">
        <f t="shared" si="17"/>
        <v>82.76078598889363</v>
      </c>
      <c r="I90" s="2">
        <v>246</v>
      </c>
      <c r="J90" s="2">
        <v>108</v>
      </c>
      <c r="K90" s="2">
        <v>33</v>
      </c>
      <c r="L90" s="2">
        <v>37</v>
      </c>
      <c r="M90" s="2">
        <v>67</v>
      </c>
      <c r="N90" s="2">
        <v>29</v>
      </c>
      <c r="O90">
        <f t="shared" si="13"/>
        <v>1447</v>
      </c>
      <c r="Q90" s="19">
        <f t="shared" si="16"/>
        <v>927</v>
      </c>
    </row>
    <row r="91" spans="1:18" x14ac:dyDescent="0.2">
      <c r="A91">
        <f t="shared" si="14"/>
        <v>2006</v>
      </c>
      <c r="C91" s="19">
        <v>1015</v>
      </c>
      <c r="D91" s="32">
        <f t="shared" si="17"/>
        <v>240.82078171721486</v>
      </c>
      <c r="E91" s="32">
        <f t="shared" si="17"/>
        <v>85.067492524562141</v>
      </c>
      <c r="F91" s="32">
        <f t="shared" si="17"/>
        <v>336.71681973515592</v>
      </c>
      <c r="G91" s="32">
        <f t="shared" si="17"/>
        <v>261.77764844083725</v>
      </c>
      <c r="H91" s="32">
        <f t="shared" si="17"/>
        <v>90.617257582229811</v>
      </c>
      <c r="I91" s="2">
        <v>254</v>
      </c>
      <c r="J91" s="2">
        <v>110</v>
      </c>
      <c r="K91" s="2">
        <v>33</v>
      </c>
      <c r="L91" s="2">
        <v>35</v>
      </c>
      <c r="M91" s="2">
        <v>73</v>
      </c>
      <c r="N91" s="2">
        <v>33</v>
      </c>
      <c r="O91">
        <f t="shared" si="13"/>
        <v>1553</v>
      </c>
      <c r="Q91" s="19">
        <f t="shared" si="16"/>
        <v>1015</v>
      </c>
    </row>
    <row r="92" spans="1:18" x14ac:dyDescent="0.2">
      <c r="A92">
        <f t="shared" si="14"/>
        <v>2007</v>
      </c>
      <c r="C92" s="19">
        <v>1051</v>
      </c>
      <c r="D92" s="32">
        <f t="shared" si="17"/>
        <v>249.36220845792394</v>
      </c>
      <c r="E92" s="32">
        <f t="shared" si="17"/>
        <v>88.084664673216565</v>
      </c>
      <c r="F92" s="32">
        <f t="shared" si="17"/>
        <v>348.6594852627083</v>
      </c>
      <c r="G92" s="32">
        <f t="shared" si="17"/>
        <v>271.06237291755656</v>
      </c>
      <c r="H92" s="32">
        <f t="shared" si="17"/>
        <v>93.831268688594619</v>
      </c>
      <c r="I92" s="2">
        <v>247</v>
      </c>
      <c r="J92" s="2">
        <v>104</v>
      </c>
      <c r="K92" s="2">
        <v>51</v>
      </c>
      <c r="L92" s="2">
        <v>31</v>
      </c>
      <c r="M92" s="2">
        <v>66</v>
      </c>
      <c r="N92" s="2">
        <v>27</v>
      </c>
      <c r="O92">
        <f t="shared" si="13"/>
        <v>1577</v>
      </c>
      <c r="Q92" s="19">
        <f t="shared" si="16"/>
        <v>1051</v>
      </c>
    </row>
    <row r="93" spans="1:18" x14ac:dyDescent="0.2">
      <c r="A93">
        <f t="shared" si="14"/>
        <v>2008</v>
      </c>
      <c r="C93" s="19">
        <v>772</v>
      </c>
      <c r="D93" s="32">
        <f t="shared" si="17"/>
        <v>183.16615121742845</v>
      </c>
      <c r="E93" s="32">
        <f t="shared" si="17"/>
        <v>64.701580521144805</v>
      </c>
      <c r="F93" s="32">
        <f t="shared" si="17"/>
        <v>256.10382742417772</v>
      </c>
      <c r="G93" s="32">
        <f t="shared" si="17"/>
        <v>199.10575822298162</v>
      </c>
      <c r="H93" s="32">
        <f t="shared" si="17"/>
        <v>68.922682614267401</v>
      </c>
      <c r="I93" s="2">
        <v>253</v>
      </c>
      <c r="J93" s="2">
        <v>109</v>
      </c>
      <c r="K93" s="2">
        <v>49</v>
      </c>
      <c r="L93" s="2">
        <v>28</v>
      </c>
      <c r="M93" s="2">
        <v>59</v>
      </c>
      <c r="N93" s="2">
        <v>28</v>
      </c>
      <c r="O93">
        <f t="shared" si="13"/>
        <v>1298</v>
      </c>
      <c r="Q93" s="19">
        <f t="shared" si="16"/>
        <v>772</v>
      </c>
    </row>
    <row r="94" spans="1:18" x14ac:dyDescent="0.2">
      <c r="A94">
        <f t="shared" si="14"/>
        <v>2009</v>
      </c>
      <c r="C94" s="19">
        <v>332</v>
      </c>
      <c r="D94" s="32">
        <f t="shared" si="17"/>
        <v>78.770935497650569</v>
      </c>
      <c r="E94" s="32">
        <f t="shared" si="17"/>
        <v>27.82503203759077</v>
      </c>
      <c r="F94" s="32">
        <f t="shared" si="17"/>
        <v>110.13791542076036</v>
      </c>
      <c r="G94" s="32">
        <f t="shared" si="17"/>
        <v>85.625792396411782</v>
      </c>
      <c r="H94" s="32">
        <f t="shared" si="17"/>
        <v>29.6403246475865</v>
      </c>
      <c r="I94" s="2">
        <v>199</v>
      </c>
      <c r="J94" s="2">
        <v>68</v>
      </c>
      <c r="K94" s="2">
        <v>48</v>
      </c>
      <c r="L94" s="2">
        <v>25</v>
      </c>
      <c r="M94" s="2">
        <v>42</v>
      </c>
      <c r="N94" s="2">
        <v>26</v>
      </c>
      <c r="O94">
        <f t="shared" si="13"/>
        <v>740</v>
      </c>
      <c r="Q94" s="19">
        <f t="shared" si="16"/>
        <v>332</v>
      </c>
    </row>
    <row r="95" spans="1:18" x14ac:dyDescent="0.2">
      <c r="A95">
        <f t="shared" si="14"/>
        <v>2010</v>
      </c>
      <c r="C95" s="19">
        <v>279</v>
      </c>
      <c r="D95" s="32">
        <f t="shared" si="17"/>
        <v>66.196057240495506</v>
      </c>
      <c r="E95" s="32">
        <f t="shared" si="17"/>
        <v>23.38308415207176</v>
      </c>
      <c r="F95" s="32">
        <f t="shared" si="17"/>
        <v>92.55565783853055</v>
      </c>
      <c r="G95" s="32">
        <f t="shared" si="17"/>
        <v>71.956614694574967</v>
      </c>
      <c r="H95" s="32">
        <f t="shared" si="17"/>
        <v>24.908586074327211</v>
      </c>
      <c r="I95" s="2">
        <v>175</v>
      </c>
      <c r="J95" s="80">
        <v>73</v>
      </c>
      <c r="K95" s="2">
        <v>34</v>
      </c>
      <c r="L95" s="2">
        <v>15</v>
      </c>
      <c r="M95" s="2">
        <v>35</v>
      </c>
      <c r="N95" s="2">
        <v>22</v>
      </c>
      <c r="O95">
        <f t="shared" si="13"/>
        <v>633</v>
      </c>
      <c r="Q95" s="19">
        <f t="shared" si="16"/>
        <v>279</v>
      </c>
    </row>
    <row r="96" spans="1:18" x14ac:dyDescent="0.2">
      <c r="A96">
        <f t="shared" si="14"/>
        <v>2011</v>
      </c>
      <c r="C96" s="19">
        <v>325</v>
      </c>
      <c r="D96" s="32">
        <f t="shared" si="17"/>
        <v>77.110102520290468</v>
      </c>
      <c r="E96" s="32">
        <f t="shared" si="17"/>
        <v>27.23835967535241</v>
      </c>
      <c r="F96" s="32">
        <f t="shared" si="17"/>
        <v>107.81573045706963</v>
      </c>
      <c r="G96" s="32">
        <f t="shared" si="17"/>
        <v>83.820429303716352</v>
      </c>
      <c r="H96" s="32">
        <f t="shared" si="17"/>
        <v>29.015378043571122</v>
      </c>
      <c r="I96" s="80">
        <v>157</v>
      </c>
      <c r="J96" s="80">
        <v>76</v>
      </c>
      <c r="K96" s="2">
        <v>27</v>
      </c>
      <c r="L96" s="2">
        <v>14</v>
      </c>
      <c r="M96" s="2">
        <v>33</v>
      </c>
      <c r="N96" s="2">
        <v>18</v>
      </c>
      <c r="O96">
        <f t="shared" si="13"/>
        <v>650</v>
      </c>
      <c r="Q96" s="19">
        <f t="shared" si="16"/>
        <v>325</v>
      </c>
    </row>
    <row r="97" spans="1:17" x14ac:dyDescent="0.2">
      <c r="A97">
        <v>2012</v>
      </c>
      <c r="C97" s="19">
        <v>422</v>
      </c>
      <c r="D97" s="32">
        <f t="shared" si="17"/>
        <v>100.12450234942332</v>
      </c>
      <c r="E97" s="32">
        <f t="shared" si="17"/>
        <v>35.36796240922682</v>
      </c>
      <c r="F97" s="32">
        <f t="shared" si="17"/>
        <v>139.99457923964118</v>
      </c>
      <c r="G97" s="32">
        <f t="shared" si="17"/>
        <v>108.83760358821016</v>
      </c>
      <c r="H97" s="32">
        <f t="shared" si="17"/>
        <v>37.675352413498501</v>
      </c>
      <c r="I97" s="2">
        <v>136</v>
      </c>
      <c r="J97" s="81">
        <v>72</v>
      </c>
      <c r="K97" s="2">
        <v>24</v>
      </c>
      <c r="L97" s="2">
        <v>13</v>
      </c>
      <c r="M97" s="2">
        <v>33</v>
      </c>
      <c r="N97" s="2">
        <v>19</v>
      </c>
      <c r="O97">
        <f t="shared" si="13"/>
        <v>719</v>
      </c>
      <c r="Q97" s="19">
        <f t="shared" si="16"/>
        <v>422</v>
      </c>
    </row>
    <row r="98" spans="1:17" x14ac:dyDescent="0.2">
      <c r="A98">
        <v>2013</v>
      </c>
      <c r="C98" s="19">
        <v>535</v>
      </c>
      <c r="D98" s="32">
        <f t="shared" si="17"/>
        <v>126.93509184109354</v>
      </c>
      <c r="E98" s="32">
        <f t="shared" si="17"/>
        <v>44.8385305425032</v>
      </c>
      <c r="F98" s="32">
        <f t="shared" si="17"/>
        <v>177.48127936779156</v>
      </c>
      <c r="G98" s="32">
        <f t="shared" si="17"/>
        <v>137.98132208457923</v>
      </c>
      <c r="H98" s="32">
        <f t="shared" si="17"/>
        <v>47.763776164032464</v>
      </c>
      <c r="I98" s="2">
        <v>131</v>
      </c>
      <c r="J98" s="81">
        <v>73</v>
      </c>
      <c r="K98" s="2">
        <v>16</v>
      </c>
      <c r="L98" s="2">
        <v>11</v>
      </c>
      <c r="M98" s="2">
        <v>36</v>
      </c>
      <c r="N98" s="2">
        <v>19</v>
      </c>
      <c r="O98">
        <f t="shared" si="13"/>
        <v>821</v>
      </c>
      <c r="Q98" s="19">
        <f t="shared" si="16"/>
        <v>535</v>
      </c>
    </row>
    <row r="99" spans="1:17" x14ac:dyDescent="0.2">
      <c r="A99">
        <v>2014</v>
      </c>
      <c r="C99" s="19">
        <v>624</v>
      </c>
      <c r="D99" s="32">
        <f t="shared" si="17"/>
        <v>148.05139683895771</v>
      </c>
      <c r="E99" s="32">
        <f t="shared" si="17"/>
        <v>52.297650576676624</v>
      </c>
      <c r="F99" s="32">
        <f t="shared" si="17"/>
        <v>207.00620247757371</v>
      </c>
      <c r="G99" s="32">
        <f t="shared" si="17"/>
        <v>160.93522426313541</v>
      </c>
      <c r="H99" s="32">
        <f t="shared" si="17"/>
        <v>55.709525843656557</v>
      </c>
      <c r="I99" s="2">
        <v>149</v>
      </c>
      <c r="J99" s="2">
        <v>68</v>
      </c>
      <c r="K99" s="2">
        <v>16</v>
      </c>
      <c r="L99" s="2">
        <v>10</v>
      </c>
      <c r="M99" s="2">
        <v>45</v>
      </c>
      <c r="N99" s="2">
        <v>21</v>
      </c>
      <c r="O99">
        <f t="shared" si="13"/>
        <v>933</v>
      </c>
      <c r="Q99" s="19">
        <f t="shared" si="16"/>
        <v>624</v>
      </c>
    </row>
    <row r="100" spans="1:17" x14ac:dyDescent="0.2">
      <c r="A100">
        <v>2015</v>
      </c>
      <c r="C100" s="19">
        <v>664</v>
      </c>
      <c r="D100" s="32">
        <f t="shared" si="17"/>
        <v>157.54187099530114</v>
      </c>
      <c r="E100" s="32">
        <f t="shared" si="17"/>
        <v>55.65006407518154</v>
      </c>
      <c r="F100" s="32">
        <f t="shared" si="17"/>
        <v>220.27583084152073</v>
      </c>
      <c r="G100" s="32">
        <f t="shared" si="17"/>
        <v>171.25158479282356</v>
      </c>
      <c r="H100" s="32">
        <f t="shared" si="17"/>
        <v>59.280649295172999</v>
      </c>
      <c r="I100" s="2">
        <v>150</v>
      </c>
      <c r="J100" s="2">
        <v>73</v>
      </c>
      <c r="K100" s="2">
        <v>15</v>
      </c>
      <c r="L100" s="2">
        <v>11</v>
      </c>
      <c r="M100" s="2">
        <v>41</v>
      </c>
      <c r="N100" s="2">
        <v>21</v>
      </c>
      <c r="O100">
        <f t="shared" si="13"/>
        <v>975</v>
      </c>
      <c r="Q100" s="19">
        <f t="shared" si="16"/>
        <v>664</v>
      </c>
    </row>
    <row r="101" spans="1:17" x14ac:dyDescent="0.2">
      <c r="A101">
        <v>2016</v>
      </c>
      <c r="C101" s="19">
        <v>743</v>
      </c>
      <c r="D101" s="32">
        <f t="shared" si="17"/>
        <v>176.28555745407945</v>
      </c>
      <c r="E101" s="32">
        <f t="shared" si="17"/>
        <v>62.271080734728741</v>
      </c>
      <c r="F101" s="32">
        <f t="shared" si="17"/>
        <v>246.48334686031612</v>
      </c>
      <c r="G101" s="32">
        <f t="shared" si="17"/>
        <v>191.6263968389577</v>
      </c>
      <c r="H101" s="32">
        <f t="shared" si="17"/>
        <v>66.333618111917986</v>
      </c>
      <c r="I101" s="2">
        <v>148</v>
      </c>
      <c r="J101" s="2">
        <v>78</v>
      </c>
      <c r="K101" s="2">
        <v>16</v>
      </c>
      <c r="L101" s="2">
        <v>10</v>
      </c>
      <c r="M101" s="2">
        <v>48</v>
      </c>
      <c r="N101" s="2">
        <v>22</v>
      </c>
      <c r="O101">
        <f t="shared" si="13"/>
        <v>1065</v>
      </c>
      <c r="Q101" s="19">
        <f t="shared" si="16"/>
        <v>743</v>
      </c>
    </row>
    <row r="102" spans="1:17" x14ac:dyDescent="0.2">
      <c r="A102">
        <v>2017</v>
      </c>
      <c r="C102" s="24">
        <v>770</v>
      </c>
      <c r="D102" s="32">
        <f t="shared" si="17"/>
        <v>182.69162750961127</v>
      </c>
      <c r="E102" s="32">
        <f t="shared" si="17"/>
        <v>64.53395984621956</v>
      </c>
      <c r="F102" s="32">
        <f t="shared" si="17"/>
        <v>255.44034600598039</v>
      </c>
      <c r="G102" s="32">
        <f t="shared" si="17"/>
        <v>198.5899401964972</v>
      </c>
      <c r="H102" s="32">
        <f t="shared" si="17"/>
        <v>68.744126441691577</v>
      </c>
      <c r="I102" s="81">
        <v>156</v>
      </c>
      <c r="J102" s="81">
        <v>85</v>
      </c>
      <c r="K102" s="81">
        <v>20</v>
      </c>
      <c r="L102" s="81">
        <v>11</v>
      </c>
      <c r="M102" s="81">
        <v>47</v>
      </c>
      <c r="N102" s="81">
        <v>29</v>
      </c>
      <c r="O102">
        <f t="shared" si="13"/>
        <v>1118</v>
      </c>
      <c r="Q102" s="19">
        <f t="shared" si="16"/>
        <v>770</v>
      </c>
    </row>
    <row r="103" spans="1:17" x14ac:dyDescent="0.2">
      <c r="A103">
        <v>2018</v>
      </c>
      <c r="C103" s="19">
        <v>755</v>
      </c>
      <c r="D103" s="32">
        <f t="shared" si="17"/>
        <v>179.13269970098247</v>
      </c>
      <c r="E103" s="32">
        <f t="shared" si="17"/>
        <v>63.276804784280216</v>
      </c>
      <c r="F103" s="32">
        <f t="shared" si="17"/>
        <v>250.46423536950024</v>
      </c>
      <c r="G103" s="32">
        <f t="shared" si="17"/>
        <v>194.72130499786414</v>
      </c>
      <c r="H103" s="32">
        <f t="shared" si="17"/>
        <v>67.404955147372917</v>
      </c>
      <c r="I103" s="2">
        <v>156</v>
      </c>
      <c r="J103" s="2">
        <v>81</v>
      </c>
      <c r="K103" s="2">
        <v>19</v>
      </c>
      <c r="L103" s="2">
        <v>9</v>
      </c>
      <c r="M103" s="2">
        <v>48</v>
      </c>
      <c r="N103" s="2">
        <v>24</v>
      </c>
      <c r="O103">
        <f t="shared" si="13"/>
        <v>1092</v>
      </c>
      <c r="Q103" s="19">
        <f t="shared" si="16"/>
        <v>755</v>
      </c>
    </row>
    <row r="104" spans="1:17" x14ac:dyDescent="0.2">
      <c r="A104">
        <v>2019</v>
      </c>
      <c r="C104" s="19"/>
      <c r="D104" s="91"/>
      <c r="E104" s="91"/>
      <c r="F104" s="91"/>
      <c r="G104" s="91"/>
      <c r="H104" s="91"/>
      <c r="I104" s="81"/>
      <c r="J104" s="2"/>
      <c r="K104" s="2"/>
      <c r="L104" s="2"/>
      <c r="M104" s="2"/>
      <c r="N104" s="2"/>
      <c r="Q104" s="19"/>
    </row>
    <row r="105" spans="1:17" x14ac:dyDescent="0.2">
      <c r="A105">
        <v>2020</v>
      </c>
      <c r="C105" s="19"/>
      <c r="D105" s="91"/>
      <c r="E105" s="91"/>
      <c r="F105" s="91"/>
      <c r="G105" s="91"/>
      <c r="H105" s="91"/>
      <c r="I105" s="81"/>
      <c r="J105" s="2"/>
      <c r="K105" s="2"/>
      <c r="L105" s="2"/>
      <c r="M105" s="2"/>
      <c r="N105" s="2"/>
      <c r="Q105" s="19"/>
    </row>
    <row r="106" spans="1:17" x14ac:dyDescent="0.2">
      <c r="I106" s="86"/>
    </row>
    <row r="107" spans="1:17" x14ac:dyDescent="0.2">
      <c r="D107" s="28"/>
      <c r="E107" t="s">
        <v>231</v>
      </c>
    </row>
    <row r="108" spans="1:17" x14ac:dyDescent="0.2">
      <c r="D108" s="30"/>
      <c r="E108" t="s">
        <v>230</v>
      </c>
    </row>
    <row r="109" spans="1:17" x14ac:dyDescent="0.2">
      <c r="D109" s="10"/>
      <c r="E109" t="s">
        <v>232</v>
      </c>
    </row>
    <row r="110" spans="1:17" x14ac:dyDescent="0.2">
      <c r="D110" s="34"/>
      <c r="E110" t="s">
        <v>236</v>
      </c>
    </row>
    <row r="111" spans="1:17" x14ac:dyDescent="0.2">
      <c r="D111" s="4"/>
      <c r="E111" t="s">
        <v>97</v>
      </c>
    </row>
    <row r="113" spans="1:17" x14ac:dyDescent="0.2">
      <c r="O113" t="s">
        <v>121</v>
      </c>
      <c r="Q113" t="s">
        <v>99</v>
      </c>
    </row>
    <row r="114" spans="1:17" x14ac:dyDescent="0.2">
      <c r="A114" t="s">
        <v>120</v>
      </c>
      <c r="D114">
        <f>SUM(D70:D74)</f>
        <v>1110.8599999999999</v>
      </c>
      <c r="E114">
        <f>SUM(E70:E74)</f>
        <v>392.4</v>
      </c>
      <c r="F114">
        <f>SUM(F70:F74)</f>
        <v>1553.21</v>
      </c>
      <c r="G114">
        <f>SUM(G70:G74)</f>
        <v>1207.53</v>
      </c>
      <c r="H114">
        <f>SUM(H70:H74)</f>
        <v>418</v>
      </c>
      <c r="O114">
        <f>SUM(D114:L114)</f>
        <v>4682</v>
      </c>
      <c r="Q114">
        <f>SUM(Q70:Q74)</f>
        <v>4682</v>
      </c>
    </row>
    <row r="115" spans="1:17" x14ac:dyDescent="0.2">
      <c r="A115" t="s">
        <v>100</v>
      </c>
      <c r="D115">
        <f>D114/$Q114</f>
        <v>0.23726185390858606</v>
      </c>
      <c r="E115">
        <f>E114/$Q114</f>
        <v>8.38103374626228E-2</v>
      </c>
      <c r="F115">
        <f>F114/$Q114</f>
        <v>0.33174070909867581</v>
      </c>
      <c r="G115">
        <f>G114/$Q114</f>
        <v>0.25790901324220417</v>
      </c>
      <c r="H115">
        <f>H114/$Q114</f>
        <v>8.9278086287911146E-2</v>
      </c>
      <c r="I115">
        <f>SUM(D115:H115)</f>
        <v>0.99999999999999989</v>
      </c>
      <c r="O115">
        <f>SUM(D115:L115)</f>
        <v>1.9999999999999998</v>
      </c>
    </row>
    <row r="118" spans="1:17" x14ac:dyDescent="0.2">
      <c r="A118" t="s">
        <v>227</v>
      </c>
      <c r="B118">
        <f>SUM(B45:B54)</f>
        <v>3981</v>
      </c>
      <c r="D118">
        <f>SUM(D45:D54)</f>
        <v>1607</v>
      </c>
      <c r="E118">
        <f>SUM(E45:E54)</f>
        <v>350</v>
      </c>
      <c r="F118">
        <f>SUM(F45:F54)</f>
        <v>1140</v>
      </c>
      <c r="G118">
        <f>SUM(G45:G54)</f>
        <v>884</v>
      </c>
    </row>
    <row r="119" spans="1:17" x14ac:dyDescent="0.2">
      <c r="A119" t="s">
        <v>228</v>
      </c>
      <c r="D119" s="55">
        <f>D118/$B118</f>
        <v>0.40366742024616931</v>
      </c>
      <c r="E119" s="55">
        <f>E118/$B118</f>
        <v>8.7917608641044961E-2</v>
      </c>
      <c r="F119" s="55">
        <f>F118/$B118</f>
        <v>0.28636021100226072</v>
      </c>
      <c r="G119" s="55">
        <f>G118/$B118</f>
        <v>0.222054760110525</v>
      </c>
    </row>
    <row r="121" spans="1:17" x14ac:dyDescent="0.2">
      <c r="A121" t="s">
        <v>229</v>
      </c>
    </row>
    <row r="122" spans="1:17" x14ac:dyDescent="0.2">
      <c r="A122" t="s">
        <v>211</v>
      </c>
    </row>
    <row r="124" spans="1:17" x14ac:dyDescent="0.2">
      <c r="A124" t="s">
        <v>235</v>
      </c>
      <c r="B124">
        <f>SUM(B65:B74)</f>
        <v>7710.01</v>
      </c>
      <c r="H124">
        <f>SUM(H65:H74)</f>
        <v>744.9899999999999</v>
      </c>
    </row>
    <row r="125" spans="1:17" x14ac:dyDescent="0.2">
      <c r="A125" t="s">
        <v>228</v>
      </c>
      <c r="E125" t="s">
        <v>292</v>
      </c>
      <c r="F125" t="s">
        <v>291</v>
      </c>
      <c r="H125" s="55">
        <f>H124/B124</f>
        <v>9.6626333817984661E-2</v>
      </c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117"/>
  <sheetViews>
    <sheetView topLeftCell="A85" workbookViewId="0">
      <selection activeCell="C115" sqref="C115"/>
    </sheetView>
  </sheetViews>
  <sheetFormatPr defaultRowHeight="12.75" x14ac:dyDescent="0.2"/>
  <cols>
    <col min="2" max="2" width="9.42578125" customWidth="1"/>
    <col min="5" max="5" width="10.140625" customWidth="1"/>
    <col min="7" max="7" width="10.140625" customWidth="1"/>
    <col min="9" max="9" width="9.85546875" customWidth="1"/>
    <col min="10" max="10" width="9.28515625" bestFit="1" customWidth="1"/>
    <col min="13" max="13" width="9.28515625" bestFit="1" customWidth="1"/>
    <col min="14" max="14" width="3.140625" customWidth="1"/>
    <col min="17" max="17" width="9.5703125" bestFit="1" customWidth="1"/>
  </cols>
  <sheetData>
    <row r="1" spans="1:17" x14ac:dyDescent="0.2">
      <c r="A1" t="s">
        <v>122</v>
      </c>
    </row>
    <row r="3" spans="1:17" x14ac:dyDescent="0.2">
      <c r="B3" t="s">
        <v>123</v>
      </c>
    </row>
    <row r="4" spans="1:17" x14ac:dyDescent="0.2">
      <c r="B4">
        <v>1</v>
      </c>
      <c r="C4" s="9">
        <f>0.1</f>
        <v>0.1</v>
      </c>
      <c r="D4" t="s">
        <v>125</v>
      </c>
    </row>
    <row r="5" spans="1:17" x14ac:dyDescent="0.2">
      <c r="B5">
        <v>2</v>
      </c>
      <c r="C5" s="9">
        <v>0.8</v>
      </c>
      <c r="D5" t="s">
        <v>126</v>
      </c>
    </row>
    <row r="6" spans="1:17" x14ac:dyDescent="0.2">
      <c r="B6" t="s">
        <v>128</v>
      </c>
      <c r="C6" s="9">
        <v>0.8</v>
      </c>
      <c r="D6" t="s">
        <v>127</v>
      </c>
    </row>
    <row r="7" spans="1:17" x14ac:dyDescent="0.2">
      <c r="B7" t="s">
        <v>129</v>
      </c>
      <c r="C7" s="9">
        <v>0.11</v>
      </c>
      <c r="D7" t="s">
        <v>131</v>
      </c>
    </row>
    <row r="8" spans="1:17" x14ac:dyDescent="0.2">
      <c r="B8" t="s">
        <v>130</v>
      </c>
      <c r="C8" s="9">
        <v>0.09</v>
      </c>
      <c r="D8" t="s">
        <v>135</v>
      </c>
    </row>
    <row r="9" spans="1:17" x14ac:dyDescent="0.2">
      <c r="B9">
        <v>3</v>
      </c>
      <c r="C9" s="9">
        <v>0.05</v>
      </c>
      <c r="D9" t="s">
        <v>137</v>
      </c>
    </row>
    <row r="10" spans="1:17" x14ac:dyDescent="0.2">
      <c r="B10">
        <v>4</v>
      </c>
      <c r="C10" s="9">
        <v>0.05</v>
      </c>
      <c r="D10" t="s">
        <v>138</v>
      </c>
    </row>
    <row r="11" spans="1:17" x14ac:dyDescent="0.2">
      <c r="B11">
        <v>5</v>
      </c>
      <c r="C11" s="9">
        <v>0.75</v>
      </c>
      <c r="D11" t="s">
        <v>143</v>
      </c>
    </row>
    <row r="12" spans="1:17" x14ac:dyDescent="0.2">
      <c r="B12">
        <v>6</v>
      </c>
      <c r="C12" s="9">
        <v>0.1</v>
      </c>
      <c r="D12" t="s">
        <v>147</v>
      </c>
    </row>
    <row r="14" spans="1:17" x14ac:dyDescent="0.2">
      <c r="O14" t="s">
        <v>144</v>
      </c>
    </row>
    <row r="15" spans="1:17" ht="13.5" thickBot="1" x14ac:dyDescent="0.25">
      <c r="B15" s="21" t="s">
        <v>124</v>
      </c>
      <c r="C15" s="21" t="s">
        <v>91</v>
      </c>
      <c r="D15" s="21" t="s">
        <v>132</v>
      </c>
      <c r="E15" s="21" t="s">
        <v>133</v>
      </c>
      <c r="F15" s="21" t="s">
        <v>134</v>
      </c>
      <c r="G15" s="21" t="s">
        <v>136</v>
      </c>
      <c r="H15" s="21" t="s">
        <v>139</v>
      </c>
      <c r="I15" s="21" t="s">
        <v>78</v>
      </c>
      <c r="J15" s="21" t="s">
        <v>140</v>
      </c>
      <c r="K15" s="21" t="s">
        <v>80</v>
      </c>
      <c r="L15" s="21" t="s">
        <v>142</v>
      </c>
      <c r="M15" s="21" t="s">
        <v>141</v>
      </c>
      <c r="O15" s="21" t="s">
        <v>146</v>
      </c>
      <c r="P15" s="21" t="s">
        <v>145</v>
      </c>
    </row>
    <row r="16" spans="1:17" x14ac:dyDescent="0.2">
      <c r="B16">
        <v>1919</v>
      </c>
      <c r="C16" s="19">
        <f>Dodge_Revised!F4+$C$4*Dodge_Revised!I4</f>
        <v>37.590112346623563</v>
      </c>
      <c r="D16" s="5">
        <f>$C$6*(Dodge_Revised!$D4+$C$5*Dodge_Revised!$E4)</f>
        <v>46.717588545591568</v>
      </c>
      <c r="E16" s="5">
        <f>$C$7*(Dodge_Revised!$D4+$C$5*Dodge_Revised!$E4)</f>
        <v>6.4236684250188398</v>
      </c>
      <c r="F16" s="5">
        <f>$C$8*(Dodge_Revised!$D4+$C$5*Dodge_Revised!$E4)</f>
        <v>5.2557287113790512</v>
      </c>
      <c r="G16" s="5">
        <f>Dodge_Revised!$G4</f>
        <v>27.357146445616682</v>
      </c>
      <c r="H16" s="5">
        <f>(1-$C$4-$C$9-$C$10)*Dodge_Revised!$I4</f>
        <v>18.484274809160308</v>
      </c>
      <c r="I16" s="19">
        <f>$C$11*Dodge_Revised!$J4</f>
        <v>4.3699236641221377</v>
      </c>
      <c r="J16" s="5">
        <f>Dodge_Revised!$H4+(1-$C$11)*Dodge_Revised!$J4</f>
        <v>13.361005547749757</v>
      </c>
      <c r="K16" s="19">
        <f>Dodge_Revised!$L4</f>
        <v>7.0320610687022906</v>
      </c>
      <c r="L16" s="19">
        <f>Dodge_Revised!$M4+$C$12*Dodge_Revised!$N4+$C$9*Dodge_Revised!$I4</f>
        <v>13.712519083969466</v>
      </c>
      <c r="M16" s="5">
        <f>Dodge_Revised!$K4+(1-$C$12)*Dodge_Revised!$N4+(1-$C$5)*Dodge_Revised!$E4+$C$10*Dodge_Revised!$I4</f>
        <v>7.4403356784420653</v>
      </c>
      <c r="O16" s="19">
        <f>SUM(C16:M16)</f>
        <v>187.74436432637572</v>
      </c>
      <c r="P16" s="19">
        <f>Dodge_Revised!O4</f>
        <v>187.74436432637575</v>
      </c>
      <c r="Q16" s="82"/>
    </row>
    <row r="17" spans="2:17" x14ac:dyDescent="0.2">
      <c r="B17">
        <v>1920</v>
      </c>
      <c r="C17" s="19">
        <f>Dodge_Revised!F5+$C$4*Dodge_Revised!I5</f>
        <v>29.349623612924756</v>
      </c>
      <c r="D17" s="5">
        <f>$C$6*(Dodge_Revised!$D5+$C$5*Dodge_Revised!$E5)</f>
        <v>35.675249434815377</v>
      </c>
      <c r="E17" s="5">
        <f>$C$7*(Dodge_Revised!$D5+$C$5*Dodge_Revised!$E5)</f>
        <v>4.9053467972871143</v>
      </c>
      <c r="F17" s="5">
        <f>$C$8*(Dodge_Revised!$D5+$C$5*Dodge_Revised!$E5)</f>
        <v>4.0134655614167301</v>
      </c>
      <c r="G17" s="5">
        <f>Dodge_Revised!$G5</f>
        <v>20.890911831198196</v>
      </c>
      <c r="H17" s="5">
        <f>(1-$C$4-$C$9-$C$10)*Dodge_Revised!$I5</f>
        <v>19.270839694656487</v>
      </c>
      <c r="I17" s="19">
        <f>$C$11*Dodge_Revised!$J5</f>
        <v>4.5558778625954206</v>
      </c>
      <c r="J17" s="5">
        <f>Dodge_Revised!$H5+(1-$C$11)*Dodge_Revised!$J5</f>
        <v>10.60923143979447</v>
      </c>
      <c r="K17" s="19">
        <f>Dodge_Revised!$L5</f>
        <v>7.3312977099236649</v>
      </c>
      <c r="L17" s="19">
        <f>Dodge_Revised!$M5+$C$12*Dodge_Revised!$N5+$C$9*Dodge_Revised!$I5</f>
        <v>14.296030534351148</v>
      </c>
      <c r="M17" s="5">
        <f>Dodge_Revised!$K5+(1-$C$12)*Dodge_Revised!$N5+(1-$C$5)*Dodge_Revised!$E5+$C$10*Dodge_Revised!$I5</f>
        <v>7.1527310066326502</v>
      </c>
      <c r="O17" s="19">
        <f t="shared" ref="O17:O80" si="0">SUM(C17:M17)</f>
        <v>158.05060548559601</v>
      </c>
      <c r="P17" s="19">
        <f>Dodge_Revised!O5</f>
        <v>158.05060548559601</v>
      </c>
      <c r="Q17" s="82"/>
    </row>
    <row r="18" spans="2:17" x14ac:dyDescent="0.2">
      <c r="B18">
        <v>1921</v>
      </c>
      <c r="C18" s="19">
        <f>Dodge_Revised!F6+$C$4*Dodge_Revised!I6</f>
        <v>23.157557712109622</v>
      </c>
      <c r="D18" s="5">
        <f>$C$6*(Dodge_Revised!$D6+$C$5*Dodge_Revised!$E6)</f>
        <v>27.605847776940472</v>
      </c>
      <c r="E18" s="5">
        <f>$C$7*(Dodge_Revised!$D6+$C$5*Dodge_Revised!$E6)</f>
        <v>3.7958040693293147</v>
      </c>
      <c r="F18" s="5">
        <f>$C$8*(Dodge_Revised!$D6+$C$5*Dodge_Revised!$E6)</f>
        <v>3.1056578749058028</v>
      </c>
      <c r="G18" s="5">
        <f>Dodge_Revised!$G6</f>
        <v>16.165586536046224</v>
      </c>
      <c r="H18" s="5">
        <f>(1-$C$4-$C$9-$C$10)*Dodge_Revised!$I6</f>
        <v>18.484274809160308</v>
      </c>
      <c r="I18" s="19">
        <f>$C$11*Dodge_Revised!$J6</f>
        <v>4.3699236641221377</v>
      </c>
      <c r="J18" s="5">
        <f>Dodge_Revised!$H6+(1-$C$11)*Dodge_Revised!$J6</f>
        <v>8.4910383233233304</v>
      </c>
      <c r="K18" s="19">
        <f>Dodge_Revised!$L6</f>
        <v>7.0320610687022906</v>
      </c>
      <c r="L18" s="19">
        <f>Dodge_Revised!$M6+$C$12*Dodge_Revised!$N6+$C$9*Dodge_Revised!$I6</f>
        <v>13.712519083969466</v>
      </c>
      <c r="M18" s="5">
        <f>Dodge_Revised!$K6+(1-$C$12)*Dodge_Revised!$N6+(1-$C$5)*Dodge_Revised!$E6+$C$10*Dodge_Revised!$I6</f>
        <v>6.5541261833403324</v>
      </c>
      <c r="O18" s="19">
        <f t="shared" si="0"/>
        <v>132.47439710194931</v>
      </c>
      <c r="P18" s="19">
        <f>Dodge_Revised!O6</f>
        <v>132.47439710194931</v>
      </c>
      <c r="Q18" s="82"/>
    </row>
    <row r="19" spans="2:17" x14ac:dyDescent="0.2">
      <c r="B19">
        <v>1922</v>
      </c>
      <c r="C19" s="19">
        <f>Dodge_Revised!F7+$C$4*Dodge_Revised!I7</f>
        <v>35.286436374304664</v>
      </c>
      <c r="D19" s="5">
        <f>$C$6*(Dodge_Revised!$D7+$C$5*Dodge_Revised!$E7)</f>
        <v>40.347008289374543</v>
      </c>
      <c r="E19" s="5">
        <f>$C$7*(Dodge_Revised!$D7+$C$5*Dodge_Revised!$E7)</f>
        <v>5.5477136397889986</v>
      </c>
      <c r="F19" s="5">
        <f>$C$8*(Dodge_Revised!$D7+$C$5*Dodge_Revised!$E7)</f>
        <v>4.5390384325546353</v>
      </c>
      <c r="G19" s="5">
        <f>Dodge_Revised!$G7</f>
        <v>23.62662647575986</v>
      </c>
      <c r="H19" s="5">
        <f>(1-$C$4-$C$9-$C$10)*Dodge_Revised!$I7</f>
        <v>38.541679389312975</v>
      </c>
      <c r="I19" s="19">
        <f>$C$11*Dodge_Revised!$J7</f>
        <v>9.1117557251908412</v>
      </c>
      <c r="J19" s="5">
        <f>Dodge_Revised!$H7+(1-$C$11)*Dodge_Revised!$J7</f>
        <v>13.318293826630516</v>
      </c>
      <c r="K19" s="19">
        <f>Dodge_Revised!$L7</f>
        <v>14.66259541984733</v>
      </c>
      <c r="L19" s="19">
        <f>Dodge_Revised!$M7+$C$12*Dodge_Revised!$N7+$C$9*Dodge_Revised!$I7</f>
        <v>28.592061068702296</v>
      </c>
      <c r="M19" s="5">
        <f>Dodge_Revised!$K7+(1-$C$12)*Dodge_Revised!$N7+(1-$C$5)*Dodge_Revised!$E7+$C$10*Dodge_Revised!$I7</f>
        <v>12.867833276766934</v>
      </c>
      <c r="O19" s="19">
        <f t="shared" si="0"/>
        <v>226.44104191823357</v>
      </c>
      <c r="P19" s="19">
        <f>Dodge_Revised!O7</f>
        <v>226.44104191823357</v>
      </c>
      <c r="Q19" s="82"/>
    </row>
    <row r="20" spans="2:17" x14ac:dyDescent="0.2">
      <c r="B20">
        <v>1923</v>
      </c>
      <c r="C20" s="19">
        <f>Dodge_Revised!F8+$C$4*Dodge_Revised!I8</f>
        <v>40.146448224486164</v>
      </c>
      <c r="D20" s="5">
        <f>$C$6*(Dodge_Revised!$D8+$C$5*Dodge_Revised!$E8)</f>
        <v>46.717588545591568</v>
      </c>
      <c r="E20" s="5">
        <f>$C$7*(Dodge_Revised!$D8+$C$5*Dodge_Revised!$E8)</f>
        <v>6.4236684250188398</v>
      </c>
      <c r="F20" s="5">
        <f>$C$8*(Dodge_Revised!$D8+$C$5*Dodge_Revised!$E8)</f>
        <v>5.2557287113790512</v>
      </c>
      <c r="G20" s="5">
        <f>Dodge_Revised!$G8</f>
        <v>27.357146445616682</v>
      </c>
      <c r="H20" s="5">
        <f>(1-$C$4-$C$9-$C$10)*Dodge_Revised!$I8</f>
        <v>38.934961832061077</v>
      </c>
      <c r="I20" s="19">
        <f>$C$11*Dodge_Revised!$J8</f>
        <v>9.2047328244274826</v>
      </c>
      <c r="J20" s="5">
        <f>Dodge_Revised!$H8+(1-$C$11)*Dodge_Revised!$J8</f>
        <v>14.972608601184872</v>
      </c>
      <c r="K20" s="19">
        <f>Dodge_Revised!$L8</f>
        <v>14.812213740458017</v>
      </c>
      <c r="L20" s="19">
        <f>Dodge_Revised!$M8+$C$12*Dodge_Revised!$N8+$C$9*Dodge_Revised!$I8</f>
        <v>28.883816793893139</v>
      </c>
      <c r="M20" s="5">
        <f>Dodge_Revised!$K8+(1-$C$12)*Dodge_Revised!$N8+(1-$C$5)*Dodge_Revised!$E8+$C$10*Dodge_Revised!$I8</f>
        <v>13.275450182258862</v>
      </c>
      <c r="O20" s="19">
        <f t="shared" si="0"/>
        <v>245.98436432637575</v>
      </c>
      <c r="P20" s="19">
        <f>Dodge_Revised!O8</f>
        <v>245.98436432637575</v>
      </c>
      <c r="Q20" s="82"/>
    </row>
    <row r="21" spans="2:17" x14ac:dyDescent="0.2">
      <c r="B21">
        <v>1924</v>
      </c>
      <c r="C21" s="19">
        <f>Dodge_Revised!F9+$C$4*Dodge_Revised!I9</f>
        <v>41.27949815056634</v>
      </c>
      <c r="D21" s="5">
        <f>$C$6*(Dodge_Revised!$D9+$C$5*Dodge_Revised!$E9)</f>
        <v>47.566999246420508</v>
      </c>
      <c r="E21" s="5">
        <f>$C$7*(Dodge_Revised!$D9+$C$5*Dodge_Revised!$E9)</f>
        <v>6.5404623963828197</v>
      </c>
      <c r="F21" s="5">
        <f>$C$8*(Dodge_Revised!$D9+$C$5*Dodge_Revised!$E9)</f>
        <v>5.3512874152223064</v>
      </c>
      <c r="G21" s="5">
        <f>Dodge_Revised!$G9</f>
        <v>27.854549108264258</v>
      </c>
      <c r="H21" s="5">
        <f>(1-$C$4-$C$9-$C$10)*Dodge_Revised!$I9</f>
        <v>42.867786259541987</v>
      </c>
      <c r="I21" s="19">
        <f>$C$11*Dodge_Revised!$J9</f>
        <v>10.134503816793895</v>
      </c>
      <c r="J21" s="5">
        <f>Dodge_Revised!$H9+(1-$C$11)*Dodge_Revised!$J9</f>
        <v>15.498975253059296</v>
      </c>
      <c r="K21" s="19">
        <f>Dodge_Revised!$L9</f>
        <v>16.308396946564887</v>
      </c>
      <c r="L21" s="19">
        <f>Dodge_Revised!$M9+$C$12*Dodge_Revised!$N9+$C$9*Dodge_Revised!$I9</f>
        <v>31.801374045801534</v>
      </c>
      <c r="M21" s="5">
        <f>Dodge_Revised!$K9+(1-$C$12)*Dodge_Revised!$N9+(1-$C$5)*Dodge_Revised!$E9+$C$10*Dodge_Revised!$I9</f>
        <v>14.4369746755102</v>
      </c>
      <c r="O21" s="19">
        <f t="shared" si="0"/>
        <v>259.64080731412804</v>
      </c>
      <c r="P21" s="19">
        <f>Dodge_Revised!O9</f>
        <v>259.64080731412804</v>
      </c>
      <c r="Q21" s="82"/>
    </row>
    <row r="22" spans="2:17" x14ac:dyDescent="0.2">
      <c r="B22">
        <v>1925</v>
      </c>
      <c r="C22" s="19">
        <f>Dodge_Revised!F10+$C$4*Dodge_Revised!I10</f>
        <v>58.511173247927658</v>
      </c>
      <c r="D22" s="5">
        <f>$C$6*(Dodge_Revised!$D10+$C$5*Dodge_Revised!$E10)</f>
        <v>68.377561416729463</v>
      </c>
      <c r="E22" s="5">
        <f>$C$7*(Dodge_Revised!$D10+$C$5*Dodge_Revised!$E10)</f>
        <v>9.4019146948003005</v>
      </c>
      <c r="F22" s="5">
        <f>$C$8*(Dodge_Revised!$D10+$C$5*Dodge_Revised!$E10)</f>
        <v>7.6924756593820645</v>
      </c>
      <c r="G22" s="5">
        <f>Dodge_Revised!$G10</f>
        <v>40.040914343129863</v>
      </c>
      <c r="H22" s="5">
        <f>(1-$C$4-$C$9-$C$10)*Dodge_Revised!$I10</f>
        <v>54.997599999999998</v>
      </c>
      <c r="I22" s="19">
        <f>$C$11*Dodge_Revised!$J10</f>
        <v>11.833500000000001</v>
      </c>
      <c r="J22" s="5">
        <f>Dodge_Revised!$H10+(1-$C$11)*Dodge_Revised!$J10</f>
        <v>21.368160514058996</v>
      </c>
      <c r="K22" s="19">
        <f>Dodge_Revised!$L10</f>
        <v>21.413</v>
      </c>
      <c r="L22" s="19">
        <f>Dodge_Revised!$M10+$C$12*Dodge_Revised!$N10+$C$9*Dodge_Revised!$I10</f>
        <v>39.614049999999999</v>
      </c>
      <c r="M22" s="5">
        <f>Dodge_Revised!$K10+(1-$C$12)*Dodge_Revised!$N10+(1-$C$5)*Dodge_Revised!$E10+$C$10*Dodge_Revised!$I10</f>
        <v>16.638310638030646</v>
      </c>
      <c r="N22" s="5"/>
      <c r="O22" s="19">
        <f t="shared" si="0"/>
        <v>349.88866051405904</v>
      </c>
      <c r="P22" s="19">
        <f>Dodge_Revised!O10</f>
        <v>349.88866051405904</v>
      </c>
      <c r="Q22" s="82"/>
    </row>
    <row r="23" spans="2:17" x14ac:dyDescent="0.2">
      <c r="B23">
        <f t="shared" ref="B23:B54" si="1">B22+1</f>
        <v>1926</v>
      </c>
      <c r="C23" s="19">
        <f>Dodge_Revised!F11+$C$4*Dodge_Revised!I11</f>
        <v>55.306800542577243</v>
      </c>
      <c r="D23" s="5">
        <f>$C$6*(Dodge_Revised!$D11+$C$5*Dodge_Revised!$E11)</f>
        <v>65.154654529012817</v>
      </c>
      <c r="E23" s="5">
        <f>$C$7*(Dodge_Revised!$D11+$C$5*Dodge_Revised!$E11)</f>
        <v>8.9587649977392623</v>
      </c>
      <c r="F23" s="5">
        <f>$C$8*(Dodge_Revised!$D11+$C$5*Dodge_Revised!$E11)</f>
        <v>7.3298986345139419</v>
      </c>
      <c r="G23" s="5">
        <f>Dodge_Revised!$G11</f>
        <v>38.153626525998497</v>
      </c>
      <c r="H23" s="5">
        <f>(1-$C$4-$C$9-$C$10)*Dodge_Revised!$I11</f>
        <v>48.833279999999995</v>
      </c>
      <c r="I23" s="19">
        <f>$C$11*Dodge_Revised!$J11</f>
        <v>12.716999999999999</v>
      </c>
      <c r="J23" s="5">
        <f>Dodge_Revised!$H11+(1-$C$11)*Dodge_Revised!$J11</f>
        <v>20.841413977673181</v>
      </c>
      <c r="K23" s="19">
        <f>Dodge_Revised!$L11</f>
        <v>18.086400000000001</v>
      </c>
      <c r="L23" s="19">
        <f>Dodge_Revised!$M11+$C$12*Dodge_Revised!$N11+$C$9*Dodge_Revised!$I11</f>
        <v>37.416240000000002</v>
      </c>
      <c r="M23" s="5">
        <f>Dodge_Revised!$K11+(1-$C$12)*Dodge_Revised!$N11+(1-$C$5)*Dodge_Revised!$E11+$C$10*Dodge_Revised!$I11</f>
        <v>19.185934770158251</v>
      </c>
      <c r="N23" s="5"/>
      <c r="O23" s="19">
        <f t="shared" si="0"/>
        <v>331.98401397767327</v>
      </c>
      <c r="P23" s="19">
        <f>Dodge_Revised!O11</f>
        <v>331.98401397767321</v>
      </c>
      <c r="Q23" s="82"/>
    </row>
    <row r="24" spans="2:17" x14ac:dyDescent="0.2">
      <c r="B24">
        <f t="shared" si="1"/>
        <v>1927</v>
      </c>
      <c r="C24" s="19">
        <f>Dodge_Revised!F12+$C$4*Dodge_Revised!I12</f>
        <v>52.226399427279574</v>
      </c>
      <c r="D24" s="5">
        <f>$C$6*(Dodge_Revised!$D12+$C$5*Dodge_Revised!$E12)</f>
        <v>61.051242441597587</v>
      </c>
      <c r="E24" s="5">
        <f>$C$7*(Dodge_Revised!$D12+$C$5*Dodge_Revised!$E12)</f>
        <v>8.3945458357196685</v>
      </c>
      <c r="F24" s="5">
        <f>$C$8*(Dodge_Revised!$D12+$C$5*Dodge_Revised!$E12)</f>
        <v>6.8682647746797274</v>
      </c>
      <c r="G24" s="5">
        <f>Dodge_Revised!$G12</f>
        <v>35.750727555890478</v>
      </c>
      <c r="H24" s="5">
        <f>(1-$C$4-$C$9-$C$10)*Dodge_Revised!$I12</f>
        <v>48.980159999999991</v>
      </c>
      <c r="I24" s="19">
        <f>$C$11*Dodge_Revised!$J12</f>
        <v>16.156649999999999</v>
      </c>
      <c r="J24" s="5">
        <f>Dodge_Revised!$H12+(1-$C$11)*Dodge_Revised!$J12</f>
        <v>20.942351094162003</v>
      </c>
      <c r="K24" s="19">
        <f>Dodge_Revised!$L12</f>
        <v>19.2746</v>
      </c>
      <c r="L24" s="19">
        <f>Dodge_Revised!$M12+$C$12*Dodge_Revised!$N12+$C$9*Dodge_Revised!$I12</f>
        <v>42.404119999999999</v>
      </c>
      <c r="M24" s="5">
        <f>Dodge_Revised!$K12+(1-$C$12)*Dodge_Revised!$N12+(1-$C$5)*Dodge_Revised!$E12+$C$10*Dodge_Revised!$I12</f>
        <v>24.373139964832955</v>
      </c>
      <c r="N24" s="5"/>
      <c r="O24" s="19">
        <f t="shared" si="0"/>
        <v>336.42220109416195</v>
      </c>
      <c r="P24" s="19">
        <f>Dodge_Revised!O12</f>
        <v>336.42220109416201</v>
      </c>
      <c r="Q24" s="82"/>
    </row>
    <row r="25" spans="2:17" x14ac:dyDescent="0.2">
      <c r="B25">
        <f t="shared" si="1"/>
        <v>1928</v>
      </c>
      <c r="C25" s="19">
        <f>Dodge_Revised!F13+$C$4*Dodge_Revised!I13</f>
        <v>58.715084280331567</v>
      </c>
      <c r="D25" s="5">
        <f>$C$6*(Dodge_Revised!$D13+$C$5*Dodge_Revised!$E13)</f>
        <v>68.565190173323288</v>
      </c>
      <c r="E25" s="5">
        <f>$C$7*(Dodge_Revised!$D13+$C$5*Dodge_Revised!$E13)</f>
        <v>9.4277136488319524</v>
      </c>
      <c r="F25" s="5">
        <f>$C$8*(Dodge_Revised!$D13+$C$5*Dodge_Revised!$E13)</f>
        <v>7.7135838944988695</v>
      </c>
      <c r="G25" s="5">
        <f>Dodge_Revised!$G13</f>
        <v>40.150787038432554</v>
      </c>
      <c r="H25" s="5">
        <f>(1-$C$4-$C$9-$C$10)*Dodge_Revised!$I13</f>
        <v>55.495359999999998</v>
      </c>
      <c r="I25" s="19">
        <f>$C$11*Dodge_Revised!$J13</f>
        <v>17.058</v>
      </c>
      <c r="J25" s="5">
        <f>Dodge_Revised!$H13+(1-$C$11)*Dodge_Revised!$J13</f>
        <v>23.157471224032133</v>
      </c>
      <c r="K25" s="19">
        <f>Dodge_Revised!$L13</f>
        <v>17.058</v>
      </c>
      <c r="L25" s="19">
        <f>Dodge_Revised!$M13+$C$12*Dodge_Revised!$N13+$C$9*Dodge_Revised!$I13</f>
        <v>35.992379999999997</v>
      </c>
      <c r="M25" s="5">
        <f>Dodge_Revised!$K13+(1-$C$12)*Dodge_Revised!$N13+(1-$C$5)*Dodge_Revised!$E13+$C$10*Dodge_Revised!$I13</f>
        <v>25.297900964581761</v>
      </c>
      <c r="N25" s="5"/>
      <c r="O25" s="19">
        <f t="shared" si="0"/>
        <v>358.63147122403205</v>
      </c>
      <c r="P25" s="19">
        <f>Dodge_Revised!O13</f>
        <v>358.63147122403217</v>
      </c>
      <c r="Q25" s="82"/>
    </row>
    <row r="26" spans="2:17" x14ac:dyDescent="0.2">
      <c r="B26">
        <f t="shared" si="1"/>
        <v>1929</v>
      </c>
      <c r="C26" s="19">
        <f>Dodge_Revised!F14+$C$4*Dodge_Revised!I14</f>
        <v>59.315755523737757</v>
      </c>
      <c r="D26" s="5">
        <f>$C$6*(Dodge_Revised!$D14+$C$5*Dodge_Revised!$E14)</f>
        <v>69.635220135644317</v>
      </c>
      <c r="E26" s="5">
        <f>$C$7*(Dodge_Revised!$D14+$C$5*Dodge_Revised!$E14)</f>
        <v>9.5748427686510933</v>
      </c>
      <c r="F26" s="5">
        <f>$C$8*(Dodge_Revised!$D14+$C$5*Dodge_Revised!$E14)</f>
        <v>7.8339622652599852</v>
      </c>
      <c r="G26" s="5">
        <f>Dodge_Revised!$G14</f>
        <v>40.777381160512441</v>
      </c>
      <c r="H26" s="5">
        <f>(1-$C$4-$C$9-$C$10)*Dodge_Revised!$I14</f>
        <v>53.836319999999994</v>
      </c>
      <c r="I26" s="19">
        <f>$C$11*Dodge_Revised!$J14</f>
        <v>17.109000000000002</v>
      </c>
      <c r="J26" s="5">
        <f>Dodge_Revised!$H14+(1-$C$11)*Dodge_Revised!$J14</f>
        <v>23.447131412799724</v>
      </c>
      <c r="K26" s="19">
        <f>Dodge_Revised!$L14</f>
        <v>14.8278</v>
      </c>
      <c r="L26" s="19">
        <f>Dodge_Revised!$M14+$C$12*Dodge_Revised!$N14+$C$9*Dodge_Revised!$I14</f>
        <v>29.142330000000005</v>
      </c>
      <c r="M26" s="5">
        <f>Dodge_Revised!$K14+(1-$C$12)*Dodge_Revised!$N14+(1-$C$5)*Dodge_Revised!$E14+$C$10*Dodge_Revised!$I14</f>
        <v>27.580788146194422</v>
      </c>
      <c r="N26" s="5"/>
      <c r="O26" s="19">
        <f t="shared" si="0"/>
        <v>353.08053141279976</v>
      </c>
      <c r="P26" s="19">
        <f>Dodge_Revised!O14</f>
        <v>353.08053141279981</v>
      </c>
      <c r="Q26" s="82"/>
    </row>
    <row r="27" spans="2:17" x14ac:dyDescent="0.2">
      <c r="B27">
        <f t="shared" si="1"/>
        <v>1930</v>
      </c>
      <c r="C27" s="19">
        <f>Dodge_Revised!F15+$C$4*Dodge_Revised!I15</f>
        <v>38.297619894498865</v>
      </c>
      <c r="D27" s="5">
        <f>$C$6*(Dodge_Revised!$D15+$C$5*Dodge_Revised!$E15)</f>
        <v>42.079199397136392</v>
      </c>
      <c r="E27" s="5">
        <f>$C$7*(Dodge_Revised!$D15+$C$5*Dodge_Revised!$E15)</f>
        <v>5.7858899171062541</v>
      </c>
      <c r="F27" s="5">
        <f>$C$8*(Dodge_Revised!$D15+$C$5*Dodge_Revised!$E15)</f>
        <v>4.7339099321778439</v>
      </c>
      <c r="G27" s="5">
        <f>Dodge_Revised!$G15</f>
        <v>24.640972619944737</v>
      </c>
      <c r="H27" s="5">
        <f>(1-$C$4-$C$9-$C$10)*Dodge_Revised!$I15</f>
        <v>52.166399999999996</v>
      </c>
      <c r="I27" s="19">
        <f>$C$11*Dodge_Revised!$J15</f>
        <v>16.302</v>
      </c>
      <c r="J27" s="5">
        <f>Dodge_Revised!$H15+(1-$C$11)*Dodge_Revised!$J15</f>
        <v>16.156431011114122</v>
      </c>
      <c r="K27" s="19">
        <f>Dodge_Revised!$L15</f>
        <v>12.584</v>
      </c>
      <c r="L27" s="19">
        <f>Dodge_Revised!$M15+$C$12*Dodge_Revised!$N15+$C$9*Dodge_Revised!$I15</f>
        <v>22.365199999999998</v>
      </c>
      <c r="M27" s="5">
        <f>Dodge_Revised!$K15+(1-$C$12)*Dodge_Revised!$N15+(1-$C$5)*Dodge_Revised!$E15+$C$10*Dodge_Revised!$I15</f>
        <v>31.866808239135892</v>
      </c>
      <c r="N27" s="5"/>
      <c r="O27" s="19">
        <f t="shared" si="0"/>
        <v>266.97843101111408</v>
      </c>
      <c r="P27" s="19">
        <f>Dodge_Revised!O15</f>
        <v>266.97843101111408</v>
      </c>
      <c r="Q27" s="82"/>
    </row>
    <row r="28" spans="2:17" x14ac:dyDescent="0.2">
      <c r="B28">
        <f t="shared" si="1"/>
        <v>1931</v>
      </c>
      <c r="C28" s="19">
        <f>Dodge_Revised!F16+$C$4*Dodge_Revised!I16</f>
        <v>20.526117618688772</v>
      </c>
      <c r="D28" s="5">
        <f>$C$6*(Dodge_Revised!$D16+$C$5*Dodge_Revised!$E16)</f>
        <v>21.599300678221553</v>
      </c>
      <c r="E28" s="5">
        <f>$C$7*(Dodge_Revised!$D16+$C$5*Dodge_Revised!$E16)</f>
        <v>2.9699038432554636</v>
      </c>
      <c r="F28" s="5">
        <f>$C$8*(Dodge_Revised!$D16+$C$5*Dodge_Revised!$E16)</f>
        <v>2.4299213262999246</v>
      </c>
      <c r="G28" s="5">
        <f>Dodge_Revised!$G16</f>
        <v>12.648239135895503</v>
      </c>
      <c r="H28" s="5">
        <f>(1-$C$4-$C$9-$C$10)*Dodge_Revised!$I16</f>
        <v>33.720319999999994</v>
      </c>
      <c r="I28" s="19">
        <f>$C$11*Dodge_Revised!$J16</f>
        <v>14.524799999999999</v>
      </c>
      <c r="J28" s="5">
        <f>Dodge_Revised!$H16+(1-$C$11)*Dodge_Revised!$J16</f>
        <v>10.345435974272405</v>
      </c>
      <c r="K28" s="19">
        <f>Dodge_Revised!$L16</f>
        <v>6.8352000000000004</v>
      </c>
      <c r="L28" s="19">
        <f>Dodge_Revised!$M16+$C$12*Dodge_Revised!$N16+$C$9*Dodge_Revised!$I16</f>
        <v>18.39808</v>
      </c>
      <c r="M28" s="5">
        <f>Dodge_Revised!$K16+(1-$C$12)*Dodge_Revised!$N16+(1-$C$5)*Dodge_Revised!$E16+$C$10*Dodge_Revised!$I16</f>
        <v>33.525717397638786</v>
      </c>
      <c r="N28" s="5"/>
      <c r="O28" s="19">
        <f t="shared" si="0"/>
        <v>177.52303597427237</v>
      </c>
      <c r="P28" s="19">
        <f>Dodge_Revised!O16</f>
        <v>177.52303597427237</v>
      </c>
      <c r="Q28" s="82"/>
    </row>
    <row r="29" spans="2:17" x14ac:dyDescent="0.2">
      <c r="B29">
        <f t="shared" si="1"/>
        <v>1932</v>
      </c>
      <c r="C29" s="19">
        <f>Dodge_Revised!F17+$C$4*Dodge_Revised!I17</f>
        <v>9.384488560663149</v>
      </c>
      <c r="D29" s="5">
        <f>$C$6*(Dodge_Revised!$D17+$C$5*Dodge_Revised!$E17)</f>
        <v>10.323980346646572</v>
      </c>
      <c r="E29" s="5">
        <f>$C$7*(Dodge_Revised!$D17+$C$5*Dodge_Revised!$E17)</f>
        <v>1.4195472976639034</v>
      </c>
      <c r="F29" s="5">
        <f>$C$8*(Dodge_Revised!$D17+$C$5*Dodge_Revised!$E17)</f>
        <v>1.161447788997739</v>
      </c>
      <c r="G29" s="5">
        <f>Dodge_Revised!$G17</f>
        <v>6.0455740768651083</v>
      </c>
      <c r="H29" s="5">
        <f>(1-$C$4-$C$9-$C$10)*Dodge_Revised!$I17</f>
        <v>12.705279999999998</v>
      </c>
      <c r="I29" s="19">
        <f>$C$11*Dodge_Revised!$J17</f>
        <v>5.9555999999999996</v>
      </c>
      <c r="J29" s="5">
        <f>Dodge_Revised!$H17+(1-$C$11)*Dodge_Revised!$J17</f>
        <v>4.6159099139949227</v>
      </c>
      <c r="K29" s="19">
        <f>Dodge_Revised!$L17</f>
        <v>4.5375999999999994</v>
      </c>
      <c r="L29" s="19">
        <f>Dodge_Revised!$M17+$C$12*Dodge_Revised!$N17+$C$9*Dodge_Revised!$I17</f>
        <v>7.713919999999999</v>
      </c>
      <c r="M29" s="5">
        <f>Dodge_Revised!$K17+(1-$C$12)*Dodge_Revised!$N17+(1-$C$5)*Dodge_Revised!$E17+$C$10*Dodge_Revised!$I17</f>
        <v>20.444161929163524</v>
      </c>
      <c r="N29" s="5"/>
      <c r="O29" s="19">
        <f t="shared" si="0"/>
        <v>84.30750991399492</v>
      </c>
      <c r="P29" s="19">
        <f>Dodge_Revised!O17</f>
        <v>84.30750991399492</v>
      </c>
      <c r="Q29" s="82"/>
    </row>
    <row r="30" spans="2:17" x14ac:dyDescent="0.2">
      <c r="B30">
        <f t="shared" si="1"/>
        <v>1933</v>
      </c>
      <c r="C30" s="19">
        <f>Dodge_Revised!F18+$C$4*Dodge_Revised!I18</f>
        <v>8.1176273700075345</v>
      </c>
      <c r="D30" s="5">
        <f>$C$6*(Dodge_Revised!$D18+$C$5*Dodge_Revised!$E18)</f>
        <v>9.8519506857573482</v>
      </c>
      <c r="E30" s="5">
        <f>$C$7*(Dodge_Revised!$D18+$C$5*Dodge_Revised!$E18)</f>
        <v>1.3546432192916353</v>
      </c>
      <c r="F30" s="5">
        <f>$C$8*(Dodge_Revised!$D18+$C$5*Dodge_Revised!$E18)</f>
        <v>1.1083444521477015</v>
      </c>
      <c r="G30" s="5">
        <f>Dodge_Revised!$G18</f>
        <v>5.7691603114795278</v>
      </c>
      <c r="H30" s="5">
        <f>(1-$C$4-$C$9-$C$10)*Dodge_Revised!$I18</f>
        <v>5.4220799999999993</v>
      </c>
      <c r="I30" s="19">
        <f>$C$11*Dodge_Revised!$J18</f>
        <v>5.0831999999999997</v>
      </c>
      <c r="J30" s="5">
        <f>Dodge_Revised!$H18+(1-$C$11)*Dodge_Revised!$J18</f>
        <v>4.2048294536582951</v>
      </c>
      <c r="K30" s="19">
        <f>Dodge_Revised!$L18</f>
        <v>3.3887999999999998</v>
      </c>
      <c r="L30" s="19">
        <f>Dodge_Revised!$M18+$C$12*Dodge_Revised!$N18+$C$9*Dodge_Revised!$I18</f>
        <v>7.3423999999999996</v>
      </c>
      <c r="M30" s="5">
        <f>Dodge_Revised!$K18+(1-$C$12)*Dodge_Revised!$N18+(1-$C$5)*Dodge_Revised!$E18+$C$10*Dodge_Revised!$I18</f>
        <v>14.124993961316251</v>
      </c>
      <c r="N30" s="5"/>
      <c r="O30" s="19">
        <f t="shared" si="0"/>
        <v>65.768029453658286</v>
      </c>
      <c r="P30" s="19">
        <f>Dodge_Revised!O18</f>
        <v>65.768029453658301</v>
      </c>
      <c r="Q30" s="82"/>
    </row>
    <row r="31" spans="2:17" x14ac:dyDescent="0.2">
      <c r="B31">
        <f t="shared" si="1"/>
        <v>1934</v>
      </c>
      <c r="C31" s="19">
        <f>Dodge_Revised!F19+$C$4*Dodge_Revised!I19</f>
        <v>10.930903029389599</v>
      </c>
      <c r="D31" s="5">
        <f>$C$6*(Dodge_Revised!$D19+$C$5*Dodge_Revised!$E19)</f>
        <v>11.942714453654862</v>
      </c>
      <c r="E31" s="5">
        <f>$C$7*(Dodge_Revised!$D19+$C$5*Dodge_Revised!$E19)</f>
        <v>1.6421232373775434</v>
      </c>
      <c r="F31" s="5">
        <f>$C$8*(Dodge_Revised!$D19+$C$5*Dodge_Revised!$E19)</f>
        <v>1.3435553760361718</v>
      </c>
      <c r="G31" s="5">
        <f>Dodge_Revised!$G19</f>
        <v>6.9934814368249185</v>
      </c>
      <c r="H31" s="5">
        <f>(1-$C$4-$C$9-$C$10)*Dodge_Revised!$I19</f>
        <v>15.297279999999999</v>
      </c>
      <c r="I31" s="19">
        <f>$C$11*Dodge_Revised!$J19</f>
        <v>3.3744000000000001</v>
      </c>
      <c r="J31" s="5">
        <f>Dodge_Revised!$H19+(1-$C$11)*Dodge_Revised!$J19</f>
        <v>4.1679884077971359</v>
      </c>
      <c r="K31" s="19">
        <f>Dodge_Revised!$L19</f>
        <v>3.3744000000000001</v>
      </c>
      <c r="L31" s="19">
        <f>Dodge_Revised!$M19+$C$12*Dodge_Revised!$N19+$C$9*Dodge_Revised!$I19</f>
        <v>8.9421599999999994</v>
      </c>
      <c r="M31" s="5">
        <f>Dodge_Revised!$K19+(1-$C$12)*Dodge_Revised!$N19+(1-$C$5)*Dodge_Revised!$E19+$C$10*Dodge_Revised!$I19</f>
        <v>12.645382466716907</v>
      </c>
      <c r="N31" s="5"/>
      <c r="O31" s="19">
        <f t="shared" si="0"/>
        <v>80.654388407797143</v>
      </c>
      <c r="P31" s="19">
        <f>Dodge_Revised!O19</f>
        <v>80.654388407797114</v>
      </c>
      <c r="Q31" s="82"/>
    </row>
    <row r="32" spans="2:17" x14ac:dyDescent="0.2">
      <c r="B32">
        <f t="shared" si="1"/>
        <v>1935</v>
      </c>
      <c r="C32" s="19">
        <f>Dodge_Revised!F20+$C$4*Dodge_Revised!I20</f>
        <v>14.137320271288623</v>
      </c>
      <c r="D32" s="5">
        <f>$C$6*(Dodge_Revised!$D20+$C$5*Dodge_Revised!$E20)</f>
        <v>14.864687264506408</v>
      </c>
      <c r="E32" s="5">
        <f>$C$7*(Dodge_Revised!$D20+$C$5*Dodge_Revised!$E20)</f>
        <v>2.0438944988696308</v>
      </c>
      <c r="F32" s="5">
        <f>$C$8*(Dodge_Revised!$D20+$C$5*Dodge_Revised!$E20)</f>
        <v>1.6722773172569707</v>
      </c>
      <c r="G32" s="5">
        <f>Dodge_Revised!$G20</f>
        <v>8.7045465963325803</v>
      </c>
      <c r="H32" s="5">
        <f>(1-$C$4-$C$9-$C$10)*Dodge_Revised!$I20</f>
        <v>23.296000000000003</v>
      </c>
      <c r="I32" s="19">
        <f>$C$11*Dodge_Revised!$J20</f>
        <v>5.0400000000000009</v>
      </c>
      <c r="J32" s="5">
        <f>Dodge_Revised!$H20+(1-$C$11)*Dodge_Revised!$J20</f>
        <v>5.4677522856649992</v>
      </c>
      <c r="K32" s="19">
        <f>Dodge_Revised!$L20</f>
        <v>4.4800000000000004</v>
      </c>
      <c r="L32" s="19">
        <f>Dodge_Revised!$M20+$C$12*Dodge_Revised!$N20+$C$9*Dodge_Revised!$I20</f>
        <v>10.528000000000002</v>
      </c>
      <c r="M32" s="5">
        <f>Dodge_Revised!$K20+(1-$C$12)*Dodge_Revised!$N20+(1-$C$5)*Dodge_Revised!$E20+$C$10*Dodge_Revised!$I20</f>
        <v>18.833274051745793</v>
      </c>
      <c r="N32" s="5"/>
      <c r="O32" s="19">
        <f t="shared" si="0"/>
        <v>109.06775228566502</v>
      </c>
      <c r="P32" s="19">
        <f>Dodge_Revised!O20</f>
        <v>109.06775228566502</v>
      </c>
      <c r="Q32" s="82"/>
    </row>
    <row r="33" spans="2:17" x14ac:dyDescent="0.2">
      <c r="B33">
        <f t="shared" si="1"/>
        <v>1936</v>
      </c>
      <c r="C33" s="19">
        <f>Dodge_Revised!F21+$C$4*Dodge_Revised!I21</f>
        <v>23.239715267520726</v>
      </c>
      <c r="D33" s="5">
        <f>$C$6*(Dodge_Revised!$D21+$C$5*Dodge_Revised!$E21)</f>
        <v>24.476224385832708</v>
      </c>
      <c r="E33" s="5">
        <f>$C$7*(Dodge_Revised!$D21+$C$5*Dodge_Revised!$E21)</f>
        <v>3.3654808530519973</v>
      </c>
      <c r="F33" s="5">
        <f>$C$8*(Dodge_Revised!$D21+$C$5*Dodge_Revised!$E21)</f>
        <v>2.7535752434061798</v>
      </c>
      <c r="G33" s="5">
        <f>Dodge_Revised!$G21</f>
        <v>14.332924189902036</v>
      </c>
      <c r="H33" s="5">
        <f>(1-$C$4-$C$9-$C$10)*Dodge_Revised!$I21</f>
        <v>38.048639999999999</v>
      </c>
      <c r="I33" s="19">
        <f>$C$11*Dodge_Revised!$J21</f>
        <v>8.4930000000000021</v>
      </c>
      <c r="J33" s="5">
        <f>Dodge_Revised!$H21+(1-$C$11)*Dodge_Revised!$J21</f>
        <v>9.0679206436826938</v>
      </c>
      <c r="K33" s="19">
        <f>Dodge_Revised!$L21</f>
        <v>4.5296000000000003</v>
      </c>
      <c r="L33" s="19">
        <f>Dodge_Revised!$M21+$C$12*Dodge_Revised!$N21+$C$9*Dodge_Revised!$I21</f>
        <v>17.212479999999999</v>
      </c>
      <c r="M33" s="5">
        <f>Dodge_Revised!$K21+(1-$C$12)*Dodge_Revised!$N21+(1-$C$5)*Dodge_Revised!$E21+$C$10*Dodge_Revised!$I21</f>
        <v>20.385760060286358</v>
      </c>
      <c r="N33" s="5"/>
      <c r="O33" s="19">
        <f t="shared" si="0"/>
        <v>165.90532064368267</v>
      </c>
      <c r="P33" s="19">
        <f>Dodge_Revised!O21</f>
        <v>165.9053206436827</v>
      </c>
      <c r="Q33" s="82"/>
    </row>
    <row r="34" spans="2:17" x14ac:dyDescent="0.2">
      <c r="B34">
        <f t="shared" si="1"/>
        <v>1937</v>
      </c>
      <c r="C34" s="19">
        <f>Dodge_Revised!F22+$C$4*Dodge_Revised!I22</f>
        <v>24.446440512434059</v>
      </c>
      <c r="D34" s="5">
        <f>$C$6*(Dodge_Revised!$D22+$C$5*Dodge_Revised!$E22)</f>
        <v>26.91479149962321</v>
      </c>
      <c r="E34" s="5">
        <f>$C$7*(Dodge_Revised!$D22+$C$5*Dodge_Revised!$E22)</f>
        <v>3.7007838311981911</v>
      </c>
      <c r="F34" s="5">
        <f>$C$8*(Dodge_Revised!$D22+$C$5*Dodge_Revised!$E22)</f>
        <v>3.0279140437076109</v>
      </c>
      <c r="G34" s="5">
        <f>Dodge_Revised!$G22</f>
        <v>15.760913941220798</v>
      </c>
      <c r="H34" s="5">
        <f>(1-$C$4-$C$9-$C$10)*Dodge_Revised!$I22</f>
        <v>32.970239999999997</v>
      </c>
      <c r="I34" s="19">
        <f>$C$11*Dodge_Revised!$J22</f>
        <v>9.4446000000000012</v>
      </c>
      <c r="J34" s="5">
        <f>Dodge_Revised!$H22+(1-$C$11)*Dodge_Revised!$J22</f>
        <v>10.006505271199387</v>
      </c>
      <c r="K34" s="19">
        <f>Dodge_Revised!$L22</f>
        <v>6.8688000000000002</v>
      </c>
      <c r="L34" s="19">
        <f>Dodge_Revised!$M22+$C$12*Dodge_Revised!$N22+$C$9*Dodge_Revised!$I22</f>
        <v>18.20232</v>
      </c>
      <c r="M34" s="5">
        <f>Dodge_Revised!$K22+(1-$C$12)*Dodge_Revised!$N22+(1-$C$5)*Dodge_Revised!$E22+$C$10*Dodge_Revised!$I22</f>
        <v>18.076596171816124</v>
      </c>
      <c r="N34" s="5"/>
      <c r="O34" s="19">
        <f t="shared" si="0"/>
        <v>169.41990527119938</v>
      </c>
      <c r="P34" s="19">
        <f>Dodge_Revised!O22</f>
        <v>169.41990527119935</v>
      </c>
      <c r="Q34" s="82"/>
    </row>
    <row r="35" spans="2:17" x14ac:dyDescent="0.2">
      <c r="B35">
        <f t="shared" si="1"/>
        <v>1938</v>
      </c>
      <c r="C35" s="19">
        <f>Dodge_Revised!F23+$C$4*Dodge_Revised!I23</f>
        <v>20.513833519216277</v>
      </c>
      <c r="D35" s="5">
        <f>$C$6*(Dodge_Revised!$D23+$C$5*Dodge_Revised!$E23)</f>
        <v>18.430088681235873</v>
      </c>
      <c r="E35" s="5">
        <f>$C$7*(Dodge_Revised!$D23+$C$5*Dodge_Revised!$E23)</f>
        <v>2.5341371936699324</v>
      </c>
      <c r="F35" s="5">
        <f>$C$8*(Dodge_Revised!$D23+$C$5*Dodge_Revised!$E23)</f>
        <v>2.0733849766390358</v>
      </c>
      <c r="G35" s="5">
        <f>Dodge_Revised!$G23</f>
        <v>10.79239427279578</v>
      </c>
      <c r="H35" s="5">
        <f>(1-$C$4-$C$9-$C$10)*Dodge_Revised!$I23</f>
        <v>52.768320000000003</v>
      </c>
      <c r="I35" s="19">
        <f>$C$11*Dodge_Revised!$J23</f>
        <v>14.754300000000001</v>
      </c>
      <c r="J35" s="5">
        <f>Dodge_Revised!$H23+(1-$C$11)*Dodge_Revised!$J23</f>
        <v>9.614371726755218</v>
      </c>
      <c r="K35" s="19">
        <f>Dodge_Revised!$L23</f>
        <v>5.7859999999999996</v>
      </c>
      <c r="L35" s="19">
        <f>Dodge_Revised!$M23+$C$12*Dodge_Revised!$N23+$C$9*Dodge_Revised!$I23</f>
        <v>24.821940000000001</v>
      </c>
      <c r="M35" s="5">
        <f>Dodge_Revised!$K23+(1-$C$12)*Dodge_Revised!$N23+(1-$C$5)*Dodge_Revised!$E23+$C$10*Dodge_Revised!$I23</f>
        <v>28.916701356443106</v>
      </c>
      <c r="N35" s="5"/>
      <c r="O35" s="19">
        <f t="shared" si="0"/>
        <v>191.00547172675525</v>
      </c>
      <c r="P35" s="19">
        <f>Dodge_Revised!O23</f>
        <v>191.00547172675522</v>
      </c>
      <c r="Q35" s="82"/>
    </row>
    <row r="36" spans="2:17" x14ac:dyDescent="0.2">
      <c r="B36">
        <f t="shared" si="1"/>
        <v>1939</v>
      </c>
      <c r="C36" s="19">
        <f>Dodge_Revised!F24+$C$4*Dodge_Revised!I24</f>
        <v>20.388058236623962</v>
      </c>
      <c r="D36" s="5">
        <f>$C$6*(Dodge_Revised!$D24+$C$5*Dodge_Revised!$E24)</f>
        <v>21.732172780708368</v>
      </c>
      <c r="E36" s="5">
        <f>$C$7*(Dodge_Revised!$D24+$C$5*Dodge_Revised!$E24)</f>
        <v>2.9881737573474001</v>
      </c>
      <c r="F36" s="5">
        <f>$C$8*(Dodge_Revised!$D24+$C$5*Dodge_Revised!$E24)</f>
        <v>2.4448694378296909</v>
      </c>
      <c r="G36" s="5">
        <f>Dodge_Revised!$G24</f>
        <v>12.726047123838232</v>
      </c>
      <c r="H36" s="5">
        <f>(1-$C$4-$C$9-$C$10)*Dodge_Revised!$I24</f>
        <v>31.813119999999994</v>
      </c>
      <c r="I36" s="19">
        <f>$C$11*Dodge_Revised!$J24</f>
        <v>10.526399999999999</v>
      </c>
      <c r="J36" s="5">
        <f>Dodge_Revised!$H24+(1-$C$11)*Dodge_Revised!$J24</f>
        <v>9.0464938416422278</v>
      </c>
      <c r="K36" s="19">
        <f>Dodge_Revised!$L24</f>
        <v>7.0175999999999998</v>
      </c>
      <c r="L36" s="19">
        <f>Dodge_Revised!$M24+$C$12*Dodge_Revised!$N24+$C$9*Dodge_Revised!$I24</f>
        <v>16.725279999999998</v>
      </c>
      <c r="M36" s="5">
        <f>Dodge_Revised!$K24+(1-$C$12)*Dodge_Revised!$N24+(1-$C$5)*Dodge_Revised!$E24+$C$10*Dodge_Revised!$I24</f>
        <v>26.855878663652348</v>
      </c>
      <c r="N36" s="5"/>
      <c r="O36" s="19">
        <f t="shared" si="0"/>
        <v>162.26409384164219</v>
      </c>
      <c r="P36" s="19">
        <f>Dodge_Revised!O24</f>
        <v>162.26409384164222</v>
      </c>
      <c r="Q36" s="82"/>
    </row>
    <row r="37" spans="2:17" x14ac:dyDescent="0.2">
      <c r="B37">
        <f t="shared" si="1"/>
        <v>1940</v>
      </c>
      <c r="C37" s="19">
        <f>Dodge_Revised!F25+$C$4*Dodge_Revised!I25</f>
        <v>25.633010550113035</v>
      </c>
      <c r="D37" s="5">
        <f>$C$6*(Dodge_Revised!$D25+$C$5*Dodge_Revised!$E25)</f>
        <v>30.03046028636021</v>
      </c>
      <c r="E37" s="5">
        <f>$C$7*(Dodge_Revised!$D25+$C$5*Dodge_Revised!$E25)</f>
        <v>4.1291882893745289</v>
      </c>
      <c r="F37" s="5">
        <f>$C$8*(Dodge_Revised!$D25+$C$5*Dodge_Revised!$E25)</f>
        <v>3.3784267822155236</v>
      </c>
      <c r="G37" s="5">
        <f>Dodge_Revised!$G25</f>
        <v>17.585404672192919</v>
      </c>
      <c r="H37" s="5">
        <f>(1-$C$4-$C$9-$C$10)*Dodge_Revised!$I25</f>
        <v>23.639999999999997</v>
      </c>
      <c r="I37" s="19">
        <f>$C$11*Dodge_Revised!$J25</f>
        <v>12.410999999999998</v>
      </c>
      <c r="J37" s="5">
        <f>Dodge_Revised!$H25+(1-$C$11)*Dodge_Revised!$J25</f>
        <v>11.789225880381476</v>
      </c>
      <c r="K37" s="19">
        <f>Dodge_Revised!$L25</f>
        <v>8.2739999999999991</v>
      </c>
      <c r="L37" s="19">
        <f>Dodge_Revised!$M25+$C$12*Dodge_Revised!$N25+$C$9*Dodge_Revised!$I25</f>
        <v>20.034899999999997</v>
      </c>
      <c r="M37" s="5">
        <f>Dodge_Revised!$K25+(1-$C$12)*Dodge_Revised!$N25+(1-$C$5)*Dodge_Revised!$E25+$C$10*Dodge_Revised!$I25</f>
        <v>56.414609419743776</v>
      </c>
      <c r="N37" s="5"/>
      <c r="O37" s="19">
        <f t="shared" si="0"/>
        <v>213.32022588038149</v>
      </c>
      <c r="P37" s="19">
        <f>Dodge_Revised!O25</f>
        <v>213.32022588038149</v>
      </c>
      <c r="Q37" s="82"/>
    </row>
    <row r="38" spans="2:17" x14ac:dyDescent="0.2">
      <c r="B38">
        <f t="shared" si="1"/>
        <v>1941</v>
      </c>
      <c r="C38" s="19">
        <f>Dodge_Revised!F26+$C$4*Dodge_Revised!I26</f>
        <v>40.097670052750559</v>
      </c>
      <c r="D38" s="5">
        <f>$C$6*(Dodge_Revised!$D26+$C$5*Dodge_Revised!$E26)</f>
        <v>49.207120301431807</v>
      </c>
      <c r="E38" s="5">
        <f>$C$7*(Dodge_Revised!$D26+$C$5*Dodge_Revised!$E26)</f>
        <v>6.7659790414468732</v>
      </c>
      <c r="F38" s="5">
        <f>$C$8*(Dodge_Revised!$D26+$C$5*Dodge_Revised!$E26)</f>
        <v>5.5358010339110777</v>
      </c>
      <c r="G38" s="5">
        <f>Dodge_Revised!$G26</f>
        <v>28.814980356694296</v>
      </c>
      <c r="H38" s="5">
        <f>(1-$C$4-$C$9-$C$10)*Dodge_Revised!$I26</f>
        <v>23.504639999999998</v>
      </c>
      <c r="I38" s="19">
        <f>$C$11*Dodge_Revised!$J26</f>
        <v>13.77225</v>
      </c>
      <c r="J38" s="5">
        <f>Dodge_Revised!$H26+(1-$C$11)*Dodge_Revised!$J26</f>
        <v>17.129485533157542</v>
      </c>
      <c r="K38" s="19">
        <f>Dodge_Revised!$L26</f>
        <v>11.017799999999999</v>
      </c>
      <c r="L38" s="19">
        <f>Dodge_Revised!$M26+$C$12*Dodge_Revised!$N26+$C$9*Dodge_Revised!$I26</f>
        <v>28.279019999999999</v>
      </c>
      <c r="M38" s="5">
        <f>Dodge_Revised!$K26+(1-$C$12)*Dodge_Revised!$N26+(1-$C$5)*Dodge_Revised!$E26+$C$10*Dodge_Revised!$I26</f>
        <v>96.912389213765394</v>
      </c>
      <c r="N38" s="5"/>
      <c r="O38" s="19">
        <f t="shared" si="0"/>
        <v>321.03713553315754</v>
      </c>
      <c r="P38" s="19">
        <f>Dodge_Revised!O26</f>
        <v>321.03713553315754</v>
      </c>
      <c r="Q38" s="82"/>
    </row>
    <row r="39" spans="2:17" x14ac:dyDescent="0.2">
      <c r="B39">
        <f t="shared" si="1"/>
        <v>1942</v>
      </c>
      <c r="C39" s="19">
        <f>Dodge_Revised!F27+$C$4*Dodge_Revised!I27</f>
        <v>30.76168626978146</v>
      </c>
      <c r="D39" s="5">
        <f>$C$6*(Dodge_Revised!$D27+$C$5*Dodge_Revised!$E27)</f>
        <v>35.536310113036926</v>
      </c>
      <c r="E39" s="5">
        <f>$C$7*(Dodge_Revised!$D27+$C$5*Dodge_Revised!$E27)</f>
        <v>4.8862426405425774</v>
      </c>
      <c r="F39" s="5">
        <f>$C$8*(Dodge_Revised!$D27+$C$5*Dodge_Revised!$E27)</f>
        <v>3.9978348877166541</v>
      </c>
      <c r="G39" s="5">
        <f>Dodge_Revised!$G27</f>
        <v>20.809550967093696</v>
      </c>
      <c r="H39" s="5">
        <f>(1-$C$4-$C$9-$C$10)*Dodge_Revised!$I27</f>
        <v>31.40672</v>
      </c>
      <c r="I39" s="19">
        <f>$C$11*Dodge_Revised!$J27</f>
        <v>32.293199999999999</v>
      </c>
      <c r="J39" s="5">
        <f>Dodge_Revised!$H27+(1-$C$11)*Dodge_Revised!$J27</f>
        <v>19.819601596885086</v>
      </c>
      <c r="K39" s="19">
        <f>Dodge_Revised!$L27</f>
        <v>3.7991999999999999</v>
      </c>
      <c r="L39" s="19">
        <f>Dodge_Revised!$M27+$C$12*Dodge_Revised!$N27+$C$9*Dodge_Revised!$I27</f>
        <v>58.444359999999996</v>
      </c>
      <c r="M39" s="5">
        <f>Dodge_Revised!$K27+(1-$C$12)*Dodge_Revised!$N27+(1-$C$5)*Dodge_Revised!$E27+$C$10*Dodge_Revised!$I27</f>
        <v>275.12689512182862</v>
      </c>
      <c r="N39" s="5"/>
      <c r="O39" s="19">
        <f t="shared" si="0"/>
        <v>516.88160159688505</v>
      </c>
      <c r="P39" s="19">
        <f>Dodge_Revised!O27</f>
        <v>516.88160159688505</v>
      </c>
      <c r="Q39" s="82"/>
    </row>
    <row r="40" spans="2:17" x14ac:dyDescent="0.2">
      <c r="B40">
        <f t="shared" si="1"/>
        <v>1943</v>
      </c>
      <c r="C40" s="19">
        <f>Dodge_Revised!F28+$C$4*Dodge_Revised!I28</f>
        <v>9.8144013865862849</v>
      </c>
      <c r="D40" s="5">
        <f>$C$6*(Dodge_Revised!$D28+$C$5*Dodge_Revised!$E28)</f>
        <v>10.916899351921629</v>
      </c>
      <c r="E40" s="5">
        <f>$C$7*(Dodge_Revised!$D28+$C$5*Dodge_Revised!$E28)</f>
        <v>1.5010736608892239</v>
      </c>
      <c r="F40" s="5">
        <f>$C$8*(Dodge_Revised!$D28+$C$5*Dodge_Revised!$E28)</f>
        <v>1.2281511770911833</v>
      </c>
      <c r="G40" s="5">
        <f>Dodge_Revised!$G28</f>
        <v>6.3927788997739263</v>
      </c>
      <c r="H40" s="5">
        <f>(1-$C$4-$C$9-$C$10)*Dodge_Revised!$I28</f>
        <v>12.562559999999998</v>
      </c>
      <c r="I40" s="19">
        <f>$C$11*Dodge_Revised!$J28</f>
        <v>19.629000000000001</v>
      </c>
      <c r="J40" s="5">
        <f>Dodge_Revised!$H28+(1-$C$11)*Dodge_Revised!$J28</f>
        <v>9.324794849552724</v>
      </c>
      <c r="K40" s="19">
        <f>Dodge_Revised!$L28</f>
        <v>1.3086</v>
      </c>
      <c r="L40" s="19">
        <f>Dodge_Revised!$M28+$C$12*Dodge_Revised!$N28+$C$9*Dodge_Revised!$I28</f>
        <v>26.433720000000005</v>
      </c>
      <c r="M40" s="5">
        <f>Dodge_Revised!$K28+(1-$C$12)*Dodge_Revised!$N28+(1-$C$5)*Dodge_Revised!$E28+$C$10*Dodge_Revised!$I28</f>
        <v>85.565215523737763</v>
      </c>
      <c r="N40" s="5"/>
      <c r="O40" s="19">
        <f t="shared" si="0"/>
        <v>184.67719484955273</v>
      </c>
      <c r="P40" s="19">
        <f>Dodge_Revised!O28</f>
        <v>184.67719484955273</v>
      </c>
      <c r="Q40" s="82"/>
    </row>
    <row r="41" spans="2:17" x14ac:dyDescent="0.2">
      <c r="B41">
        <f t="shared" si="1"/>
        <v>1944</v>
      </c>
      <c r="C41" s="19">
        <f>Dodge_Revised!F29+$C$4*Dodge_Revised!I29</f>
        <v>5.9925844762622464</v>
      </c>
      <c r="D41" s="5">
        <f>$C$6*(Dodge_Revised!$D29+$C$5*Dodge_Revised!$E29)</f>
        <v>6.1466998643556909</v>
      </c>
      <c r="E41" s="5">
        <f>$C$7*(Dodge_Revised!$D29+$C$5*Dodge_Revised!$E29)</f>
        <v>0.84517123134890748</v>
      </c>
      <c r="F41" s="5">
        <f>$C$8*(Dodge_Revised!$D29+$C$5*Dodge_Revised!$E29)</f>
        <v>0.69150373474001514</v>
      </c>
      <c r="G41" s="5">
        <f>Dodge_Revised!$G29</f>
        <v>3.5994188394875666</v>
      </c>
      <c r="H41" s="5">
        <f>(1-$C$4-$C$9-$C$10)*Dodge_Revised!$I29</f>
        <v>10.806399999999998</v>
      </c>
      <c r="I41" s="19">
        <f>$C$11*Dodge_Revised!$J29</f>
        <v>8.1048000000000009</v>
      </c>
      <c r="J41" s="5">
        <f>Dodge_Revised!$H29+(1-$C$11)*Dodge_Revised!$J29</f>
        <v>4.2678742206560045</v>
      </c>
      <c r="K41" s="19">
        <f>Dodge_Revised!$L29</f>
        <v>1.3508</v>
      </c>
      <c r="L41" s="19">
        <f>Dodge_Revised!$M29+$C$12*Dodge_Revised!$N29+$C$9*Dodge_Revised!$I29</f>
        <v>11.887039999999999</v>
      </c>
      <c r="M41" s="5">
        <f>Dodge_Revised!$K29+(1-$C$12)*Dodge_Revised!$N29+(1-$C$5)*Dodge_Revised!$E29+$C$10*Dodge_Revised!$I29</f>
        <v>43.780781853805578</v>
      </c>
      <c r="N41" s="5"/>
      <c r="O41" s="19">
        <f t="shared" si="0"/>
        <v>97.473074220656002</v>
      </c>
      <c r="P41" s="19">
        <f>Dodge_Revised!O29</f>
        <v>97.473074220656002</v>
      </c>
      <c r="Q41" s="82"/>
    </row>
    <row r="42" spans="2:17" x14ac:dyDescent="0.2">
      <c r="B42">
        <f t="shared" si="1"/>
        <v>1945</v>
      </c>
      <c r="C42" s="19">
        <f>Dodge_Revised!F30+$C$4*Dodge_Revised!I30</f>
        <v>26.941585757347401</v>
      </c>
      <c r="D42" s="5">
        <f>$C$6*(Dodge_Revised!$D30+$C$5*Dodge_Revised!$E30)</f>
        <v>33.278318613413717</v>
      </c>
      <c r="E42" s="5">
        <f>$C$7*(Dodge_Revised!$D30+$C$5*Dodge_Revised!$E30)</f>
        <v>4.5757688093443862</v>
      </c>
      <c r="F42" s="5">
        <f>$C$8*(Dodge_Revised!$D30+$C$5*Dodge_Revised!$E30)</f>
        <v>3.743810844009043</v>
      </c>
      <c r="G42" s="5">
        <f>Dodge_Revised!$G30</f>
        <v>19.487303692539562</v>
      </c>
      <c r="H42" s="5">
        <f>(1-$C$4-$C$9-$C$10)*Dodge_Revised!$I30</f>
        <v>14.4872</v>
      </c>
      <c r="I42" s="19">
        <f>$C$11*Dodge_Revised!$J30</f>
        <v>11.49225</v>
      </c>
      <c r="J42" s="5">
        <f>Dodge_Revised!$H30+(1-$C$11)*Dodge_Revised!$J30</f>
        <v>12.310580429532516</v>
      </c>
      <c r="K42" s="19">
        <f>Dodge_Revised!$L30</f>
        <v>6.9649999999999999</v>
      </c>
      <c r="L42" s="19">
        <f>Dodge_Revised!$M30+$C$12*Dodge_Revised!$N30+$C$9*Dodge_Revised!$I30</f>
        <v>15.671250000000001</v>
      </c>
      <c r="M42" s="5">
        <f>Dodge_Revised!$K30+(1-$C$12)*Dodge_Revised!$N30+(1-$C$5)*Dodge_Revised!$E30+$C$10*Dodge_Revised!$I30</f>
        <v>37.830762283345898</v>
      </c>
      <c r="N42" s="5"/>
      <c r="O42" s="19">
        <f t="shared" si="0"/>
        <v>186.78383042953254</v>
      </c>
      <c r="P42" s="19">
        <f>Dodge_Revised!O30</f>
        <v>186.78383042953254</v>
      </c>
      <c r="Q42" s="82"/>
    </row>
    <row r="43" spans="2:17" x14ac:dyDescent="0.2">
      <c r="B43">
        <f t="shared" si="1"/>
        <v>1946</v>
      </c>
      <c r="C43" s="19">
        <f>Dodge_Revised!F31+$C$4*Dodge_Revised!I31</f>
        <v>47.844970535041448</v>
      </c>
      <c r="D43" s="5">
        <f>$C$6*(Dodge_Revised!$D31+$C$5*Dodge_Revised!$E31)</f>
        <v>58.865488771665412</v>
      </c>
      <c r="E43" s="5">
        <f>$C$7*(Dodge_Revised!$D31+$C$5*Dodge_Revised!$E31)</f>
        <v>8.0940047061039948</v>
      </c>
      <c r="F43" s="5">
        <f>$C$8*(Dodge_Revised!$D31+$C$5*Dodge_Revised!$E31)</f>
        <v>6.622367486812359</v>
      </c>
      <c r="G43" s="5">
        <f>Dodge_Revised!$G31</f>
        <v>34.470781713137406</v>
      </c>
      <c r="H43" s="5">
        <f>(1-$C$4-$C$9-$C$10)*Dodge_Revised!$I31</f>
        <v>27.133599999999998</v>
      </c>
      <c r="I43" s="19">
        <f>$C$11*Dodge_Revised!$J31</f>
        <v>14.675625</v>
      </c>
      <c r="J43" s="5">
        <f>Dodge_Revised!$H31+(1-$C$11)*Dodge_Revised!$J31</f>
        <v>19.891712243401759</v>
      </c>
      <c r="K43" s="19">
        <f>Dodge_Revised!$L31</f>
        <v>10.436</v>
      </c>
      <c r="L43" s="19">
        <f>Dodge_Revised!$M31+$C$12*Dodge_Revised!$N31+$C$9*Dodge_Revised!$I31</f>
        <v>18.002099999999999</v>
      </c>
      <c r="M43" s="5">
        <f>Dodge_Revised!$K31+(1-$C$12)*Dodge_Revised!$N31+(1-$C$5)*Dodge_Revised!$E31+$C$10*Dodge_Revised!$I31</f>
        <v>24.645186787239385</v>
      </c>
      <c r="N43" s="5"/>
      <c r="O43" s="19">
        <f t="shared" si="0"/>
        <v>270.68183724340179</v>
      </c>
      <c r="P43" s="19">
        <f>Dodge_Revised!O31</f>
        <v>270.68183724340179</v>
      </c>
      <c r="Q43" s="82"/>
    </row>
    <row r="44" spans="2:17" x14ac:dyDescent="0.2">
      <c r="B44">
        <f t="shared" si="1"/>
        <v>1947</v>
      </c>
      <c r="C44" s="19">
        <f>Dodge_Revised!F32+$C$4*Dodge_Revised!I32</f>
        <v>41.979855058402407</v>
      </c>
      <c r="D44" s="5">
        <f>$C$6*(Dodge_Revised!$D32+$C$5*Dodge_Revised!$E32)</f>
        <v>48.627814619442361</v>
      </c>
      <c r="E44" s="5">
        <f>$C$7*(Dodge_Revised!$D32+$C$5*Dodge_Revised!$E32)</f>
        <v>6.686324510173324</v>
      </c>
      <c r="F44" s="5">
        <f>$C$8*(Dodge_Revised!$D32+$C$5*Dodge_Revised!$E32)</f>
        <v>5.4706291446872655</v>
      </c>
      <c r="G44" s="5">
        <f>Dodge_Revised!$G32</f>
        <v>28.475747299673451</v>
      </c>
      <c r="H44" s="5">
        <f>(1-$C$4-$C$9-$C$10)*Dodge_Revised!$I32</f>
        <v>42.061900000000001</v>
      </c>
      <c r="I44" s="19">
        <f>$C$11*Dodge_Revised!$J32</f>
        <v>19.235624999999999</v>
      </c>
      <c r="J44" s="5">
        <f>Dodge_Revised!$H32+(1-$C$11)*Dodge_Revised!$J32</f>
        <v>18.802994482983809</v>
      </c>
      <c r="K44" s="19">
        <f>Dodge_Revised!$L32</f>
        <v>15.388500000000001</v>
      </c>
      <c r="L44" s="19">
        <f>Dodge_Revised!$M32+$C$12*Dodge_Revised!$N32+$C$9*Dodge_Revised!$I32</f>
        <v>22.120968750000003</v>
      </c>
      <c r="M44" s="5">
        <f>Dodge_Revised!$K32+(1-$C$12)*Dodge_Revised!$N32+(1-$C$5)*Dodge_Revised!$E32+$C$10*Dodge_Revised!$I32</f>
        <v>26.427635617621199</v>
      </c>
      <c r="N44" s="5"/>
      <c r="O44" s="19">
        <f t="shared" si="0"/>
        <v>275.27799448298384</v>
      </c>
      <c r="P44" s="19">
        <f>Dodge_Revised!O32</f>
        <v>275.2779944829839</v>
      </c>
      <c r="Q44" s="82"/>
    </row>
    <row r="45" spans="2:17" x14ac:dyDescent="0.2">
      <c r="B45">
        <f t="shared" si="1"/>
        <v>1948</v>
      </c>
      <c r="C45" s="19">
        <f>Dodge_Revised!F33+$C$4*Dodge_Revised!I33</f>
        <v>45.523231047475505</v>
      </c>
      <c r="D45" s="5">
        <f>$C$6*(Dodge_Revised!$D33+$C$5*Dodge_Revised!$E33)</f>
        <v>48.266720271288627</v>
      </c>
      <c r="E45" s="5">
        <f>$C$7*(Dodge_Revised!$D33+$C$5*Dodge_Revised!$E33)</f>
        <v>6.6366740373021864</v>
      </c>
      <c r="F45" s="5">
        <f>$C$8*(Dodge_Revised!$D33+$C$5*Dodge_Revised!$E33)</f>
        <v>5.4300060305199702</v>
      </c>
      <c r="G45" s="5">
        <f>Dodge_Revised!$G33</f>
        <v>28.264295654358204</v>
      </c>
      <c r="H45" s="5">
        <f>(1-$C$4-$C$9-$C$10)*Dodge_Revised!$I33</f>
        <v>72.590399999999988</v>
      </c>
      <c r="I45" s="19">
        <f>$C$11*Dodge_Revised!$J33</f>
        <v>33.081562500000004</v>
      </c>
      <c r="J45" s="5">
        <f>Dodge_Revised!$H33+(1-$C$11)*Dodge_Revised!$J33</f>
        <v>23.326294556605632</v>
      </c>
      <c r="K45" s="19">
        <f>Dodge_Revised!$L33</f>
        <v>26.465250000000001</v>
      </c>
      <c r="L45" s="19">
        <f>Dodge_Revised!$M33+$C$12*Dodge_Revised!$N33+$C$9*Dodge_Revised!$I33</f>
        <v>34.530850000000008</v>
      </c>
      <c r="M45" s="5">
        <f>Dodge_Revised!$K33+(1-$C$12)*Dodge_Revised!$N33+(1-$C$5)*Dodge_Revised!$E33+$C$10*Dodge_Revised!$I33</f>
        <v>34.752572959055513</v>
      </c>
      <c r="N45" s="5"/>
      <c r="O45" s="19">
        <f t="shared" si="0"/>
        <v>358.86785705660566</v>
      </c>
      <c r="P45" s="19">
        <f>Dodge_Revised!O33</f>
        <v>358.86785705660571</v>
      </c>
      <c r="Q45" s="82"/>
    </row>
    <row r="46" spans="2:17" x14ac:dyDescent="0.2">
      <c r="B46">
        <f t="shared" si="1"/>
        <v>1949</v>
      </c>
      <c r="C46" s="19">
        <f>Dodge_Revised!F34+$C$4*Dodge_Revised!I34</f>
        <v>40.272464817256967</v>
      </c>
      <c r="D46" s="5">
        <f>$C$6*(Dodge_Revised!$D34+$C$5*Dodge_Revised!$E34)</f>
        <v>40.376870384325542</v>
      </c>
      <c r="E46" s="5">
        <f>$C$7*(Dodge_Revised!$D34+$C$5*Dodge_Revised!$E34)</f>
        <v>5.5518196778447617</v>
      </c>
      <c r="F46" s="5">
        <f>$C$8*(Dodge_Revised!$D34+$C$5*Dodge_Revised!$E34)</f>
        <v>4.542397918236623</v>
      </c>
      <c r="G46" s="5">
        <f>Dodge_Revised!$G34</f>
        <v>23.644113288118561</v>
      </c>
      <c r="H46" s="5">
        <f>(1-$C$4-$C$9-$C$10)*Dodge_Revised!$I34</f>
        <v>78.249499999999998</v>
      </c>
      <c r="I46" s="19">
        <f>$C$11*Dodge_Revised!$J34</f>
        <v>39.000937499999999</v>
      </c>
      <c r="J46" s="5">
        <f>Dodge_Revised!$H34+(1-$C$11)*Dodge_Revised!$J34</f>
        <v>23.288963742021735</v>
      </c>
      <c r="K46" s="19">
        <f>Dodge_Revised!$L34</f>
        <v>30.953124999999996</v>
      </c>
      <c r="L46" s="19">
        <f>Dodge_Revised!$M34+$C$12*Dodge_Revised!$N34+$C$9*Dodge_Revised!$I34</f>
        <v>33.61509375</v>
      </c>
      <c r="M46" s="5">
        <f>Dodge_Revised!$K34+(1-$C$12)*Dodge_Revised!$N34+(1-$C$5)*Dodge_Revised!$E34+$C$10*Dodge_Revised!$I34</f>
        <v>41.182740164217527</v>
      </c>
      <c r="N46" s="5"/>
      <c r="O46" s="19">
        <f t="shared" si="0"/>
        <v>360.6780262420217</v>
      </c>
      <c r="P46" s="19">
        <f>Dodge_Revised!O34</f>
        <v>360.6780262420217</v>
      </c>
      <c r="Q46" s="82"/>
    </row>
    <row r="47" spans="2:17" x14ac:dyDescent="0.2">
      <c r="B47">
        <f t="shared" si="1"/>
        <v>1950</v>
      </c>
      <c r="C47" s="19">
        <f>Dodge_Revised!F35+$C$4*Dodge_Revised!I35</f>
        <v>55.979710022607385</v>
      </c>
      <c r="D47" s="5">
        <f>$C$6*(Dodge_Revised!$D35+$C$5*Dodge_Revised!$E35)</f>
        <v>56.255257272042208</v>
      </c>
      <c r="E47" s="5">
        <f>$C$7*(Dodge_Revised!$D35+$C$5*Dodge_Revised!$E35)</f>
        <v>7.7350978749058035</v>
      </c>
      <c r="F47" s="5">
        <f>$C$8*(Dodge_Revised!$D35+$C$5*Dodge_Revised!$E35)</f>
        <v>6.3287164431047476</v>
      </c>
      <c r="G47" s="5">
        <f>Dodge_Revised!$G35</f>
        <v>32.942267771916605</v>
      </c>
      <c r="H47" s="5">
        <f>(1-$C$4-$C$9-$C$10)*Dodge_Revised!$I35</f>
        <v>107.98079999999999</v>
      </c>
      <c r="I47" s="19">
        <f>$C$11*Dodge_Revised!$J35</f>
        <v>41.04</v>
      </c>
      <c r="J47" s="5">
        <f>Dodge_Revised!$H35+(1-$C$11)*Dodge_Revised!$J35</f>
        <v>28.014709874565661</v>
      </c>
      <c r="K47" s="19">
        <f>Dodge_Revised!$L35</f>
        <v>35.263999999999996</v>
      </c>
      <c r="L47" s="19">
        <f>Dodge_Revised!$M35+$C$12*Dodge_Revised!$N35+$C$9*Dodge_Revised!$I35</f>
        <v>39.337600000000002</v>
      </c>
      <c r="M47" s="5">
        <f>Dodge_Revised!$K35+(1-$C$12)*Dodge_Revised!$N35+(1-$C$5)*Dodge_Revised!$E35+$C$10*Dodge_Revised!$I35</f>
        <v>52.160550615423269</v>
      </c>
      <c r="N47" s="5"/>
      <c r="O47" s="19">
        <f t="shared" si="0"/>
        <v>463.03870987456571</v>
      </c>
      <c r="P47" s="19">
        <f>Dodge_Revised!O35</f>
        <v>463.03870987456571</v>
      </c>
      <c r="Q47" s="82"/>
    </row>
    <row r="48" spans="2:17" x14ac:dyDescent="0.2">
      <c r="B48">
        <f t="shared" si="1"/>
        <v>1951</v>
      </c>
      <c r="C48" s="19">
        <f>Dodge_Revised!F36+$C$4*Dodge_Revised!I36</f>
        <v>40.88252373775434</v>
      </c>
      <c r="D48" s="5">
        <f>$C$6*(Dodge_Revised!$D36+$C$5*Dodge_Revised!$E36)</f>
        <v>36.118535644310477</v>
      </c>
      <c r="E48" s="5">
        <f>$C$7*(Dodge_Revised!$D36+$C$5*Dodge_Revised!$E36)</f>
        <v>4.9662986510926901</v>
      </c>
      <c r="F48" s="5">
        <f>$C$8*(Dodge_Revised!$D36+$C$5*Dodge_Revised!$E36)</f>
        <v>4.0633352599849282</v>
      </c>
      <c r="G48" s="5">
        <f>Dodge_Revised!$G36</f>
        <v>21.150493845767397</v>
      </c>
      <c r="H48" s="5">
        <f>(1-$C$4-$C$9-$C$10)*Dodge_Revised!$I36</f>
        <v>108.85600000000001</v>
      </c>
      <c r="I48" s="19">
        <f>$C$11*Dodge_Revised!$J36</f>
        <v>35.2545</v>
      </c>
      <c r="J48" s="5">
        <f>Dodge_Revised!$H36+(1-$C$11)*Dodge_Revised!$J36</f>
        <v>20.95506166982922</v>
      </c>
      <c r="K48" s="19">
        <f>Dodge_Revised!$L36</f>
        <v>30.925000000000004</v>
      </c>
      <c r="L48" s="19">
        <f>Dodge_Revised!$M36+$C$12*Dodge_Revised!$N36+$C$9*Dodge_Revised!$I36</f>
        <v>26.595500000000001</v>
      </c>
      <c r="M48" s="5">
        <f>Dodge_Revised!$K36+(1-$C$12)*Dodge_Revised!$N36+(1-$C$5)*Dodge_Revised!$E36+$C$10*Dodge_Revised!$I36</f>
        <v>77.75031286109018</v>
      </c>
      <c r="N48" s="5"/>
      <c r="O48" s="19">
        <f t="shared" si="0"/>
        <v>407.51756166982932</v>
      </c>
      <c r="P48" s="19">
        <f>Dodge_Revised!O36</f>
        <v>407.51756166982938</v>
      </c>
      <c r="Q48" s="82"/>
    </row>
    <row r="49" spans="2:17" x14ac:dyDescent="0.2">
      <c r="B49">
        <f t="shared" si="1"/>
        <v>1952</v>
      </c>
      <c r="C49" s="19">
        <f>Dodge_Revised!F37+$C$4*Dodge_Revised!I37</f>
        <v>41.838201657874905</v>
      </c>
      <c r="D49" s="5">
        <f>$C$6*(Dodge_Revised!$D37+$C$5*Dodge_Revised!$E37)</f>
        <v>38.059666616428032</v>
      </c>
      <c r="E49" s="5">
        <f>$C$7*(Dodge_Revised!$D37+$C$5*Dodge_Revised!$E37)</f>
        <v>5.2332041597588539</v>
      </c>
      <c r="F49" s="5">
        <f>$C$8*(Dodge_Revised!$D37+$C$5*Dodge_Revised!$E37)</f>
        <v>4.2817124943481533</v>
      </c>
      <c r="G49" s="5">
        <f>Dodge_Revised!$G37</f>
        <v>22.28719216277317</v>
      </c>
      <c r="H49" s="5">
        <f>(1-$C$4-$C$9-$C$10)*Dodge_Revised!$I37</f>
        <v>104.77439999999999</v>
      </c>
      <c r="I49" s="19">
        <f>$C$11*Dodge_Revised!$J37</f>
        <v>23.867999999999999</v>
      </c>
      <c r="J49" s="5">
        <f>Dodge_Revised!$H37+(1-$C$11)*Dodge_Revised!$J37</f>
        <v>17.654191872643484</v>
      </c>
      <c r="K49" s="19">
        <f>Dodge_Revised!$L37</f>
        <v>26.928000000000001</v>
      </c>
      <c r="L49" s="19">
        <f>Dodge_Revised!$M37+$C$12*Dodge_Revised!$N37+$C$9*Dodge_Revised!$I37</f>
        <v>28.825200000000002</v>
      </c>
      <c r="M49" s="5">
        <f>Dodge_Revised!$K37+(1-$C$12)*Dodge_Revised!$N37+(1-$C$5)*Dodge_Revised!$E37+$C$10*Dodge_Revised!$I37</f>
        <v>94.972422908816895</v>
      </c>
      <c r="N49" s="5"/>
      <c r="O49" s="19">
        <f t="shared" si="0"/>
        <v>408.72219187264346</v>
      </c>
      <c r="P49" s="19">
        <f>Dodge_Revised!O37</f>
        <v>408.72219187264341</v>
      </c>
      <c r="Q49" s="82"/>
    </row>
    <row r="50" spans="2:17" x14ac:dyDescent="0.2">
      <c r="B50">
        <f t="shared" si="1"/>
        <v>1953</v>
      </c>
      <c r="C50" s="19">
        <f>Dodge_Revised!F38+$C$4*Dodge_Revised!I38</f>
        <v>57.575367897513189</v>
      </c>
      <c r="D50" s="5">
        <f>$C$6*(Dodge_Revised!$D38+$C$5*Dodge_Revised!$E38)</f>
        <v>56.389873700075377</v>
      </c>
      <c r="E50" s="5">
        <f>$C$7*(Dodge_Revised!$D38+$C$5*Dodge_Revised!$E38)</f>
        <v>7.7536076337603639</v>
      </c>
      <c r="F50" s="5">
        <f>$C$8*(Dodge_Revised!$D38+$C$5*Dodge_Revised!$E38)</f>
        <v>6.3438607912584795</v>
      </c>
      <c r="G50" s="5">
        <f>Dodge_Revised!$G38</f>
        <v>33.021097211755844</v>
      </c>
      <c r="H50" s="5">
        <f>(1-$C$4-$C$9-$C$10)*Dodge_Revised!$I38</f>
        <v>119.93279999999999</v>
      </c>
      <c r="I50" s="19">
        <f>$C$11*Dodge_Revised!$J38</f>
        <v>20.855250000000002</v>
      </c>
      <c r="J50" s="5">
        <f>Dodge_Revised!$H38+(1-$C$11)*Dodge_Revised!$J38</f>
        <v>21.32076222307105</v>
      </c>
      <c r="K50" s="19">
        <f>Dodge_Revised!$L38</f>
        <v>33.852000000000004</v>
      </c>
      <c r="L50" s="19">
        <f>Dodge_Revised!$M38+$C$12*Dodge_Revised!$N38+$C$9*Dodge_Revised!$I38</f>
        <v>34.093800000000002</v>
      </c>
      <c r="M50" s="5">
        <f>Dodge_Revised!$K38+(1-$C$12)*Dodge_Revised!$N38+(1-$C$5)*Dodge_Revised!$E38+$C$10*Dodge_Revised!$I38</f>
        <v>80.232592765636781</v>
      </c>
      <c r="N50" s="5"/>
      <c r="O50" s="19">
        <f t="shared" si="0"/>
        <v>471.37101222307115</v>
      </c>
      <c r="P50" s="19">
        <f>Dodge_Revised!O38</f>
        <v>471.37101222307098</v>
      </c>
      <c r="Q50" s="82"/>
    </row>
    <row r="51" spans="2:17" x14ac:dyDescent="0.2">
      <c r="B51">
        <f t="shared" si="1"/>
        <v>1954</v>
      </c>
      <c r="C51" s="19">
        <f>Dodge_Revised!F39+$C$4*Dodge_Revised!I39</f>
        <v>66.615181160512435</v>
      </c>
      <c r="D51" s="5">
        <f>$C$6*(Dodge_Revised!$D39+$C$5*Dodge_Revised!$E39)</f>
        <v>63.476006631499629</v>
      </c>
      <c r="E51" s="5">
        <f>$C$7*(Dodge_Revised!$D39+$C$5*Dodge_Revised!$E39)</f>
        <v>8.7279509118311989</v>
      </c>
      <c r="F51" s="5">
        <f>$C$8*(Dodge_Revised!$D39+$C$5*Dodge_Revised!$E39)</f>
        <v>7.1410507460437076</v>
      </c>
      <c r="G51" s="5">
        <f>Dodge_Revised!$G39</f>
        <v>37.170634513941224</v>
      </c>
      <c r="H51" s="5">
        <f>(1-$C$4-$C$9-$C$10)*Dodge_Revised!$I39</f>
        <v>149.44159999999999</v>
      </c>
      <c r="I51" s="19">
        <f>$C$11*Dodge_Revised!$J39</f>
        <v>25.472999999999999</v>
      </c>
      <c r="J51" s="5">
        <f>Dodge_Revised!$H39+(1-$C$11)*Dodge_Revised!$J39</f>
        <v>24.665668523127724</v>
      </c>
      <c r="K51" s="19">
        <f>Dodge_Revised!$L39</f>
        <v>41.242000000000004</v>
      </c>
      <c r="L51" s="19">
        <f>Dodge_Revised!$M39+$C$12*Dodge_Revised!$N39+$C$9*Dodge_Revised!$I39</f>
        <v>37.724299999999999</v>
      </c>
      <c r="M51" s="5">
        <f>Dodge_Revised!$K39+(1-$C$12)*Dodge_Revised!$N39+(1-$C$5)*Dodge_Revised!$E39+$C$10*Dodge_Revised!$I39</f>
        <v>79.726276036171825</v>
      </c>
      <c r="N51" s="5"/>
      <c r="O51" s="19">
        <f t="shared" si="0"/>
        <v>541.40366852312786</v>
      </c>
      <c r="P51" s="19">
        <f>Dodge_Revised!O39</f>
        <v>541.40366852312775</v>
      </c>
      <c r="Q51" s="82"/>
    </row>
    <row r="52" spans="2:17" x14ac:dyDescent="0.2">
      <c r="B52">
        <f t="shared" si="1"/>
        <v>1955</v>
      </c>
      <c r="C52" s="19">
        <f>Dodge_Revised!F40+$C$4*Dodge_Revised!I40</f>
        <v>79.934548982667678</v>
      </c>
      <c r="D52" s="5">
        <f>$C$6*(Dodge_Revised!$D40+$C$5*Dodge_Revised!$E40)</f>
        <v>80.624622758100998</v>
      </c>
      <c r="E52" s="5">
        <f>$C$7*(Dodge_Revised!$D40+$C$5*Dodge_Revised!$E40)</f>
        <v>11.085885629238886</v>
      </c>
      <c r="F52" s="5">
        <f>$C$8*(Dodge_Revised!$D40+$C$5*Dodge_Revised!$E40)</f>
        <v>9.0702700602863597</v>
      </c>
      <c r="G52" s="5">
        <f>Dodge_Revised!$G40</f>
        <v>47.2126169304195</v>
      </c>
      <c r="H52" s="5">
        <f>(1-$C$4-$C$9-$C$10)*Dodge_Revised!$I40</f>
        <v>152.39599999999999</v>
      </c>
      <c r="I52" s="19">
        <f>$C$11*Dodge_Revised!$J40</f>
        <v>21.200250000000004</v>
      </c>
      <c r="J52" s="5">
        <f>Dodge_Revised!$H40+(1-$C$11)*Dodge_Revised!$J40</f>
        <v>27.611151217378449</v>
      </c>
      <c r="K52" s="19">
        <f>Dodge_Revised!$L40</f>
        <v>45.473000000000006</v>
      </c>
      <c r="L52" s="19">
        <f>Dodge_Revised!$M40+$C$12*Dodge_Revised!$N40+$C$9*Dodge_Revised!$I40</f>
        <v>40.618450000000003</v>
      </c>
      <c r="M52" s="5">
        <f>Dodge_Revised!$K40+(1-$C$12)*Dodge_Revised!$N40+(1-$C$5)*Dodge_Revised!$E40+$C$10*Dodge_Revised!$I40</f>
        <v>94.008605639286614</v>
      </c>
      <c r="N52" s="5"/>
      <c r="O52" s="19">
        <f t="shared" si="0"/>
        <v>609.23540121737858</v>
      </c>
      <c r="P52" s="19">
        <f>Dodge_Revised!O40</f>
        <v>609.23540121737847</v>
      </c>
      <c r="Q52" s="82"/>
    </row>
    <row r="53" spans="2:17" x14ac:dyDescent="0.2">
      <c r="B53">
        <f t="shared" si="1"/>
        <v>1956</v>
      </c>
      <c r="C53" s="19">
        <f>Dodge_Revised!F41+$C$4*Dodge_Revised!I41</f>
        <v>89.871891484551611</v>
      </c>
      <c r="D53" s="5">
        <f>$C$6*(Dodge_Revised!$D41+$C$5*Dodge_Revised!$E41)</f>
        <v>92.525094197437838</v>
      </c>
      <c r="E53" s="5">
        <f>$C$7*(Dodge_Revised!$D41+$C$5*Dodge_Revised!$E41)</f>
        <v>12.722200452147701</v>
      </c>
      <c r="F53" s="5">
        <f>$C$8*(Dodge_Revised!$D41+$C$5*Dodge_Revised!$E41)</f>
        <v>10.409073097211756</v>
      </c>
      <c r="G53" s="5">
        <f>Dodge_Revised!$G41</f>
        <v>54.181361466968099</v>
      </c>
      <c r="H53" s="5">
        <f>(1-$C$4-$C$9-$C$10)*Dodge_Revised!$I41</f>
        <v>160</v>
      </c>
      <c r="I53" s="19">
        <f>$C$11*Dodge_Revised!$J41</f>
        <v>24.75</v>
      </c>
      <c r="J53" s="5">
        <f>Dodge_Revised!$H41+(1-$C$11)*Dodge_Revised!$J41</f>
        <v>31.826825451588256</v>
      </c>
      <c r="K53" s="19">
        <f>Dodge_Revised!$L41</f>
        <v>48</v>
      </c>
      <c r="L53" s="19">
        <f>Dodge_Revised!$M41+$C$12*Dodge_Revised!$N41+$C$9*Dodge_Revised!$I41</f>
        <v>44.8</v>
      </c>
      <c r="M53" s="5">
        <f>Dodge_Revised!$K41+(1-$C$12)*Dodge_Revised!$N41+(1-$C$5)*Dodge_Revised!$E41+$C$10*Dodge_Revised!$I41</f>
        <v>84.490379301682992</v>
      </c>
      <c r="N53" s="5"/>
      <c r="O53" s="19">
        <f t="shared" si="0"/>
        <v>653.57682545158821</v>
      </c>
      <c r="P53" s="19">
        <f>Dodge_Revised!O41</f>
        <v>653.57682545158832</v>
      </c>
      <c r="Q53" s="82"/>
    </row>
    <row r="54" spans="2:17" x14ac:dyDescent="0.2">
      <c r="B54">
        <f t="shared" si="1"/>
        <v>1957</v>
      </c>
      <c r="C54" s="19">
        <f>Dodge_Revised!F42+$C$4*Dodge_Revised!I42</f>
        <v>90.858251695553875</v>
      </c>
      <c r="D54" s="5">
        <f>$C$6*(Dodge_Revised!$D42+$C$5*Dodge_Revised!$E42)</f>
        <v>92.904295403165037</v>
      </c>
      <c r="E54" s="5">
        <f>$C$7*(Dodge_Revised!$D42+$C$5*Dodge_Revised!$E42)</f>
        <v>12.774340617935191</v>
      </c>
      <c r="F54" s="5">
        <f>$C$8*(Dodge_Revised!$D42+$C$5*Dodge_Revised!$E42)</f>
        <v>10.451733232856066</v>
      </c>
      <c r="G54" s="5">
        <f>Dodge_Revised!$G42</f>
        <v>54.403416227078623</v>
      </c>
      <c r="H54" s="5">
        <f>(1-$C$4-$C$9-$C$10)*Dodge_Revised!$I42</f>
        <v>165.6</v>
      </c>
      <c r="I54" s="19">
        <f>$C$11*Dodge_Revised!$J42</f>
        <v>30</v>
      </c>
      <c r="J54" s="5">
        <f>Dodge_Revised!$H42+(1-$C$11)*Dodge_Revised!$J42</f>
        <v>33.673451785406243</v>
      </c>
      <c r="K54" s="19">
        <f>Dodge_Revised!$L42</f>
        <v>50</v>
      </c>
      <c r="L54" s="19">
        <f>Dodge_Revised!$M42+$C$12*Dodge_Revised!$N42+$C$9*Dodge_Revised!$I42</f>
        <v>44.65</v>
      </c>
      <c r="M54" s="5">
        <f>Dodge_Revised!$K42+(1-$C$12)*Dodge_Revised!$N42+(1-$C$5)*Dodge_Revised!$E42+$C$10*Dodge_Revised!$I42</f>
        <v>71.357962823411214</v>
      </c>
      <c r="N54" s="5"/>
      <c r="O54" s="19">
        <f t="shared" si="0"/>
        <v>656.67345178540631</v>
      </c>
      <c r="P54" s="19">
        <f>Dodge_Revised!O42</f>
        <v>656.6734517854062</v>
      </c>
      <c r="Q54" s="82"/>
    </row>
    <row r="55" spans="2:17" x14ac:dyDescent="0.2">
      <c r="B55">
        <f t="shared" ref="B55:B86" si="2">B54+1</f>
        <v>1958</v>
      </c>
      <c r="C55" s="19">
        <f>Dodge_Revised!F43+$C$4*Dodge_Revised!I43</f>
        <v>89.685531273549344</v>
      </c>
      <c r="D55" s="5">
        <f>$C$6*(Dodge_Revised!$D43+$C$5*Dodge_Revised!$E43)</f>
        <v>92.145892991710625</v>
      </c>
      <c r="E55" s="5">
        <f>$C$7*(Dodge_Revised!$D43+$C$5*Dodge_Revised!$E43)</f>
        <v>12.67006028636021</v>
      </c>
      <c r="F55" s="5">
        <f>$C$8*(Dodge_Revised!$D43+$C$5*Dodge_Revised!$E43)</f>
        <v>10.366412961567445</v>
      </c>
      <c r="G55" s="5">
        <f>Dodge_Revised!$G43</f>
        <v>53.959306706857575</v>
      </c>
      <c r="H55" s="5">
        <f>(1-$C$4-$C$9-$C$10)*Dodge_Revised!$I43</f>
        <v>160.79999999999998</v>
      </c>
      <c r="I55" s="19">
        <f>$C$11*Dodge_Revised!$J43</f>
        <v>28.5</v>
      </c>
      <c r="J55" s="5">
        <f>Dodge_Revised!$H43+(1-$C$11)*Dodge_Revised!$J43</f>
        <v>32.980199117770269</v>
      </c>
      <c r="K55" s="19">
        <f>Dodge_Revised!$L43</f>
        <v>51</v>
      </c>
      <c r="L55" s="19">
        <f>Dodge_Revised!$M43+$C$12*Dodge_Revised!$N43+$C$9*Dodge_Revised!$I43</f>
        <v>51.75</v>
      </c>
      <c r="M55" s="5">
        <f>Dodge_Revised!$K43+(1-$C$12)*Dodge_Revised!$N43+(1-$C$5)*Dodge_Revised!$E43+$C$10*Dodge_Revised!$I43</f>
        <v>93.622795779954799</v>
      </c>
      <c r="N55" s="5"/>
      <c r="O55" s="19">
        <f t="shared" si="0"/>
        <v>677.48019911777021</v>
      </c>
      <c r="P55" s="19">
        <f>Dodge_Revised!O43</f>
        <v>677.48019911777033</v>
      </c>
      <c r="Q55" s="82"/>
    </row>
    <row r="56" spans="2:17" x14ac:dyDescent="0.2">
      <c r="B56">
        <f t="shared" si="2"/>
        <v>1959</v>
      </c>
      <c r="C56" s="19">
        <f>Dodge_Revised!F44+$C$4*Dodge_Revised!I44</f>
        <v>98.567219291635269</v>
      </c>
      <c r="D56" s="5">
        <f>$C$6*(Dodge_Revised!$D44+$C$5*Dodge_Revised!$E44)</f>
        <v>106.5555388093444</v>
      </c>
      <c r="E56" s="5">
        <f>$C$7*(Dodge_Revised!$D44+$C$5*Dodge_Revised!$E44)</f>
        <v>14.651386586284854</v>
      </c>
      <c r="F56" s="5">
        <f>$C$8*(Dodge_Revised!$D44+$C$5*Dodge_Revised!$E44)</f>
        <v>11.987498116051244</v>
      </c>
      <c r="G56" s="5">
        <f>Dodge_Revised!$G44</f>
        <v>62.397387591057523</v>
      </c>
      <c r="H56" s="5">
        <f>(1-$C$4-$C$9-$C$10)*Dodge_Revised!$I44</f>
        <v>144.79999999999998</v>
      </c>
      <c r="I56" s="19">
        <f>$C$11*Dodge_Revised!$J44</f>
        <v>28.5</v>
      </c>
      <c r="J56" s="5">
        <f>Dodge_Revised!$H44+(1-$C$11)*Dodge_Revised!$J44</f>
        <v>36.651999802853695</v>
      </c>
      <c r="K56" s="19">
        <f>Dodge_Revised!$L44</f>
        <v>54</v>
      </c>
      <c r="L56" s="19">
        <f>Dodge_Revised!$M44+$C$12*Dodge_Revised!$N44+$C$9*Dodge_Revised!$I44</f>
        <v>55.55</v>
      </c>
      <c r="M56" s="5">
        <f>Dodge_Revised!$K44+(1-$C$12)*Dodge_Revised!$N44+(1-$C$5)*Dodge_Revised!$E44+$C$10*Dodge_Revised!$I44</f>
        <v>79.490969605626717</v>
      </c>
      <c r="N56" s="5"/>
      <c r="O56" s="19">
        <f t="shared" si="0"/>
        <v>693.15199980285354</v>
      </c>
      <c r="P56" s="19">
        <f>Dodge_Revised!O44</f>
        <v>693.15199980285365</v>
      </c>
      <c r="Q56" s="82"/>
    </row>
    <row r="57" spans="2:17" x14ac:dyDescent="0.2">
      <c r="B57">
        <f t="shared" si="2"/>
        <v>1960</v>
      </c>
      <c r="C57" s="19">
        <f>Dodge_Revised!F45+$C$4*Dodge_Revised!I45</f>
        <v>96.8</v>
      </c>
      <c r="D57" s="5">
        <f>$C$6*(Dodge_Revised!$D45+$C$5*Dodge_Revised!$E45)</f>
        <v>115.36</v>
      </c>
      <c r="E57" s="5">
        <f>$C$7*(Dodge_Revised!$D45+$C$5*Dodge_Revised!$E45)</f>
        <v>15.861999999999998</v>
      </c>
      <c r="F57" s="5">
        <f>$C$8*(Dodge_Revised!$D45+$C$5*Dodge_Revised!$E45)</f>
        <v>12.977999999999998</v>
      </c>
      <c r="G57" s="5">
        <f>Dodge_Revised!$G45</f>
        <v>59</v>
      </c>
      <c r="H57" s="5">
        <f>(1-$C$4-$C$9-$C$10)*Dodge_Revised!$I45</f>
        <v>158.39999999999998</v>
      </c>
      <c r="I57" s="19">
        <f>$C$11*Dodge_Revised!$J45</f>
        <v>27</v>
      </c>
      <c r="J57" s="5">
        <f>Dodge_Revised!$H45+(1-$C$11)*Dodge_Revised!$J45</f>
        <v>36.538505138125629</v>
      </c>
      <c r="K57" s="19">
        <f>Dodge_Revised!$L45</f>
        <v>54</v>
      </c>
      <c r="L57" s="19">
        <f>Dodge_Revised!$M45+$C$12*Dodge_Revised!$N45+$C$9*Dodge_Revised!$I45</f>
        <v>57</v>
      </c>
      <c r="M57" s="5">
        <f>Dodge_Revised!$K45+(1-$C$12)*Dodge_Revised!$N45+(1-$C$5)*Dodge_Revised!$E45+$C$10*Dodge_Revised!$I45</f>
        <v>76.600000000000009</v>
      </c>
      <c r="N57" s="5"/>
      <c r="O57" s="19">
        <f t="shared" si="0"/>
        <v>709.53850513812563</v>
      </c>
      <c r="P57" s="19">
        <f>Dodge_Revised!O45</f>
        <v>709.53850513812563</v>
      </c>
      <c r="Q57" s="82"/>
    </row>
    <row r="58" spans="2:17" x14ac:dyDescent="0.2">
      <c r="B58">
        <f t="shared" si="2"/>
        <v>1961</v>
      </c>
      <c r="C58" s="19">
        <f>Dodge_Revised!F46+$C$4*Dodge_Revised!I46</f>
        <v>95.7</v>
      </c>
      <c r="D58" s="5">
        <f>$C$6*(Dodge_Revised!$D46+$C$5*Dodge_Revised!$E46)</f>
        <v>119.84000000000002</v>
      </c>
      <c r="E58" s="5">
        <f>$C$7*(Dodge_Revised!$D46+$C$5*Dodge_Revised!$E46)</f>
        <v>16.478000000000002</v>
      </c>
      <c r="F58" s="5">
        <f>$C$8*(Dodge_Revised!$D46+$C$5*Dodge_Revised!$E46)</f>
        <v>13.482000000000001</v>
      </c>
      <c r="G58" s="5">
        <f>Dodge_Revised!$G46</f>
        <v>64</v>
      </c>
      <c r="H58" s="5">
        <f>(1-$C$4-$C$9-$C$10)*Dodge_Revised!$I46</f>
        <v>157.6</v>
      </c>
      <c r="I58" s="19">
        <f>$C$11*Dodge_Revised!$J46</f>
        <v>33.75</v>
      </c>
      <c r="J58" s="5">
        <f>Dodge_Revised!$H46+(1-$C$11)*Dodge_Revised!$J46</f>
        <v>39.754768476305472</v>
      </c>
      <c r="K58" s="19">
        <f>Dodge_Revised!$L46</f>
        <v>53</v>
      </c>
      <c r="L58" s="19">
        <f>Dodge_Revised!$M46+$C$12*Dodge_Revised!$N46+$C$9*Dodge_Revised!$I46</f>
        <v>53.85</v>
      </c>
      <c r="M58" s="5">
        <f>Dodge_Revised!$K46+(1-$C$12)*Dodge_Revised!$N46+(1-$C$5)*Dodge_Revised!$E46+$C$10*Dodge_Revised!$I46</f>
        <v>75.050000000000011</v>
      </c>
      <c r="N58" s="5"/>
      <c r="O58" s="19">
        <f t="shared" si="0"/>
        <v>722.50476847630557</v>
      </c>
      <c r="P58" s="19">
        <f>Dodge_Revised!O46</f>
        <v>722.50476847630546</v>
      </c>
      <c r="Q58" s="82"/>
    </row>
    <row r="59" spans="2:17" x14ac:dyDescent="0.2">
      <c r="B59">
        <f t="shared" si="2"/>
        <v>1962</v>
      </c>
      <c r="C59" s="19">
        <f>Dodge_Revised!F47+$C$4*Dodge_Revised!I47</f>
        <v>118.3</v>
      </c>
      <c r="D59" s="5">
        <f>$C$6*(Dodge_Revised!$D47+$C$5*Dodge_Revised!$E47)</f>
        <v>123.68</v>
      </c>
      <c r="E59" s="5">
        <f>$C$7*(Dodge_Revised!$D47+$C$5*Dodge_Revised!$E47)</f>
        <v>17.006</v>
      </c>
      <c r="F59" s="5">
        <f>$C$8*(Dodge_Revised!$D47+$C$5*Dodge_Revised!$E47)</f>
        <v>13.914</v>
      </c>
      <c r="G59" s="5">
        <f>Dodge_Revised!$G47</f>
        <v>69</v>
      </c>
      <c r="H59" s="5">
        <f>(1-$C$4-$C$9-$C$10)*Dodge_Revised!$I47</f>
        <v>154.39999999999998</v>
      </c>
      <c r="I59" s="19">
        <f>$C$11*Dodge_Revised!$J47</f>
        <v>37.5</v>
      </c>
      <c r="J59" s="5">
        <f>Dodge_Revised!$H47+(1-$C$11)*Dodge_Revised!$J47</f>
        <v>44.193437492298969</v>
      </c>
      <c r="K59" s="19">
        <f>Dodge_Revised!$L47</f>
        <v>53</v>
      </c>
      <c r="L59" s="19">
        <f>Dodge_Revised!$M47+$C$12*Dodge_Revised!$N47+$C$9*Dodge_Revised!$I47</f>
        <v>52.449999999999996</v>
      </c>
      <c r="M59" s="5">
        <f>Dodge_Revised!$K47+(1-$C$12)*Dodge_Revised!$N47+(1-$C$5)*Dodge_Revised!$E47+$C$10*Dodge_Revised!$I47</f>
        <v>75.25</v>
      </c>
      <c r="N59" s="5"/>
      <c r="O59" s="19">
        <f t="shared" si="0"/>
        <v>758.69343749229893</v>
      </c>
      <c r="P59" s="19">
        <f>Dodge_Revised!O47</f>
        <v>758.69343749229893</v>
      </c>
      <c r="Q59" s="82"/>
    </row>
    <row r="60" spans="2:17" x14ac:dyDescent="0.2">
      <c r="B60">
        <f t="shared" si="2"/>
        <v>1963</v>
      </c>
      <c r="C60" s="19">
        <f>Dodge_Revised!F48+$C$4*Dodge_Revised!I48</f>
        <v>124.9</v>
      </c>
      <c r="D60" s="5">
        <f>$C$6*(Dodge_Revised!$D48+$C$5*Dodge_Revised!$E48)</f>
        <v>132.32000000000002</v>
      </c>
      <c r="E60" s="5">
        <f>$C$7*(Dodge_Revised!$D48+$C$5*Dodge_Revised!$E48)</f>
        <v>18.193999999999999</v>
      </c>
      <c r="F60" s="5">
        <f>$C$8*(Dodge_Revised!$D48+$C$5*Dodge_Revised!$E48)</f>
        <v>14.885999999999999</v>
      </c>
      <c r="G60" s="5">
        <f>Dodge_Revised!$G48</f>
        <v>72</v>
      </c>
      <c r="H60" s="5">
        <f>(1-$C$4-$C$9-$C$10)*Dodge_Revised!$I48</f>
        <v>159.19999999999999</v>
      </c>
      <c r="I60" s="19">
        <f>$C$11*Dodge_Revised!$J48</f>
        <v>49.5</v>
      </c>
      <c r="J60" s="5">
        <f>Dodge_Revised!$H48+(1-$C$11)*Dodge_Revised!$J48</f>
        <v>50.222590502476649</v>
      </c>
      <c r="K60" s="19">
        <f>Dodge_Revised!$L48</f>
        <v>48</v>
      </c>
      <c r="L60" s="19">
        <f>Dodge_Revised!$M48+$C$12*Dodge_Revised!$N48+$C$9*Dodge_Revised!$I48</f>
        <v>52.25</v>
      </c>
      <c r="M60" s="5">
        <f>Dodge_Revised!$K48+(1-$C$12)*Dodge_Revised!$N48+(1-$C$5)*Dodge_Revised!$E48+$C$10*Dodge_Revised!$I48</f>
        <v>89.25</v>
      </c>
      <c r="N60" s="5"/>
      <c r="O60" s="19">
        <f t="shared" si="0"/>
        <v>810.72259050247669</v>
      </c>
      <c r="P60" s="19">
        <f>Dodge_Revised!O48</f>
        <v>810.72259050247658</v>
      </c>
      <c r="Q60" s="82"/>
    </row>
    <row r="61" spans="2:17" x14ac:dyDescent="0.2">
      <c r="B61">
        <f t="shared" si="2"/>
        <v>1964</v>
      </c>
      <c r="C61" s="19">
        <f>Dodge_Revised!F49+$C$4*Dodge_Revised!I49</f>
        <v>117.5</v>
      </c>
      <c r="D61" s="5">
        <f>$C$6*(Dodge_Revised!$D49+$C$5*Dodge_Revised!$E49)</f>
        <v>140.32000000000002</v>
      </c>
      <c r="E61" s="5">
        <f>$C$7*(Dodge_Revised!$D49+$C$5*Dodge_Revised!$E49)</f>
        <v>19.294</v>
      </c>
      <c r="F61" s="5">
        <f>$C$8*(Dodge_Revised!$D49+$C$5*Dodge_Revised!$E49)</f>
        <v>15.786</v>
      </c>
      <c r="G61" s="5">
        <f>Dodge_Revised!$G49</f>
        <v>83</v>
      </c>
      <c r="H61" s="5">
        <f>(1-$C$4-$C$9-$C$10)*Dodge_Revised!$I49</f>
        <v>164</v>
      </c>
      <c r="I61" s="19">
        <f>$C$11*Dodge_Revised!$J49</f>
        <v>50.25</v>
      </c>
      <c r="J61" s="5">
        <f>Dodge_Revised!$H49+(1-$C$11)*Dodge_Revised!$J49</f>
        <v>51.728732842110446</v>
      </c>
      <c r="K61" s="19">
        <f>Dodge_Revised!$L49</f>
        <v>50</v>
      </c>
      <c r="L61" s="19">
        <f>Dodge_Revised!$M49+$C$12*Dodge_Revised!$N49+$C$9*Dodge_Revised!$I49</f>
        <v>49.95</v>
      </c>
      <c r="M61" s="5">
        <f>Dodge_Revised!$K49+(1-$C$12)*Dodge_Revised!$N49+(1-$C$5)*Dodge_Revised!$E49+$C$10*Dodge_Revised!$I49</f>
        <v>85.15</v>
      </c>
      <c r="N61" s="5"/>
      <c r="O61" s="19">
        <f t="shared" si="0"/>
        <v>826.97873284211062</v>
      </c>
      <c r="P61" s="19">
        <f>Dodge_Revised!O49</f>
        <v>826.9787328421105</v>
      </c>
      <c r="Q61" s="82"/>
    </row>
    <row r="62" spans="2:17" x14ac:dyDescent="0.2">
      <c r="B62">
        <f t="shared" si="2"/>
        <v>1965</v>
      </c>
      <c r="C62" s="19">
        <f>Dodge_Revised!F50+$C$4*Dodge_Revised!I50</f>
        <v>131.80000000000001</v>
      </c>
      <c r="D62" s="5">
        <f>$C$6*(Dodge_Revised!$D50+$C$5*Dodge_Revised!$E50)</f>
        <v>168.48000000000002</v>
      </c>
      <c r="E62" s="5">
        <f>$C$7*(Dodge_Revised!$D50+$C$5*Dodge_Revised!$E50)</f>
        <v>23.166</v>
      </c>
      <c r="F62" s="5">
        <f>$C$8*(Dodge_Revised!$D50+$C$5*Dodge_Revised!$E50)</f>
        <v>18.953999999999997</v>
      </c>
      <c r="G62" s="5">
        <f>Dodge_Revised!$G50</f>
        <v>91</v>
      </c>
      <c r="H62" s="5">
        <f>(1-$C$4-$C$9-$C$10)*Dodge_Revised!$I50</f>
        <v>182.39999999999998</v>
      </c>
      <c r="I62" s="19">
        <f>$C$11*Dodge_Revised!$J50</f>
        <v>45</v>
      </c>
      <c r="J62" s="5">
        <f>Dodge_Revised!$H50+(1-$C$11)*Dodge_Revised!$J50</f>
        <v>55.389807535917591</v>
      </c>
      <c r="K62" s="19">
        <f>Dodge_Revised!$L50</f>
        <v>45</v>
      </c>
      <c r="L62" s="19">
        <f>Dodge_Revised!$M50+$C$12*Dodge_Revised!$N50+$C$9*Dodge_Revised!$I50</f>
        <v>63.4</v>
      </c>
      <c r="M62" s="5">
        <f>Dodge_Revised!$K50+(1-$C$12)*Dodge_Revised!$N50+(1-$C$5)*Dodge_Revised!$E50+$C$10*Dodge_Revised!$I50</f>
        <v>90.800000000000011</v>
      </c>
      <c r="N62" s="5"/>
      <c r="O62" s="19">
        <f t="shared" si="0"/>
        <v>915.3898075359175</v>
      </c>
      <c r="P62" s="19">
        <f>Dodge_Revised!O50</f>
        <v>915.38980753591761</v>
      </c>
      <c r="Q62" s="82"/>
    </row>
    <row r="63" spans="2:17" x14ac:dyDescent="0.2">
      <c r="B63">
        <f t="shared" si="2"/>
        <v>1966</v>
      </c>
      <c r="C63" s="19">
        <f>Dodge_Revised!F51+$C$4*Dodge_Revised!I51</f>
        <v>134.80000000000001</v>
      </c>
      <c r="D63" s="5">
        <f>$C$6*(Dodge_Revised!$D51+$C$5*Dodge_Revised!$E51)</f>
        <v>170.56</v>
      </c>
      <c r="E63" s="5">
        <f>$C$7*(Dodge_Revised!$D51+$C$5*Dodge_Revised!$E51)</f>
        <v>23.451999999999998</v>
      </c>
      <c r="F63" s="5">
        <f>$C$8*(Dodge_Revised!$D51+$C$5*Dodge_Revised!$E51)</f>
        <v>19.187999999999999</v>
      </c>
      <c r="G63" s="5">
        <f>Dodge_Revised!$G51</f>
        <v>113</v>
      </c>
      <c r="H63" s="5">
        <f>(1-$C$4-$C$9-$C$10)*Dodge_Revised!$I51</f>
        <v>198.39999999999998</v>
      </c>
      <c r="I63" s="19">
        <f>$C$11*Dodge_Revised!$J51</f>
        <v>45</v>
      </c>
      <c r="J63" s="5">
        <f>Dodge_Revised!$H51+(1-$C$11)*Dodge_Revised!$J51</f>
        <v>57.902092215185192</v>
      </c>
      <c r="K63" s="19">
        <f>Dodge_Revised!$L51</f>
        <v>45</v>
      </c>
      <c r="L63" s="19">
        <f>Dodge_Revised!$M51+$C$12*Dodge_Revised!$N51+$C$9*Dodge_Revised!$I51</f>
        <v>63.6</v>
      </c>
      <c r="M63" s="5">
        <f>Dodge_Revised!$K51+(1-$C$12)*Dodge_Revised!$N51+(1-$C$5)*Dodge_Revised!$E51+$C$10*Dodge_Revised!$I51</f>
        <v>95.000000000000014</v>
      </c>
      <c r="N63" s="5"/>
      <c r="O63" s="19">
        <f t="shared" si="0"/>
        <v>965.90209221518523</v>
      </c>
      <c r="P63" s="19">
        <f>Dodge_Revised!O51</f>
        <v>965.90209221518512</v>
      </c>
      <c r="Q63" s="82"/>
    </row>
    <row r="64" spans="2:17" x14ac:dyDescent="0.2">
      <c r="B64">
        <f t="shared" si="2"/>
        <v>1967</v>
      </c>
      <c r="C64" s="19">
        <f>Dodge_Revised!F52+$C$4*Dodge_Revised!I52</f>
        <v>146.5</v>
      </c>
      <c r="D64" s="5">
        <f>$C$6*(Dodge_Revised!$D52+$C$5*Dodge_Revised!$E52)</f>
        <v>160.96</v>
      </c>
      <c r="E64" s="5">
        <f>$C$7*(Dodge_Revised!$D52+$C$5*Dodge_Revised!$E52)</f>
        <v>22.131999999999998</v>
      </c>
      <c r="F64" s="5">
        <f>$C$8*(Dodge_Revised!$D52+$C$5*Dodge_Revised!$E52)</f>
        <v>18.107999999999997</v>
      </c>
      <c r="G64" s="5">
        <f>Dodge_Revised!$G52</f>
        <v>96</v>
      </c>
      <c r="H64" s="5">
        <f>(1-$C$4-$C$9-$C$10)*Dodge_Revised!$I52</f>
        <v>195.99999999999997</v>
      </c>
      <c r="I64" s="19">
        <f>$C$11*Dodge_Revised!$J52</f>
        <v>49.5</v>
      </c>
      <c r="J64" s="5">
        <f>Dodge_Revised!$H52+(1-$C$11)*Dodge_Revised!$J52</f>
        <v>57.759444540279453</v>
      </c>
      <c r="K64" s="19">
        <f>Dodge_Revised!$L52</f>
        <v>42</v>
      </c>
      <c r="L64" s="19">
        <f>Dodge_Revised!$M52+$C$12*Dodge_Revised!$N52+$C$9*Dodge_Revised!$I52</f>
        <v>59.75</v>
      </c>
      <c r="M64" s="5">
        <f>Dodge_Revised!$K52+(1-$C$12)*Dodge_Revised!$N52+(1-$C$5)*Dodge_Revised!$E52+$C$10*Dodge_Revised!$I52</f>
        <v>97.55</v>
      </c>
      <c r="N64" s="5"/>
      <c r="O64" s="19">
        <f t="shared" si="0"/>
        <v>946.25944454027945</v>
      </c>
      <c r="P64" s="19">
        <f>Dodge_Revised!O52</f>
        <v>946.25944454027945</v>
      </c>
      <c r="Q64" s="82"/>
    </row>
    <row r="65" spans="2:17" x14ac:dyDescent="0.2">
      <c r="B65">
        <f t="shared" si="2"/>
        <v>1968</v>
      </c>
      <c r="C65" s="19">
        <f>Dodge_Revised!F53+$C$4*Dodge_Revised!I53</f>
        <v>176.7</v>
      </c>
      <c r="D65" s="5">
        <f>$C$6*(Dodge_Revised!$D53+$C$5*Dodge_Revised!$E53)</f>
        <v>180.8</v>
      </c>
      <c r="E65" s="5">
        <f>$C$7*(Dodge_Revised!$D53+$C$5*Dodge_Revised!$E53)</f>
        <v>24.86</v>
      </c>
      <c r="F65" s="5">
        <f>$C$8*(Dodge_Revised!$D53+$C$5*Dodge_Revised!$E53)</f>
        <v>20.34</v>
      </c>
      <c r="G65" s="5">
        <f>Dodge_Revised!$G53</f>
        <v>112</v>
      </c>
      <c r="H65" s="5">
        <f>(1-$C$4-$C$9-$C$10)*Dodge_Revised!$I53</f>
        <v>189.6</v>
      </c>
      <c r="I65" s="19">
        <f>$C$11*Dodge_Revised!$J53</f>
        <v>51.75</v>
      </c>
      <c r="J65" s="5">
        <f>Dodge_Revised!$H53+(1-$C$11)*Dodge_Revised!$J53</f>
        <v>65.466540575174349</v>
      </c>
      <c r="K65" s="19">
        <f>Dodge_Revised!$L53</f>
        <v>39</v>
      </c>
      <c r="L65" s="19">
        <f>Dodge_Revised!$M53+$C$12*Dodge_Revised!$N53+$C$9*Dodge_Revised!$I53</f>
        <v>63.75</v>
      </c>
      <c r="M65" s="5">
        <f>Dodge_Revised!$K53+(1-$C$12)*Dodge_Revised!$N53+(1-$C$5)*Dodge_Revised!$E53+$C$10*Dodge_Revised!$I53</f>
        <v>103.94999999999999</v>
      </c>
      <c r="N65" s="5"/>
      <c r="O65" s="19">
        <f t="shared" si="0"/>
        <v>1028.2165405751743</v>
      </c>
      <c r="P65" s="19">
        <f>Dodge_Revised!O53</f>
        <v>1028.2165405751743</v>
      </c>
      <c r="Q65" s="82"/>
    </row>
    <row r="66" spans="2:17" x14ac:dyDescent="0.2">
      <c r="B66">
        <f t="shared" si="2"/>
        <v>1969</v>
      </c>
      <c r="C66" s="19">
        <f>Dodge_Revised!F54+$C$4*Dodge_Revised!I54</f>
        <v>214.2</v>
      </c>
      <c r="D66" s="5">
        <f>$C$6*(Dodge_Revised!$D54+$C$5*Dodge_Revised!$E54)</f>
        <v>197.28</v>
      </c>
      <c r="E66" s="5">
        <f>$C$7*(Dodge_Revised!$D54+$C$5*Dodge_Revised!$E54)</f>
        <v>27.126000000000001</v>
      </c>
      <c r="F66" s="5">
        <f>$C$8*(Dodge_Revised!$D54+$C$5*Dodge_Revised!$E54)</f>
        <v>22.193999999999999</v>
      </c>
      <c r="G66" s="5">
        <f>Dodge_Revised!$G54</f>
        <v>125</v>
      </c>
      <c r="H66" s="5">
        <f>(1-$C$4-$C$9-$C$10)*Dodge_Revised!$I54</f>
        <v>177.6</v>
      </c>
      <c r="I66" s="19">
        <f>$C$11*Dodge_Revised!$J54</f>
        <v>65.25</v>
      </c>
      <c r="J66" s="5">
        <f>Dodge_Revised!$H54+(1-$C$11)*Dodge_Revised!$J54</f>
        <v>77.213515611523192</v>
      </c>
      <c r="K66" s="19">
        <f>Dodge_Revised!$L54</f>
        <v>33</v>
      </c>
      <c r="L66" s="19">
        <f>Dodge_Revised!$M54+$C$12*Dodge_Revised!$N54+$C$9*Dodge_Revised!$I54</f>
        <v>68.7</v>
      </c>
      <c r="M66" s="5">
        <f>Dodge_Revised!$K54+(1-$C$12)*Dodge_Revised!$N54+(1-$C$5)*Dodge_Revised!$E54+$C$10*Dodge_Revised!$I54</f>
        <v>98.9</v>
      </c>
      <c r="N66" s="5"/>
      <c r="O66" s="19">
        <f t="shared" si="0"/>
        <v>1106.4635156115232</v>
      </c>
      <c r="P66" s="19">
        <f>Dodge_Revised!O54</f>
        <v>1106.4635156115232</v>
      </c>
      <c r="Q66" s="82"/>
    </row>
    <row r="67" spans="2:17" x14ac:dyDescent="0.2">
      <c r="B67">
        <f t="shared" si="2"/>
        <v>1970</v>
      </c>
      <c r="C67" s="19">
        <f>Dodge_Revised!F55+$C$4*Dodge_Revised!I55</f>
        <v>190.5</v>
      </c>
      <c r="D67" s="5">
        <f>$C$6*(Dodge_Revised!$D55+$C$5*Dodge_Revised!$E55)</f>
        <v>185.76</v>
      </c>
      <c r="E67" s="5">
        <f>$C$7*(Dodge_Revised!$D55+$C$5*Dodge_Revised!$E55)</f>
        <v>25.541999999999998</v>
      </c>
      <c r="F67" s="5">
        <f>$C$8*(Dodge_Revised!$D55+$C$5*Dodge_Revised!$E55)</f>
        <v>20.898</v>
      </c>
      <c r="G67" s="5">
        <f>Dodge_Revised!$G55</f>
        <v>116</v>
      </c>
      <c r="H67" s="5">
        <f>(1-$C$4-$C$9-$C$10)*Dodge_Revised!$I55</f>
        <v>156</v>
      </c>
      <c r="I67" s="19">
        <f>$C$11*Dodge_Revised!$J55</f>
        <v>56.25</v>
      </c>
      <c r="J67" s="5">
        <f>Dodge_Revised!$H55+(1-$C$11)*Dodge_Revised!$J55</f>
        <v>69.961956923531872</v>
      </c>
      <c r="K67" s="19">
        <f>Dodge_Revised!$L55</f>
        <v>27</v>
      </c>
      <c r="L67" s="19">
        <f>Dodge_Revised!$M55+$C$12*Dodge_Revised!$N55+$C$9*Dodge_Revised!$I55</f>
        <v>60.95</v>
      </c>
      <c r="M67" s="5">
        <f>Dodge_Revised!$K55+(1-$C$12)*Dodge_Revised!$N55+(1-$C$5)*Dodge_Revised!$E55+$C$10*Dodge_Revised!$I55</f>
        <v>87.350000000000009</v>
      </c>
      <c r="N67" s="5"/>
      <c r="O67" s="19">
        <f t="shared" si="0"/>
        <v>996.21195692353194</v>
      </c>
      <c r="P67" s="19">
        <f>Dodge_Revised!O55</f>
        <v>996.21195692353183</v>
      </c>
      <c r="Q67" s="82"/>
    </row>
    <row r="68" spans="2:17" x14ac:dyDescent="0.2">
      <c r="B68">
        <f t="shared" si="2"/>
        <v>1971</v>
      </c>
      <c r="C68" s="19">
        <f>Dodge_Revised!F56+$C$4*Dodge_Revised!I56</f>
        <v>190.9</v>
      </c>
      <c r="D68" s="5">
        <f>$C$6*(Dodge_Revised!$D56+$C$5*Dodge_Revised!$E56)</f>
        <v>196.16</v>
      </c>
      <c r="E68" s="5">
        <f>$C$7*(Dodge_Revised!$D56+$C$5*Dodge_Revised!$E56)</f>
        <v>26.971999999999998</v>
      </c>
      <c r="F68" s="5">
        <f>$C$8*(Dodge_Revised!$D56+$C$5*Dodge_Revised!$E56)</f>
        <v>22.067999999999998</v>
      </c>
      <c r="G68" s="5">
        <f>Dodge_Revised!$G56</f>
        <v>125</v>
      </c>
      <c r="H68" s="5">
        <f>(1-$C$4-$C$9-$C$10)*Dodge_Revised!$I56</f>
        <v>151.19999999999999</v>
      </c>
      <c r="I68" s="19">
        <f>$C$11*Dodge_Revised!$J56</f>
        <v>57</v>
      </c>
      <c r="J68" s="5">
        <f>Dodge_Revised!$H56+(1-$C$11)*Dodge_Revised!$J56</f>
        <v>72.337736267527532</v>
      </c>
      <c r="K68" s="19">
        <f>Dodge_Revised!$L56</f>
        <v>26</v>
      </c>
      <c r="L68" s="19">
        <f>Dodge_Revised!$M56+$C$12*Dodge_Revised!$N56+$C$9*Dodge_Revised!$I56</f>
        <v>66.05</v>
      </c>
      <c r="M68" s="5">
        <f>Dodge_Revised!$K56+(1-$C$12)*Dodge_Revised!$N56+(1-$C$5)*Dodge_Revised!$E56+$C$10*Dodge_Revised!$I56</f>
        <v>100.65</v>
      </c>
      <c r="N68" s="5"/>
      <c r="O68" s="19">
        <f t="shared" si="0"/>
        <v>1034.3377362675276</v>
      </c>
      <c r="P68" s="19">
        <f>Dodge_Revised!O56</f>
        <v>1034.3377362675276</v>
      </c>
      <c r="Q68" s="82"/>
    </row>
    <row r="69" spans="2:17" x14ac:dyDescent="0.2">
      <c r="B69">
        <f t="shared" si="2"/>
        <v>1972</v>
      </c>
      <c r="C69" s="19">
        <f>Dodge_Revised!F57+$C$4*Dodge_Revised!I57</f>
        <v>203.7</v>
      </c>
      <c r="D69" s="5">
        <f>$C$6*(Dodge_Revised!$D57+$C$5*Dodge_Revised!$E57)</f>
        <v>229.76</v>
      </c>
      <c r="E69" s="5">
        <f>$C$7*(Dodge_Revised!$D57+$C$5*Dodge_Revised!$E57)</f>
        <v>31.591999999999999</v>
      </c>
      <c r="F69" s="5">
        <f>$C$8*(Dodge_Revised!$D57+$C$5*Dodge_Revised!$E57)</f>
        <v>25.847999999999999</v>
      </c>
      <c r="G69" s="5">
        <f>Dodge_Revised!$G57</f>
        <v>159</v>
      </c>
      <c r="H69" s="5">
        <f>(1-$C$4-$C$9-$C$10)*Dodge_Revised!$I57</f>
        <v>125.6</v>
      </c>
      <c r="I69" s="19">
        <f>$C$11*Dodge_Revised!$J57</f>
        <v>63</v>
      </c>
      <c r="J69" s="5">
        <f>Dodge_Revised!$H57+(1-$C$11)*Dodge_Revised!$J57</f>
        <v>83.130732644964127</v>
      </c>
      <c r="K69" s="19">
        <f>Dodge_Revised!$L57</f>
        <v>27</v>
      </c>
      <c r="L69" s="19">
        <f>Dodge_Revised!$M57+$C$12*Dodge_Revised!$N57+$C$9*Dodge_Revised!$I57</f>
        <v>63.35</v>
      </c>
      <c r="M69" s="5">
        <f>Dodge_Revised!$K57+(1-$C$12)*Dodge_Revised!$N57+(1-$C$5)*Dodge_Revised!$E57+$C$10*Dodge_Revised!$I57</f>
        <v>96.149999999999991</v>
      </c>
      <c r="N69" s="5"/>
      <c r="O69" s="19">
        <f t="shared" si="0"/>
        <v>1108.1307326449642</v>
      </c>
      <c r="P69" s="19">
        <f>Dodge_Revised!O57</f>
        <v>1108.1307326449642</v>
      </c>
      <c r="Q69" s="82"/>
    </row>
    <row r="70" spans="2:17" x14ac:dyDescent="0.2">
      <c r="B70">
        <f t="shared" si="2"/>
        <v>1973</v>
      </c>
      <c r="C70" s="19">
        <f>Dodge_Revised!F58+$C$4*Dodge_Revised!I58</f>
        <v>210.6</v>
      </c>
      <c r="D70" s="5">
        <f>$C$6*(Dodge_Revised!$D58+$C$5*Dodge_Revised!$E58)</f>
        <v>238.56</v>
      </c>
      <c r="E70" s="5">
        <f>$C$7*(Dodge_Revised!$D58+$C$5*Dodge_Revised!$E58)</f>
        <v>32.802</v>
      </c>
      <c r="F70" s="5">
        <f>$C$8*(Dodge_Revised!$D58+$C$5*Dodge_Revised!$E58)</f>
        <v>26.837999999999997</v>
      </c>
      <c r="G70" s="5">
        <f>Dodge_Revised!$G58</f>
        <v>215</v>
      </c>
      <c r="H70" s="5">
        <f>(1-$C$4-$C$9-$C$10)*Dodge_Revised!$I58</f>
        <v>124.79999999999998</v>
      </c>
      <c r="I70" s="19">
        <f>$C$11*Dodge_Revised!$J58</f>
        <v>57</v>
      </c>
      <c r="J70" s="5">
        <f>Dodge_Revised!$H58+(1-$C$11)*Dodge_Revised!$J58</f>
        <v>88.281081347495004</v>
      </c>
      <c r="K70" s="19">
        <f>Dodge_Revised!$L58</f>
        <v>26</v>
      </c>
      <c r="L70" s="19">
        <f>Dodge_Revised!$M58+$C$12*Dodge_Revised!$N58+$C$9*Dodge_Revised!$I58</f>
        <v>76.5</v>
      </c>
      <c r="M70" s="5">
        <f>Dodge_Revised!$K58+(1-$C$12)*Dodge_Revised!$N58+(1-$C$5)*Dodge_Revised!$E58+$C$10*Dodge_Revised!$I58</f>
        <v>116.9</v>
      </c>
      <c r="N70" s="5"/>
      <c r="O70" s="19">
        <f t="shared" si="0"/>
        <v>1213.281081347495</v>
      </c>
      <c r="P70" s="19">
        <f>Dodge_Revised!O58</f>
        <v>1213.281081347495</v>
      </c>
      <c r="Q70" s="82"/>
    </row>
    <row r="71" spans="2:17" x14ac:dyDescent="0.2">
      <c r="B71">
        <f t="shared" si="2"/>
        <v>1974</v>
      </c>
      <c r="C71" s="19">
        <f>Dodge_Revised!F59+$C$4*Dodge_Revised!I59</f>
        <v>176.6</v>
      </c>
      <c r="D71" s="5">
        <f>$C$6*(Dodge_Revised!$D59+$C$5*Dodge_Revised!$E59)</f>
        <v>194.4</v>
      </c>
      <c r="E71" s="5">
        <f>$C$7*(Dodge_Revised!$D59+$C$5*Dodge_Revised!$E59)</f>
        <v>26.73</v>
      </c>
      <c r="F71" s="5">
        <f>$C$8*(Dodge_Revised!$D59+$C$5*Dodge_Revised!$E59)</f>
        <v>21.869999999999997</v>
      </c>
      <c r="G71" s="5">
        <f>Dodge_Revised!$G59</f>
        <v>182</v>
      </c>
      <c r="H71" s="5">
        <f>(1-$C$4-$C$9-$C$10)*Dodge_Revised!$I59</f>
        <v>140.79999999999998</v>
      </c>
      <c r="I71" s="19">
        <f>$C$11*Dodge_Revised!$J59</f>
        <v>56.25</v>
      </c>
      <c r="J71" s="5">
        <f>Dodge_Revised!$H59+(1-$C$11)*Dodge_Revised!$J59</f>
        <v>76.146042287882892</v>
      </c>
      <c r="K71" s="19">
        <f>Dodge_Revised!$L59</f>
        <v>27</v>
      </c>
      <c r="L71" s="19">
        <f>Dodge_Revised!$M59+$C$12*Dodge_Revised!$N59+$C$9*Dodge_Revised!$I59</f>
        <v>72.7</v>
      </c>
      <c r="M71" s="5">
        <f>Dodge_Revised!$K59+(1-$C$12)*Dodge_Revised!$N59+(1-$C$5)*Dodge_Revised!$E59+$C$10*Dodge_Revised!$I59</f>
        <v>118.89999999999999</v>
      </c>
      <c r="N71" s="5"/>
      <c r="O71" s="19">
        <f t="shared" si="0"/>
        <v>1093.3960422878829</v>
      </c>
      <c r="P71" s="19">
        <f>Dodge_Revised!O59</f>
        <v>1093.3960422878829</v>
      </c>
      <c r="Q71" s="82"/>
    </row>
    <row r="72" spans="2:17" x14ac:dyDescent="0.2">
      <c r="B72">
        <f t="shared" si="2"/>
        <v>1975</v>
      </c>
      <c r="C72" s="19">
        <f>Dodge_Revised!F60+$C$4*Dodge_Revised!I60</f>
        <v>122.2</v>
      </c>
      <c r="D72" s="5">
        <f>$C$6*(Dodge_Revised!$D60+$C$5*Dodge_Revised!$E60)</f>
        <v>149.28</v>
      </c>
      <c r="E72" s="5">
        <f>$C$7*(Dodge_Revised!$D60+$C$5*Dodge_Revised!$E60)</f>
        <v>20.526</v>
      </c>
      <c r="F72" s="5">
        <f>$C$8*(Dodge_Revised!$D60+$C$5*Dodge_Revised!$E60)</f>
        <v>16.794</v>
      </c>
      <c r="G72" s="5">
        <f>Dodge_Revised!$G60</f>
        <v>106</v>
      </c>
      <c r="H72" s="5">
        <f>(1-$C$4-$C$9-$C$10)*Dodge_Revised!$I60</f>
        <v>121.6</v>
      </c>
      <c r="I72" s="19">
        <f>$C$11*Dodge_Revised!$J60</f>
        <v>47.25</v>
      </c>
      <c r="J72" s="5">
        <f>Dodge_Revised!$H60+(1-$C$11)*Dodge_Revised!$J60</f>
        <v>55.270170531555728</v>
      </c>
      <c r="K72" s="19">
        <f>Dodge_Revised!$L60</f>
        <v>28</v>
      </c>
      <c r="L72" s="19">
        <f>Dodge_Revised!$M60+$C$12*Dodge_Revised!$N60+$C$9*Dodge_Revised!$I60</f>
        <v>64.899999999999991</v>
      </c>
      <c r="M72" s="5">
        <f>Dodge_Revised!$K60+(1-$C$12)*Dodge_Revised!$N60+(1-$C$5)*Dodge_Revised!$E60+$C$10*Dodge_Revised!$I60</f>
        <v>110.69999999999999</v>
      </c>
      <c r="N72" s="5"/>
      <c r="O72" s="19">
        <f t="shared" si="0"/>
        <v>842.52017053155578</v>
      </c>
      <c r="P72" s="19">
        <f>Dodge_Revised!O60</f>
        <v>842.52017053155578</v>
      </c>
      <c r="Q72" s="82"/>
    </row>
    <row r="73" spans="2:17" x14ac:dyDescent="0.2">
      <c r="B73">
        <f t="shared" si="2"/>
        <v>1976</v>
      </c>
      <c r="C73" s="19">
        <f>Dodge_Revised!F61+$C$4*Dodge_Revised!I61</f>
        <v>117.8</v>
      </c>
      <c r="D73" s="5">
        <f>$C$6*(Dodge_Revised!$D61+$C$5*Dodge_Revised!$E61)</f>
        <v>164</v>
      </c>
      <c r="E73" s="5">
        <f>$C$7*(Dodge_Revised!$D61+$C$5*Dodge_Revised!$E61)</f>
        <v>22.55</v>
      </c>
      <c r="F73" s="5">
        <f>$C$8*(Dodge_Revised!$D61+$C$5*Dodge_Revised!$E61)</f>
        <v>18.45</v>
      </c>
      <c r="G73" s="5">
        <f>Dodge_Revised!$G61</f>
        <v>122</v>
      </c>
      <c r="H73" s="5">
        <f>(1-$C$4-$C$9-$C$10)*Dodge_Revised!$I61</f>
        <v>94.399999999999991</v>
      </c>
      <c r="I73" s="19">
        <f>$C$11*Dodge_Revised!$J61</f>
        <v>53.25</v>
      </c>
      <c r="J73" s="5">
        <f>Dodge_Revised!$H61+(1-$C$11)*Dodge_Revised!$J61</f>
        <v>60.265586879913251</v>
      </c>
      <c r="K73" s="19">
        <f>Dodge_Revised!$L61</f>
        <v>31</v>
      </c>
      <c r="L73" s="19">
        <f>Dodge_Revised!$M61+$C$12*Dodge_Revised!$N61+$C$9*Dodge_Revised!$I61</f>
        <v>59</v>
      </c>
      <c r="M73" s="5">
        <f>Dodge_Revised!$K61+(1-$C$12)*Dodge_Revised!$N61+(1-$C$5)*Dodge_Revised!$E61+$C$10*Dodge_Revised!$I61</f>
        <v>100.80000000000001</v>
      </c>
      <c r="N73" s="5"/>
      <c r="O73" s="19">
        <f t="shared" si="0"/>
        <v>843.51558687991337</v>
      </c>
      <c r="P73" s="19">
        <f>Dodge_Revised!O61</f>
        <v>843.51558687991326</v>
      </c>
      <c r="Q73" s="82"/>
    </row>
    <row r="74" spans="2:17" x14ac:dyDescent="0.2">
      <c r="B74">
        <f t="shared" si="2"/>
        <v>1977</v>
      </c>
      <c r="C74" s="19">
        <f>Dodge_Revised!F62+$C$4*Dodge_Revised!I62</f>
        <v>148.19999999999999</v>
      </c>
      <c r="D74" s="5">
        <f>$C$6*(Dodge_Revised!$D62+$C$5*Dodge_Revised!$E62)</f>
        <v>197.76</v>
      </c>
      <c r="E74" s="5">
        <f>$C$7*(Dodge_Revised!$D62+$C$5*Dodge_Revised!$E62)</f>
        <v>27.192</v>
      </c>
      <c r="F74" s="5">
        <f>$C$8*(Dodge_Revised!$D62+$C$5*Dodge_Revised!$E62)</f>
        <v>22.247999999999998</v>
      </c>
      <c r="G74" s="5">
        <f>Dodge_Revised!$G62</f>
        <v>170</v>
      </c>
      <c r="H74" s="5">
        <f>(1-$C$4-$C$9-$C$10)*Dodge_Revised!$I62</f>
        <v>89.6</v>
      </c>
      <c r="I74" s="19">
        <f>$C$11*Dodge_Revised!$J62</f>
        <v>49.5</v>
      </c>
      <c r="J74" s="5">
        <f>Dodge_Revised!$H62+(1-$C$11)*Dodge_Revised!$J62</f>
        <v>70.900625939525355</v>
      </c>
      <c r="K74" s="19">
        <f>Dodge_Revised!$L62</f>
        <v>32</v>
      </c>
      <c r="L74" s="19">
        <f>Dodge_Revised!$M62+$C$12*Dodge_Revised!$N62+$C$9*Dodge_Revised!$I62</f>
        <v>59.300000000000004</v>
      </c>
      <c r="M74" s="5">
        <f>Dodge_Revised!$K62+(1-$C$12)*Dodge_Revised!$N62+(1-$C$5)*Dodge_Revised!$E62+$C$10*Dodge_Revised!$I62</f>
        <v>108.7</v>
      </c>
      <c r="N74" s="5"/>
      <c r="O74" s="19">
        <f t="shared" si="0"/>
        <v>975.4006259395253</v>
      </c>
      <c r="P74" s="19">
        <f>Dodge_Revised!O62</f>
        <v>975.40062593952541</v>
      </c>
      <c r="Q74" s="82"/>
    </row>
    <row r="75" spans="2:17" x14ac:dyDescent="0.2">
      <c r="B75">
        <f t="shared" si="2"/>
        <v>1978</v>
      </c>
      <c r="C75" s="19">
        <f>Dodge_Revised!F63+$C$4*Dodge_Revised!I63</f>
        <v>217.4</v>
      </c>
      <c r="D75" s="5">
        <f>$C$6*(Dodge_Revised!$D63+$C$5*Dodge_Revised!$E63)</f>
        <v>230.72</v>
      </c>
      <c r="E75" s="5">
        <f>$C$7*(Dodge_Revised!$D63+$C$5*Dodge_Revised!$E63)</f>
        <v>31.723999999999997</v>
      </c>
      <c r="F75" s="5">
        <f>$C$8*(Dodge_Revised!$D63+$C$5*Dodge_Revised!$E63)</f>
        <v>25.955999999999996</v>
      </c>
      <c r="G75" s="5">
        <f>Dodge_Revised!$G63</f>
        <v>250</v>
      </c>
      <c r="H75" s="5">
        <f>(1-$C$4-$C$9-$C$10)*Dodge_Revised!$I63</f>
        <v>83.199999999999989</v>
      </c>
      <c r="I75" s="19">
        <f>$C$11*Dodge_Revised!$J63</f>
        <v>39.75</v>
      </c>
      <c r="J75" s="5">
        <f>Dodge_Revised!$H63+(1-$C$11)*Dodge_Revised!$J63</f>
        <v>86.39613470021439</v>
      </c>
      <c r="K75" s="19">
        <f>Dodge_Revised!$L63</f>
        <v>35</v>
      </c>
      <c r="L75" s="19">
        <f>Dodge_Revised!$M63+$C$12*Dodge_Revised!$N63+$C$9*Dodge_Revised!$I63</f>
        <v>62.5</v>
      </c>
      <c r="M75" s="5">
        <f>Dodge_Revised!$K63+(1-$C$12)*Dodge_Revised!$N63+(1-$C$5)*Dodge_Revised!$E63+$C$10*Dodge_Revised!$I63</f>
        <v>77.5</v>
      </c>
      <c r="N75" s="5"/>
      <c r="O75" s="19">
        <f t="shared" si="0"/>
        <v>1140.1461347002144</v>
      </c>
      <c r="P75" s="19">
        <f>Dodge_Revised!O63</f>
        <v>1140.1461347002144</v>
      </c>
      <c r="Q75" s="82"/>
    </row>
    <row r="76" spans="2:17" x14ac:dyDescent="0.2">
      <c r="B76">
        <f t="shared" si="2"/>
        <v>1979</v>
      </c>
      <c r="C76" s="19">
        <f>Dodge_Revised!F64+$C$4*Dodge_Revised!I64</f>
        <v>245.2</v>
      </c>
      <c r="D76" s="5">
        <f>$C$6*(Dodge_Revised!$D64+$C$5*Dodge_Revised!$E64)</f>
        <v>245.44000000000003</v>
      </c>
      <c r="E76" s="5">
        <f>$C$7*(Dodge_Revised!$D64+$C$5*Dodge_Revised!$E64)</f>
        <v>33.748000000000005</v>
      </c>
      <c r="F76" s="5">
        <f>$C$8*(Dodge_Revised!$D64+$C$5*Dodge_Revised!$E64)</f>
        <v>27.611999999999998</v>
      </c>
      <c r="G76" s="5">
        <f>Dodge_Revised!$G64</f>
        <v>260</v>
      </c>
      <c r="H76" s="5">
        <f>(1-$C$4-$C$9-$C$10)*Dodge_Revised!$I64</f>
        <v>81.599999999999994</v>
      </c>
      <c r="I76" s="19">
        <f>$C$11*Dodge_Revised!$J64</f>
        <v>42.75</v>
      </c>
      <c r="J76" s="5">
        <f>Dodge_Revised!$H64+(1-$C$11)*Dodge_Revised!$J64</f>
        <v>93.097088395475481</v>
      </c>
      <c r="K76" s="19">
        <f>Dodge_Revised!$L64</f>
        <v>34</v>
      </c>
      <c r="L76" s="19">
        <f>Dodge_Revised!$M64+$C$12*Dodge_Revised!$N64+$C$9*Dodge_Revised!$I64</f>
        <v>63.4</v>
      </c>
      <c r="M76" s="5">
        <f>Dodge_Revised!$K64+(1-$C$12)*Dodge_Revised!$N64+(1-$C$5)*Dodge_Revised!$E64+$C$10*Dodge_Revised!$I64</f>
        <v>87</v>
      </c>
      <c r="N76" s="5"/>
      <c r="O76" s="19">
        <f t="shared" si="0"/>
        <v>1213.8470883954756</v>
      </c>
      <c r="P76" s="19">
        <f>Dodge_Revised!O64</f>
        <v>1213.8470883954756</v>
      </c>
      <c r="Q76" s="82"/>
    </row>
    <row r="77" spans="2:17" x14ac:dyDescent="0.2">
      <c r="B77">
        <f t="shared" si="2"/>
        <v>1980</v>
      </c>
      <c r="C77" s="19">
        <f>Dodge_Revised!F65+$C$4*Dodge_Revised!I65</f>
        <v>253.3</v>
      </c>
      <c r="D77" s="5">
        <f>$C$6*(Dodge_Revised!$D65+$C$5*Dodge_Revised!$E65)</f>
        <v>188.64000000000001</v>
      </c>
      <c r="E77" s="5">
        <f>$C$7*(Dodge_Revised!$D65+$C$5*Dodge_Revised!$E65)</f>
        <v>25.938000000000002</v>
      </c>
      <c r="F77" s="5">
        <f>$C$8*(Dodge_Revised!$D65+$C$5*Dodge_Revised!$E65)</f>
        <v>21.222000000000001</v>
      </c>
      <c r="G77" s="5">
        <f>Dodge_Revised!$G65</f>
        <v>196</v>
      </c>
      <c r="H77" s="5">
        <f>(1-$C$4-$C$9-$C$10)*Dodge_Revised!$I65</f>
        <v>82.399999999999991</v>
      </c>
      <c r="I77" s="19">
        <f>$C$11*Dodge_Revised!$J65</f>
        <v>41.25</v>
      </c>
      <c r="J77" s="5">
        <f>Dodge_Revised!$H65+(1-$C$11)*Dodge_Revised!$J65</f>
        <v>63.75</v>
      </c>
      <c r="K77" s="19">
        <f>Dodge_Revised!$L65</f>
        <v>28</v>
      </c>
      <c r="L77" s="19">
        <f>Dodge_Revised!$M65+$C$12*Dodge_Revised!$N65+$C$9*Dodge_Revised!$I65</f>
        <v>59.35</v>
      </c>
      <c r="M77" s="5">
        <f>Dodge_Revised!$K65+(1-$C$12)*Dodge_Revised!$N65+(1-$C$5)*Dodge_Revised!$E65+$C$10*Dodge_Revised!$I65</f>
        <v>83.15000000000002</v>
      </c>
      <c r="N77" s="5"/>
      <c r="O77" s="19">
        <f t="shared" si="0"/>
        <v>1043</v>
      </c>
      <c r="P77" s="19">
        <f>Dodge_Revised!O65</f>
        <v>1043</v>
      </c>
      <c r="Q77" s="82"/>
    </row>
    <row r="78" spans="2:17" x14ac:dyDescent="0.2">
      <c r="B78">
        <f t="shared" si="2"/>
        <v>1981</v>
      </c>
      <c r="C78" s="19">
        <f>Dodge_Revised!F66+$C$4*Dodge_Revised!I66</f>
        <v>336.3</v>
      </c>
      <c r="D78" s="5">
        <f>$C$6*(Dodge_Revised!$D66+$C$5*Dodge_Revised!$E66)</f>
        <v>167.20000000000002</v>
      </c>
      <c r="E78" s="5">
        <f>$C$7*(Dodge_Revised!$D66+$C$5*Dodge_Revised!$E66)</f>
        <v>22.99</v>
      </c>
      <c r="F78" s="5">
        <f>$C$8*(Dodge_Revised!$D66+$C$5*Dodge_Revised!$E66)</f>
        <v>18.809999999999999</v>
      </c>
      <c r="G78" s="5">
        <f>Dodge_Revised!$G66</f>
        <v>181</v>
      </c>
      <c r="H78" s="5">
        <f>(1-$C$4-$C$9-$C$10)*Dodge_Revised!$I66</f>
        <v>66.399999999999991</v>
      </c>
      <c r="I78" s="19">
        <f>$C$11*Dodge_Revised!$J66</f>
        <v>45</v>
      </c>
      <c r="J78" s="5">
        <f>Dodge_Revised!$H66+(1-$C$11)*Dodge_Revised!$J66</f>
        <v>70</v>
      </c>
      <c r="K78" s="19">
        <f>Dodge_Revised!$L66</f>
        <v>25</v>
      </c>
      <c r="L78" s="19">
        <f>Dodge_Revised!$M66+$C$12*Dodge_Revised!$N66+$C$9*Dodge_Revised!$I66</f>
        <v>54.25</v>
      </c>
      <c r="M78" s="5">
        <f>Dodge_Revised!$K66+(1-$C$12)*Dodge_Revised!$N66+(1-$C$5)*Dodge_Revised!$E66+$C$10*Dodge_Revised!$I66</f>
        <v>69.05</v>
      </c>
      <c r="N78" s="5"/>
      <c r="O78" s="19">
        <f t="shared" si="0"/>
        <v>1056</v>
      </c>
      <c r="P78" s="19">
        <f>Dodge_Revised!O66</f>
        <v>1056</v>
      </c>
      <c r="Q78" s="82"/>
    </row>
    <row r="79" spans="2:17" x14ac:dyDescent="0.2">
      <c r="B79">
        <f t="shared" si="2"/>
        <v>1982</v>
      </c>
      <c r="C79" s="19">
        <f>Dodge_Revised!F67+$C$4*Dodge_Revised!I67</f>
        <v>272.2</v>
      </c>
      <c r="D79" s="5">
        <f>$C$6*(Dodge_Revised!$D67+$C$5*Dodge_Revised!$E67)</f>
        <v>129.08959999999999</v>
      </c>
      <c r="E79" s="5">
        <f>$C$7*(Dodge_Revised!$D67+$C$5*Dodge_Revised!$E67)</f>
        <v>17.74982</v>
      </c>
      <c r="F79" s="5">
        <f>$C$8*(Dodge_Revised!$D67+$C$5*Dodge_Revised!$E67)</f>
        <v>14.52258</v>
      </c>
      <c r="G79" s="5">
        <f>Dodge_Revised!$G67</f>
        <v>136.75</v>
      </c>
      <c r="H79" s="5">
        <f>(1-$C$4-$C$9-$C$10)*Dodge_Revised!$I67</f>
        <v>65.599999999999994</v>
      </c>
      <c r="I79" s="19">
        <f>$C$11*Dodge_Revised!$J67</f>
        <v>53.25</v>
      </c>
      <c r="J79" s="5">
        <f>Dodge_Revised!$H67+(1-$C$11)*Dodge_Revised!$J67</f>
        <v>77.75</v>
      </c>
      <c r="K79" s="19">
        <f>Dodge_Revised!$L67</f>
        <v>25</v>
      </c>
      <c r="L79" s="19">
        <f>Dodge_Revised!$M67+$C$12*Dodge_Revised!$N67+$C$9*Dodge_Revised!$I67</f>
        <v>45.1</v>
      </c>
      <c r="M79" s="5">
        <f>Dodge_Revised!$K67+(1-$C$12)*Dodge_Revised!$N67+(1-$C$5)*Dodge_Revised!$E67+$C$10*Dodge_Revised!$I67</f>
        <v>58.988</v>
      </c>
      <c r="N79" s="5"/>
      <c r="O79" s="19">
        <f t="shared" si="0"/>
        <v>896</v>
      </c>
      <c r="P79" s="19">
        <f>Dodge_Revised!O67</f>
        <v>896</v>
      </c>
      <c r="Q79" s="82"/>
    </row>
    <row r="80" spans="2:17" x14ac:dyDescent="0.2">
      <c r="B80">
        <f t="shared" si="2"/>
        <v>1983</v>
      </c>
      <c r="C80" s="19">
        <f>Dodge_Revised!F68+$C$4*Dodge_Revised!I68</f>
        <v>288.39999999999998</v>
      </c>
      <c r="D80" s="5">
        <f>$C$6*(Dodge_Revised!$D68+$C$5*Dodge_Revised!$E68)</f>
        <v>154.3152</v>
      </c>
      <c r="E80" s="5">
        <f>$C$7*(Dodge_Revised!$D68+$C$5*Dodge_Revised!$E68)</f>
        <v>21.218340000000001</v>
      </c>
      <c r="F80" s="5">
        <f>$C$8*(Dodge_Revised!$D68+$C$5*Dodge_Revised!$E68)</f>
        <v>17.36046</v>
      </c>
      <c r="G80" s="5">
        <f>Dodge_Revised!$G68</f>
        <v>163.47999999999999</v>
      </c>
      <c r="H80" s="5">
        <f>(1-$C$4-$C$9-$C$10)*Dodge_Revised!$I68</f>
        <v>67.199999999999989</v>
      </c>
      <c r="I80" s="19">
        <f>$C$11*Dodge_Revised!$J68</f>
        <v>63</v>
      </c>
      <c r="J80" s="5">
        <f>Dodge_Revised!$H68+(1-$C$11)*Dodge_Revised!$J68</f>
        <v>90</v>
      </c>
      <c r="K80" s="19">
        <f>Dodge_Revised!$L68</f>
        <v>29</v>
      </c>
      <c r="L80" s="19">
        <f>Dodge_Revised!$M68+$C$12*Dodge_Revised!$N68+$C$9*Dodge_Revised!$I68</f>
        <v>43.300000000000004</v>
      </c>
      <c r="M80" s="5">
        <f>Dodge_Revised!$K68+(1-$C$12)*Dodge_Revised!$N68+(1-$C$5)*Dodge_Revised!$E68+$C$10*Dodge_Revised!$I68</f>
        <v>62.726000000000006</v>
      </c>
      <c r="N80" s="5"/>
      <c r="O80" s="19">
        <f t="shared" si="0"/>
        <v>999.99999999999989</v>
      </c>
      <c r="P80" s="19">
        <f>Dodge_Revised!O68</f>
        <v>1000</v>
      </c>
      <c r="Q80" s="82"/>
    </row>
    <row r="81" spans="2:17" x14ac:dyDescent="0.2">
      <c r="B81">
        <f t="shared" si="2"/>
        <v>1984</v>
      </c>
      <c r="C81" s="19">
        <f>Dodge_Revised!F69+$C$4*Dodge_Revised!I69</f>
        <v>320</v>
      </c>
      <c r="D81" s="5">
        <f>$C$6*(Dodge_Revised!$D69+$C$5*Dodge_Revised!$E69)</f>
        <v>209.40160000000003</v>
      </c>
      <c r="E81" s="5">
        <f>$C$7*(Dodge_Revised!$D69+$C$5*Dodge_Revised!$E69)</f>
        <v>28.792720000000003</v>
      </c>
      <c r="F81" s="5">
        <f>$C$8*(Dodge_Revised!$D69+$C$5*Dodge_Revised!$E69)</f>
        <v>23.557680000000001</v>
      </c>
      <c r="G81" s="5">
        <f>Dodge_Revised!$G69</f>
        <v>221.84</v>
      </c>
      <c r="H81" s="5">
        <f>(1-$C$4-$C$9-$C$10)*Dodge_Revised!$I69</f>
        <v>80</v>
      </c>
      <c r="I81" s="19">
        <f>$C$11*Dodge_Revised!$J69</f>
        <v>52.5</v>
      </c>
      <c r="J81" s="5">
        <f>Dodge_Revised!$H69+(1-$C$11)*Dodge_Revised!$J69</f>
        <v>110.4899999999999</v>
      </c>
      <c r="K81" s="19">
        <f>Dodge_Revised!$L69</f>
        <v>29</v>
      </c>
      <c r="L81" s="19">
        <f>Dodge_Revised!$M69+$C$12*Dodge_Revised!$N69+$C$9*Dodge_Revised!$I69</f>
        <v>45.4</v>
      </c>
      <c r="M81" s="5">
        <f>Dodge_Revised!$K69+(1-$C$12)*Dodge_Revised!$N69+(1-$C$5)*Dodge_Revised!$E69+$C$10*Dodge_Revised!$I69</f>
        <v>73.018000000000001</v>
      </c>
      <c r="N81" s="5"/>
      <c r="O81" s="19">
        <f t="shared" ref="O81:O107" si="3">SUM(C81:M81)</f>
        <v>1194</v>
      </c>
      <c r="P81" s="19">
        <f>Dodge_Revised!O69</f>
        <v>1194</v>
      </c>
      <c r="Q81" s="82"/>
    </row>
    <row r="82" spans="2:17" x14ac:dyDescent="0.2">
      <c r="B82">
        <f t="shared" si="2"/>
        <v>1985</v>
      </c>
      <c r="C82" s="19">
        <f>Dodge_Revised!F70+$C$4*Dodge_Revised!I70</f>
        <v>372.26000000000005</v>
      </c>
      <c r="D82" s="5">
        <f>$C$6*(Dodge_Revised!$D70+$C$5*Dodge_Revised!$E70)</f>
        <v>242.96799999999999</v>
      </c>
      <c r="E82" s="5">
        <f>$C$7*(Dodge_Revised!$D70+$C$5*Dodge_Revised!$E70)</f>
        <v>33.408099999999997</v>
      </c>
      <c r="F82" s="5">
        <f>$C$8*(Dodge_Revised!$D70+$C$5*Dodge_Revised!$E70)</f>
        <v>27.333899999999996</v>
      </c>
      <c r="G82" s="5">
        <f>Dodge_Revised!$G70</f>
        <v>257.39999999999998</v>
      </c>
      <c r="H82" s="5">
        <f>(1-$C$4-$C$9-$C$10)*Dodge_Revised!$I70</f>
        <v>88.8</v>
      </c>
      <c r="I82" s="19">
        <f>$C$11*Dodge_Revised!$J70</f>
        <v>54.75</v>
      </c>
      <c r="J82" s="5">
        <f>Dodge_Revised!$H70+(1-$C$11)*Dodge_Revised!$J70</f>
        <v>118.25</v>
      </c>
      <c r="K82" s="19">
        <f>Dodge_Revised!$L70</f>
        <v>32</v>
      </c>
      <c r="L82" s="19">
        <f>Dodge_Revised!$M70+$C$12*Dodge_Revised!$N70+$C$9*Dodge_Revised!$I70</f>
        <v>53.349999999999994</v>
      </c>
      <c r="M82" s="5">
        <f>Dodge_Revised!$K70+(1-$C$12)*Dodge_Revised!$N70+(1-$C$5)*Dodge_Revised!$E70+$C$10*Dodge_Revised!$I70</f>
        <v>84.48</v>
      </c>
      <c r="N82" s="5"/>
      <c r="O82" s="19">
        <f t="shared" si="3"/>
        <v>1365</v>
      </c>
      <c r="P82" s="19">
        <f>Dodge_Revised!O70</f>
        <v>1365</v>
      </c>
      <c r="Q82" s="82"/>
    </row>
    <row r="83" spans="2:17" x14ac:dyDescent="0.2">
      <c r="B83">
        <f t="shared" si="2"/>
        <v>1986</v>
      </c>
      <c r="C83" s="19">
        <f>Dodge_Revised!F71+$C$4*Dodge_Revised!I71</f>
        <v>333.35999999999996</v>
      </c>
      <c r="D83" s="5">
        <f>$C$6*(Dodge_Revised!$D71+$C$5*Dodge_Revised!$E71)</f>
        <v>230.64800000000002</v>
      </c>
      <c r="E83" s="5">
        <f>$C$7*(Dodge_Revised!$D71+$C$5*Dodge_Revised!$E71)</f>
        <v>31.714100000000002</v>
      </c>
      <c r="F83" s="5">
        <f>$C$8*(Dodge_Revised!$D71+$C$5*Dodge_Revised!$E71)</f>
        <v>25.947900000000001</v>
      </c>
      <c r="G83" s="5">
        <f>Dodge_Revised!$G71</f>
        <v>244.35</v>
      </c>
      <c r="H83" s="5">
        <f>(1-$C$4-$C$9-$C$10)*Dodge_Revised!$I71</f>
        <v>103.19999999999999</v>
      </c>
      <c r="I83" s="19">
        <f>$C$11*Dodge_Revised!$J71</f>
        <v>54.75</v>
      </c>
      <c r="J83" s="5">
        <f>Dodge_Revised!$H71+(1-$C$11)*Dodge_Revised!$J71</f>
        <v>109.25</v>
      </c>
      <c r="K83" s="19">
        <f>Dodge_Revised!$L71</f>
        <v>32</v>
      </c>
      <c r="L83" s="19">
        <f>Dodge_Revised!$M71+$C$12*Dodge_Revised!$N71+$C$9*Dodge_Revised!$I71</f>
        <v>54.35</v>
      </c>
      <c r="M83" s="5">
        <f>Dodge_Revised!$K71+(1-$C$12)*Dodge_Revised!$N71+(1-$C$5)*Dodge_Revised!$E71+$C$10*Dodge_Revised!$I71</f>
        <v>87.429999999999993</v>
      </c>
      <c r="N83" s="5"/>
      <c r="O83" s="19">
        <f t="shared" si="3"/>
        <v>1307</v>
      </c>
      <c r="P83" s="19">
        <f>Dodge_Revised!O71</f>
        <v>1307</v>
      </c>
      <c r="Q83" s="82"/>
    </row>
    <row r="84" spans="2:17" x14ac:dyDescent="0.2">
      <c r="B84">
        <f t="shared" si="2"/>
        <v>1987</v>
      </c>
      <c r="C84" s="19">
        <f>Dodge_Revised!F72+$C$4*Dodge_Revised!I72</f>
        <v>301.97999999999996</v>
      </c>
      <c r="D84" s="5">
        <f>$C$6*(Dodge_Revised!$D72+$C$5*Dodge_Revised!$E72)</f>
        <v>240.05760000000001</v>
      </c>
      <c r="E84" s="5">
        <f>$C$7*(Dodge_Revised!$D72+$C$5*Dodge_Revised!$E72)</f>
        <v>33.007919999999999</v>
      </c>
      <c r="F84" s="5">
        <f>$C$8*(Dodge_Revised!$D72+$C$5*Dodge_Revised!$E72)</f>
        <v>27.00648</v>
      </c>
      <c r="G84" s="5">
        <f>Dodge_Revised!$G72</f>
        <v>254.32</v>
      </c>
      <c r="H84" s="5">
        <f>(1-$C$4-$C$9-$C$10)*Dodge_Revised!$I72</f>
        <v>111.19999999999999</v>
      </c>
      <c r="I84" s="19">
        <f>$C$11*Dodge_Revised!$J72</f>
        <v>58.5</v>
      </c>
      <c r="J84" s="5">
        <f>Dodge_Revised!$H72+(1-$C$11)*Dodge_Revised!$J72</f>
        <v>93.5</v>
      </c>
      <c r="K84" s="19">
        <f>Dodge_Revised!$L72</f>
        <v>32</v>
      </c>
      <c r="L84" s="19">
        <f>Dodge_Revised!$M72+$C$12*Dodge_Revised!$N72+$C$9*Dodge_Revised!$I72</f>
        <v>56.75</v>
      </c>
      <c r="M84" s="5">
        <f>Dodge_Revised!$K72+(1-$C$12)*Dodge_Revised!$N72+(1-$C$5)*Dodge_Revised!$E72+$C$10*Dodge_Revised!$I72</f>
        <v>99.677999999999997</v>
      </c>
      <c r="N84" s="5"/>
      <c r="O84" s="19">
        <f t="shared" si="3"/>
        <v>1308</v>
      </c>
      <c r="P84" s="19">
        <f>Dodge_Revised!O72</f>
        <v>1308</v>
      </c>
      <c r="Q84" s="82"/>
    </row>
    <row r="85" spans="2:17" x14ac:dyDescent="0.2">
      <c r="B85">
        <f t="shared" si="2"/>
        <v>1988</v>
      </c>
      <c r="C85" s="19">
        <f>Dodge_Revised!F73+$C$4*Dodge_Revised!I73</f>
        <v>308.06</v>
      </c>
      <c r="D85" s="5">
        <f>$C$6*(Dodge_Revised!$D73+$C$5*Dodge_Revised!$E73)</f>
        <v>219.12960000000004</v>
      </c>
      <c r="E85" s="5">
        <f>$C$7*(Dodge_Revised!$D73+$C$5*Dodge_Revised!$E73)</f>
        <v>30.130320000000005</v>
      </c>
      <c r="F85" s="5">
        <f>$C$8*(Dodge_Revised!$D73+$C$5*Dodge_Revised!$E73)</f>
        <v>24.652080000000002</v>
      </c>
      <c r="G85" s="5">
        <f>Dodge_Revised!$G73</f>
        <v>232.14</v>
      </c>
      <c r="H85" s="5">
        <f>(1-$C$4-$C$9-$C$10)*Dodge_Revised!$I73</f>
        <v>113.6</v>
      </c>
      <c r="I85" s="19">
        <f>$C$11*Dodge_Revised!$J73</f>
        <v>53.25</v>
      </c>
      <c r="J85" s="5">
        <f>Dodge_Revised!$H73+(1-$C$11)*Dodge_Revised!$J73</f>
        <v>85.75</v>
      </c>
      <c r="K85" s="19">
        <f>Dodge_Revised!$L73</f>
        <v>32</v>
      </c>
      <c r="L85" s="19">
        <f>Dodge_Revised!$M73+$C$12*Dodge_Revised!$N73+$C$9*Dodge_Revised!$I73</f>
        <v>59.800000000000004</v>
      </c>
      <c r="M85" s="5">
        <f>Dodge_Revised!$K73+(1-$C$12)*Dodge_Revised!$N73+(1-$C$5)*Dodge_Revised!$E73+$C$10*Dodge_Revised!$I73</f>
        <v>93.488</v>
      </c>
      <c r="N85" s="5"/>
      <c r="O85" s="19">
        <f t="shared" si="3"/>
        <v>1252</v>
      </c>
      <c r="P85" s="19">
        <f>Dodge_Revised!O73</f>
        <v>1252</v>
      </c>
      <c r="Q85" s="82"/>
    </row>
    <row r="86" spans="2:17" x14ac:dyDescent="0.2">
      <c r="B86">
        <f t="shared" si="2"/>
        <v>1989</v>
      </c>
      <c r="C86" s="19">
        <f>Dodge_Revised!F74+$C$4*Dodge_Revised!I74</f>
        <v>304.75</v>
      </c>
      <c r="D86" s="5">
        <f>$C$6*(Dodge_Revised!$D74+$C$5*Dodge_Revised!$E74)</f>
        <v>207.02080000000001</v>
      </c>
      <c r="E86" s="5">
        <f>$C$7*(Dodge_Revised!$D74+$C$5*Dodge_Revised!$E74)</f>
        <v>28.46536</v>
      </c>
      <c r="F86" s="5">
        <f>$C$8*(Dodge_Revised!$D74+$C$5*Dodge_Revised!$E74)</f>
        <v>23.289840000000002</v>
      </c>
      <c r="G86" s="5">
        <f>Dodge_Revised!$G74</f>
        <v>219.32</v>
      </c>
      <c r="H86" s="5">
        <f>(1-$C$4-$C$9-$C$10)*Dodge_Revised!$I74</f>
        <v>120.79999999999998</v>
      </c>
      <c r="I86" s="19">
        <f>$C$11*Dodge_Revised!$J74</f>
        <v>54</v>
      </c>
      <c r="J86" s="5">
        <f>Dodge_Revised!$H74+(1-$C$11)*Dodge_Revised!$J74</f>
        <v>103</v>
      </c>
      <c r="K86" s="19">
        <f>Dodge_Revised!$L74</f>
        <v>27</v>
      </c>
      <c r="L86" s="19">
        <f>Dodge_Revised!$M74+$C$12*Dodge_Revised!$N74+$C$9*Dodge_Revised!$I74</f>
        <v>59.05</v>
      </c>
      <c r="M86" s="5">
        <f>Dodge_Revised!$K74+(1-$C$12)*Dodge_Revised!$N74+(1-$C$5)*Dodge_Revised!$E74+$C$10*Dodge_Revised!$I74</f>
        <v>94.303999999999988</v>
      </c>
      <c r="N86" s="5"/>
      <c r="O86" s="19">
        <f t="shared" si="3"/>
        <v>1241</v>
      </c>
      <c r="P86" s="19">
        <f>Dodge_Revised!O74</f>
        <v>1241</v>
      </c>
      <c r="Q86" s="82"/>
    </row>
    <row r="87" spans="2:17" x14ac:dyDescent="0.2">
      <c r="B87">
        <f t="shared" ref="B87:B117" si="4">B86+1</f>
        <v>1990</v>
      </c>
      <c r="C87" s="19">
        <f>Dodge_Revised!F75+$C$4*Dodge_Revised!I75</f>
        <v>245.42805211448101</v>
      </c>
      <c r="D87" s="5">
        <f>$C$6*(Dodge_Revised!$D75+$C$5*Dodge_Revised!$E75)</f>
        <v>168.95298077744553</v>
      </c>
      <c r="E87" s="5">
        <f>$C$7*(Dodge_Revised!$D75+$C$5*Dodge_Revised!$E75)</f>
        <v>23.231034856898759</v>
      </c>
      <c r="F87" s="5">
        <f>$C$8*(Dodge_Revised!$D75+$C$5*Dodge_Revised!$E75)</f>
        <v>19.00721033746262</v>
      </c>
      <c r="G87" s="5">
        <f>Dodge_Revised!$G75</f>
        <v>178.98885519008968</v>
      </c>
      <c r="H87" s="5">
        <f>(1-$C$4-$C$9-$C$10)*Dodge_Revised!$I75</f>
        <v>121.6</v>
      </c>
      <c r="I87" s="19">
        <f>$C$11*Dodge_Revised!$J75</f>
        <v>51.75</v>
      </c>
      <c r="J87" s="5">
        <f>Dodge_Revised!$H75+(1-$C$11)*Dodge_Revised!$J75</f>
        <v>79.208991883810342</v>
      </c>
      <c r="K87" s="19">
        <f>Dodge_Revised!$L75</f>
        <v>29</v>
      </c>
      <c r="L87" s="19">
        <f>Dodge_Revised!$M75+$C$12*Dodge_Revised!$N75+$C$9*Dodge_Revised!$I75</f>
        <v>61.800000000000004</v>
      </c>
      <c r="M87" s="5">
        <f>Dodge_Revised!$K75+(1-$C$12)*Dodge_Revised!$N75+(1-$C$5)*Dodge_Revised!$E75+$C$10*Dodge_Revised!$I75</f>
        <v>95.032874839812038</v>
      </c>
      <c r="N87" s="5"/>
      <c r="O87" s="19">
        <f t="shared" si="3"/>
        <v>1074</v>
      </c>
      <c r="P87" s="19">
        <f>Dodge_Revised!O75</f>
        <v>1074</v>
      </c>
      <c r="Q87" s="82"/>
    </row>
    <row r="88" spans="2:17" x14ac:dyDescent="0.2">
      <c r="B88">
        <f t="shared" si="4"/>
        <v>1991</v>
      </c>
      <c r="C88" s="19">
        <f>Dodge_Revised!F76+$C$4*Dodge_Revised!I76</f>
        <v>175.60857753096968</v>
      </c>
      <c r="D88" s="5">
        <f>$C$6*(Dodge_Revised!$D76+$C$5*Dodge_Revised!$E76)</f>
        <v>115.881295173003</v>
      </c>
      <c r="E88" s="5">
        <f>$C$7*(Dodge_Revised!$D76+$C$5*Dodge_Revised!$E76)</f>
        <v>15.933678086287911</v>
      </c>
      <c r="F88" s="5">
        <f>$C$8*(Dodge_Revised!$D76+$C$5*Dodge_Revised!$E76)</f>
        <v>13.036645706962837</v>
      </c>
      <c r="G88" s="5">
        <f>Dodge_Revised!$G76</f>
        <v>122.76469030328919</v>
      </c>
      <c r="H88" s="5">
        <f>(1-$C$4-$C$9-$C$10)*Dodge_Revised!$I76</f>
        <v>141.6</v>
      </c>
      <c r="I88" s="19">
        <f>$C$11*Dodge_Revised!$J76</f>
        <v>54</v>
      </c>
      <c r="J88" s="5">
        <f>Dodge_Revised!$H76+(1-$C$11)*Dodge_Revised!$J76</f>
        <v>60.496369073045706</v>
      </c>
      <c r="K88" s="19">
        <f>Dodge_Revised!$L76</f>
        <v>29</v>
      </c>
      <c r="L88" s="19">
        <f>Dodge_Revised!$M76+$C$12*Dodge_Revised!$N76+$C$9*Dodge_Revised!$I76</f>
        <v>57.15</v>
      </c>
      <c r="M88" s="5">
        <f>Dodge_Revised!$K76+(1-$C$12)*Dodge_Revised!$N76+(1-$C$5)*Dodge_Revised!$E76+$C$10*Dodge_Revised!$I76</f>
        <v>96.52874412644168</v>
      </c>
      <c r="N88" s="5"/>
      <c r="O88" s="19">
        <f t="shared" si="3"/>
        <v>881.99999999999989</v>
      </c>
      <c r="P88" s="19">
        <f>Dodge_Revised!O76</f>
        <v>882</v>
      </c>
      <c r="Q88" s="82"/>
    </row>
    <row r="89" spans="2:17" x14ac:dyDescent="0.2">
      <c r="B89">
        <f t="shared" si="4"/>
        <v>1992</v>
      </c>
      <c r="C89" s="19">
        <f>Dodge_Revised!F77+$C$4*Dodge_Revised!I77</f>
        <v>168.86420760358823</v>
      </c>
      <c r="D89" s="5">
        <f>$C$6*(Dodge_Revised!$D77+$C$5*Dodge_Revised!$E77)</f>
        <v>112.47302178556173</v>
      </c>
      <c r="E89" s="5">
        <f>$C$7*(Dodge_Revised!$D77+$C$5*Dodge_Revised!$E77)</f>
        <v>15.465040495514737</v>
      </c>
      <c r="F89" s="5">
        <f>$C$8*(Dodge_Revised!$D77+$C$5*Dodge_Revised!$E77)</f>
        <v>12.653214950875693</v>
      </c>
      <c r="G89" s="5">
        <f>Dodge_Revised!$G77</f>
        <v>119.15396411789833</v>
      </c>
      <c r="H89" s="5">
        <f>(1-$C$4-$C$9-$C$10)*Dodge_Revised!$I77</f>
        <v>124.79999999999998</v>
      </c>
      <c r="I89" s="19">
        <f>$C$11*Dodge_Revised!$J77</f>
        <v>57.75</v>
      </c>
      <c r="J89" s="5">
        <f>Dodge_Revised!$H77+(1-$C$11)*Dodge_Revised!$J77</f>
        <v>60.496475865014951</v>
      </c>
      <c r="K89" s="19">
        <f>Dodge_Revised!$L77</f>
        <v>30</v>
      </c>
      <c r="L89" s="19">
        <f>Dodge_Revised!$M77+$C$12*Dodge_Revised!$N77+$C$9*Dodge_Revised!$I77</f>
        <v>53</v>
      </c>
      <c r="M89" s="5">
        <f>Dodge_Revised!$K77+(1-$C$12)*Dodge_Revised!$N77+(1-$C$5)*Dodge_Revised!$E77+$C$10*Dodge_Revised!$I77</f>
        <v>85.344075181546344</v>
      </c>
      <c r="N89" s="5"/>
      <c r="O89" s="19">
        <f t="shared" si="3"/>
        <v>840.00000000000011</v>
      </c>
      <c r="P89" s="19">
        <f>Dodge_Revised!O77</f>
        <v>840</v>
      </c>
      <c r="Q89" s="82"/>
    </row>
    <row r="90" spans="2:17" x14ac:dyDescent="0.2">
      <c r="B90">
        <f t="shared" si="4"/>
        <v>1993</v>
      </c>
      <c r="C90" s="19">
        <f>Dodge_Revised!F78+$C$4*Dodge_Revised!I78</f>
        <v>176.06728107646308</v>
      </c>
      <c r="D90" s="5">
        <f>$C$6*(Dodge_Revised!$D78+$C$5*Dodge_Revised!$E78)</f>
        <v>117.09853566851771</v>
      </c>
      <c r="E90" s="5">
        <f>$C$7*(Dodge_Revised!$D78+$C$5*Dodge_Revised!$E78)</f>
        <v>16.101048654421184</v>
      </c>
      <c r="F90" s="5">
        <f>$C$8*(Dodge_Revised!$D78+$C$5*Dodge_Revised!$E78)</f>
        <v>13.173585262708242</v>
      </c>
      <c r="G90" s="5">
        <f>Dodge_Revised!$G78</f>
        <v>124.0542353695002</v>
      </c>
      <c r="H90" s="5">
        <f>(1-$C$4-$C$9-$C$10)*Dodge_Revised!$I78</f>
        <v>132</v>
      </c>
      <c r="I90" s="19">
        <f>$C$11*Dodge_Revised!$J78</f>
        <v>56.25</v>
      </c>
      <c r="J90" s="5">
        <f>Dodge_Revised!$H78+(1-$C$11)*Dodge_Revised!$J78</f>
        <v>61.692759504485259</v>
      </c>
      <c r="K90" s="19">
        <f>Dodge_Revised!$L78</f>
        <v>30</v>
      </c>
      <c r="L90" s="19">
        <f>Dodge_Revised!$M78+$C$12*Dodge_Revised!$N78+$C$9*Dodge_Revised!$I78</f>
        <v>62.15</v>
      </c>
      <c r="M90" s="5">
        <f>Dodge_Revised!$K78+(1-$C$12)*Dodge_Revised!$N78+(1-$C$5)*Dodge_Revised!$E78+$C$10*Dodge_Revised!$I78</f>
        <v>72.412554463904314</v>
      </c>
      <c r="N90" s="5"/>
      <c r="O90" s="19">
        <f t="shared" si="3"/>
        <v>861</v>
      </c>
      <c r="P90" s="19">
        <f>Dodge_Revised!O78</f>
        <v>861</v>
      </c>
      <c r="Q90" s="82"/>
    </row>
    <row r="91" spans="2:17" x14ac:dyDescent="0.2">
      <c r="B91">
        <f t="shared" si="4"/>
        <v>1994</v>
      </c>
      <c r="C91" s="19">
        <f>Dodge_Revised!F79+$C$4*Dodge_Revised!I79</f>
        <v>216.24442545920547</v>
      </c>
      <c r="D91" s="5">
        <f>$C$6*(Dodge_Revised!$D79+$C$5*Dodge_Revised!$E79)</f>
        <v>146.06885946176848</v>
      </c>
      <c r="E91" s="5">
        <f>$C$7*(Dodge_Revised!$D79+$C$5*Dodge_Revised!$E79)</f>
        <v>20.084468175993166</v>
      </c>
      <c r="F91" s="5">
        <f>$C$8*(Dodge_Revised!$D79+$C$5*Dodge_Revised!$E79)</f>
        <v>16.432746689448955</v>
      </c>
      <c r="G91" s="5">
        <f>Dodge_Revised!$G79</f>
        <v>154.74540794532251</v>
      </c>
      <c r="H91" s="5">
        <f>(1-$C$4-$C$9-$C$10)*Dodge_Revised!$I79</f>
        <v>137.6</v>
      </c>
      <c r="I91" s="19">
        <f>$C$11*Dodge_Revised!$J79</f>
        <v>54</v>
      </c>
      <c r="J91" s="5">
        <f>Dodge_Revised!$H79+(1-$C$11)*Dodge_Revised!$J79</f>
        <v>71.566851772746688</v>
      </c>
      <c r="K91" s="19">
        <f>Dodge_Revised!$L79</f>
        <v>30</v>
      </c>
      <c r="L91" s="19">
        <f>Dodge_Revised!$M79+$C$12*Dodge_Revised!$N79+$C$9*Dodge_Revised!$I79</f>
        <v>62.7</v>
      </c>
      <c r="M91" s="5">
        <f>Dodge_Revised!$K79+(1-$C$12)*Dodge_Revised!$N79+(1-$C$5)*Dodge_Revised!$E79+$C$10*Dodge_Revised!$I79</f>
        <v>91.557240495514733</v>
      </c>
      <c r="N91" s="5"/>
      <c r="O91" s="19">
        <f t="shared" si="3"/>
        <v>1001</v>
      </c>
      <c r="P91" s="19">
        <f>Dodge_Revised!O79</f>
        <v>1001</v>
      </c>
      <c r="Q91" s="82"/>
    </row>
    <row r="92" spans="2:17" x14ac:dyDescent="0.2">
      <c r="B92">
        <f t="shared" si="4"/>
        <v>1995</v>
      </c>
      <c r="C92" s="19">
        <f>Dodge_Revised!F80+$C$4*Dodge_Revised!I80</f>
        <v>250.81849636907307</v>
      </c>
      <c r="D92" s="5">
        <f>$C$6*(Dodge_Revised!$D80+$C$5*Dodge_Revised!$E80)</f>
        <v>170.41366937206323</v>
      </c>
      <c r="E92" s="5">
        <f>$C$7*(Dodge_Revised!$D80+$C$5*Dodge_Revised!$E80)</f>
        <v>23.431879538658691</v>
      </c>
      <c r="F92" s="5">
        <f>$C$8*(Dodge_Revised!$D80+$C$5*Dodge_Revised!$E80)</f>
        <v>19.171537804357111</v>
      </c>
      <c r="G92" s="5">
        <f>Dodge_Revised!$G80</f>
        <v>180.53630926954293</v>
      </c>
      <c r="H92" s="5">
        <f>(1-$C$4-$C$9-$C$10)*Dodge_Revised!$I80</f>
        <v>148.79999999999998</v>
      </c>
      <c r="I92" s="19">
        <f>$C$11*Dodge_Revised!$J80</f>
        <v>52.5</v>
      </c>
      <c r="J92" s="5">
        <f>Dodge_Revised!$H80+(1-$C$11)*Dodge_Revised!$J80</f>
        <v>79.9946604015378</v>
      </c>
      <c r="K92" s="19">
        <f>Dodge_Revised!$L80</f>
        <v>33</v>
      </c>
      <c r="L92" s="19">
        <f>Dodge_Revised!$M80+$C$12*Dodge_Revised!$N80+$C$9*Dodge_Revised!$I80</f>
        <v>68.599999999999994</v>
      </c>
      <c r="M92" s="5">
        <f>Dodge_Revised!$K80+(1-$C$12)*Dodge_Revised!$N80+(1-$C$5)*Dodge_Revised!$E80+$C$10*Dodge_Revised!$I80</f>
        <v>90.733447244767191</v>
      </c>
      <c r="N92" s="5"/>
      <c r="O92" s="19">
        <f t="shared" si="3"/>
        <v>1118</v>
      </c>
      <c r="P92" s="19">
        <f>Dodge_Revised!O80</f>
        <v>1118</v>
      </c>
      <c r="Q92" s="82"/>
    </row>
    <row r="93" spans="2:17" x14ac:dyDescent="0.2">
      <c r="B93">
        <f t="shared" si="4"/>
        <v>1996</v>
      </c>
      <c r="C93" s="19">
        <f>Dodge_Revised!F81+$C$4*Dodge_Revised!I81</f>
        <v>257.54853267834261</v>
      </c>
      <c r="D93" s="5">
        <f>$C$6*(Dodge_Revised!$D81+$C$5*Dodge_Revised!$E81)</f>
        <v>176.01297565143102</v>
      </c>
      <c r="E93" s="5">
        <f>$C$7*(Dodge_Revised!$D81+$C$5*Dodge_Revised!$E81)</f>
        <v>24.201784152071763</v>
      </c>
      <c r="F93" s="5">
        <f>$C$8*(Dodge_Revised!$D81+$C$5*Dodge_Revised!$E81)</f>
        <v>19.801459760785985</v>
      </c>
      <c r="G93" s="5">
        <f>Dodge_Revised!$G81</f>
        <v>186.46821657411363</v>
      </c>
      <c r="H93" s="5">
        <f>(1-$C$4-$C$9-$C$10)*Dodge_Revised!$I81</f>
        <v>141.6</v>
      </c>
      <c r="I93" s="19">
        <f>$C$11*Dodge_Revised!$J81</f>
        <v>57.75</v>
      </c>
      <c r="J93" s="5">
        <f>Dodge_Revised!$H81+(1-$C$11)*Dodge_Revised!$J81</f>
        <v>83.798056386159757</v>
      </c>
      <c r="K93" s="19">
        <f>Dodge_Revised!$L81</f>
        <v>32</v>
      </c>
      <c r="L93" s="19">
        <f>Dodge_Revised!$M81+$C$12*Dodge_Revised!$N81+$C$9*Dodge_Revised!$I81</f>
        <v>72.149999999999991</v>
      </c>
      <c r="M93" s="5">
        <f>Dodge_Revised!$K81+(1-$C$12)*Dodge_Revised!$N81+(1-$C$5)*Dodge_Revised!$E81+$C$10*Dodge_Revised!$I81</f>
        <v>91.668974797095245</v>
      </c>
      <c r="N93" s="5"/>
      <c r="O93" s="19">
        <f t="shared" si="3"/>
        <v>1143</v>
      </c>
      <c r="P93" s="19">
        <f>Dodge_Revised!O81</f>
        <v>1143</v>
      </c>
      <c r="Q93" s="82"/>
    </row>
    <row r="94" spans="2:17" x14ac:dyDescent="0.2">
      <c r="B94">
        <f t="shared" si="4"/>
        <v>1997</v>
      </c>
      <c r="C94" s="19">
        <f>Dodge_Revised!F82+$C$4*Dodge_Revised!I82</f>
        <v>304.03830627936782</v>
      </c>
      <c r="D94" s="5">
        <f>$C$6*(Dodge_Revised!$D82+$C$5*Dodge_Revised!$E82)</f>
        <v>208.14812473302004</v>
      </c>
      <c r="E94" s="5">
        <f>$C$7*(Dodge_Revised!$D82+$C$5*Dodge_Revised!$E82)</f>
        <v>28.620367150790255</v>
      </c>
      <c r="F94" s="5">
        <f>$C$8*(Dodge_Revised!$D82+$C$5*Dodge_Revised!$E82)</f>
        <v>23.416664032464755</v>
      </c>
      <c r="G94" s="5">
        <f>Dodge_Revised!$G82</f>
        <v>220.51220632208455</v>
      </c>
      <c r="H94" s="5">
        <f>(1-$C$4-$C$9-$C$10)*Dodge_Revised!$I82</f>
        <v>163.19999999999999</v>
      </c>
      <c r="I94" s="19">
        <f>$C$11*Dodge_Revised!$J82</f>
        <v>66.75</v>
      </c>
      <c r="J94" s="5">
        <f>Dodge_Revised!$H82+(1-$C$11)*Dodge_Revised!$J82</f>
        <v>98.582763776164029</v>
      </c>
      <c r="K94" s="19">
        <f>Dodge_Revised!$L82</f>
        <v>42</v>
      </c>
      <c r="L94" s="19">
        <f>Dodge_Revised!$M82+$C$12*Dodge_Revised!$N82+$C$9*Dodge_Revised!$I82</f>
        <v>90.7</v>
      </c>
      <c r="M94" s="5">
        <f>Dodge_Revised!$K82+(1-$C$12)*Dodge_Revised!$N82+(1-$C$5)*Dodge_Revised!$E82+$C$10*Dodge_Revised!$I82</f>
        <v>104.0315677061085</v>
      </c>
      <c r="N94" s="5"/>
      <c r="O94" s="19">
        <f t="shared" si="3"/>
        <v>1350</v>
      </c>
      <c r="P94" s="19">
        <f>Dodge_Revised!O82</f>
        <v>1350</v>
      </c>
      <c r="Q94" s="82"/>
    </row>
    <row r="95" spans="2:17" x14ac:dyDescent="0.2">
      <c r="B95">
        <f t="shared" si="4"/>
        <v>1998</v>
      </c>
      <c r="C95" s="19">
        <f>Dodge_Revised!F83+$C$4*Dodge_Revised!I83</f>
        <v>389.13696497223413</v>
      </c>
      <c r="D95" s="5">
        <f>$C$6*(Dodge_Revised!$D83+$C$5*Dodge_Revised!$E83)</f>
        <v>269.49704570696281</v>
      </c>
      <c r="E95" s="5">
        <f>$C$7*(Dodge_Revised!$D83+$C$5*Dodge_Revised!$E83)</f>
        <v>37.055843784707385</v>
      </c>
      <c r="F95" s="5">
        <f>$C$8*(Dodge_Revised!$D83+$C$5*Dodge_Revised!$E83)</f>
        <v>30.318417642033314</v>
      </c>
      <c r="G95" s="5">
        <f>Dodge_Revised!$G83</f>
        <v>285.50527765912</v>
      </c>
      <c r="H95" s="5">
        <f>(1-$C$4-$C$9-$C$10)*Dodge_Revised!$I83</f>
        <v>175.2</v>
      </c>
      <c r="I95" s="19">
        <f>$C$11*Dodge_Revised!$J83</f>
        <v>72</v>
      </c>
      <c r="J95" s="5">
        <f>Dodge_Revised!$H83+(1-$C$11)*Dodge_Revised!$J83</f>
        <v>122.83084152071764</v>
      </c>
      <c r="K95" s="19">
        <f>Dodge_Revised!$L83</f>
        <v>47</v>
      </c>
      <c r="L95" s="19">
        <f>Dodge_Revised!$M83+$C$12*Dodge_Revised!$N83+$C$9*Dodge_Revised!$I83</f>
        <v>99.350000000000009</v>
      </c>
      <c r="M95" s="5">
        <f>Dodge_Revised!$K83+(1-$C$12)*Dodge_Revised!$N83+(1-$C$5)*Dodge_Revised!$E83+$C$10*Dodge_Revised!$I83</f>
        <v>102.10560871422469</v>
      </c>
      <c r="N95" s="5"/>
      <c r="O95" s="19">
        <f t="shared" si="3"/>
        <v>1630</v>
      </c>
      <c r="P95" s="19">
        <f>Dodge_Revised!O83</f>
        <v>1630</v>
      </c>
      <c r="Q95" s="82"/>
    </row>
    <row r="96" spans="2:17" x14ac:dyDescent="0.2">
      <c r="B96">
        <f t="shared" si="4"/>
        <v>1999</v>
      </c>
      <c r="C96" s="19">
        <f>Dodge_Revised!F84+$C$4*Dodge_Revised!I84</f>
        <v>395.99089064502357</v>
      </c>
      <c r="D96" s="5">
        <f>$C$6*(Dodge_Revised!$D84+$C$5*Dodge_Revised!$E84)</f>
        <v>271.4446304997864</v>
      </c>
      <c r="E96" s="5">
        <f>$C$7*(Dodge_Revised!$D84+$C$5*Dodge_Revised!$E84)</f>
        <v>37.32363669372063</v>
      </c>
      <c r="F96" s="5">
        <f>$C$8*(Dodge_Revised!$D84+$C$5*Dodge_Revised!$E84)</f>
        <v>30.53752093122597</v>
      </c>
      <c r="G96" s="5">
        <f>Dodge_Revised!$G84</f>
        <v>287.56854976505764</v>
      </c>
      <c r="H96" s="5">
        <f>(1-$C$4-$C$9-$C$10)*Dodge_Revised!$I84</f>
        <v>208.79999999999998</v>
      </c>
      <c r="I96" s="19">
        <f>$C$11*Dodge_Revised!$J84</f>
        <v>73.5</v>
      </c>
      <c r="J96" s="5">
        <f>Dodge_Revised!$H84+(1-$C$11)*Dodge_Revised!$J84</f>
        <v>124.04506621102092</v>
      </c>
      <c r="K96" s="19">
        <f>Dodge_Revised!$L84</f>
        <v>48</v>
      </c>
      <c r="L96" s="19">
        <f>Dodge_Revised!$M84+$C$12*Dodge_Revised!$N84+$C$9*Dodge_Revised!$I84</f>
        <v>103.95</v>
      </c>
      <c r="M96" s="5">
        <f>Dodge_Revised!$K84+(1-$C$12)*Dodge_Revised!$N84+(1-$C$5)*Dodge_Revised!$E84+$C$10*Dodge_Revised!$I84</f>
        <v>115.83970525416487</v>
      </c>
      <c r="N96" s="5"/>
      <c r="O96" s="19">
        <f t="shared" si="3"/>
        <v>1697</v>
      </c>
      <c r="P96" s="19">
        <f>Dodge_Revised!O84</f>
        <v>1697</v>
      </c>
      <c r="Q96" s="82"/>
    </row>
    <row r="97" spans="2:17" x14ac:dyDescent="0.2">
      <c r="B97">
        <f t="shared" si="4"/>
        <v>2000</v>
      </c>
      <c r="C97" s="19">
        <f>Dodge_Revised!F85+$C$4*Dodge_Revised!I85</f>
        <v>418.75403673643746</v>
      </c>
      <c r="D97" s="5">
        <f>$C$6*(Dodge_Revised!$D85+$C$5*Dodge_Revised!$E85)</f>
        <v>287.26875694147805</v>
      </c>
      <c r="E97" s="5">
        <f>$C$7*(Dodge_Revised!$D85+$C$5*Dodge_Revised!$E85)</f>
        <v>39.49945407945323</v>
      </c>
      <c r="F97" s="5">
        <f>$C$8*(Dodge_Revised!$D85+$C$5*Dodge_Revised!$E85)</f>
        <v>32.317735155916274</v>
      </c>
      <c r="G97" s="5">
        <f>Dodge_Revised!$G85</f>
        <v>304.33263562580089</v>
      </c>
      <c r="H97" s="5">
        <f>(1-$C$4-$C$9-$C$10)*Dodge_Revised!$I85</f>
        <v>218.39999999999998</v>
      </c>
      <c r="I97" s="19">
        <f>$C$11*Dodge_Revised!$J85</f>
        <v>66</v>
      </c>
      <c r="J97" s="5">
        <f>Dodge_Revised!$H85+(1-$C$11)*Dodge_Revised!$J85</f>
        <v>127.34814181973515</v>
      </c>
      <c r="K97" s="19">
        <f>Dodge_Revised!$L85</f>
        <v>49</v>
      </c>
      <c r="L97" s="19">
        <f>Dodge_Revised!$M85+$C$12*Dodge_Revised!$N85+$C$9*Dodge_Revised!$I85</f>
        <v>110.55000000000001</v>
      </c>
      <c r="M97" s="5">
        <f>Dodge_Revised!$K85+(1-$C$12)*Dodge_Revised!$N85+(1-$C$5)*Dodge_Revised!$E85+$C$10*Dodge_Revised!$I85</f>
        <v>103.52923964117898</v>
      </c>
      <c r="N97" s="5"/>
      <c r="O97" s="19">
        <f t="shared" si="3"/>
        <v>1757</v>
      </c>
      <c r="P97" s="19">
        <f>Dodge_Revised!O85</f>
        <v>1757</v>
      </c>
      <c r="Q97" s="82"/>
    </row>
    <row r="98" spans="2:17" x14ac:dyDescent="0.2">
      <c r="B98">
        <f t="shared" si="4"/>
        <v>2001</v>
      </c>
      <c r="C98" s="19">
        <f>Dodge_Revised!F86+$C$4*Dodge_Revised!I86</f>
        <v>357.25982058949171</v>
      </c>
      <c r="D98" s="5">
        <f>$C$6*(Dodge_Revised!$D86+$C$5*Dodge_Revised!$E86)</f>
        <v>240.52672191371209</v>
      </c>
      <c r="E98" s="5">
        <f>$C$7*(Dodge_Revised!$D86+$C$5*Dodge_Revised!$E86)</f>
        <v>33.07242426313541</v>
      </c>
      <c r="F98" s="5">
        <f>$C$8*(Dodge_Revised!$D86+$C$5*Dodge_Revised!$E86)</f>
        <v>27.059256215292606</v>
      </c>
      <c r="G98" s="5">
        <f>Dodge_Revised!$G86</f>
        <v>254.8141050832977</v>
      </c>
      <c r="H98" s="5">
        <f>(1-$C$4-$C$9-$C$10)*Dodge_Revised!$I86</f>
        <v>235.99999999999997</v>
      </c>
      <c r="I98" s="19">
        <f>$C$11*Dodge_Revised!$J86</f>
        <v>69</v>
      </c>
      <c r="J98" s="5">
        <f>Dodge_Revised!$H86+(1-$C$11)*Dodge_Revised!$J86</f>
        <v>111.20674925245621</v>
      </c>
      <c r="K98" s="19">
        <f>Dodge_Revised!$L86</f>
        <v>50</v>
      </c>
      <c r="L98" s="19">
        <f>Dodge_Revised!$M86+$C$12*Dodge_Revised!$N86+$C$9*Dodge_Revised!$I86</f>
        <v>98.45</v>
      </c>
      <c r="M98" s="5">
        <f>Dodge_Revised!$K86+(1-$C$12)*Dodge_Revised!$N86+(1-$C$5)*Dodge_Revised!$E86+$C$10*Dodge_Revised!$I86</f>
        <v>99.610922682614259</v>
      </c>
      <c r="N98" s="5"/>
      <c r="O98" s="19">
        <f t="shared" si="3"/>
        <v>1577</v>
      </c>
      <c r="P98" s="19">
        <f>Dodge_Revised!O86</f>
        <v>1577</v>
      </c>
      <c r="Q98" s="82"/>
    </row>
    <row r="99" spans="2:17" x14ac:dyDescent="0.2">
      <c r="B99">
        <f t="shared" si="4"/>
        <v>2002</v>
      </c>
      <c r="C99" s="19">
        <f>Dodge_Revised!F87+$C$4*Dodge_Revised!I87</f>
        <v>296.4099743699274</v>
      </c>
      <c r="D99" s="5">
        <f>$C$6*(Dodge_Revised!$D87+$C$5*Dodge_Revised!$E87)</f>
        <v>197.19296027338746</v>
      </c>
      <c r="E99" s="5">
        <f>$C$7*(Dodge_Revised!$D87+$C$5*Dodge_Revised!$E87)</f>
        <v>27.114032037590771</v>
      </c>
      <c r="F99" s="5">
        <f>$C$8*(Dodge_Revised!$D87+$C$5*Dodge_Revised!$E87)</f>
        <v>22.184208030756086</v>
      </c>
      <c r="G99" s="5">
        <f>Dodge_Revised!$G87</f>
        <v>208.90630072618538</v>
      </c>
      <c r="H99" s="5">
        <f>(1-$C$4-$C$9-$C$10)*Dodge_Revised!$I87</f>
        <v>221.6</v>
      </c>
      <c r="I99" s="19">
        <f>$C$11*Dodge_Revised!$J87</f>
        <v>72.75</v>
      </c>
      <c r="J99" s="5">
        <f>Dodge_Revised!$H87+(1-$C$11)*Dodge_Revised!$J87</f>
        <v>96.565249893208033</v>
      </c>
      <c r="K99" s="19">
        <f>Dodge_Revised!$L87</f>
        <v>52</v>
      </c>
      <c r="L99" s="19">
        <f>Dodge_Revised!$M87+$C$12*Dodge_Revised!$N87+$C$9*Dodge_Revised!$I87</f>
        <v>87.449999999999989</v>
      </c>
      <c r="M99" s="5">
        <f>Dodge_Revised!$K87+(1-$C$12)*Dodge_Revised!$N87+(1-$C$5)*Dodge_Revised!$E87+$C$10*Dodge_Revised!$I87</f>
        <v>87.827274668944909</v>
      </c>
      <c r="N99" s="5"/>
      <c r="O99" s="19">
        <f t="shared" si="3"/>
        <v>1370.0000000000002</v>
      </c>
      <c r="P99" s="19">
        <f>Dodge_Revised!O87</f>
        <v>1370</v>
      </c>
      <c r="Q99" s="82"/>
    </row>
    <row r="100" spans="2:17" x14ac:dyDescent="0.2">
      <c r="B100">
        <f t="shared" si="4"/>
        <v>2003</v>
      </c>
      <c r="C100" s="19">
        <f>Dodge_Revised!F88+$C$4*Dodge_Revised!I88</f>
        <v>290.40212302434861</v>
      </c>
      <c r="D100" s="5">
        <f>$C$6*(Dodge_Revised!$D88+$C$5*Dodge_Revised!$E88)</f>
        <v>193.2977906877403</v>
      </c>
      <c r="E100" s="5">
        <f>$C$7*(Dodge_Revised!$D88+$C$5*Dodge_Revised!$E88)</f>
        <v>26.578446219564288</v>
      </c>
      <c r="F100" s="5">
        <f>$C$8*(Dodge_Revised!$D88+$C$5*Dodge_Revised!$E88)</f>
        <v>21.746001452370781</v>
      </c>
      <c r="G100" s="5">
        <f>Dodge_Revised!$G88</f>
        <v>204.77975651431009</v>
      </c>
      <c r="H100" s="5">
        <f>(1-$C$4-$C$9-$C$10)*Dodge_Revised!$I88</f>
        <v>215.99999999999997</v>
      </c>
      <c r="I100" s="19">
        <f>$C$11*Dodge_Revised!$J88</f>
        <v>69</v>
      </c>
      <c r="J100" s="5">
        <f>Dodge_Revised!$H88+(1-$C$11)*Dodge_Revised!$J88</f>
        <v>93.886800512601454</v>
      </c>
      <c r="K100" s="19">
        <f>Dodge_Revised!$L88</f>
        <v>45</v>
      </c>
      <c r="L100" s="19">
        <f>Dodge_Revised!$M88+$C$12*Dodge_Revised!$N88+$C$9*Dodge_Revised!$I88</f>
        <v>83.1</v>
      </c>
      <c r="M100" s="5">
        <f>Dodge_Revised!$K88+(1-$C$12)*Dodge_Revised!$N88+(1-$C$5)*Dodge_Revised!$E88+$C$10*Dodge_Revised!$I88</f>
        <v>85.20908158906451</v>
      </c>
      <c r="N100" s="5"/>
      <c r="O100" s="19">
        <f t="shared" si="3"/>
        <v>1329</v>
      </c>
      <c r="P100" s="19">
        <f>Dodge_Revised!O88</f>
        <v>1329</v>
      </c>
      <c r="Q100" s="82"/>
    </row>
    <row r="101" spans="2:17" x14ac:dyDescent="0.2">
      <c r="B101">
        <f t="shared" si="4"/>
        <v>2004</v>
      </c>
      <c r="C101" s="19">
        <f>Dodge_Revised!F89+$C$4*Dodge_Revised!I89</f>
        <v>313.37312046134139</v>
      </c>
      <c r="D101" s="5">
        <f>$C$6*(Dodge_Revised!$D89+$C$5*Dodge_Revised!$E89)</f>
        <v>213.01708671507902</v>
      </c>
      <c r="E101" s="5">
        <f>$C$7*(Dodge_Revised!$D89+$C$5*Dodge_Revised!$E89)</f>
        <v>29.289849423323361</v>
      </c>
      <c r="F101" s="5">
        <f>$C$8*(Dodge_Revised!$D89+$C$5*Dodge_Revised!$E89)</f>
        <v>23.964422255446387</v>
      </c>
      <c r="G101" s="5">
        <f>Dodge_Revised!$G89</f>
        <v>225.67038658692866</v>
      </c>
      <c r="H101" s="5">
        <f>(1-$C$4-$C$9-$C$10)*Dodge_Revised!$I89</f>
        <v>184.79999999999998</v>
      </c>
      <c r="I101" s="19">
        <f>$C$11*Dodge_Revised!$J89</f>
        <v>70.5</v>
      </c>
      <c r="J101" s="5">
        <f>Dodge_Revised!$H89+(1-$C$11)*Dodge_Revised!$J89</f>
        <v>101.61832550192226</v>
      </c>
      <c r="K101" s="19">
        <f>Dodge_Revised!$L89</f>
        <v>43</v>
      </c>
      <c r="L101" s="19">
        <f>Dodge_Revised!$M89+$C$12*Dodge_Revised!$N89+$C$9*Dodge_Revised!$I89</f>
        <v>82.25</v>
      </c>
      <c r="M101" s="5">
        <f>Dodge_Revised!$K89+(1-$C$12)*Dodge_Revised!$N89+(1-$C$5)*Dodge_Revised!$E89+$C$10*Dodge_Revised!$I89</f>
        <v>84.516809055958987</v>
      </c>
      <c r="N101" s="5"/>
      <c r="O101" s="19">
        <f t="shared" si="3"/>
        <v>1372</v>
      </c>
      <c r="P101" s="19">
        <f>Dodge_Revised!O89</f>
        <v>1372</v>
      </c>
      <c r="Q101" s="82"/>
    </row>
    <row r="102" spans="2:17" x14ac:dyDescent="0.2">
      <c r="B102">
        <f t="shared" si="4"/>
        <v>2005</v>
      </c>
      <c r="C102" s="19">
        <f>Dodge_Revised!F90+$C$4*Dodge_Revised!I90</f>
        <v>332.12363733447251</v>
      </c>
      <c r="D102" s="5">
        <f>$C$6*(Dodge_Revised!$D90+$C$5*Dodge_Revised!$E90)</f>
        <v>225.67638786843227</v>
      </c>
      <c r="E102" s="5">
        <f>$C$7*(Dodge_Revised!$D90+$C$5*Dodge_Revised!$E90)</f>
        <v>31.030503331909436</v>
      </c>
      <c r="F102" s="5">
        <f>$C$8*(Dodge_Revised!$D90+$C$5*Dodge_Revised!$E90)</f>
        <v>25.388593635198628</v>
      </c>
      <c r="G102" s="5">
        <f>Dodge_Revised!$G90</f>
        <v>239.08165527552327</v>
      </c>
      <c r="H102" s="5">
        <f>(1-$C$4-$C$9-$C$10)*Dodge_Revised!$I90</f>
        <v>196.79999999999998</v>
      </c>
      <c r="I102" s="19">
        <f>$C$11*Dodge_Revised!$J90</f>
        <v>81</v>
      </c>
      <c r="J102" s="5">
        <f>Dodge_Revised!$H90+(1-$C$11)*Dodge_Revised!$J90</f>
        <v>109.76078598889363</v>
      </c>
      <c r="K102" s="19">
        <f>Dodge_Revised!$L90</f>
        <v>37</v>
      </c>
      <c r="L102" s="19">
        <f>Dodge_Revised!$M90+$C$12*Dodge_Revised!$N90+$C$9*Dodge_Revised!$I90</f>
        <v>82.2</v>
      </c>
      <c r="M102" s="5">
        <f>Dodge_Revised!$K90+(1-$C$12)*Dodge_Revised!$N90+(1-$C$5)*Dodge_Revised!$E90+$C$10*Dodge_Revised!$I90</f>
        <v>86.938436565570257</v>
      </c>
      <c r="N102" s="5"/>
      <c r="O102" s="19">
        <f t="shared" si="3"/>
        <v>1447</v>
      </c>
      <c r="P102" s="19">
        <f>Dodge_Revised!O90</f>
        <v>1447</v>
      </c>
      <c r="Q102" s="82"/>
    </row>
    <row r="103" spans="2:17" x14ac:dyDescent="0.2">
      <c r="B103">
        <f t="shared" si="4"/>
        <v>2006</v>
      </c>
      <c r="C103" s="19">
        <f>Dodge_Revised!F91+$C$4*Dodge_Revised!I91</f>
        <v>362.1168197351559</v>
      </c>
      <c r="D103" s="5">
        <f>$C$6*(Dodge_Revised!$D91+$C$5*Dodge_Revised!$E91)</f>
        <v>247.09982058949169</v>
      </c>
      <c r="E103" s="5">
        <f>$C$7*(Dodge_Revised!$D91+$C$5*Dodge_Revised!$E91)</f>
        <v>33.976225331055105</v>
      </c>
      <c r="F103" s="5">
        <f>$C$8*(Dodge_Revised!$D91+$C$5*Dodge_Revised!$E91)</f>
        <v>27.798729816317813</v>
      </c>
      <c r="G103" s="5">
        <f>Dodge_Revised!$G91</f>
        <v>261.77764844083725</v>
      </c>
      <c r="H103" s="5">
        <f>(1-$C$4-$C$9-$C$10)*Dodge_Revised!$I91</f>
        <v>203.2</v>
      </c>
      <c r="I103" s="19">
        <f>$C$11*Dodge_Revised!$J91</f>
        <v>82.5</v>
      </c>
      <c r="J103" s="5">
        <f>Dodge_Revised!$H91+(1-$C$11)*Dodge_Revised!$J91</f>
        <v>118.11725758222981</v>
      </c>
      <c r="K103" s="19">
        <f>Dodge_Revised!$L91</f>
        <v>35</v>
      </c>
      <c r="L103" s="19">
        <f>Dodge_Revised!$M91+$C$12*Dodge_Revised!$N91+$C$9*Dodge_Revised!$I91</f>
        <v>89</v>
      </c>
      <c r="M103" s="5">
        <f>Dodge_Revised!$K91+(1-$C$12)*Dodge_Revised!$N91+(1-$C$5)*Dodge_Revised!$E91+$C$10*Dodge_Revised!$I91</f>
        <v>92.413498504912425</v>
      </c>
      <c r="N103" s="5"/>
      <c r="O103" s="19">
        <f>SUM(C103:M103)</f>
        <v>1553</v>
      </c>
      <c r="P103" s="19">
        <f>Dodge_Revised!O91</f>
        <v>1553</v>
      </c>
      <c r="Q103" s="82"/>
    </row>
    <row r="104" spans="2:17" x14ac:dyDescent="0.2">
      <c r="B104">
        <f t="shared" si="4"/>
        <v>2007</v>
      </c>
      <c r="C104" s="19">
        <f>Dodge_Revised!F92+$C$4*Dodge_Revised!I92</f>
        <v>373.35948526270829</v>
      </c>
      <c r="D104" s="5">
        <f>$C$6*(Dodge_Revised!$D92+$C$5*Dodge_Revised!$E92)</f>
        <v>255.86395215719779</v>
      </c>
      <c r="E104" s="5">
        <f>$C$7*(Dodge_Revised!$D92+$C$5*Dodge_Revised!$E92)</f>
        <v>35.18129342161469</v>
      </c>
      <c r="F104" s="5">
        <f>$C$8*(Dodge_Revised!$D92+$C$5*Dodge_Revised!$E92)</f>
        <v>28.784694617684746</v>
      </c>
      <c r="G104" s="5">
        <f>Dodge_Revised!$G92</f>
        <v>271.06237291755656</v>
      </c>
      <c r="H104" s="5">
        <f>(1-$C$4-$C$9-$C$10)*Dodge_Revised!$I92</f>
        <v>197.6</v>
      </c>
      <c r="I104" s="19">
        <f>$C$11*Dodge_Revised!$J92</f>
        <v>78</v>
      </c>
      <c r="J104" s="5">
        <f>Dodge_Revised!$H92+(1-$C$11)*Dodge_Revised!$J92</f>
        <v>119.83126868859462</v>
      </c>
      <c r="K104" s="19">
        <f>Dodge_Revised!$L92</f>
        <v>31</v>
      </c>
      <c r="L104" s="19">
        <f>Dodge_Revised!$M92+$C$12*Dodge_Revised!$N92+$C$9*Dodge_Revised!$I92</f>
        <v>81.050000000000011</v>
      </c>
      <c r="M104" s="5">
        <f>Dodge_Revised!$K92+(1-$C$12)*Dodge_Revised!$N92+(1-$C$5)*Dodge_Revised!$E92+$C$10*Dodge_Revised!$I92</f>
        <v>105.26693293464331</v>
      </c>
      <c r="N104" s="5"/>
      <c r="O104" s="19">
        <f t="shared" si="3"/>
        <v>1577</v>
      </c>
      <c r="P104" s="19">
        <f>Dodge_Revised!O92</f>
        <v>1577</v>
      </c>
      <c r="Q104" s="82"/>
    </row>
    <row r="105" spans="2:17" x14ac:dyDescent="0.2">
      <c r="B105">
        <f t="shared" si="4"/>
        <v>2008</v>
      </c>
      <c r="C105" s="19">
        <f>Dodge_Revised!F93+$C$4*Dodge_Revised!I93</f>
        <v>281.40382742417773</v>
      </c>
      <c r="D105" s="5">
        <f>$C$6*(Dodge_Revised!$D93+$C$5*Dodge_Revised!$E93)</f>
        <v>187.94193250747546</v>
      </c>
      <c r="E105" s="5">
        <f>$C$7*(Dodge_Revised!$D93+$C$5*Dodge_Revised!$E93)</f>
        <v>25.842015719777873</v>
      </c>
      <c r="F105" s="5">
        <f>$C$8*(Dodge_Revised!$D93+$C$5*Dodge_Revised!$E93)</f>
        <v>21.143467407090988</v>
      </c>
      <c r="G105" s="5">
        <f>Dodge_Revised!$G93</f>
        <v>199.10575822298162</v>
      </c>
      <c r="H105" s="5">
        <f>(1-$C$4-$C$9-$C$10)*Dodge_Revised!$I93</f>
        <v>202.39999999999998</v>
      </c>
      <c r="I105" s="19">
        <f>$C$11*Dodge_Revised!$J93</f>
        <v>81.75</v>
      </c>
      <c r="J105" s="5">
        <f>Dodge_Revised!$H93+(1-$C$11)*Dodge_Revised!$J93</f>
        <v>96.172682614267401</v>
      </c>
      <c r="K105" s="19">
        <f>Dodge_Revised!$L93</f>
        <v>28</v>
      </c>
      <c r="L105" s="19">
        <f>Dodge_Revised!$M93+$C$12*Dodge_Revised!$N93+$C$9*Dodge_Revised!$I93</f>
        <v>74.45</v>
      </c>
      <c r="M105" s="5">
        <f>Dodge_Revised!$K93+(1-$C$12)*Dodge_Revised!$N93+(1-$C$5)*Dodge_Revised!$E93+$C$10*Dodge_Revised!$I93</f>
        <v>99.790316104228964</v>
      </c>
      <c r="N105" s="5"/>
      <c r="O105" s="19">
        <f t="shared" si="3"/>
        <v>1298</v>
      </c>
      <c r="P105" s="19">
        <f>Dodge_Revised!O93</f>
        <v>1298</v>
      </c>
      <c r="Q105" s="82"/>
    </row>
    <row r="106" spans="2:17" x14ac:dyDescent="0.2">
      <c r="B106">
        <f t="shared" si="4"/>
        <v>2009</v>
      </c>
      <c r="C106" s="19">
        <f>Dodge_Revised!F94+$C$4*Dodge_Revised!I94</f>
        <v>130.03791542076036</v>
      </c>
      <c r="D106" s="5">
        <f>$C$6*(Dodge_Revised!$D94+$C$5*Dodge_Revised!$E94)</f>
        <v>80.824768902178562</v>
      </c>
      <c r="E106" s="5">
        <f>$C$7*(Dodge_Revised!$D94+$C$5*Dodge_Revised!$E94)</f>
        <v>11.113405724049551</v>
      </c>
      <c r="F106" s="5">
        <f>$C$8*(Dodge_Revised!$D94+$C$5*Dodge_Revised!$E94)</f>
        <v>9.0927865014950857</v>
      </c>
      <c r="G106" s="5">
        <f>Dodge_Revised!$G94</f>
        <v>85.625792396411782</v>
      </c>
      <c r="H106" s="5">
        <f>(1-$C$4-$C$9-$C$10)*Dodge_Revised!$I94</f>
        <v>159.19999999999999</v>
      </c>
      <c r="I106" s="19">
        <f>$C$11*Dodge_Revised!$J94</f>
        <v>51</v>
      </c>
      <c r="J106" s="5">
        <f>Dodge_Revised!$H94+(1-$C$11)*Dodge_Revised!$J94</f>
        <v>46.640324647586496</v>
      </c>
      <c r="K106" s="19">
        <f>Dodge_Revised!$L94</f>
        <v>25</v>
      </c>
      <c r="L106" s="19">
        <f>Dodge_Revised!$M94+$C$12*Dodge_Revised!$N94+$C$9*Dodge_Revised!$I94</f>
        <v>54.550000000000004</v>
      </c>
      <c r="M106" s="5">
        <f>Dodge_Revised!$K94+(1-$C$12)*Dodge_Revised!$N94+(1-$C$5)*Dodge_Revised!$E94+$C$10*Dodge_Revised!$I94</f>
        <v>86.915006407518163</v>
      </c>
      <c r="N106" s="5"/>
      <c r="O106" s="19">
        <f t="shared" si="3"/>
        <v>739.99999999999989</v>
      </c>
      <c r="P106" s="19">
        <f>Dodge_Revised!O94</f>
        <v>740</v>
      </c>
      <c r="Q106" s="82"/>
    </row>
    <row r="107" spans="2:17" x14ac:dyDescent="0.2">
      <c r="B107">
        <f t="shared" si="4"/>
        <v>2010</v>
      </c>
      <c r="C107" s="19">
        <f>Dodge_Revised!F95+$C$4*Dodge_Revised!I95</f>
        <v>110.05565783853055</v>
      </c>
      <c r="D107" s="5">
        <f>$C$6*(Dodge_Revised!$D95+$C$5*Dodge_Revised!$E95)</f>
        <v>67.922019649722344</v>
      </c>
      <c r="E107" s="5">
        <f>$C$7*(Dodge_Revised!$D95+$C$5*Dodge_Revised!$E95)</f>
        <v>9.3392777018368207</v>
      </c>
      <c r="F107" s="5">
        <f>$C$8*(Dodge_Revised!$D95+$C$5*Dodge_Revised!$E95)</f>
        <v>7.6412272105937626</v>
      </c>
      <c r="G107" s="5">
        <f>Dodge_Revised!$G95</f>
        <v>71.956614694574967</v>
      </c>
      <c r="H107" s="5">
        <f>(1-$C$4-$C$9-$C$10)*Dodge_Revised!$I95</f>
        <v>140</v>
      </c>
      <c r="I107" s="19">
        <f>$C$11*Dodge_Revised!$J95</f>
        <v>54.75</v>
      </c>
      <c r="J107" s="5">
        <f>Dodge_Revised!$H95+(1-$C$11)*Dodge_Revised!$J95</f>
        <v>43.158586074327211</v>
      </c>
      <c r="K107" s="19">
        <f>Dodge_Revised!$L95</f>
        <v>15</v>
      </c>
      <c r="L107" s="19">
        <f>Dodge_Revised!$M95+$C$12*Dodge_Revised!$N95+$C$9*Dodge_Revised!$I95</f>
        <v>45.95</v>
      </c>
      <c r="M107" s="5">
        <f>Dodge_Revised!$K95+(1-$C$12)*Dodge_Revised!$N95+(1-$C$5)*Dodge_Revised!$E95+$C$10*Dodge_Revised!$I95</f>
        <v>67.226616830414343</v>
      </c>
      <c r="N107" s="5"/>
      <c r="O107" s="19">
        <f t="shared" si="3"/>
        <v>633</v>
      </c>
      <c r="P107" s="19">
        <f>Dodge_Revised!O95</f>
        <v>633</v>
      </c>
      <c r="Q107" s="82"/>
    </row>
    <row r="108" spans="2:17" x14ac:dyDescent="0.2">
      <c r="B108">
        <f t="shared" si="4"/>
        <v>2011</v>
      </c>
      <c r="C108" s="19">
        <f>Dodge_Revised!F96+$C$4*Dodge_Revised!I96</f>
        <v>123.51573045706964</v>
      </c>
      <c r="D108" s="5">
        <f>$C$6*(Dodge_Revised!$D96+$C$5*Dodge_Revised!$E96)</f>
        <v>79.12063220845792</v>
      </c>
      <c r="E108" s="5">
        <f>$C$7*(Dodge_Revised!$D96+$C$5*Dodge_Revised!$E96)</f>
        <v>10.879086928662963</v>
      </c>
      <c r="F108" s="5">
        <f>$C$8*(Dodge_Revised!$D96+$C$5*Dodge_Revised!$E96)</f>
        <v>8.9010711234515156</v>
      </c>
      <c r="G108" s="5">
        <f>Dodge_Revised!$G96</f>
        <v>83.820429303716352</v>
      </c>
      <c r="H108" s="5">
        <f>(1-$C$4-$C$9-$C$10)*Dodge_Revised!$I96</f>
        <v>125.6</v>
      </c>
      <c r="I108" s="19">
        <f>$C$11*Dodge_Revised!$J96</f>
        <v>57</v>
      </c>
      <c r="J108" s="5">
        <f>Dodge_Revised!$H96+(1-$C$11)*Dodge_Revised!$J96</f>
        <v>48.015378043571118</v>
      </c>
      <c r="K108" s="19">
        <f>Dodge_Revised!$L96</f>
        <v>14</v>
      </c>
      <c r="L108" s="19">
        <f>Dodge_Revised!$M96+$C$12*Dodge_Revised!$N96+$C$9*Dodge_Revised!$I96</f>
        <v>42.65</v>
      </c>
      <c r="M108" s="5">
        <f>Dodge_Revised!$K96+(1-$C$12)*Dodge_Revised!$N96+(1-$C$5)*Dodge_Revised!$E96+$C$10*Dodge_Revised!$I96</f>
        <v>56.497671935070485</v>
      </c>
      <c r="N108" s="5"/>
      <c r="O108" s="19">
        <f t="shared" ref="O108" si="5">SUM(C108:M108)</f>
        <v>649.99999999999989</v>
      </c>
      <c r="P108" s="19">
        <f>Dodge_Revised!O96</f>
        <v>650</v>
      </c>
      <c r="Q108" s="82"/>
    </row>
    <row r="109" spans="2:17" x14ac:dyDescent="0.2">
      <c r="B109">
        <f t="shared" si="4"/>
        <v>2012</v>
      </c>
      <c r="C109" s="19">
        <f>Dodge_Revised!F97+$C$4*Dodge_Revised!I97</f>
        <v>153.59457923964118</v>
      </c>
      <c r="D109" s="5">
        <f>$C$6*(Dodge_Revised!$D97+$C$5*Dodge_Revised!$E97)</f>
        <v>102.73509782144384</v>
      </c>
      <c r="E109" s="5">
        <f>$C$7*(Dodge_Revised!$D97+$C$5*Dodge_Revised!$E97)</f>
        <v>14.126075950448527</v>
      </c>
      <c r="F109" s="5">
        <f>$C$8*(Dodge_Revised!$D97+$C$5*Dodge_Revised!$E97)</f>
        <v>11.55769850491243</v>
      </c>
      <c r="G109" s="5">
        <f>Dodge_Revised!$G97</f>
        <v>108.83760358821016</v>
      </c>
      <c r="H109" s="5">
        <f>(1-$C$4-$C$9-$C$10)*Dodge_Revised!$I97</f>
        <v>108.8</v>
      </c>
      <c r="I109" s="19">
        <f>$C$11*Dodge_Revised!$J97</f>
        <v>54</v>
      </c>
      <c r="J109" s="5">
        <f>Dodge_Revised!$H97+(1-$C$11)*Dodge_Revised!$J97</f>
        <v>55.675352413498501</v>
      </c>
      <c r="K109" s="19">
        <f>Dodge_Revised!$L97</f>
        <v>13</v>
      </c>
      <c r="L109" s="19">
        <f>Dodge_Revised!$M97+$C$12*Dodge_Revised!$N97+$C$9*Dodge_Revised!$I97</f>
        <v>41.7</v>
      </c>
      <c r="M109" s="5">
        <f>Dodge_Revised!$K97+(1-$C$12)*Dodge_Revised!$N97+(1-$C$5)*Dodge_Revised!$E97+$C$10*Dodge_Revised!$I97</f>
        <v>54.973592481845358</v>
      </c>
      <c r="N109" s="5"/>
      <c r="O109" s="19">
        <f t="shared" ref="O109:O110" si="6">SUM(C109:M109)</f>
        <v>719</v>
      </c>
      <c r="P109" s="19">
        <f>Dodge_Revised!O97</f>
        <v>719</v>
      </c>
      <c r="Q109" s="82"/>
    </row>
    <row r="110" spans="2:17" x14ac:dyDescent="0.2">
      <c r="B110">
        <f t="shared" si="4"/>
        <v>2013</v>
      </c>
      <c r="C110" s="19">
        <f>Dodge_Revised!F98+$C$4*Dodge_Revised!I98</f>
        <v>190.58127936779155</v>
      </c>
      <c r="D110" s="5">
        <f>$C$6*(Dodge_Revised!$D98+$C$5*Dodge_Revised!$E98)</f>
        <v>130.24473302007689</v>
      </c>
      <c r="E110" s="5">
        <f>$C$7*(Dodge_Revised!$D98+$C$5*Dodge_Revised!$E98)</f>
        <v>17.908650790260573</v>
      </c>
      <c r="F110" s="5">
        <f>$C$8*(Dodge_Revised!$D98+$C$5*Dodge_Revised!$E98)</f>
        <v>14.65253246475865</v>
      </c>
      <c r="G110" s="5">
        <f>Dodge_Revised!$G98</f>
        <v>137.98132208457923</v>
      </c>
      <c r="H110" s="5">
        <f>(1-$C$4-$C$9-$C$10)*Dodge_Revised!$I98</f>
        <v>104.8</v>
      </c>
      <c r="I110" s="19">
        <f>$C$11*Dodge_Revised!$J98</f>
        <v>54.75</v>
      </c>
      <c r="J110" s="5">
        <f>Dodge_Revised!$H98+(1-$C$11)*Dodge_Revised!$J98</f>
        <v>66.013776164032464</v>
      </c>
      <c r="K110" s="19">
        <f>Dodge_Revised!$L98</f>
        <v>11</v>
      </c>
      <c r="L110" s="19">
        <f>Dodge_Revised!$M98+$C$12*Dodge_Revised!$N98+$C$9*Dodge_Revised!$I98</f>
        <v>44.45</v>
      </c>
      <c r="M110" s="5">
        <f>Dodge_Revised!$K98+(1-$C$12)*Dodge_Revised!$N98+(1-$C$5)*Dodge_Revised!$E98+$C$10*Dodge_Revised!$I98</f>
        <v>48.617706108500641</v>
      </c>
      <c r="N110" s="5"/>
      <c r="O110" s="19">
        <f t="shared" si="6"/>
        <v>821.00000000000011</v>
      </c>
      <c r="P110" s="19">
        <f>Dodge_Revised!O98</f>
        <v>821</v>
      </c>
      <c r="Q110" s="82"/>
    </row>
    <row r="111" spans="2:17" x14ac:dyDescent="0.2">
      <c r="B111">
        <f t="shared" si="4"/>
        <v>2014</v>
      </c>
      <c r="C111" s="19">
        <f>Dodge_Revised!F99+$C$4*Dodge_Revised!I99</f>
        <v>221.90620247757371</v>
      </c>
      <c r="D111" s="5">
        <f>$C$6*(Dodge_Revised!$D99+$C$5*Dodge_Revised!$E99)</f>
        <v>151.91161384023923</v>
      </c>
      <c r="E111" s="5">
        <f>$C$7*(Dodge_Revised!$D99+$C$5*Dodge_Revised!$E99)</f>
        <v>20.887846903032891</v>
      </c>
      <c r="F111" s="5">
        <f>$C$8*(Dodge_Revised!$D99+$C$5*Dodge_Revised!$E99)</f>
        <v>17.090056557026912</v>
      </c>
      <c r="G111" s="5">
        <f>Dodge_Revised!$G99</f>
        <v>160.93522426313541</v>
      </c>
      <c r="H111" s="5">
        <f>(1-$C$4-$C$9-$C$10)*Dodge_Revised!$I99</f>
        <v>119.19999999999999</v>
      </c>
      <c r="I111" s="19">
        <f>$C$11*Dodge_Revised!$J99</f>
        <v>51</v>
      </c>
      <c r="J111" s="5">
        <f>Dodge_Revised!$H99+(1-$C$11)*Dodge_Revised!$J99</f>
        <v>72.709525843656564</v>
      </c>
      <c r="K111" s="19">
        <f>Dodge_Revised!$L99</f>
        <v>10</v>
      </c>
      <c r="L111" s="19">
        <f>Dodge_Revised!$M99+$C$12*Dodge_Revised!$N99+$C$9*Dodge_Revised!$I99</f>
        <v>54.550000000000004</v>
      </c>
      <c r="M111" s="5">
        <f>Dodge_Revised!$K99+(1-$C$12)*Dodge_Revised!$N99+(1-$C$5)*Dodge_Revised!$E99+$C$10*Dodge_Revised!$I99</f>
        <v>52.809530115335335</v>
      </c>
      <c r="N111" s="5"/>
      <c r="O111" s="19">
        <f t="shared" ref="O111" si="7">SUM(C111:M111)</f>
        <v>933</v>
      </c>
      <c r="P111" s="19">
        <f>Dodge_Revised!O99</f>
        <v>933</v>
      </c>
      <c r="Q111" s="82"/>
    </row>
    <row r="112" spans="2:17" x14ac:dyDescent="0.2">
      <c r="B112">
        <f t="shared" si="4"/>
        <v>2015</v>
      </c>
      <c r="C112" s="19">
        <f>Dodge_Revised!F100+$C$4*Dodge_Revised!I100</f>
        <v>235.27583084152073</v>
      </c>
      <c r="D112" s="5">
        <f>$C$6*(Dodge_Revised!$D100+$C$5*Dodge_Revised!$E100)</f>
        <v>161.64953780435712</v>
      </c>
      <c r="E112" s="5">
        <f>$C$7*(Dodge_Revised!$D100+$C$5*Dodge_Revised!$E100)</f>
        <v>22.226811448099102</v>
      </c>
      <c r="F112" s="5">
        <f>$C$8*(Dodge_Revised!$D100+$C$5*Dodge_Revised!$E100)</f>
        <v>18.185573002990171</v>
      </c>
      <c r="G112" s="5">
        <f>Dodge_Revised!$G100</f>
        <v>171.25158479282356</v>
      </c>
      <c r="H112" s="5">
        <f>(1-$C$4-$C$9-$C$10)*Dodge_Revised!$I100</f>
        <v>119.99999999999999</v>
      </c>
      <c r="I112" s="19">
        <f>$C$11*Dodge_Revised!$J100</f>
        <v>54.75</v>
      </c>
      <c r="J112" s="5">
        <f>Dodge_Revised!$H100+(1-$C$11)*Dodge_Revised!$J100</f>
        <v>77.530649295172992</v>
      </c>
      <c r="K112" s="19">
        <f>Dodge_Revised!$L100</f>
        <v>11</v>
      </c>
      <c r="L112" s="19">
        <f>Dodge_Revised!$M100+$C$12*Dodge_Revised!$N100+$C$9*Dodge_Revised!$I100</f>
        <v>50.6</v>
      </c>
      <c r="M112" s="5">
        <f>Dodge_Revised!$K100+(1-$C$12)*Dodge_Revised!$N100+(1-$C$5)*Dodge_Revised!$E100+$C$10*Dodge_Revised!$I100</f>
        <v>52.530012815036315</v>
      </c>
      <c r="N112" s="5"/>
      <c r="O112" s="19">
        <f t="shared" ref="O112:O114" si="8">SUM(C112:M112)</f>
        <v>975</v>
      </c>
      <c r="P112" s="19">
        <f>Dodge_Revised!O100</f>
        <v>975</v>
      </c>
      <c r="Q112" s="82"/>
    </row>
    <row r="113" spans="2:17" x14ac:dyDescent="0.2">
      <c r="B113">
        <f t="shared" si="4"/>
        <v>2016</v>
      </c>
      <c r="C113" s="19">
        <f>Dodge_Revised!F101+$C$4*Dodge_Revised!I101</f>
        <v>261.2833468603161</v>
      </c>
      <c r="D113" s="5">
        <f>$C$6*(Dodge_Revised!$D101+$C$5*Dodge_Revised!$E101)</f>
        <v>180.88193763348997</v>
      </c>
      <c r="E113" s="5">
        <f>$C$7*(Dodge_Revised!$D101+$C$5*Dodge_Revised!$E101)</f>
        <v>24.871266424604869</v>
      </c>
      <c r="F113" s="5">
        <f>$C$8*(Dodge_Revised!$D101+$C$5*Dodge_Revised!$E101)</f>
        <v>20.34921798376762</v>
      </c>
      <c r="G113" s="5">
        <f>Dodge_Revised!$G101</f>
        <v>191.6263968389577</v>
      </c>
      <c r="H113" s="5">
        <f>(1-$C$4-$C$9-$C$10)*Dodge_Revised!$I101</f>
        <v>118.39999999999999</v>
      </c>
      <c r="I113" s="19">
        <f>$C$11*Dodge_Revised!$J101</f>
        <v>58.5</v>
      </c>
      <c r="J113" s="5">
        <f>Dodge_Revised!$H101+(1-$C$11)*Dodge_Revised!$J101</f>
        <v>85.833618111917986</v>
      </c>
      <c r="K113" s="19">
        <f>Dodge_Revised!$L101</f>
        <v>10</v>
      </c>
      <c r="L113" s="19">
        <f>Dodge_Revised!$M101+$C$12*Dodge_Revised!$N101+$C$9*Dodge_Revised!$I101</f>
        <v>57.6</v>
      </c>
      <c r="M113" s="5">
        <f>Dodge_Revised!$K101+(1-$C$12)*Dodge_Revised!$N101+(1-$C$5)*Dodge_Revised!$E101+$C$10*Dodge_Revised!$I101</f>
        <v>55.654216146945743</v>
      </c>
      <c r="N113" s="5"/>
      <c r="O113" s="19">
        <f t="shared" si="8"/>
        <v>1065</v>
      </c>
      <c r="P113" s="19">
        <f>Dodge_Revised!O101</f>
        <v>1065</v>
      </c>
      <c r="Q113" s="82"/>
    </row>
    <row r="114" spans="2:17" x14ac:dyDescent="0.2">
      <c r="B114">
        <f t="shared" si="4"/>
        <v>2017</v>
      </c>
      <c r="C114" s="19">
        <f>Dodge_Revised!F102+$C$4*Dodge_Revised!I102</f>
        <v>271.04034600598038</v>
      </c>
      <c r="D114" s="5">
        <f>$C$6*(Dodge_Revised!$D102+$C$5*Dodge_Revised!$E102)</f>
        <v>187.45503630926953</v>
      </c>
      <c r="E114" s="5">
        <f>$C$7*(Dodge_Revised!$D102+$C$5*Dodge_Revised!$E102)</f>
        <v>25.77506749252456</v>
      </c>
      <c r="F114" s="5">
        <f>$C$8*(Dodge_Revised!$D102+$C$5*Dodge_Revised!$E102)</f>
        <v>21.088691584792823</v>
      </c>
      <c r="G114" s="5">
        <f>Dodge_Revised!$G102</f>
        <v>198.5899401964972</v>
      </c>
      <c r="H114" s="5">
        <f>(1-$C$4-$C$9-$C$10)*Dodge_Revised!$I102</f>
        <v>124.79999999999998</v>
      </c>
      <c r="I114" s="19">
        <f>$C$11*Dodge_Revised!$J102</f>
        <v>63.75</v>
      </c>
      <c r="J114" s="5">
        <f>Dodge_Revised!$H102+(1-$C$11)*Dodge_Revised!$J102</f>
        <v>89.994126441691577</v>
      </c>
      <c r="K114" s="19">
        <f>Dodge_Revised!$L102</f>
        <v>11</v>
      </c>
      <c r="L114" s="19">
        <f>Dodge_Revised!$M102+$C$12*Dodge_Revised!$N102+$C$9*Dodge_Revised!$I102</f>
        <v>57.7</v>
      </c>
      <c r="M114" s="5">
        <f>Dodge_Revised!$K102+(1-$C$12)*Dodge_Revised!$N102+(1-$C$5)*Dodge_Revised!$E102+$C$10*Dodge_Revised!$I102</f>
        <v>66.806791969243903</v>
      </c>
      <c r="N114" s="5"/>
      <c r="O114" s="19">
        <f t="shared" si="8"/>
        <v>1118</v>
      </c>
      <c r="P114" s="19">
        <f>Dodge_Revised!O102</f>
        <v>1118</v>
      </c>
      <c r="Q114" s="82"/>
    </row>
    <row r="115" spans="2:17" x14ac:dyDescent="0.2">
      <c r="B115">
        <f t="shared" si="4"/>
        <v>2018</v>
      </c>
      <c r="C115" s="19">
        <f>Dodge_Revised!F103+$C$4*Dodge_Revised!I103</f>
        <v>266.06423536950024</v>
      </c>
      <c r="D115" s="5">
        <f>$C$6*(Dodge_Revised!$D103+$C$5*Dodge_Revised!$E103)</f>
        <v>183.80331482272533</v>
      </c>
      <c r="E115" s="5">
        <f>$C$7*(Dodge_Revised!$D103+$C$5*Dodge_Revised!$E103)</f>
        <v>25.27295578812473</v>
      </c>
      <c r="F115" s="5">
        <f>$C$8*(Dodge_Revised!$D103+$C$5*Dodge_Revised!$E103)</f>
        <v>20.677872917556599</v>
      </c>
      <c r="G115" s="5">
        <f>Dodge_Revised!$G103</f>
        <v>194.72130499786414</v>
      </c>
      <c r="H115" s="5">
        <f>(1-$C$4-$C$9-$C$10)*Dodge_Revised!$I103</f>
        <v>124.79999999999998</v>
      </c>
      <c r="I115" s="19">
        <f>$C$11*Dodge_Revised!$J103</f>
        <v>60.75</v>
      </c>
      <c r="J115" s="5">
        <f>Dodge_Revised!$H103+(1-$C$11)*Dodge_Revised!$J103</f>
        <v>87.654955147372917</v>
      </c>
      <c r="K115" s="19">
        <f>Dodge_Revised!$L103</f>
        <v>9</v>
      </c>
      <c r="L115" s="19">
        <f>Dodge_Revised!$M103+$C$12*Dodge_Revised!$N103+$C$9*Dodge_Revised!$I103</f>
        <v>58.2</v>
      </c>
      <c r="M115" s="5">
        <f>Dodge_Revised!$K103+(1-$C$12)*Dodge_Revised!$N103+(1-$C$5)*Dodge_Revised!$E103+$C$10*Dodge_Revised!$I103</f>
        <v>61.055360956856035</v>
      </c>
      <c r="N115" s="5"/>
      <c r="O115" s="19">
        <f t="shared" ref="O115:O117" si="9">SUM(C115:M115)</f>
        <v>1092</v>
      </c>
      <c r="P115" s="19">
        <f>Dodge_Revised!O103</f>
        <v>1092</v>
      </c>
      <c r="Q115" s="82"/>
    </row>
    <row r="116" spans="2:17" x14ac:dyDescent="0.2">
      <c r="B116">
        <f t="shared" si="4"/>
        <v>2019</v>
      </c>
      <c r="C116" s="19">
        <f>Dodge_Revised!F106+$C$4*Dodge_Revised!I106</f>
        <v>0</v>
      </c>
      <c r="D116" s="5">
        <f>$C$6*(Dodge_Revised!$D106+$C$5*Dodge_Revised!$E106)</f>
        <v>0</v>
      </c>
      <c r="E116" s="5">
        <f>$C$7*(Dodge_Revised!$D106+$C$5*Dodge_Revised!$E106)</f>
        <v>0</v>
      </c>
      <c r="F116" s="5">
        <f>$C$8*(Dodge_Revised!$D106+$C$5*Dodge_Revised!$E106)</f>
        <v>0</v>
      </c>
      <c r="G116" s="5">
        <f>Dodge_Revised!$G106</f>
        <v>0</v>
      </c>
      <c r="H116" s="5">
        <f>(1-$C$4-$C$9-$C$10)*Dodge_Revised!$I106</f>
        <v>0</v>
      </c>
      <c r="I116" s="19">
        <f>$C$11*Dodge_Revised!$J106</f>
        <v>0</v>
      </c>
      <c r="J116" s="5">
        <f>Dodge_Revised!$H106+(1-$C$11)*Dodge_Revised!$J106</f>
        <v>0</v>
      </c>
      <c r="K116" s="19">
        <f>Dodge_Revised!$L106</f>
        <v>0</v>
      </c>
      <c r="L116" s="19">
        <f>Dodge_Revised!$M106+$C$12*Dodge_Revised!$N106+$C$9*Dodge_Revised!$I106</f>
        <v>0</v>
      </c>
      <c r="M116" s="5">
        <f>Dodge_Revised!$K106+(1-$C$12)*Dodge_Revised!$N106+(1-$C$5)*Dodge_Revised!$E106+$C$10*Dodge_Revised!$I106</f>
        <v>0</v>
      </c>
      <c r="N116" s="5"/>
      <c r="O116" s="19">
        <f t="shared" si="9"/>
        <v>0</v>
      </c>
      <c r="P116" s="19">
        <f>Dodge_Revised!O106</f>
        <v>0</v>
      </c>
      <c r="Q116" s="82"/>
    </row>
    <row r="117" spans="2:17" x14ac:dyDescent="0.2">
      <c r="B117">
        <f t="shared" si="4"/>
        <v>2020</v>
      </c>
      <c r="C117" s="19">
        <f>Dodge_Revised!F107+$C$4*Dodge_Revised!I107</f>
        <v>0</v>
      </c>
      <c r="D117" s="5" t="e">
        <f>$C$6*(Dodge_Revised!$D107+$C$5*Dodge_Revised!$E107)</f>
        <v>#VALUE!</v>
      </c>
      <c r="E117" s="5" t="e">
        <f>$C$7*(Dodge_Revised!$D107+$C$5*Dodge_Revised!$E107)</f>
        <v>#VALUE!</v>
      </c>
      <c r="F117" s="5" t="e">
        <f>$C$8*(Dodge_Revised!$D107+$C$5*Dodge_Revised!$E107)</f>
        <v>#VALUE!</v>
      </c>
      <c r="G117" s="5">
        <f>Dodge_Revised!$G107</f>
        <v>0</v>
      </c>
      <c r="H117" s="5">
        <f>(1-$C$4-$C$9-$C$10)*Dodge_Revised!$I107</f>
        <v>0</v>
      </c>
      <c r="I117" s="19">
        <f>$C$11*Dodge_Revised!$J107</f>
        <v>0</v>
      </c>
      <c r="J117" s="5">
        <f>Dodge_Revised!$H107+(1-$C$11)*Dodge_Revised!$J107</f>
        <v>0</v>
      </c>
      <c r="K117" s="19">
        <f>Dodge_Revised!$L107</f>
        <v>0</v>
      </c>
      <c r="L117" s="19">
        <f>Dodge_Revised!$M107+$C$12*Dodge_Revised!$N107+$C$9*Dodge_Revised!$I107</f>
        <v>0</v>
      </c>
      <c r="M117" s="5" t="e">
        <f>Dodge_Revised!$K107+(1-$C$12)*Dodge_Revised!$N107+(1-$C$5)*Dodge_Revised!$E107+$C$10*Dodge_Revised!$I107</f>
        <v>#VALUE!</v>
      </c>
      <c r="N117" s="5"/>
      <c r="O117" s="19" t="e">
        <f t="shared" si="9"/>
        <v>#VALUE!</v>
      </c>
      <c r="P117" s="19">
        <f>Dodge_Revised!O107</f>
        <v>0</v>
      </c>
      <c r="Q117" s="82"/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6:X29"/>
  <sheetViews>
    <sheetView topLeftCell="O1" workbookViewId="0">
      <selection activeCell="X15" sqref="X15"/>
    </sheetView>
  </sheetViews>
  <sheetFormatPr defaultRowHeight="12.75" x14ac:dyDescent="0.2"/>
  <cols>
    <col min="4" max="4" width="12.7109375" customWidth="1"/>
    <col min="6" max="6" width="11" customWidth="1"/>
    <col min="17" max="17" width="15.5703125" customWidth="1"/>
    <col min="19" max="19" width="14.28515625" customWidth="1"/>
    <col min="20" max="20" width="13.140625" customWidth="1"/>
    <col min="21" max="21" width="12.85546875" customWidth="1"/>
    <col min="23" max="23" width="11.42578125" customWidth="1"/>
    <col min="24" max="24" width="12" customWidth="1"/>
  </cols>
  <sheetData>
    <row r="6" spans="3:24" x14ac:dyDescent="0.2">
      <c r="C6" t="s">
        <v>344</v>
      </c>
    </row>
    <row r="7" spans="3:24" x14ac:dyDescent="0.2">
      <c r="C7" s="43" t="s">
        <v>264</v>
      </c>
      <c r="D7" s="46" t="s">
        <v>201</v>
      </c>
      <c r="E7" s="46" t="s">
        <v>266</v>
      </c>
      <c r="F7" s="43" t="s">
        <v>273</v>
      </c>
      <c r="G7" s="43" t="s">
        <v>274</v>
      </c>
      <c r="H7" s="44"/>
    </row>
    <row r="8" spans="3:24" x14ac:dyDescent="0.2">
      <c r="C8" s="43" t="s">
        <v>206</v>
      </c>
      <c r="D8" s="13">
        <v>5899</v>
      </c>
      <c r="E8" s="47">
        <v>4217.0861647110478</v>
      </c>
      <c r="F8" s="43">
        <v>4034</v>
      </c>
      <c r="G8" s="13">
        <v>4156.7103269072177</v>
      </c>
      <c r="H8" s="44"/>
    </row>
    <row r="9" spans="3:24" x14ac:dyDescent="0.2">
      <c r="C9" s="43" t="s">
        <v>296</v>
      </c>
      <c r="D9" s="13">
        <v>8098</v>
      </c>
      <c r="E9" s="47">
        <v>6600.4731672573507</v>
      </c>
      <c r="F9" s="43">
        <v>6445</v>
      </c>
      <c r="G9" s="13">
        <v>6641.0505842630191</v>
      </c>
      <c r="H9" s="44"/>
    </row>
    <row r="10" spans="3:24" x14ac:dyDescent="0.2">
      <c r="C10" s="43" t="s">
        <v>151</v>
      </c>
      <c r="D10" s="13">
        <v>10511</v>
      </c>
      <c r="E10" s="47">
        <v>9832.6850299637608</v>
      </c>
      <c r="F10" s="43">
        <v>9277</v>
      </c>
      <c r="G10" s="13">
        <v>9559.197249062534</v>
      </c>
      <c r="H10" s="44"/>
    </row>
    <row r="11" spans="3:24" x14ac:dyDescent="0.2">
      <c r="C11" s="43" t="s">
        <v>114</v>
      </c>
      <c r="D11" s="13">
        <v>38675</v>
      </c>
      <c r="E11" s="47">
        <v>38330.828963979657</v>
      </c>
      <c r="F11" s="43">
        <v>37337</v>
      </c>
      <c r="G11" s="13">
        <v>38472.754951843031</v>
      </c>
      <c r="H11" s="44"/>
    </row>
    <row r="12" spans="3:24" x14ac:dyDescent="0.2">
      <c r="C12" s="50" t="s">
        <v>321</v>
      </c>
      <c r="D12" s="43">
        <f>SUM(D8:D11)</f>
        <v>63183</v>
      </c>
      <c r="E12" s="43"/>
      <c r="F12" s="43">
        <f>SUM(F8:F11)</f>
        <v>57093</v>
      </c>
      <c r="G12" s="43">
        <f>SUM(G8:G11)</f>
        <v>58829.713112075799</v>
      </c>
      <c r="H12" s="44"/>
    </row>
    <row r="15" spans="3:24" x14ac:dyDescent="0.2">
      <c r="C15" t="s">
        <v>343</v>
      </c>
      <c r="Q15" t="s">
        <v>354</v>
      </c>
      <c r="U15" t="s">
        <v>356</v>
      </c>
      <c r="W15" t="s">
        <v>356</v>
      </c>
      <c r="X15" t="s">
        <v>356</v>
      </c>
    </row>
    <row r="16" spans="3:24" x14ac:dyDescent="0.2">
      <c r="C16" s="43" t="s">
        <v>264</v>
      </c>
      <c r="D16" s="46" t="s">
        <v>203</v>
      </c>
      <c r="E16" s="46" t="s">
        <v>266</v>
      </c>
      <c r="F16" s="43" t="s">
        <v>273</v>
      </c>
      <c r="G16" s="43" t="s">
        <v>274</v>
      </c>
      <c r="H16" s="44"/>
      <c r="R16" t="s">
        <v>350</v>
      </c>
      <c r="S16" t="s">
        <v>352</v>
      </c>
      <c r="T16" t="s">
        <v>355</v>
      </c>
      <c r="U16" t="s">
        <v>357</v>
      </c>
      <c r="W16" t="s">
        <v>359</v>
      </c>
      <c r="X16" t="s">
        <v>360</v>
      </c>
    </row>
    <row r="17" spans="3:24" x14ac:dyDescent="0.2">
      <c r="C17" s="43" t="s">
        <v>206</v>
      </c>
      <c r="D17" s="13">
        <f>1721+3608</f>
        <v>5329</v>
      </c>
      <c r="E17" s="47" t="e">
        <f>SUMPRODUCT(#REF!,#REF!)</f>
        <v>#REF!</v>
      </c>
      <c r="F17" s="43">
        <f>3758</f>
        <v>3758</v>
      </c>
      <c r="G17" s="13">
        <f>$AG$159*F17</f>
        <v>0</v>
      </c>
      <c r="H17" s="44">
        <f>F17/D17</f>
        <v>0.70519797335334955</v>
      </c>
      <c r="J17" t="s">
        <v>345</v>
      </c>
      <c r="Q17" t="s">
        <v>297</v>
      </c>
      <c r="R17">
        <v>4766</v>
      </c>
      <c r="S17">
        <v>5631</v>
      </c>
      <c r="U17">
        <v>6875</v>
      </c>
    </row>
    <row r="18" spans="3:24" x14ac:dyDescent="0.2">
      <c r="C18" s="43" t="s">
        <v>296</v>
      </c>
      <c r="D18" s="13">
        <v>8712</v>
      </c>
      <c r="E18" s="47" t="e">
        <f>SUMPRODUCT(#REF!,#REF!)</f>
        <v>#REF!</v>
      </c>
      <c r="F18" s="68">
        <f>X19</f>
        <v>7087.5596388408931</v>
      </c>
      <c r="G18" s="13">
        <f>$AG$159*F18</f>
        <v>0</v>
      </c>
      <c r="H18" s="44">
        <f>F18/D18</f>
        <v>0.81353990344822003</v>
      </c>
      <c r="J18" t="s">
        <v>346</v>
      </c>
      <c r="Q18" t="s">
        <v>351</v>
      </c>
      <c r="R18">
        <v>773</v>
      </c>
      <c r="W18">
        <v>3758</v>
      </c>
      <c r="X18" s="19">
        <f>U18+W18</f>
        <v>3758</v>
      </c>
    </row>
    <row r="19" spans="3:24" x14ac:dyDescent="0.2">
      <c r="C19" s="43" t="s">
        <v>151</v>
      </c>
      <c r="D19" s="13">
        <v>10421</v>
      </c>
      <c r="E19" s="47" t="e">
        <f>SUMPRODUCT(#REF!,#REF!)</f>
        <v>#REF!</v>
      </c>
      <c r="F19" s="68">
        <f>X20</f>
        <v>7629.946415782194</v>
      </c>
      <c r="G19" s="13">
        <f>$AG$159*F19</f>
        <v>0</v>
      </c>
      <c r="H19" s="44">
        <f>F19/D19</f>
        <v>0.73217027308148874</v>
      </c>
      <c r="J19" t="s">
        <v>83</v>
      </c>
      <c r="K19" t="s">
        <v>347</v>
      </c>
      <c r="Q19" t="s">
        <v>113</v>
      </c>
      <c r="R19">
        <v>242</v>
      </c>
      <c r="T19" s="16">
        <f>S17-S25</f>
        <v>184</v>
      </c>
      <c r="U19" s="19">
        <f>$U$17/$T$27*T19</f>
        <v>216.55963884089283</v>
      </c>
      <c r="W19">
        <v>6871</v>
      </c>
      <c r="X19" s="19">
        <f t="shared" ref="X19:X26" si="0">U19+W19</f>
        <v>7087.5596388408931</v>
      </c>
    </row>
    <row r="20" spans="3:24" x14ac:dyDescent="0.2">
      <c r="C20" s="43" t="s">
        <v>114</v>
      </c>
      <c r="D20" s="13">
        <f>12612+14014+10149</f>
        <v>36775</v>
      </c>
      <c r="E20" s="47" t="e">
        <f>SUMPRODUCT(#REF!,#REF!)</f>
        <v>#REF!</v>
      </c>
      <c r="F20" s="68">
        <f>SUM(X21:X23)</f>
        <v>33982.258554647735</v>
      </c>
      <c r="G20" s="13">
        <f>$AG$159*F20</f>
        <v>0</v>
      </c>
      <c r="H20" s="44">
        <f>F20/D20</f>
        <v>0.92405869625146797</v>
      </c>
      <c r="J20">
        <f>1883+2680+2607+2109</f>
        <v>9279</v>
      </c>
      <c r="K20">
        <v>1883</v>
      </c>
      <c r="Q20" t="s">
        <v>151</v>
      </c>
      <c r="R20">
        <v>886</v>
      </c>
      <c r="S20">
        <v>497</v>
      </c>
      <c r="T20">
        <v>497</v>
      </c>
      <c r="U20" s="19">
        <f t="shared" ref="U20:U26" si="1">$U$17/$T$27*T20</f>
        <v>584.94641578219421</v>
      </c>
      <c r="W20">
        <v>7045</v>
      </c>
      <c r="X20" s="19">
        <f t="shared" si="0"/>
        <v>7629.946415782194</v>
      </c>
    </row>
    <row r="21" spans="3:24" x14ac:dyDescent="0.2">
      <c r="C21" s="50" t="s">
        <v>321</v>
      </c>
      <c r="D21" s="43">
        <f>SUM(D17:D20)</f>
        <v>61237</v>
      </c>
      <c r="E21" s="43"/>
      <c r="F21" s="43">
        <f>SUM(F17:F20)</f>
        <v>52457.764609270816</v>
      </c>
      <c r="G21" s="43">
        <f>SUM(G17:G20)</f>
        <v>0</v>
      </c>
      <c r="H21" s="44"/>
      <c r="J21" t="s">
        <v>348</v>
      </c>
      <c r="Q21" t="s">
        <v>227</v>
      </c>
      <c r="R21">
        <v>517</v>
      </c>
      <c r="S21">
        <v>788</v>
      </c>
      <c r="T21">
        <v>788</v>
      </c>
      <c r="U21" s="19">
        <f t="shared" si="1"/>
        <v>927.44019242730189</v>
      </c>
      <c r="W21">
        <v>8101</v>
      </c>
      <c r="X21" s="19">
        <f t="shared" si="0"/>
        <v>9028.4401924273025</v>
      </c>
    </row>
    <row r="22" spans="3:24" x14ac:dyDescent="0.2">
      <c r="J22" t="s">
        <v>83</v>
      </c>
      <c r="K22" t="s">
        <v>347</v>
      </c>
      <c r="Q22" t="s">
        <v>353</v>
      </c>
      <c r="R22">
        <v>509</v>
      </c>
      <c r="S22">
        <v>1442</v>
      </c>
      <c r="T22">
        <v>1442</v>
      </c>
      <c r="U22" s="19">
        <f t="shared" si="1"/>
        <v>1697.1684739596058</v>
      </c>
      <c r="W22">
        <v>10772</v>
      </c>
      <c r="X22" s="19">
        <f t="shared" si="0"/>
        <v>12469.168473959606</v>
      </c>
    </row>
    <row r="23" spans="3:24" x14ac:dyDescent="0.2">
      <c r="J23">
        <f>1883+2680+2607+2109</f>
        <v>9279</v>
      </c>
      <c r="K23">
        <v>1883</v>
      </c>
      <c r="Q23" t="s">
        <v>158</v>
      </c>
      <c r="R23">
        <v>700</v>
      </c>
      <c r="S23">
        <v>1829</v>
      </c>
      <c r="T23">
        <v>1829</v>
      </c>
      <c r="U23" s="19">
        <f t="shared" si="1"/>
        <v>2152.6498882608316</v>
      </c>
      <c r="W23">
        <v>10332</v>
      </c>
      <c r="X23" s="19">
        <f t="shared" si="0"/>
        <v>12484.649888260832</v>
      </c>
    </row>
    <row r="24" spans="3:24" x14ac:dyDescent="0.2">
      <c r="Q24" t="s">
        <v>84</v>
      </c>
      <c r="R24">
        <v>1139</v>
      </c>
      <c r="S24">
        <v>891</v>
      </c>
      <c r="T24">
        <v>891</v>
      </c>
      <c r="U24" s="19">
        <f t="shared" si="1"/>
        <v>1048.6665119958452</v>
      </c>
      <c r="W24">
        <v>12371</v>
      </c>
      <c r="X24" s="19">
        <f t="shared" si="0"/>
        <v>13419.666511995845</v>
      </c>
    </row>
    <row r="25" spans="3:24" x14ac:dyDescent="0.2">
      <c r="J25" t="s">
        <v>349</v>
      </c>
      <c r="R25">
        <f>SUM(R18:R24)</f>
        <v>4766</v>
      </c>
      <c r="S25">
        <f>SUM(S18:S24)</f>
        <v>5447</v>
      </c>
      <c r="U25" s="19">
        <f t="shared" si="1"/>
        <v>0</v>
      </c>
      <c r="X25" s="19"/>
    </row>
    <row r="26" spans="3:24" x14ac:dyDescent="0.2">
      <c r="J26">
        <f>5533/(12371+5533)</f>
        <v>0.30903708668453977</v>
      </c>
      <c r="K26">
        <f>J26/(1+J26)</f>
        <v>0.23607970303366471</v>
      </c>
      <c r="Q26" t="s">
        <v>358</v>
      </c>
      <c r="T26">
        <f>K26*T24</f>
        <v>210.34701540299525</v>
      </c>
      <c r="U26" s="19">
        <f t="shared" si="1"/>
        <v>247.56887873332812</v>
      </c>
      <c r="W26">
        <v>5533</v>
      </c>
      <c r="X26" s="19">
        <f t="shared" si="0"/>
        <v>5780.5688787333283</v>
      </c>
    </row>
    <row r="27" spans="3:24" x14ac:dyDescent="0.2">
      <c r="T27">
        <f>SUM(T19:T26)</f>
        <v>5841.3470154029956</v>
      </c>
      <c r="X27" s="19">
        <f>SUM(X18:X26)</f>
        <v>71658</v>
      </c>
    </row>
    <row r="29" spans="3:24" x14ac:dyDescent="0.2">
      <c r="Q29" t="s">
        <v>365</v>
      </c>
      <c r="X29" s="19">
        <f>X24+X26</f>
        <v>19200.235390729173</v>
      </c>
    </row>
  </sheetData>
  <phoneticPr fontId="12" type="noConversion"/>
  <pageMargins left="0.75" right="0.75" top="1" bottom="1" header="0.5" footer="0.5"/>
  <headerFooter alignWithMargins="0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V58"/>
  <sheetViews>
    <sheetView topLeftCell="A37" workbookViewId="0">
      <selection activeCell="A66" sqref="A66"/>
    </sheetView>
  </sheetViews>
  <sheetFormatPr defaultRowHeight="12.75" x14ac:dyDescent="0.2"/>
  <cols>
    <col min="5" max="5" width="11.42578125" customWidth="1"/>
    <col min="6" max="6" width="13.42578125" customWidth="1"/>
    <col min="7" max="7" width="10.28515625" customWidth="1"/>
    <col min="8" max="8" width="11.28515625" customWidth="1"/>
    <col min="9" max="9" width="11" customWidth="1"/>
    <col min="10" max="10" width="10.7109375" customWidth="1"/>
  </cols>
  <sheetData>
    <row r="1" spans="1:22" x14ac:dyDescent="0.2">
      <c r="A1" s="2" t="s">
        <v>341</v>
      </c>
    </row>
    <row r="3" spans="1:22" x14ac:dyDescent="0.2">
      <c r="D3" s="2" t="s">
        <v>176</v>
      </c>
      <c r="O3" s="2" t="s">
        <v>218</v>
      </c>
      <c r="P3" s="2"/>
      <c r="Q3" s="2"/>
      <c r="R3" s="2"/>
      <c r="S3" s="2"/>
      <c r="T3" s="2"/>
      <c r="U3" s="2"/>
      <c r="V3" s="2"/>
    </row>
    <row r="5" spans="1:22" x14ac:dyDescent="0.2">
      <c r="E5" t="s">
        <v>74</v>
      </c>
      <c r="F5" t="s">
        <v>177</v>
      </c>
      <c r="G5" t="s">
        <v>70</v>
      </c>
      <c r="H5" t="s">
        <v>178</v>
      </c>
      <c r="I5" t="s">
        <v>80</v>
      </c>
      <c r="J5" t="s">
        <v>179</v>
      </c>
      <c r="K5" t="s">
        <v>82</v>
      </c>
      <c r="L5" t="s">
        <v>83</v>
      </c>
      <c r="O5" t="s">
        <v>180</v>
      </c>
      <c r="P5" t="s">
        <v>77</v>
      </c>
      <c r="Q5" t="s">
        <v>70</v>
      </c>
      <c r="R5" t="s">
        <v>178</v>
      </c>
      <c r="S5" t="s">
        <v>80</v>
      </c>
      <c r="T5" t="s">
        <v>179</v>
      </c>
      <c r="U5" t="s">
        <v>82</v>
      </c>
    </row>
    <row r="6" spans="1:22" ht="13.5" thickBot="1" x14ac:dyDescent="0.25">
      <c r="E6" s="21" t="s">
        <v>181</v>
      </c>
      <c r="F6" s="21" t="s">
        <v>181</v>
      </c>
      <c r="G6" s="21" t="s">
        <v>181</v>
      </c>
      <c r="H6" s="21" t="s">
        <v>181</v>
      </c>
      <c r="I6" s="21" t="s">
        <v>181</v>
      </c>
      <c r="J6" s="21" t="s">
        <v>181</v>
      </c>
      <c r="K6" s="21" t="s">
        <v>181</v>
      </c>
      <c r="L6" s="21" t="s">
        <v>181</v>
      </c>
    </row>
    <row r="7" spans="1:22" x14ac:dyDescent="0.2">
      <c r="D7">
        <v>1919</v>
      </c>
      <c r="E7">
        <v>110</v>
      </c>
      <c r="F7" s="19">
        <f t="shared" ref="F7:F12" si="0">P7</f>
        <v>20.629770992366414</v>
      </c>
      <c r="G7" s="19">
        <f t="shared" ref="G7:K12" si="1">Q7</f>
        <v>5.2022900763358777</v>
      </c>
      <c r="H7" s="19">
        <f t="shared" si="1"/>
        <v>2.8702290076335877</v>
      </c>
      <c r="I7" s="19">
        <f t="shared" si="1"/>
        <v>6.278625954198473</v>
      </c>
      <c r="J7" s="19">
        <f t="shared" si="1"/>
        <v>11.122137404580153</v>
      </c>
      <c r="K7" s="19">
        <f t="shared" si="1"/>
        <v>0.89694656488549618</v>
      </c>
      <c r="N7">
        <v>1919</v>
      </c>
      <c r="O7">
        <v>47</v>
      </c>
      <c r="P7" s="20">
        <f t="shared" ref="P7:P12" si="2">P$16*$O7</f>
        <v>20.629770992366414</v>
      </c>
      <c r="Q7" s="20">
        <f t="shared" ref="Q7:U12" si="3">Q$16*$O7</f>
        <v>5.2022900763358777</v>
      </c>
      <c r="R7" s="20">
        <f t="shared" si="3"/>
        <v>2.8702290076335877</v>
      </c>
      <c r="S7" s="20">
        <f t="shared" si="3"/>
        <v>6.278625954198473</v>
      </c>
      <c r="T7" s="20">
        <f t="shared" si="3"/>
        <v>11.122137404580153</v>
      </c>
      <c r="U7" s="20">
        <f t="shared" si="3"/>
        <v>0.89694656488549618</v>
      </c>
    </row>
    <row r="8" spans="1:22" x14ac:dyDescent="0.2">
      <c r="D8">
        <v>1920</v>
      </c>
      <c r="E8">
        <v>84</v>
      </c>
      <c r="F8" s="19">
        <f t="shared" si="0"/>
        <v>21.507633587786259</v>
      </c>
      <c r="G8" s="19">
        <f t="shared" si="1"/>
        <v>5.4236641221374047</v>
      </c>
      <c r="H8" s="19">
        <f t="shared" si="1"/>
        <v>2.9923664122137406</v>
      </c>
      <c r="I8" s="19">
        <f t="shared" si="1"/>
        <v>6.5458015267175576</v>
      </c>
      <c r="J8" s="19">
        <f t="shared" si="1"/>
        <v>11.595419847328245</v>
      </c>
      <c r="K8" s="19">
        <f t="shared" si="1"/>
        <v>0.93511450381679395</v>
      </c>
      <c r="N8">
        <v>1920</v>
      </c>
      <c r="O8">
        <v>49</v>
      </c>
      <c r="P8" s="20">
        <f t="shared" si="2"/>
        <v>21.507633587786259</v>
      </c>
      <c r="Q8" s="20">
        <f t="shared" si="3"/>
        <v>5.4236641221374047</v>
      </c>
      <c r="R8" s="20">
        <f t="shared" si="3"/>
        <v>2.9923664122137406</v>
      </c>
      <c r="S8" s="20">
        <f t="shared" si="3"/>
        <v>6.5458015267175576</v>
      </c>
      <c r="T8" s="20">
        <f t="shared" si="3"/>
        <v>11.595419847328245</v>
      </c>
      <c r="U8" s="20">
        <f t="shared" si="3"/>
        <v>0.93511450381679395</v>
      </c>
    </row>
    <row r="9" spans="1:22" x14ac:dyDescent="0.2">
      <c r="D9">
        <v>1921</v>
      </c>
      <c r="E9">
        <v>65</v>
      </c>
      <c r="F9" s="19">
        <f t="shared" si="0"/>
        <v>20.629770992366414</v>
      </c>
      <c r="G9" s="19">
        <f t="shared" si="1"/>
        <v>5.2022900763358777</v>
      </c>
      <c r="H9" s="19">
        <f t="shared" si="1"/>
        <v>2.8702290076335877</v>
      </c>
      <c r="I9" s="19">
        <f t="shared" si="1"/>
        <v>6.278625954198473</v>
      </c>
      <c r="J9" s="19">
        <f t="shared" si="1"/>
        <v>11.122137404580153</v>
      </c>
      <c r="K9" s="19">
        <f t="shared" si="1"/>
        <v>0.89694656488549618</v>
      </c>
      <c r="N9">
        <v>1921</v>
      </c>
      <c r="O9">
        <v>47</v>
      </c>
      <c r="P9" s="20">
        <f t="shared" si="2"/>
        <v>20.629770992366414</v>
      </c>
      <c r="Q9" s="20">
        <f t="shared" si="3"/>
        <v>5.2022900763358777</v>
      </c>
      <c r="R9" s="20">
        <f t="shared" si="3"/>
        <v>2.8702290076335877</v>
      </c>
      <c r="S9" s="20">
        <f t="shared" si="3"/>
        <v>6.278625954198473</v>
      </c>
      <c r="T9" s="20">
        <f t="shared" si="3"/>
        <v>11.122137404580153</v>
      </c>
      <c r="U9" s="20">
        <f t="shared" si="3"/>
        <v>0.89694656488549618</v>
      </c>
    </row>
    <row r="10" spans="1:22" x14ac:dyDescent="0.2">
      <c r="D10">
        <v>1922</v>
      </c>
      <c r="E10">
        <v>95</v>
      </c>
      <c r="F10" s="19">
        <f t="shared" si="0"/>
        <v>43.015267175572518</v>
      </c>
      <c r="G10" s="19">
        <f t="shared" si="1"/>
        <v>10.847328244274809</v>
      </c>
      <c r="H10" s="19">
        <f t="shared" si="1"/>
        <v>5.9847328244274811</v>
      </c>
      <c r="I10" s="19">
        <f t="shared" si="1"/>
        <v>13.091603053435115</v>
      </c>
      <c r="J10" s="19">
        <f t="shared" si="1"/>
        <v>23.190839694656489</v>
      </c>
      <c r="K10" s="19">
        <f t="shared" si="1"/>
        <v>1.8702290076335879</v>
      </c>
      <c r="N10">
        <v>1922</v>
      </c>
      <c r="O10">
        <v>98</v>
      </c>
      <c r="P10" s="20">
        <f t="shared" si="2"/>
        <v>43.015267175572518</v>
      </c>
      <c r="Q10" s="20">
        <f t="shared" si="3"/>
        <v>10.847328244274809</v>
      </c>
      <c r="R10" s="20">
        <f t="shared" si="3"/>
        <v>5.9847328244274811</v>
      </c>
      <c r="S10" s="20">
        <f t="shared" si="3"/>
        <v>13.091603053435115</v>
      </c>
      <c r="T10" s="20">
        <f t="shared" si="3"/>
        <v>23.190839694656489</v>
      </c>
      <c r="U10" s="20">
        <f t="shared" si="3"/>
        <v>1.8702290076335879</v>
      </c>
    </row>
    <row r="11" spans="1:22" x14ac:dyDescent="0.2">
      <c r="D11">
        <v>1923</v>
      </c>
      <c r="E11">
        <v>110</v>
      </c>
      <c r="F11" s="19">
        <f t="shared" si="0"/>
        <v>43.454198473282446</v>
      </c>
      <c r="G11" s="19">
        <f t="shared" si="1"/>
        <v>10.958015267175574</v>
      </c>
      <c r="H11" s="19">
        <f t="shared" si="1"/>
        <v>6.0458015267175567</v>
      </c>
      <c r="I11" s="19">
        <f t="shared" si="1"/>
        <v>13.225190839694656</v>
      </c>
      <c r="J11" s="19">
        <f t="shared" si="1"/>
        <v>23.427480916030536</v>
      </c>
      <c r="K11" s="19">
        <f t="shared" si="1"/>
        <v>1.8893129770992367</v>
      </c>
      <c r="N11">
        <v>1923</v>
      </c>
      <c r="O11">
        <v>99</v>
      </c>
      <c r="P11" s="20">
        <f t="shared" si="2"/>
        <v>43.454198473282446</v>
      </c>
      <c r="Q11" s="20">
        <f t="shared" si="3"/>
        <v>10.958015267175574</v>
      </c>
      <c r="R11" s="20">
        <f t="shared" si="3"/>
        <v>6.0458015267175567</v>
      </c>
      <c r="S11" s="20">
        <f t="shared" si="3"/>
        <v>13.225190839694656</v>
      </c>
      <c r="T11" s="20">
        <f t="shared" si="3"/>
        <v>23.427480916030536</v>
      </c>
      <c r="U11" s="20">
        <f t="shared" si="3"/>
        <v>1.8893129770992367</v>
      </c>
    </row>
    <row r="12" spans="1:22" x14ac:dyDescent="0.2">
      <c r="D12">
        <v>1924</v>
      </c>
      <c r="E12">
        <v>112</v>
      </c>
      <c r="F12" s="19">
        <f t="shared" si="0"/>
        <v>47.843511450381683</v>
      </c>
      <c r="G12" s="19">
        <f t="shared" si="1"/>
        <v>12.064885496183207</v>
      </c>
      <c r="H12" s="19">
        <f t="shared" si="1"/>
        <v>6.6564885496183201</v>
      </c>
      <c r="I12" s="19">
        <f t="shared" si="1"/>
        <v>14.561068702290076</v>
      </c>
      <c r="J12" s="19">
        <f t="shared" si="1"/>
        <v>25.793893129770993</v>
      </c>
      <c r="K12" s="19">
        <f t="shared" si="1"/>
        <v>2.0801526717557253</v>
      </c>
      <c r="N12">
        <v>1924</v>
      </c>
      <c r="O12">
        <v>109</v>
      </c>
      <c r="P12" s="20">
        <f t="shared" si="2"/>
        <v>47.843511450381683</v>
      </c>
      <c r="Q12" s="20">
        <f t="shared" si="3"/>
        <v>12.064885496183207</v>
      </c>
      <c r="R12" s="20">
        <f t="shared" si="3"/>
        <v>6.6564885496183201</v>
      </c>
      <c r="S12" s="20">
        <f t="shared" si="3"/>
        <v>14.561068702290076</v>
      </c>
      <c r="T12" s="20">
        <f t="shared" si="3"/>
        <v>25.793893129770993</v>
      </c>
      <c r="U12" s="20">
        <f t="shared" si="3"/>
        <v>2.0801526717557253</v>
      </c>
    </row>
    <row r="13" spans="1:22" x14ac:dyDescent="0.2">
      <c r="D13">
        <v>1925</v>
      </c>
      <c r="E13">
        <v>160</v>
      </c>
      <c r="F13">
        <v>61</v>
      </c>
      <c r="G13">
        <v>14</v>
      </c>
      <c r="H13">
        <v>8</v>
      </c>
      <c r="I13">
        <v>19</v>
      </c>
      <c r="J13">
        <v>32</v>
      </c>
      <c r="K13">
        <v>1</v>
      </c>
      <c r="N13">
        <v>1925</v>
      </c>
      <c r="O13">
        <f>SUM(P13:U13)</f>
        <v>135</v>
      </c>
      <c r="P13">
        <f t="shared" ref="P13:U14" si="4">F13</f>
        <v>61</v>
      </c>
      <c r="Q13">
        <f t="shared" si="4"/>
        <v>14</v>
      </c>
      <c r="R13">
        <f t="shared" si="4"/>
        <v>8</v>
      </c>
      <c r="S13">
        <f t="shared" si="4"/>
        <v>19</v>
      </c>
      <c r="T13">
        <f t="shared" si="4"/>
        <v>32</v>
      </c>
      <c r="U13">
        <f t="shared" si="4"/>
        <v>1</v>
      </c>
    </row>
    <row r="14" spans="1:22" x14ac:dyDescent="0.2">
      <c r="D14">
        <f>D13+1</f>
        <v>1926</v>
      </c>
      <c r="E14">
        <v>152</v>
      </c>
      <c r="F14">
        <v>54</v>
      </c>
      <c r="G14">
        <v>15</v>
      </c>
      <c r="H14">
        <v>8</v>
      </c>
      <c r="I14">
        <v>16</v>
      </c>
      <c r="J14">
        <v>30</v>
      </c>
      <c r="K14">
        <v>4</v>
      </c>
      <c r="N14">
        <v>1926</v>
      </c>
      <c r="O14">
        <f>SUM(P14:U14)</f>
        <v>127</v>
      </c>
      <c r="P14">
        <f t="shared" si="4"/>
        <v>54</v>
      </c>
      <c r="Q14">
        <f t="shared" si="4"/>
        <v>15</v>
      </c>
      <c r="R14">
        <f t="shared" si="4"/>
        <v>8</v>
      </c>
      <c r="S14">
        <f t="shared" si="4"/>
        <v>16</v>
      </c>
      <c r="T14">
        <f t="shared" si="4"/>
        <v>30</v>
      </c>
      <c r="U14">
        <f t="shared" si="4"/>
        <v>4</v>
      </c>
    </row>
    <row r="15" spans="1:22" x14ac:dyDescent="0.2">
      <c r="D15">
        <f t="shared" ref="D15:D58" si="5">D14+1</f>
        <v>1927</v>
      </c>
      <c r="E15">
        <v>142</v>
      </c>
      <c r="F15">
        <v>54</v>
      </c>
      <c r="G15">
        <v>19</v>
      </c>
      <c r="H15">
        <v>10</v>
      </c>
      <c r="I15">
        <v>17</v>
      </c>
      <c r="J15">
        <v>34</v>
      </c>
      <c r="K15">
        <v>7</v>
      </c>
      <c r="N15" t="s">
        <v>248</v>
      </c>
      <c r="O15">
        <f t="shared" ref="O15:U15" si="6">O13+O14</f>
        <v>262</v>
      </c>
      <c r="P15">
        <f t="shared" si="6"/>
        <v>115</v>
      </c>
      <c r="Q15">
        <f t="shared" si="6"/>
        <v>29</v>
      </c>
      <c r="R15">
        <f t="shared" si="6"/>
        <v>16</v>
      </c>
      <c r="S15">
        <f t="shared" si="6"/>
        <v>35</v>
      </c>
      <c r="T15">
        <f t="shared" si="6"/>
        <v>62</v>
      </c>
      <c r="U15">
        <f t="shared" si="6"/>
        <v>5</v>
      </c>
    </row>
    <row r="16" spans="1:22" x14ac:dyDescent="0.2">
      <c r="D16">
        <f t="shared" si="5"/>
        <v>1928</v>
      </c>
      <c r="E16">
        <v>159</v>
      </c>
      <c r="F16">
        <v>61</v>
      </c>
      <c r="G16">
        <v>20</v>
      </c>
      <c r="H16">
        <v>11</v>
      </c>
      <c r="I16">
        <v>15</v>
      </c>
      <c r="J16">
        <v>28</v>
      </c>
      <c r="K16">
        <v>6</v>
      </c>
      <c r="N16" t="s">
        <v>182</v>
      </c>
      <c r="O16">
        <f>SUM(P16:U16)</f>
        <v>1</v>
      </c>
      <c r="P16">
        <f t="shared" ref="P16:U16" si="7">P15/$O15</f>
        <v>0.43893129770992367</v>
      </c>
      <c r="Q16">
        <f t="shared" si="7"/>
        <v>0.11068702290076336</v>
      </c>
      <c r="R16">
        <f t="shared" si="7"/>
        <v>6.1068702290076333E-2</v>
      </c>
      <c r="S16">
        <f t="shared" si="7"/>
        <v>0.13358778625954199</v>
      </c>
      <c r="T16">
        <f t="shared" si="7"/>
        <v>0.23664122137404581</v>
      </c>
      <c r="U16">
        <f t="shared" si="7"/>
        <v>1.9083969465648856E-2</v>
      </c>
    </row>
    <row r="17" spans="4:11" x14ac:dyDescent="0.2">
      <c r="D17">
        <f t="shared" si="5"/>
        <v>1929</v>
      </c>
      <c r="E17">
        <v>161</v>
      </c>
      <c r="F17">
        <v>59</v>
      </c>
      <c r="G17">
        <v>20</v>
      </c>
      <c r="H17">
        <v>13</v>
      </c>
      <c r="I17">
        <v>13</v>
      </c>
      <c r="J17">
        <v>22</v>
      </c>
      <c r="K17">
        <v>6</v>
      </c>
    </row>
    <row r="18" spans="4:11" x14ac:dyDescent="0.2">
      <c r="D18">
        <f t="shared" si="5"/>
        <v>1930</v>
      </c>
      <c r="E18">
        <v>97</v>
      </c>
      <c r="F18">
        <v>57</v>
      </c>
      <c r="G18">
        <v>19</v>
      </c>
      <c r="H18">
        <v>17</v>
      </c>
      <c r="I18">
        <v>11</v>
      </c>
      <c r="J18">
        <v>16</v>
      </c>
      <c r="K18">
        <v>7</v>
      </c>
    </row>
    <row r="19" spans="4:11" x14ac:dyDescent="0.2">
      <c r="D19">
        <f t="shared" si="5"/>
        <v>1931</v>
      </c>
      <c r="E19">
        <v>50</v>
      </c>
      <c r="F19">
        <v>37</v>
      </c>
      <c r="G19">
        <v>17</v>
      </c>
      <c r="H19">
        <v>24</v>
      </c>
      <c r="I19">
        <v>6</v>
      </c>
      <c r="J19">
        <v>14</v>
      </c>
      <c r="K19">
        <v>3</v>
      </c>
    </row>
    <row r="20" spans="4:11" x14ac:dyDescent="0.2">
      <c r="D20">
        <f t="shared" si="5"/>
        <v>1932</v>
      </c>
      <c r="E20">
        <v>24</v>
      </c>
      <c r="F20">
        <v>14</v>
      </c>
      <c r="G20">
        <v>7</v>
      </c>
      <c r="H20">
        <v>16</v>
      </c>
      <c r="I20">
        <v>4</v>
      </c>
      <c r="J20">
        <v>6</v>
      </c>
      <c r="K20">
        <v>1</v>
      </c>
    </row>
    <row r="21" spans="4:11" x14ac:dyDescent="0.2">
      <c r="D21">
        <f t="shared" si="5"/>
        <v>1933</v>
      </c>
      <c r="E21">
        <v>23</v>
      </c>
      <c r="F21">
        <v>6</v>
      </c>
      <c r="G21">
        <v>6</v>
      </c>
      <c r="H21">
        <v>10</v>
      </c>
      <c r="I21">
        <v>3</v>
      </c>
      <c r="J21">
        <v>6</v>
      </c>
      <c r="K21">
        <v>2</v>
      </c>
    </row>
    <row r="22" spans="4:11" x14ac:dyDescent="0.2">
      <c r="D22">
        <f t="shared" si="5"/>
        <v>1934</v>
      </c>
      <c r="E22">
        <v>28</v>
      </c>
      <c r="F22">
        <v>17</v>
      </c>
      <c r="G22">
        <v>4</v>
      </c>
      <c r="H22">
        <v>9</v>
      </c>
      <c r="I22">
        <v>3</v>
      </c>
      <c r="J22">
        <v>7</v>
      </c>
      <c r="K22">
        <v>1</v>
      </c>
    </row>
    <row r="23" spans="4:11" x14ac:dyDescent="0.2">
      <c r="D23">
        <f t="shared" si="5"/>
        <v>1935</v>
      </c>
      <c r="E23">
        <v>35</v>
      </c>
      <c r="F23">
        <v>26</v>
      </c>
      <c r="G23">
        <v>6</v>
      </c>
      <c r="H23">
        <v>14</v>
      </c>
      <c r="I23">
        <v>4</v>
      </c>
      <c r="J23">
        <v>8</v>
      </c>
      <c r="K23">
        <v>1</v>
      </c>
    </row>
    <row r="24" spans="4:11" x14ac:dyDescent="0.2">
      <c r="D24">
        <f t="shared" si="5"/>
        <v>1936</v>
      </c>
      <c r="E24">
        <v>57</v>
      </c>
      <c r="F24">
        <v>42</v>
      </c>
      <c r="G24">
        <v>10</v>
      </c>
      <c r="H24">
        <v>14</v>
      </c>
      <c r="I24">
        <v>4</v>
      </c>
      <c r="J24">
        <v>13</v>
      </c>
      <c r="K24">
        <v>1</v>
      </c>
    </row>
    <row r="25" spans="4:11" x14ac:dyDescent="0.2">
      <c r="D25">
        <f t="shared" si="5"/>
        <v>1937</v>
      </c>
      <c r="E25">
        <v>62</v>
      </c>
      <c r="F25">
        <v>36</v>
      </c>
      <c r="G25">
        <v>11</v>
      </c>
      <c r="H25">
        <v>12</v>
      </c>
      <c r="I25">
        <v>6</v>
      </c>
      <c r="J25">
        <v>14</v>
      </c>
      <c r="K25">
        <v>1</v>
      </c>
    </row>
    <row r="26" spans="4:11" x14ac:dyDescent="0.2">
      <c r="D26">
        <f t="shared" si="5"/>
        <v>1938</v>
      </c>
      <c r="E26">
        <v>42</v>
      </c>
      <c r="F26">
        <v>57</v>
      </c>
      <c r="G26">
        <v>17</v>
      </c>
      <c r="H26">
        <v>16</v>
      </c>
      <c r="I26">
        <v>5</v>
      </c>
      <c r="J26">
        <v>18</v>
      </c>
      <c r="K26">
        <v>6</v>
      </c>
    </row>
    <row r="27" spans="4:11" x14ac:dyDescent="0.2">
      <c r="D27">
        <f t="shared" si="5"/>
        <v>1939</v>
      </c>
      <c r="E27">
        <v>49</v>
      </c>
      <c r="F27">
        <v>34</v>
      </c>
      <c r="G27">
        <v>12</v>
      </c>
      <c r="H27">
        <v>15</v>
      </c>
      <c r="I27">
        <v>6</v>
      </c>
      <c r="J27">
        <v>12</v>
      </c>
      <c r="K27">
        <v>6</v>
      </c>
    </row>
    <row r="28" spans="4:11" x14ac:dyDescent="0.2">
      <c r="D28">
        <f t="shared" si="5"/>
        <v>1940</v>
      </c>
      <c r="E28">
        <v>67</v>
      </c>
      <c r="F28">
        <v>25</v>
      </c>
      <c r="G28">
        <v>14</v>
      </c>
      <c r="H28">
        <v>12</v>
      </c>
      <c r="I28">
        <v>7</v>
      </c>
      <c r="J28">
        <v>12</v>
      </c>
      <c r="K28">
        <v>37</v>
      </c>
    </row>
    <row r="29" spans="4:11" x14ac:dyDescent="0.2">
      <c r="D29">
        <f t="shared" si="5"/>
        <v>1941</v>
      </c>
      <c r="E29">
        <v>106</v>
      </c>
      <c r="F29">
        <v>24</v>
      </c>
      <c r="G29">
        <v>15</v>
      </c>
      <c r="H29">
        <v>14</v>
      </c>
      <c r="I29">
        <v>9</v>
      </c>
      <c r="J29">
        <v>15</v>
      </c>
      <c r="K29">
        <v>69</v>
      </c>
    </row>
    <row r="30" spans="4:11" x14ac:dyDescent="0.2">
      <c r="D30">
        <f t="shared" si="5"/>
        <v>1942</v>
      </c>
      <c r="E30">
        <v>74</v>
      </c>
      <c r="F30">
        <v>31</v>
      </c>
      <c r="G30">
        <v>34</v>
      </c>
      <c r="H30">
        <v>20</v>
      </c>
      <c r="I30">
        <v>3</v>
      </c>
      <c r="J30">
        <v>23</v>
      </c>
      <c r="K30">
        <v>216</v>
      </c>
    </row>
    <row r="31" spans="4:11" x14ac:dyDescent="0.2">
      <c r="D31">
        <f t="shared" si="5"/>
        <v>1943</v>
      </c>
      <c r="E31">
        <v>22</v>
      </c>
      <c r="F31">
        <v>12</v>
      </c>
      <c r="G31">
        <v>20</v>
      </c>
      <c r="H31">
        <v>5</v>
      </c>
      <c r="I31">
        <v>1</v>
      </c>
      <c r="J31">
        <v>13</v>
      </c>
      <c r="K31">
        <v>66</v>
      </c>
    </row>
    <row r="32" spans="4:11" x14ac:dyDescent="0.2">
      <c r="D32">
        <f t="shared" si="5"/>
        <v>1944</v>
      </c>
      <c r="E32">
        <v>12</v>
      </c>
      <c r="F32">
        <v>10</v>
      </c>
      <c r="G32">
        <v>8</v>
      </c>
      <c r="H32">
        <v>2</v>
      </c>
      <c r="I32">
        <v>1</v>
      </c>
      <c r="J32">
        <v>5</v>
      </c>
      <c r="K32">
        <v>33</v>
      </c>
    </row>
    <row r="33" spans="4:11" x14ac:dyDescent="0.2">
      <c r="D33">
        <f t="shared" si="5"/>
        <v>1945</v>
      </c>
      <c r="E33">
        <v>63</v>
      </c>
      <c r="F33">
        <v>13</v>
      </c>
      <c r="G33">
        <v>11</v>
      </c>
      <c r="H33">
        <v>2</v>
      </c>
      <c r="I33">
        <v>5</v>
      </c>
      <c r="J33">
        <v>8</v>
      </c>
      <c r="K33">
        <v>26</v>
      </c>
    </row>
    <row r="34" spans="4:11" x14ac:dyDescent="0.2">
      <c r="D34">
        <f t="shared" si="5"/>
        <v>1946</v>
      </c>
      <c r="E34">
        <v>119</v>
      </c>
      <c r="F34">
        <v>26</v>
      </c>
      <c r="G34">
        <v>15</v>
      </c>
      <c r="H34">
        <v>2</v>
      </c>
      <c r="I34">
        <v>8</v>
      </c>
      <c r="J34">
        <v>11</v>
      </c>
      <c r="K34">
        <v>15</v>
      </c>
    </row>
    <row r="35" spans="4:11" x14ac:dyDescent="0.2">
      <c r="D35">
        <f t="shared" si="5"/>
        <v>1947</v>
      </c>
      <c r="E35">
        <v>100</v>
      </c>
      <c r="F35">
        <v>41</v>
      </c>
      <c r="G35">
        <v>20</v>
      </c>
      <c r="H35">
        <v>6</v>
      </c>
      <c r="I35">
        <v>12</v>
      </c>
      <c r="J35">
        <v>14</v>
      </c>
      <c r="K35">
        <v>12</v>
      </c>
    </row>
    <row r="36" spans="4:11" x14ac:dyDescent="0.2">
      <c r="D36">
        <f t="shared" si="5"/>
        <v>1948</v>
      </c>
      <c r="E36">
        <v>101</v>
      </c>
      <c r="F36">
        <v>72</v>
      </c>
      <c r="G36">
        <v>35</v>
      </c>
      <c r="H36">
        <v>6</v>
      </c>
      <c r="I36">
        <v>21</v>
      </c>
      <c r="J36">
        <v>22</v>
      </c>
      <c r="K36">
        <v>18</v>
      </c>
    </row>
    <row r="37" spans="4:11" x14ac:dyDescent="0.2">
      <c r="D37">
        <f t="shared" si="5"/>
        <v>1949</v>
      </c>
      <c r="E37">
        <v>86</v>
      </c>
      <c r="F37">
        <v>79</v>
      </c>
      <c r="G37">
        <v>42</v>
      </c>
      <c r="H37">
        <v>8</v>
      </c>
      <c r="I37">
        <v>25</v>
      </c>
      <c r="J37">
        <v>21</v>
      </c>
      <c r="K37">
        <v>22</v>
      </c>
    </row>
    <row r="38" spans="4:11" x14ac:dyDescent="0.2">
      <c r="D38">
        <f t="shared" si="5"/>
        <v>1950</v>
      </c>
      <c r="E38">
        <v>122</v>
      </c>
      <c r="F38">
        <v>111</v>
      </c>
      <c r="G38">
        <v>45</v>
      </c>
      <c r="H38">
        <v>10</v>
      </c>
      <c r="I38">
        <v>29</v>
      </c>
      <c r="J38">
        <v>24</v>
      </c>
      <c r="K38">
        <v>28</v>
      </c>
    </row>
    <row r="39" spans="4:11" x14ac:dyDescent="0.2">
      <c r="D39">
        <f t="shared" si="5"/>
        <v>1951</v>
      </c>
      <c r="E39">
        <v>77</v>
      </c>
      <c r="F39">
        <v>110</v>
      </c>
      <c r="G39">
        <v>38</v>
      </c>
      <c r="H39">
        <v>11</v>
      </c>
      <c r="I39">
        <v>25</v>
      </c>
      <c r="J39">
        <v>11</v>
      </c>
      <c r="K39">
        <v>50</v>
      </c>
    </row>
    <row r="40" spans="4:11" x14ac:dyDescent="0.2">
      <c r="D40">
        <f t="shared" si="5"/>
        <v>1952</v>
      </c>
      <c r="E40">
        <v>82</v>
      </c>
      <c r="F40">
        <v>107</v>
      </c>
      <c r="G40">
        <v>26</v>
      </c>
      <c r="H40">
        <v>15</v>
      </c>
      <c r="I40">
        <v>22</v>
      </c>
      <c r="J40">
        <v>12</v>
      </c>
      <c r="K40">
        <v>62</v>
      </c>
    </row>
    <row r="41" spans="4:11" x14ac:dyDescent="0.2">
      <c r="D41">
        <f t="shared" si="5"/>
        <v>1953</v>
      </c>
      <c r="E41">
        <v>123</v>
      </c>
      <c r="F41">
        <v>124</v>
      </c>
      <c r="G41">
        <v>23</v>
      </c>
      <c r="H41">
        <v>13</v>
      </c>
      <c r="I41">
        <v>28</v>
      </c>
      <c r="J41">
        <v>17</v>
      </c>
      <c r="K41">
        <v>50</v>
      </c>
    </row>
    <row r="42" spans="4:11" x14ac:dyDescent="0.2">
      <c r="D42">
        <f t="shared" si="5"/>
        <v>1954</v>
      </c>
      <c r="E42">
        <v>138</v>
      </c>
      <c r="F42">
        <v>154</v>
      </c>
      <c r="G42">
        <v>28</v>
      </c>
      <c r="H42">
        <v>16</v>
      </c>
      <c r="I42">
        <v>34</v>
      </c>
      <c r="J42">
        <v>19</v>
      </c>
      <c r="K42">
        <v>44</v>
      </c>
    </row>
    <row r="43" spans="4:11" x14ac:dyDescent="0.2">
      <c r="D43">
        <f t="shared" si="5"/>
        <v>1955</v>
      </c>
      <c r="E43">
        <v>173</v>
      </c>
      <c r="F43">
        <v>155</v>
      </c>
      <c r="G43">
        <v>23</v>
      </c>
      <c r="H43">
        <v>18</v>
      </c>
      <c r="I43">
        <v>37</v>
      </c>
      <c r="J43">
        <v>20</v>
      </c>
      <c r="K43">
        <v>53</v>
      </c>
    </row>
    <row r="44" spans="4:11" x14ac:dyDescent="0.2">
      <c r="D44">
        <f t="shared" si="5"/>
        <v>1956</v>
      </c>
      <c r="E44">
        <v>244</v>
      </c>
      <c r="F44">
        <v>200</v>
      </c>
      <c r="G44">
        <v>33</v>
      </c>
      <c r="H44">
        <v>27</v>
      </c>
      <c r="I44">
        <v>48</v>
      </c>
      <c r="J44">
        <v>30</v>
      </c>
      <c r="K44">
        <v>48</v>
      </c>
    </row>
    <row r="45" spans="4:11" x14ac:dyDescent="0.2">
      <c r="D45">
        <f t="shared" si="5"/>
        <v>1957</v>
      </c>
      <c r="E45">
        <v>245</v>
      </c>
      <c r="F45">
        <v>207</v>
      </c>
      <c r="G45">
        <v>40</v>
      </c>
      <c r="H45">
        <v>27</v>
      </c>
      <c r="I45">
        <v>50</v>
      </c>
      <c r="J45">
        <v>31</v>
      </c>
      <c r="K45">
        <v>33</v>
      </c>
    </row>
    <row r="46" spans="4:11" x14ac:dyDescent="0.2">
      <c r="D46">
        <f t="shared" si="5"/>
        <v>1958</v>
      </c>
      <c r="E46">
        <v>243</v>
      </c>
      <c r="F46">
        <v>201</v>
      </c>
      <c r="G46">
        <v>38</v>
      </c>
      <c r="H46">
        <v>37</v>
      </c>
      <c r="I46">
        <v>51</v>
      </c>
      <c r="J46">
        <v>37</v>
      </c>
      <c r="K46">
        <v>47</v>
      </c>
    </row>
    <row r="47" spans="4:11" x14ac:dyDescent="0.2">
      <c r="D47">
        <f t="shared" si="5"/>
        <v>1959</v>
      </c>
      <c r="E47">
        <v>281</v>
      </c>
      <c r="F47">
        <v>181</v>
      </c>
      <c r="G47">
        <v>38</v>
      </c>
      <c r="H47">
        <v>34</v>
      </c>
      <c r="I47">
        <v>54</v>
      </c>
      <c r="J47">
        <v>43</v>
      </c>
      <c r="K47">
        <v>35</v>
      </c>
    </row>
    <row r="48" spans="4:11" x14ac:dyDescent="0.2">
      <c r="D48">
        <f t="shared" si="5"/>
        <v>1960</v>
      </c>
      <c r="E48">
        <v>283</v>
      </c>
      <c r="F48">
        <v>196</v>
      </c>
      <c r="G48">
        <v>36</v>
      </c>
      <c r="H48">
        <v>33</v>
      </c>
      <c r="I48">
        <v>53</v>
      </c>
      <c r="J48">
        <v>44</v>
      </c>
      <c r="K48">
        <v>31</v>
      </c>
    </row>
    <row r="49" spans="4:11" x14ac:dyDescent="0.2">
      <c r="D49">
        <f t="shared" si="5"/>
        <v>1961</v>
      </c>
      <c r="E49">
        <v>293</v>
      </c>
      <c r="F49">
        <v>194</v>
      </c>
      <c r="G49">
        <v>44</v>
      </c>
      <c r="H49">
        <v>33</v>
      </c>
      <c r="I49">
        <v>53</v>
      </c>
      <c r="J49">
        <v>41</v>
      </c>
      <c r="K49">
        <v>29</v>
      </c>
    </row>
    <row r="50" spans="4:11" x14ac:dyDescent="0.2">
      <c r="D50">
        <f t="shared" si="5"/>
        <v>1962</v>
      </c>
      <c r="E50">
        <v>326</v>
      </c>
      <c r="F50">
        <v>191</v>
      </c>
      <c r="G50">
        <v>49</v>
      </c>
      <c r="H50">
        <v>34</v>
      </c>
      <c r="I50">
        <v>53</v>
      </c>
      <c r="J50">
        <v>40</v>
      </c>
      <c r="K50">
        <v>27</v>
      </c>
    </row>
    <row r="51" spans="4:11" x14ac:dyDescent="0.2">
      <c r="D51">
        <f t="shared" si="5"/>
        <v>1963</v>
      </c>
      <c r="E51">
        <v>347</v>
      </c>
      <c r="F51">
        <v>197</v>
      </c>
      <c r="G51">
        <v>65</v>
      </c>
      <c r="H51">
        <v>43</v>
      </c>
      <c r="I51">
        <v>48</v>
      </c>
      <c r="J51">
        <v>38</v>
      </c>
      <c r="K51">
        <v>32</v>
      </c>
    </row>
    <row r="52" spans="4:11" x14ac:dyDescent="0.2">
      <c r="D52">
        <f t="shared" si="5"/>
        <v>1964</v>
      </c>
      <c r="E52">
        <v>360</v>
      </c>
      <c r="F52">
        <v>202</v>
      </c>
      <c r="G52">
        <v>67</v>
      </c>
      <c r="H52">
        <v>34</v>
      </c>
      <c r="I52">
        <v>50</v>
      </c>
      <c r="J52">
        <v>36</v>
      </c>
      <c r="K52">
        <v>36</v>
      </c>
    </row>
    <row r="53" spans="4:11" x14ac:dyDescent="0.2">
      <c r="D53">
        <f t="shared" si="5"/>
        <v>1965</v>
      </c>
      <c r="E53">
        <v>415</v>
      </c>
      <c r="F53">
        <v>225</v>
      </c>
      <c r="G53">
        <v>60</v>
      </c>
      <c r="H53">
        <v>36</v>
      </c>
      <c r="I53">
        <v>45</v>
      </c>
      <c r="J53">
        <v>47</v>
      </c>
      <c r="K53">
        <v>38</v>
      </c>
    </row>
    <row r="54" spans="4:11" x14ac:dyDescent="0.2">
      <c r="D54">
        <f t="shared" si="5"/>
        <v>1966</v>
      </c>
      <c r="E54">
        <v>442</v>
      </c>
      <c r="F54">
        <v>245</v>
      </c>
      <c r="G54">
        <v>60</v>
      </c>
      <c r="H54">
        <v>37</v>
      </c>
      <c r="I54">
        <v>45</v>
      </c>
      <c r="J54">
        <v>47</v>
      </c>
      <c r="K54">
        <v>40</v>
      </c>
    </row>
    <row r="55" spans="4:11" x14ac:dyDescent="0.2">
      <c r="D55">
        <f t="shared" si="5"/>
        <v>1967</v>
      </c>
      <c r="E55">
        <v>424</v>
      </c>
      <c r="F55">
        <v>242</v>
      </c>
      <c r="G55">
        <v>66</v>
      </c>
      <c r="H55">
        <v>37</v>
      </c>
      <c r="I55">
        <v>41</v>
      </c>
      <c r="J55">
        <v>42</v>
      </c>
      <c r="K55">
        <v>43</v>
      </c>
    </row>
    <row r="56" spans="4:11" x14ac:dyDescent="0.2">
      <c r="D56">
        <f t="shared" si="5"/>
        <v>1968</v>
      </c>
      <c r="E56">
        <v>496</v>
      </c>
      <c r="F56">
        <v>234</v>
      </c>
      <c r="G56">
        <v>69</v>
      </c>
      <c r="H56">
        <v>39</v>
      </c>
      <c r="I56">
        <v>39</v>
      </c>
      <c r="J56">
        <v>46</v>
      </c>
      <c r="K56">
        <v>47</v>
      </c>
    </row>
    <row r="57" spans="4:11" x14ac:dyDescent="0.2">
      <c r="D57">
        <f t="shared" si="5"/>
        <v>1969</v>
      </c>
      <c r="E57">
        <v>573</v>
      </c>
      <c r="F57">
        <v>221</v>
      </c>
      <c r="G57">
        <v>87</v>
      </c>
      <c r="H57">
        <v>36</v>
      </c>
      <c r="I57">
        <v>33</v>
      </c>
      <c r="J57">
        <v>53</v>
      </c>
      <c r="K57">
        <v>54</v>
      </c>
    </row>
    <row r="58" spans="4:11" x14ac:dyDescent="0.2">
      <c r="D58">
        <f t="shared" si="5"/>
        <v>1970</v>
      </c>
      <c r="E58">
        <v>530</v>
      </c>
      <c r="F58">
        <v>195</v>
      </c>
      <c r="G58">
        <v>75</v>
      </c>
      <c r="H58">
        <v>29</v>
      </c>
      <c r="I58">
        <v>27</v>
      </c>
      <c r="J58">
        <v>47</v>
      </c>
      <c r="K58">
        <v>42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D3:Q46"/>
  <sheetViews>
    <sheetView topLeftCell="F1" workbookViewId="0">
      <selection activeCell="I3" sqref="I3"/>
    </sheetView>
  </sheetViews>
  <sheetFormatPr defaultRowHeight="12.75" x14ac:dyDescent="0.2"/>
  <cols>
    <col min="12" max="12" width="10.42578125" customWidth="1"/>
    <col min="13" max="13" width="10.140625" customWidth="1"/>
    <col min="14" max="15" width="10.28515625" customWidth="1"/>
  </cols>
  <sheetData>
    <row r="3" spans="4:17" x14ac:dyDescent="0.2">
      <c r="D3" t="s">
        <v>249</v>
      </c>
      <c r="J3" t="s">
        <v>183</v>
      </c>
    </row>
    <row r="5" spans="4:17" x14ac:dyDescent="0.2">
      <c r="D5" t="s">
        <v>184</v>
      </c>
    </row>
    <row r="6" spans="4:17" x14ac:dyDescent="0.2">
      <c r="E6" t="s">
        <v>185</v>
      </c>
      <c r="F6" t="s">
        <v>186</v>
      </c>
      <c r="G6" t="s">
        <v>187</v>
      </c>
      <c r="H6" t="s">
        <v>188</v>
      </c>
    </row>
    <row r="7" spans="4:17" ht="13.5" thickBot="1" x14ac:dyDescent="0.25">
      <c r="E7" s="21" t="s">
        <v>189</v>
      </c>
      <c r="F7" s="21" t="s">
        <v>189</v>
      </c>
      <c r="G7" s="21" t="s">
        <v>190</v>
      </c>
      <c r="H7" s="21"/>
      <c r="K7" t="s">
        <v>191</v>
      </c>
      <c r="L7" t="s">
        <v>192</v>
      </c>
      <c r="M7" t="s">
        <v>193</v>
      </c>
      <c r="N7" t="s">
        <v>194</v>
      </c>
      <c r="O7" t="s">
        <v>195</v>
      </c>
      <c r="Q7" t="s">
        <v>196</v>
      </c>
    </row>
    <row r="8" spans="4:17" x14ac:dyDescent="0.2">
      <c r="D8" t="s">
        <v>197</v>
      </c>
      <c r="E8">
        <v>2368</v>
      </c>
      <c r="F8">
        <v>150</v>
      </c>
      <c r="G8" s="18">
        <f>F8/E8</f>
        <v>6.33445945945946E-2</v>
      </c>
      <c r="H8" s="18">
        <f>1/(1-G8)</f>
        <v>1.0676284941388638</v>
      </c>
      <c r="J8">
        <v>1925</v>
      </c>
      <c r="K8" s="22">
        <v>1.127</v>
      </c>
      <c r="L8" s="23">
        <f t="shared" ref="L8:L28" si="0">$H$10</f>
        <v>1.2489463740735358</v>
      </c>
      <c r="M8" s="23">
        <f t="shared" ref="M8:M28" si="1">$H$18</f>
        <v>1.1208304498269896</v>
      </c>
      <c r="N8" s="23">
        <f t="shared" ref="N8:N28" si="2">$H$26</f>
        <v>1.1467684612346978</v>
      </c>
      <c r="O8" s="23">
        <f t="shared" ref="O8:O28" si="3">$H$34</f>
        <v>1.1535155578476879</v>
      </c>
      <c r="Q8" s="22">
        <v>1.127</v>
      </c>
    </row>
    <row r="9" spans="4:17" x14ac:dyDescent="0.2">
      <c r="D9" t="s">
        <v>198</v>
      </c>
      <c r="E9">
        <v>3665</v>
      </c>
      <c r="F9">
        <v>450</v>
      </c>
      <c r="G9" s="18">
        <f>F9/E9</f>
        <v>0.12278308321964529</v>
      </c>
      <c r="H9" s="18">
        <f>1/(1-G9)</f>
        <v>1.1399688958009331</v>
      </c>
      <c r="J9">
        <f t="shared" ref="J9:J38" si="4">J8+1</f>
        <v>1926</v>
      </c>
      <c r="L9" s="23">
        <f t="shared" si="0"/>
        <v>1.2489463740735358</v>
      </c>
      <c r="M9" s="23">
        <f t="shared" si="1"/>
        <v>1.1208304498269896</v>
      </c>
      <c r="N9" s="23">
        <f t="shared" si="2"/>
        <v>1.1467684612346978</v>
      </c>
      <c r="O9" s="23">
        <f t="shared" si="3"/>
        <v>1.1535155578476879</v>
      </c>
      <c r="Q9">
        <f>0.8*Q8+0.2*Q13</f>
        <v>1.1304000000000001</v>
      </c>
    </row>
    <row r="10" spans="4:17" x14ac:dyDescent="0.2">
      <c r="D10" t="s">
        <v>199</v>
      </c>
      <c r="E10">
        <v>8594</v>
      </c>
      <c r="F10">
        <v>1713</v>
      </c>
      <c r="G10" s="18">
        <f>F10/E10</f>
        <v>0.19932511054223878</v>
      </c>
      <c r="H10" s="18">
        <f>1/(1-G10)</f>
        <v>1.2489463740735358</v>
      </c>
      <c r="J10">
        <f t="shared" si="4"/>
        <v>1927</v>
      </c>
      <c r="L10" s="23">
        <f t="shared" si="0"/>
        <v>1.2489463740735358</v>
      </c>
      <c r="M10" s="23">
        <f t="shared" si="1"/>
        <v>1.1208304498269896</v>
      </c>
      <c r="N10" s="23">
        <f t="shared" si="2"/>
        <v>1.1467684612346978</v>
      </c>
      <c r="O10" s="23">
        <f t="shared" si="3"/>
        <v>1.1535155578476879</v>
      </c>
      <c r="Q10">
        <f>0.6*Q8+0.4*Q13</f>
        <v>1.1337999999999999</v>
      </c>
    </row>
    <row r="11" spans="4:17" x14ac:dyDescent="0.2">
      <c r="D11" t="s">
        <v>200</v>
      </c>
      <c r="E11">
        <v>9712</v>
      </c>
      <c r="F11">
        <v>1774</v>
      </c>
      <c r="G11" s="18">
        <f>F11/E11</f>
        <v>0.18266062602965405</v>
      </c>
      <c r="H11" s="18">
        <f>1/(1-G11)</f>
        <v>1.2234819853867474</v>
      </c>
      <c r="J11">
        <f t="shared" si="4"/>
        <v>1928</v>
      </c>
      <c r="L11" s="23">
        <f t="shared" si="0"/>
        <v>1.2489463740735358</v>
      </c>
      <c r="M11" s="23">
        <f t="shared" si="1"/>
        <v>1.1208304498269896</v>
      </c>
      <c r="N11" s="23">
        <f t="shared" si="2"/>
        <v>1.1467684612346978</v>
      </c>
      <c r="O11" s="23">
        <f t="shared" si="3"/>
        <v>1.1535155578476879</v>
      </c>
      <c r="Q11">
        <f>0.4*Q8+0.6*Q13</f>
        <v>1.1372</v>
      </c>
    </row>
    <row r="12" spans="4:17" x14ac:dyDescent="0.2">
      <c r="G12" s="18"/>
      <c r="H12" s="18"/>
      <c r="J12">
        <f t="shared" si="4"/>
        <v>1929</v>
      </c>
      <c r="L12" s="23">
        <f t="shared" si="0"/>
        <v>1.2489463740735358</v>
      </c>
      <c r="M12" s="23">
        <f t="shared" si="1"/>
        <v>1.1208304498269896</v>
      </c>
      <c r="N12" s="23">
        <f t="shared" si="2"/>
        <v>1.1467684612346978</v>
      </c>
      <c r="O12" s="23">
        <f t="shared" si="3"/>
        <v>1.1535155578476879</v>
      </c>
      <c r="Q12">
        <f>0.2*Q8+0.8*Q13</f>
        <v>1.1406000000000001</v>
      </c>
    </row>
    <row r="13" spans="4:17" x14ac:dyDescent="0.2">
      <c r="D13" t="s">
        <v>201</v>
      </c>
      <c r="G13" s="18"/>
      <c r="H13" s="18"/>
      <c r="J13">
        <f t="shared" si="4"/>
        <v>1930</v>
      </c>
      <c r="K13" s="22">
        <v>1.1439999999999999</v>
      </c>
      <c r="L13" s="23">
        <f t="shared" si="0"/>
        <v>1.2489463740735358</v>
      </c>
      <c r="M13" s="23">
        <f t="shared" si="1"/>
        <v>1.1208304498269896</v>
      </c>
      <c r="N13" s="23">
        <f t="shared" si="2"/>
        <v>1.1467684612346978</v>
      </c>
      <c r="O13" s="23">
        <f t="shared" si="3"/>
        <v>1.1535155578476879</v>
      </c>
      <c r="Q13" s="22">
        <v>1.1439999999999999</v>
      </c>
    </row>
    <row r="14" spans="4:17" x14ac:dyDescent="0.2">
      <c r="E14" t="s">
        <v>185</v>
      </c>
      <c r="F14" t="s">
        <v>186</v>
      </c>
      <c r="G14" s="18" t="s">
        <v>187</v>
      </c>
      <c r="H14" s="18" t="s">
        <v>188</v>
      </c>
      <c r="J14">
        <f t="shared" si="4"/>
        <v>1931</v>
      </c>
      <c r="L14" s="23">
        <f t="shared" si="0"/>
        <v>1.2489463740735358</v>
      </c>
      <c r="M14" s="23">
        <f t="shared" si="1"/>
        <v>1.1208304498269896</v>
      </c>
      <c r="N14" s="23">
        <f t="shared" si="2"/>
        <v>1.1467684612346978</v>
      </c>
      <c r="O14" s="23">
        <f t="shared" si="3"/>
        <v>1.1535155578476879</v>
      </c>
      <c r="Q14">
        <f>0.8*Q13+0.2*Q18</f>
        <v>1.1392</v>
      </c>
    </row>
    <row r="15" spans="4:17" ht="13.5" thickBot="1" x14ac:dyDescent="0.25">
      <c r="E15" s="21" t="s">
        <v>189</v>
      </c>
      <c r="F15" s="21" t="s">
        <v>189</v>
      </c>
      <c r="G15" s="25" t="s">
        <v>190</v>
      </c>
      <c r="H15" s="25"/>
      <c r="J15">
        <f t="shared" si="4"/>
        <v>1932</v>
      </c>
      <c r="L15" s="23">
        <f t="shared" si="0"/>
        <v>1.2489463740735358</v>
      </c>
      <c r="M15" s="23">
        <f t="shared" si="1"/>
        <v>1.1208304498269896</v>
      </c>
      <c r="N15" s="23">
        <f t="shared" si="2"/>
        <v>1.1467684612346978</v>
      </c>
      <c r="O15" s="23">
        <f t="shared" si="3"/>
        <v>1.1535155578476879</v>
      </c>
      <c r="Q15">
        <f>0.6*Q13+0.4*Q18</f>
        <v>1.1343999999999999</v>
      </c>
    </row>
    <row r="16" spans="4:17" x14ac:dyDescent="0.2">
      <c r="D16" t="s">
        <v>197</v>
      </c>
      <c r="E16">
        <v>1654</v>
      </c>
      <c r="F16">
        <f>E16-743-445-308</f>
        <v>158</v>
      </c>
      <c r="G16" s="18">
        <f>F16/E16</f>
        <v>9.5525997581620309E-2</v>
      </c>
      <c r="H16" s="18">
        <f>1/(1-G16)</f>
        <v>1.105614973262032</v>
      </c>
      <c r="J16">
        <f t="shared" si="4"/>
        <v>1933</v>
      </c>
      <c r="L16" s="23">
        <f t="shared" si="0"/>
        <v>1.2489463740735358</v>
      </c>
      <c r="M16" s="23">
        <f t="shared" si="1"/>
        <v>1.1208304498269896</v>
      </c>
      <c r="N16" s="23">
        <f t="shared" si="2"/>
        <v>1.1467684612346978</v>
      </c>
      <c r="O16" s="23">
        <f t="shared" si="3"/>
        <v>1.1535155578476879</v>
      </c>
      <c r="Q16">
        <f>0.4*Q13+0.6*Q18</f>
        <v>1.1295999999999999</v>
      </c>
    </row>
    <row r="17" spans="4:17" x14ac:dyDescent="0.2">
      <c r="D17" t="s">
        <v>202</v>
      </c>
      <c r="E17">
        <v>4245</v>
      </c>
      <c r="F17">
        <v>606</v>
      </c>
      <c r="G17" s="18">
        <f>F17/E17</f>
        <v>0.14275618374558305</v>
      </c>
      <c r="H17" s="18">
        <f>1/(1-G17)</f>
        <v>1.1665292662819455</v>
      </c>
      <c r="J17">
        <f t="shared" si="4"/>
        <v>1934</v>
      </c>
      <c r="L17" s="23">
        <f t="shared" si="0"/>
        <v>1.2489463740735358</v>
      </c>
      <c r="M17" s="23">
        <f t="shared" si="1"/>
        <v>1.1208304498269896</v>
      </c>
      <c r="N17" s="23">
        <f t="shared" si="2"/>
        <v>1.1467684612346978</v>
      </c>
      <c r="O17" s="23">
        <f t="shared" si="3"/>
        <v>1.1535155578476879</v>
      </c>
      <c r="Q17">
        <f>0.2*Q13+0.8*Q18</f>
        <v>1.1248</v>
      </c>
    </row>
    <row r="18" spans="4:17" x14ac:dyDescent="0.2">
      <c r="D18" t="s">
        <v>113</v>
      </c>
      <c r="E18">
        <v>8098</v>
      </c>
      <c r="F18">
        <v>873</v>
      </c>
      <c r="G18" s="18">
        <f>F18/E18</f>
        <v>0.10780439614719683</v>
      </c>
      <c r="H18" s="18">
        <f>1/(1-G18)</f>
        <v>1.1208304498269896</v>
      </c>
      <c r="J18">
        <f t="shared" si="4"/>
        <v>1935</v>
      </c>
      <c r="K18" s="22">
        <v>1.1200000000000001</v>
      </c>
      <c r="L18" s="23">
        <f t="shared" si="0"/>
        <v>1.2489463740735358</v>
      </c>
      <c r="M18" s="23">
        <f t="shared" si="1"/>
        <v>1.1208304498269896</v>
      </c>
      <c r="N18" s="23">
        <f t="shared" si="2"/>
        <v>1.1467684612346978</v>
      </c>
      <c r="O18" s="23">
        <f t="shared" si="3"/>
        <v>1.1535155578476879</v>
      </c>
      <c r="Q18" s="22">
        <v>1.1200000000000001</v>
      </c>
    </row>
    <row r="19" spans="4:17" x14ac:dyDescent="0.2">
      <c r="D19" t="s">
        <v>151</v>
      </c>
      <c r="E19">
        <v>10511</v>
      </c>
      <c r="F19">
        <v>1975</v>
      </c>
      <c r="G19" s="18">
        <f>F19/E19</f>
        <v>0.18789839216059367</v>
      </c>
      <c r="H19" s="18">
        <f>1/(1-G19)</f>
        <v>1.2313730084348642</v>
      </c>
      <c r="J19">
        <f t="shared" si="4"/>
        <v>1936</v>
      </c>
      <c r="L19" s="23">
        <f t="shared" si="0"/>
        <v>1.2489463740735358</v>
      </c>
      <c r="M19" s="23">
        <f t="shared" si="1"/>
        <v>1.1208304498269896</v>
      </c>
      <c r="N19" s="23">
        <f t="shared" si="2"/>
        <v>1.1467684612346978</v>
      </c>
      <c r="O19" s="23">
        <f t="shared" si="3"/>
        <v>1.1535155578476879</v>
      </c>
      <c r="Q19">
        <f>0.8*Q18+0.2*Q23</f>
        <v>1.1324000000000001</v>
      </c>
    </row>
    <row r="20" spans="4:17" x14ac:dyDescent="0.2">
      <c r="G20" s="18"/>
      <c r="H20" s="18"/>
      <c r="J20">
        <f t="shared" si="4"/>
        <v>1937</v>
      </c>
      <c r="L20" s="23">
        <f t="shared" si="0"/>
        <v>1.2489463740735358</v>
      </c>
      <c r="M20" s="23">
        <f t="shared" si="1"/>
        <v>1.1208304498269896</v>
      </c>
      <c r="N20" s="23">
        <f t="shared" si="2"/>
        <v>1.1467684612346978</v>
      </c>
      <c r="O20" s="23">
        <f t="shared" si="3"/>
        <v>1.1535155578476879</v>
      </c>
      <c r="Q20">
        <f>0.6*Q18+0.4*Q23</f>
        <v>1.1448</v>
      </c>
    </row>
    <row r="21" spans="4:17" x14ac:dyDescent="0.2">
      <c r="D21" t="s">
        <v>203</v>
      </c>
      <c r="G21" s="18"/>
      <c r="H21" s="18"/>
      <c r="J21">
        <f t="shared" si="4"/>
        <v>1938</v>
      </c>
      <c r="L21" s="23">
        <f t="shared" si="0"/>
        <v>1.2489463740735358</v>
      </c>
      <c r="M21" s="23">
        <f t="shared" si="1"/>
        <v>1.1208304498269896</v>
      </c>
      <c r="N21" s="23">
        <f t="shared" si="2"/>
        <v>1.1467684612346978</v>
      </c>
      <c r="O21" s="23">
        <f t="shared" si="3"/>
        <v>1.1535155578476879</v>
      </c>
      <c r="Q21">
        <f>0.4*Q18+0.6*Q23</f>
        <v>1.1572</v>
      </c>
    </row>
    <row r="22" spans="4:17" x14ac:dyDescent="0.2">
      <c r="E22" t="s">
        <v>185</v>
      </c>
      <c r="F22" t="s">
        <v>186</v>
      </c>
      <c r="G22" s="18" t="s">
        <v>187</v>
      </c>
      <c r="H22" s="18" t="s">
        <v>188</v>
      </c>
      <c r="J22">
        <f t="shared" si="4"/>
        <v>1939</v>
      </c>
      <c r="L22" s="23">
        <f t="shared" si="0"/>
        <v>1.2489463740735358</v>
      </c>
      <c r="M22" s="23">
        <f t="shared" si="1"/>
        <v>1.1208304498269896</v>
      </c>
      <c r="N22" s="23">
        <f t="shared" si="2"/>
        <v>1.1467684612346978</v>
      </c>
      <c r="O22" s="23">
        <f t="shared" si="3"/>
        <v>1.1535155578476879</v>
      </c>
      <c r="Q22">
        <f>0.2*Q18+0.8*Q23</f>
        <v>1.1696</v>
      </c>
    </row>
    <row r="23" spans="4:17" ht="13.5" thickBot="1" x14ac:dyDescent="0.25">
      <c r="E23" s="21" t="s">
        <v>189</v>
      </c>
      <c r="F23" s="21" t="s">
        <v>189</v>
      </c>
      <c r="G23" s="25" t="s">
        <v>190</v>
      </c>
      <c r="H23" s="25"/>
      <c r="J23">
        <f t="shared" si="4"/>
        <v>1940</v>
      </c>
      <c r="K23" s="22">
        <v>1.1819999999999999</v>
      </c>
      <c r="L23" s="23">
        <f t="shared" si="0"/>
        <v>1.2489463740735358</v>
      </c>
      <c r="M23" s="23">
        <f t="shared" si="1"/>
        <v>1.1208304498269896</v>
      </c>
      <c r="N23" s="23">
        <f t="shared" si="2"/>
        <v>1.1467684612346978</v>
      </c>
      <c r="O23" s="23">
        <f t="shared" si="3"/>
        <v>1.1535155578476879</v>
      </c>
      <c r="Q23" s="22">
        <v>1.1819999999999999</v>
      </c>
    </row>
    <row r="24" spans="4:17" x14ac:dyDescent="0.2">
      <c r="D24" t="s">
        <v>197</v>
      </c>
      <c r="E24">
        <v>1721</v>
      </c>
      <c r="F24">
        <f>E24-676-720-167</f>
        <v>158</v>
      </c>
      <c r="G24" s="18">
        <f>F24/E24</f>
        <v>9.1807088901801281E-2</v>
      </c>
      <c r="H24" s="18">
        <f>1/(1-G24)</f>
        <v>1.1010876519513755</v>
      </c>
      <c r="J24">
        <f t="shared" si="4"/>
        <v>1941</v>
      </c>
      <c r="L24" s="23">
        <f t="shared" si="0"/>
        <v>1.2489463740735358</v>
      </c>
      <c r="M24" s="23">
        <f t="shared" si="1"/>
        <v>1.1208304498269896</v>
      </c>
      <c r="N24" s="23">
        <f t="shared" si="2"/>
        <v>1.1467684612346978</v>
      </c>
      <c r="O24" s="23">
        <f t="shared" si="3"/>
        <v>1.1535155578476879</v>
      </c>
      <c r="Q24">
        <f>0.8*Q23+0.2*Q28</f>
        <v>1.2242</v>
      </c>
    </row>
    <row r="25" spans="4:17" x14ac:dyDescent="0.2">
      <c r="D25" t="s">
        <v>202</v>
      </c>
      <c r="E25">
        <v>3608</v>
      </c>
      <c r="F25">
        <v>522</v>
      </c>
      <c r="G25" s="18">
        <f>F25/E25</f>
        <v>0.14467849223946785</v>
      </c>
      <c r="H25" s="18">
        <f>1/(1-G25)</f>
        <v>1.1691510045366169</v>
      </c>
      <c r="J25">
        <f t="shared" si="4"/>
        <v>1942</v>
      </c>
      <c r="L25" s="23">
        <f t="shared" si="0"/>
        <v>1.2489463740735358</v>
      </c>
      <c r="M25" s="23">
        <f t="shared" si="1"/>
        <v>1.1208304498269896</v>
      </c>
      <c r="N25" s="23">
        <f t="shared" si="2"/>
        <v>1.1467684612346978</v>
      </c>
      <c r="O25" s="23">
        <f t="shared" si="3"/>
        <v>1.1535155578476879</v>
      </c>
      <c r="Q25">
        <f>0.6*Q23+0.4*Q28</f>
        <v>1.2664</v>
      </c>
    </row>
    <row r="26" spans="4:17" x14ac:dyDescent="0.2">
      <c r="D26" t="s">
        <v>113</v>
      </c>
      <c r="E26">
        <v>8712</v>
      </c>
      <c r="F26">
        <v>1115</v>
      </c>
      <c r="G26" s="18">
        <f>F26/E26</f>
        <v>0.12798438934802572</v>
      </c>
      <c r="H26" s="18">
        <f>1/(1-G26)</f>
        <v>1.1467684612346978</v>
      </c>
      <c r="J26">
        <f t="shared" si="4"/>
        <v>1943</v>
      </c>
      <c r="L26" s="23">
        <f t="shared" si="0"/>
        <v>1.2489463740735358</v>
      </c>
      <c r="M26" s="23">
        <f t="shared" si="1"/>
        <v>1.1208304498269896</v>
      </c>
      <c r="N26" s="23">
        <f t="shared" si="2"/>
        <v>1.1467684612346978</v>
      </c>
      <c r="O26" s="23">
        <f t="shared" si="3"/>
        <v>1.1535155578476879</v>
      </c>
      <c r="Q26">
        <f>0.4*Q23+0.6*Q28</f>
        <v>1.3086</v>
      </c>
    </row>
    <row r="27" spans="4:17" x14ac:dyDescent="0.2">
      <c r="D27" t="s">
        <v>151</v>
      </c>
      <c r="E27">
        <v>10421</v>
      </c>
      <c r="F27">
        <v>1825</v>
      </c>
      <c r="G27" s="18">
        <f>F27/E27</f>
        <v>0.17512714710680358</v>
      </c>
      <c r="H27" s="18">
        <f>1/(1-G27)</f>
        <v>1.2123080502559329</v>
      </c>
      <c r="J27">
        <f t="shared" si="4"/>
        <v>1944</v>
      </c>
      <c r="L27" s="23">
        <f t="shared" si="0"/>
        <v>1.2489463740735358</v>
      </c>
      <c r="M27" s="23">
        <f t="shared" si="1"/>
        <v>1.1208304498269896</v>
      </c>
      <c r="N27" s="23">
        <f t="shared" si="2"/>
        <v>1.1467684612346978</v>
      </c>
      <c r="O27" s="23">
        <f t="shared" si="3"/>
        <v>1.1535155578476879</v>
      </c>
      <c r="Q27">
        <f>0.2*Q23+0.8*Q28</f>
        <v>1.3508</v>
      </c>
    </row>
    <row r="28" spans="4:17" x14ac:dyDescent="0.2">
      <c r="G28" s="18"/>
      <c r="H28" s="18"/>
      <c r="J28">
        <f t="shared" si="4"/>
        <v>1945</v>
      </c>
      <c r="K28" s="22">
        <v>1.393</v>
      </c>
      <c r="L28" s="23">
        <f t="shared" si="0"/>
        <v>1.2489463740735358</v>
      </c>
      <c r="M28" s="23">
        <f t="shared" si="1"/>
        <v>1.1208304498269896</v>
      </c>
      <c r="N28" s="23">
        <f t="shared" si="2"/>
        <v>1.1467684612346978</v>
      </c>
      <c r="O28" s="23">
        <f t="shared" si="3"/>
        <v>1.1535155578476879</v>
      </c>
      <c r="Q28" s="22">
        <v>1.393</v>
      </c>
    </row>
    <row r="29" spans="4:17" x14ac:dyDescent="0.2">
      <c r="D29" t="s">
        <v>204</v>
      </c>
      <c r="G29" s="18"/>
      <c r="H29" s="18"/>
      <c r="J29">
        <f t="shared" si="4"/>
        <v>1946</v>
      </c>
      <c r="L29" s="23">
        <f t="shared" ref="L29:L38" si="5">$H$11</f>
        <v>1.2234819853867474</v>
      </c>
      <c r="M29" s="23">
        <f t="shared" ref="M29:M38" si="6">$H$19</f>
        <v>1.2313730084348642</v>
      </c>
      <c r="N29" s="23">
        <f t="shared" ref="N29:N38" si="7">$H$27</f>
        <v>1.2123080502559329</v>
      </c>
      <c r="O29" s="23">
        <f t="shared" ref="O29:O38" si="8">$H$35</f>
        <v>1.2558076715289033</v>
      </c>
      <c r="Q29">
        <f>0.5*Q28+0.5*Q33</f>
        <v>1.3045</v>
      </c>
    </row>
    <row r="30" spans="4:17" x14ac:dyDescent="0.2">
      <c r="E30" t="s">
        <v>185</v>
      </c>
      <c r="F30" t="s">
        <v>186</v>
      </c>
      <c r="G30" s="18" t="s">
        <v>187</v>
      </c>
      <c r="H30" s="18" t="s">
        <v>188</v>
      </c>
      <c r="J30">
        <f t="shared" si="4"/>
        <v>1947</v>
      </c>
      <c r="L30" s="23">
        <f t="shared" si="5"/>
        <v>1.2234819853867474</v>
      </c>
      <c r="M30" s="23">
        <f t="shared" si="6"/>
        <v>1.2313730084348642</v>
      </c>
      <c r="N30" s="23">
        <f t="shared" si="7"/>
        <v>1.2123080502559329</v>
      </c>
      <c r="O30" s="23">
        <f t="shared" si="8"/>
        <v>1.2558076715289033</v>
      </c>
      <c r="Q30">
        <f>0.75*Q29+0.25*Q33</f>
        <v>1.282375</v>
      </c>
    </row>
    <row r="31" spans="4:17" ht="13.5" thickBot="1" x14ac:dyDescent="0.25">
      <c r="E31" s="21" t="s">
        <v>189</v>
      </c>
      <c r="F31" s="21" t="s">
        <v>189</v>
      </c>
      <c r="G31" s="25" t="s">
        <v>190</v>
      </c>
      <c r="H31" s="25"/>
      <c r="J31">
        <f t="shared" si="4"/>
        <v>1948</v>
      </c>
      <c r="L31" s="23">
        <f t="shared" si="5"/>
        <v>1.2234819853867474</v>
      </c>
      <c r="M31" s="23">
        <f t="shared" si="6"/>
        <v>1.2313730084348642</v>
      </c>
      <c r="N31" s="23">
        <f t="shared" si="7"/>
        <v>1.2123080502559329</v>
      </c>
      <c r="O31" s="23">
        <f t="shared" si="8"/>
        <v>1.2558076715289033</v>
      </c>
      <c r="Q31">
        <f>0.5*Q29+0.5*Q33</f>
        <v>1.2602500000000001</v>
      </c>
    </row>
    <row r="32" spans="4:17" x14ac:dyDescent="0.2">
      <c r="D32" t="s">
        <v>197</v>
      </c>
      <c r="E32" t="s">
        <v>205</v>
      </c>
      <c r="F32" t="s">
        <v>205</v>
      </c>
      <c r="G32" s="18" t="s">
        <v>205</v>
      </c>
      <c r="H32" s="18" t="s">
        <v>205</v>
      </c>
      <c r="J32">
        <f t="shared" si="4"/>
        <v>1949</v>
      </c>
      <c r="L32" s="23">
        <f t="shared" si="5"/>
        <v>1.2234819853867474</v>
      </c>
      <c r="M32" s="23">
        <f t="shared" si="6"/>
        <v>1.2313730084348642</v>
      </c>
      <c r="N32" s="23">
        <f t="shared" si="7"/>
        <v>1.2123080502559329</v>
      </c>
      <c r="O32" s="23">
        <f t="shared" si="8"/>
        <v>1.2558076715289033</v>
      </c>
      <c r="Q32">
        <f>0.25*Q29+0.75*Q33</f>
        <v>1.2381249999999999</v>
      </c>
    </row>
    <row r="33" spans="4:17" x14ac:dyDescent="0.2">
      <c r="D33" t="s">
        <v>206</v>
      </c>
      <c r="E33">
        <v>3673</v>
      </c>
      <c r="F33">
        <v>404</v>
      </c>
      <c r="G33" s="18">
        <f>F33/E33</f>
        <v>0.10999183228968146</v>
      </c>
      <c r="H33" s="18">
        <f>1/(1-G33)</f>
        <v>1.1235851942490058</v>
      </c>
      <c r="J33">
        <f t="shared" si="4"/>
        <v>1950</v>
      </c>
      <c r="K33" s="22">
        <v>1.216</v>
      </c>
      <c r="L33" s="23">
        <f t="shared" si="5"/>
        <v>1.2234819853867474</v>
      </c>
      <c r="M33" s="23">
        <f t="shared" si="6"/>
        <v>1.2313730084348642</v>
      </c>
      <c r="N33" s="23">
        <f t="shared" si="7"/>
        <v>1.2123080502559329</v>
      </c>
      <c r="O33" s="23">
        <f t="shared" si="8"/>
        <v>1.2558076715289033</v>
      </c>
      <c r="Q33" s="22">
        <v>1.216</v>
      </c>
    </row>
    <row r="34" spans="4:17" x14ac:dyDescent="0.2">
      <c r="D34" t="s">
        <v>113</v>
      </c>
      <c r="E34">
        <v>6710</v>
      </c>
      <c r="F34">
        <v>893</v>
      </c>
      <c r="G34" s="18">
        <f>F34/E34</f>
        <v>0.1330849478390462</v>
      </c>
      <c r="H34" s="18">
        <f>1/(1-G34)</f>
        <v>1.1535155578476879</v>
      </c>
      <c r="J34">
        <f t="shared" si="4"/>
        <v>1951</v>
      </c>
      <c r="K34" s="22">
        <v>1.2370000000000001</v>
      </c>
      <c r="L34" s="23">
        <f t="shared" si="5"/>
        <v>1.2234819853867474</v>
      </c>
      <c r="M34" s="23">
        <f t="shared" si="6"/>
        <v>1.2313730084348642</v>
      </c>
      <c r="N34" s="23">
        <f t="shared" si="7"/>
        <v>1.2123080502559329</v>
      </c>
      <c r="O34" s="23">
        <f t="shared" si="8"/>
        <v>1.2558076715289033</v>
      </c>
      <c r="Q34" s="22">
        <v>1.2370000000000001</v>
      </c>
    </row>
    <row r="35" spans="4:17" x14ac:dyDescent="0.2">
      <c r="D35" t="s">
        <v>151</v>
      </c>
      <c r="E35">
        <v>9298</v>
      </c>
      <c r="F35">
        <v>1894</v>
      </c>
      <c r="G35" s="18">
        <f>F35/E35</f>
        <v>0.20369972036997203</v>
      </c>
      <c r="H35" s="18">
        <f>1/(1-G35)</f>
        <v>1.2558076715289033</v>
      </c>
      <c r="J35">
        <f t="shared" si="4"/>
        <v>1952</v>
      </c>
      <c r="K35" s="22">
        <v>1.224</v>
      </c>
      <c r="L35" s="23">
        <f t="shared" si="5"/>
        <v>1.2234819853867474</v>
      </c>
      <c r="M35" s="23">
        <f t="shared" si="6"/>
        <v>1.2313730084348642</v>
      </c>
      <c r="N35" s="23">
        <f t="shared" si="7"/>
        <v>1.2123080502559329</v>
      </c>
      <c r="O35" s="23">
        <f t="shared" si="8"/>
        <v>1.2558076715289033</v>
      </c>
      <c r="Q35" s="22">
        <v>1.224</v>
      </c>
    </row>
    <row r="36" spans="4:17" x14ac:dyDescent="0.2">
      <c r="J36">
        <f t="shared" si="4"/>
        <v>1953</v>
      </c>
      <c r="K36" s="22">
        <v>1.2090000000000001</v>
      </c>
      <c r="L36" s="23">
        <f t="shared" si="5"/>
        <v>1.2234819853867474</v>
      </c>
      <c r="M36" s="23">
        <f t="shared" si="6"/>
        <v>1.2313730084348642</v>
      </c>
      <c r="N36" s="23">
        <f t="shared" si="7"/>
        <v>1.2123080502559329</v>
      </c>
      <c r="O36" s="23">
        <f t="shared" si="8"/>
        <v>1.2558076715289033</v>
      </c>
      <c r="Q36" s="22">
        <v>1.2090000000000001</v>
      </c>
    </row>
    <row r="37" spans="4:17" x14ac:dyDescent="0.2">
      <c r="J37">
        <f t="shared" si="4"/>
        <v>1954</v>
      </c>
      <c r="K37" s="22">
        <v>1.2130000000000001</v>
      </c>
      <c r="L37" s="23">
        <f t="shared" si="5"/>
        <v>1.2234819853867474</v>
      </c>
      <c r="M37" s="23">
        <f t="shared" si="6"/>
        <v>1.2313730084348642</v>
      </c>
      <c r="N37" s="23">
        <f t="shared" si="7"/>
        <v>1.2123080502559329</v>
      </c>
      <c r="O37" s="23">
        <f t="shared" si="8"/>
        <v>1.2558076715289033</v>
      </c>
      <c r="Q37" s="22">
        <v>1.2130000000000001</v>
      </c>
    </row>
    <row r="38" spans="4:17" x14ac:dyDescent="0.2">
      <c r="J38">
        <f t="shared" si="4"/>
        <v>1955</v>
      </c>
      <c r="K38" s="22">
        <v>1.2290000000000001</v>
      </c>
      <c r="L38" s="23">
        <f t="shared" si="5"/>
        <v>1.2234819853867474</v>
      </c>
      <c r="M38" s="23">
        <f t="shared" si="6"/>
        <v>1.2313730084348642</v>
      </c>
      <c r="N38" s="23">
        <f t="shared" si="7"/>
        <v>1.2123080502559329</v>
      </c>
      <c r="O38" s="23">
        <f t="shared" si="8"/>
        <v>1.2558076715289033</v>
      </c>
      <c r="Q38" s="22">
        <v>1.2290000000000001</v>
      </c>
    </row>
    <row r="46" spans="4:17" x14ac:dyDescent="0.2">
      <c r="K46">
        <f>1/(1-0.09)</f>
        <v>1.0989010989010988</v>
      </c>
    </row>
  </sheetData>
  <phoneticPr fontId="0" type="noConversion"/>
  <pageMargins left="0.75" right="0.75" top="1" bottom="1" header="0.5" footer="0.5"/>
  <headerFooter alignWithMargins="0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D1:BG129"/>
  <sheetViews>
    <sheetView topLeftCell="AJ27" workbookViewId="0">
      <selection activeCell="AN33" sqref="AN33"/>
    </sheetView>
  </sheetViews>
  <sheetFormatPr defaultRowHeight="12.75" x14ac:dyDescent="0.2"/>
  <cols>
    <col min="5" max="5" width="11.42578125" customWidth="1"/>
    <col min="6" max="6" width="13.42578125" customWidth="1"/>
    <col min="7" max="7" width="10.28515625" customWidth="1"/>
    <col min="8" max="8" width="11.28515625" customWidth="1"/>
    <col min="9" max="9" width="11" customWidth="1"/>
    <col min="10" max="10" width="10.7109375" customWidth="1"/>
    <col min="26" max="26" width="5.5703125" customWidth="1"/>
  </cols>
  <sheetData>
    <row r="1" spans="4:58" x14ac:dyDescent="0.2">
      <c r="D1" s="2" t="s">
        <v>176</v>
      </c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26"/>
      <c r="AA1" s="8"/>
      <c r="AB1" s="8"/>
    </row>
    <row r="2" spans="4:58" x14ac:dyDescent="0.2">
      <c r="N2" s="8"/>
      <c r="O2" s="8"/>
      <c r="P2" s="8"/>
      <c r="Q2" s="8" t="s">
        <v>208</v>
      </c>
      <c r="R2" s="8"/>
      <c r="S2" s="8"/>
      <c r="T2" s="8"/>
      <c r="U2" s="8"/>
      <c r="V2" s="8"/>
      <c r="W2" s="8"/>
      <c r="X2" s="8"/>
      <c r="Y2" s="8"/>
      <c r="Z2" s="26"/>
      <c r="AA2" s="8" t="s">
        <v>210</v>
      </c>
      <c r="AB2" s="8"/>
      <c r="AC2" s="8" t="s">
        <v>211</v>
      </c>
      <c r="AD2" s="8"/>
    </row>
    <row r="3" spans="4:58" x14ac:dyDescent="0.2">
      <c r="E3" t="s">
        <v>74</v>
      </c>
      <c r="F3" t="s">
        <v>177</v>
      </c>
      <c r="G3" t="s">
        <v>70</v>
      </c>
      <c r="H3" t="s">
        <v>178</v>
      </c>
      <c r="I3" t="s">
        <v>80</v>
      </c>
      <c r="J3" t="s">
        <v>179</v>
      </c>
      <c r="K3" t="s">
        <v>82</v>
      </c>
      <c r="L3" t="s">
        <v>83</v>
      </c>
      <c r="N3" s="8"/>
      <c r="O3" s="8"/>
      <c r="P3" s="8"/>
      <c r="Q3" t="s">
        <v>74</v>
      </c>
      <c r="R3" t="s">
        <v>177</v>
      </c>
      <c r="S3" t="s">
        <v>70</v>
      </c>
      <c r="T3" t="s">
        <v>178</v>
      </c>
      <c r="U3" t="s">
        <v>80</v>
      </c>
      <c r="V3" t="s">
        <v>179</v>
      </c>
      <c r="W3" t="s">
        <v>82</v>
      </c>
      <c r="X3" t="s">
        <v>83</v>
      </c>
      <c r="Y3" s="8"/>
      <c r="Z3" s="26"/>
      <c r="AA3" s="8"/>
      <c r="AB3" s="8"/>
    </row>
    <row r="4" spans="4:58" x14ac:dyDescent="0.2">
      <c r="E4" t="s">
        <v>181</v>
      </c>
      <c r="F4" t="s">
        <v>181</v>
      </c>
      <c r="G4" t="s">
        <v>181</v>
      </c>
      <c r="H4" t="s">
        <v>181</v>
      </c>
      <c r="I4" t="s">
        <v>181</v>
      </c>
      <c r="J4" t="s">
        <v>181</v>
      </c>
      <c r="K4" t="s">
        <v>181</v>
      </c>
      <c r="N4" s="8" t="s">
        <v>207</v>
      </c>
      <c r="O4" s="8"/>
      <c r="P4" s="8"/>
      <c r="Q4" t="s">
        <v>181</v>
      </c>
      <c r="R4" t="s">
        <v>181</v>
      </c>
      <c r="S4" t="s">
        <v>181</v>
      </c>
      <c r="T4" t="s">
        <v>181</v>
      </c>
      <c r="U4" t="s">
        <v>181</v>
      </c>
      <c r="V4" t="s">
        <v>181</v>
      </c>
      <c r="W4" t="s">
        <v>181</v>
      </c>
      <c r="Y4" s="8"/>
      <c r="Z4" s="26"/>
      <c r="AA4" t="s">
        <v>92</v>
      </c>
      <c r="AF4" t="s">
        <v>74</v>
      </c>
      <c r="AK4" t="s">
        <v>139</v>
      </c>
      <c r="AO4" t="s">
        <v>70</v>
      </c>
      <c r="AS4" t="s">
        <v>215</v>
      </c>
      <c r="AW4" t="s">
        <v>80</v>
      </c>
      <c r="BA4" t="s">
        <v>220</v>
      </c>
      <c r="BE4" t="s">
        <v>219</v>
      </c>
    </row>
    <row r="5" spans="4:58" x14ac:dyDescent="0.2">
      <c r="D5">
        <v>1919</v>
      </c>
      <c r="E5">
        <f>Hist_Stat!E7</f>
        <v>110</v>
      </c>
      <c r="F5" s="19">
        <f>Hist_Stat!F7</f>
        <v>20.629770992366414</v>
      </c>
      <c r="G5" s="19">
        <f>Hist_Stat!G7</f>
        <v>5.2022900763358777</v>
      </c>
      <c r="H5" s="19">
        <f>Hist_Stat!H7</f>
        <v>2.8702290076335877</v>
      </c>
      <c r="I5" s="19">
        <f>Hist_Stat!I7</f>
        <v>6.278625954198473</v>
      </c>
      <c r="J5" s="19">
        <f>Hist_Stat!J7</f>
        <v>11.122137404580153</v>
      </c>
      <c r="K5" s="19">
        <f>Hist_Stat!K7</f>
        <v>0.89694656488549618</v>
      </c>
      <c r="N5" s="8">
        <f t="shared" ref="N5:N10" si="0">1.12</f>
        <v>1.1200000000000001</v>
      </c>
      <c r="O5" s="8"/>
      <c r="P5" s="8">
        <f>D5</f>
        <v>1919</v>
      </c>
      <c r="Q5" s="24">
        <f>E5*$N5</f>
        <v>123.20000000000002</v>
      </c>
      <c r="R5" s="24">
        <f t="shared" ref="R5:W5" si="1">F5*$N5</f>
        <v>23.105343511450386</v>
      </c>
      <c r="S5" s="24">
        <f t="shared" si="1"/>
        <v>5.8265648854961833</v>
      </c>
      <c r="T5" s="24">
        <f t="shared" si="1"/>
        <v>3.2146564885496187</v>
      </c>
      <c r="U5" s="24">
        <f t="shared" si="1"/>
        <v>7.0320610687022906</v>
      </c>
      <c r="V5" s="24">
        <f t="shared" si="1"/>
        <v>12.456793893129772</v>
      </c>
      <c r="W5" s="24">
        <f t="shared" si="1"/>
        <v>1.0045801526717557</v>
      </c>
      <c r="X5" s="24">
        <f>SUM(Q5:W5)</f>
        <v>175.84000000000006</v>
      </c>
      <c r="Y5" s="8"/>
      <c r="Z5" s="26"/>
      <c r="AA5" t="s">
        <v>225</v>
      </c>
      <c r="AB5" s="8" t="s">
        <v>216</v>
      </c>
      <c r="AC5" t="s">
        <v>217</v>
      </c>
      <c r="AF5" t="s">
        <v>112</v>
      </c>
      <c r="AG5" t="s">
        <v>221</v>
      </c>
      <c r="AH5" t="s">
        <v>222</v>
      </c>
      <c r="AK5" t="s">
        <v>112</v>
      </c>
      <c r="AL5" t="s">
        <v>212</v>
      </c>
      <c r="AO5" t="s">
        <v>112</v>
      </c>
      <c r="AP5" t="s">
        <v>212</v>
      </c>
      <c r="AS5" t="s">
        <v>112</v>
      </c>
      <c r="AT5" t="s">
        <v>212</v>
      </c>
      <c r="AW5" t="s">
        <v>112</v>
      </c>
      <c r="AX5" t="s">
        <v>212</v>
      </c>
      <c r="BA5" t="s">
        <v>112</v>
      </c>
      <c r="BB5" t="s">
        <v>212</v>
      </c>
      <c r="BE5" t="s">
        <v>112</v>
      </c>
      <c r="BF5" t="s">
        <v>212</v>
      </c>
    </row>
    <row r="6" spans="4:58" x14ac:dyDescent="0.2">
      <c r="D6">
        <v>1920</v>
      </c>
      <c r="E6">
        <f>Hist_Stat!E8</f>
        <v>84</v>
      </c>
      <c r="F6" s="19">
        <f>Hist_Stat!F8</f>
        <v>21.507633587786259</v>
      </c>
      <c r="G6" s="19">
        <f>Hist_Stat!G8</f>
        <v>5.4236641221374047</v>
      </c>
      <c r="H6" s="19">
        <f>Hist_Stat!H8</f>
        <v>2.9923664122137406</v>
      </c>
      <c r="I6" s="19">
        <f>Hist_Stat!I8</f>
        <v>6.5458015267175576</v>
      </c>
      <c r="J6" s="19">
        <f>Hist_Stat!J8</f>
        <v>11.595419847328245</v>
      </c>
      <c r="K6" s="19">
        <f>Hist_Stat!K8</f>
        <v>0.93511450381679395</v>
      </c>
      <c r="N6" s="8">
        <f t="shared" si="0"/>
        <v>1.1200000000000001</v>
      </c>
      <c r="O6" s="8"/>
      <c r="P6" s="8">
        <f t="shared" ref="P6:P56" si="2">D6</f>
        <v>1920</v>
      </c>
      <c r="Q6" s="24">
        <f t="shared" ref="Q6:Q41" si="3">E6*$N6</f>
        <v>94.080000000000013</v>
      </c>
      <c r="R6" s="24">
        <f t="shared" ref="R6:R41" si="4">F6*$N6</f>
        <v>24.088549618320613</v>
      </c>
      <c r="S6" s="24">
        <f t="shared" ref="S6:S41" si="5">G6*$N6</f>
        <v>6.0745038167938938</v>
      </c>
      <c r="T6" s="24">
        <f t="shared" ref="T6:T41" si="6">H6*$N6</f>
        <v>3.3514503816793897</v>
      </c>
      <c r="U6" s="24">
        <f t="shared" ref="U6:U41" si="7">I6*$N6</f>
        <v>7.3312977099236649</v>
      </c>
      <c r="V6" s="24">
        <f t="shared" ref="V6:V41" si="8">J6*$N6</f>
        <v>12.986870229007636</v>
      </c>
      <c r="W6" s="24">
        <f t="shared" ref="W6:W41" si="9">K6*$N6</f>
        <v>1.0473282442748093</v>
      </c>
      <c r="X6" s="24">
        <f t="shared" ref="X6:X41" si="10">SUM(Q6:W6)</f>
        <v>148.96000000000004</v>
      </c>
      <c r="Y6" s="8"/>
      <c r="Z6" s="26"/>
      <c r="AB6" s="8"/>
    </row>
    <row r="7" spans="4:58" x14ac:dyDescent="0.2">
      <c r="D7">
        <v>1921</v>
      </c>
      <c r="E7">
        <f>Hist_Stat!E9</f>
        <v>65</v>
      </c>
      <c r="F7" s="19">
        <f>Hist_Stat!F9</f>
        <v>20.629770992366414</v>
      </c>
      <c r="G7" s="19">
        <f>Hist_Stat!G9</f>
        <v>5.2022900763358777</v>
      </c>
      <c r="H7" s="19">
        <f>Hist_Stat!H9</f>
        <v>2.8702290076335877</v>
      </c>
      <c r="I7" s="19">
        <f>Hist_Stat!I9</f>
        <v>6.278625954198473</v>
      </c>
      <c r="J7" s="19">
        <f>Hist_Stat!J9</f>
        <v>11.122137404580153</v>
      </c>
      <c r="K7" s="19">
        <f>Hist_Stat!K9</f>
        <v>0.89694656488549618</v>
      </c>
      <c r="N7" s="8">
        <f t="shared" si="0"/>
        <v>1.1200000000000001</v>
      </c>
      <c r="O7" s="8"/>
      <c r="P7" s="8">
        <f t="shared" si="2"/>
        <v>1921</v>
      </c>
      <c r="Q7" s="24">
        <f t="shared" si="3"/>
        <v>72.800000000000011</v>
      </c>
      <c r="R7" s="24">
        <f t="shared" si="4"/>
        <v>23.105343511450386</v>
      </c>
      <c r="S7" s="24">
        <f t="shared" si="5"/>
        <v>5.8265648854961833</v>
      </c>
      <c r="T7" s="24">
        <f t="shared" si="6"/>
        <v>3.2146564885496187</v>
      </c>
      <c r="U7" s="24">
        <f t="shared" si="7"/>
        <v>7.0320610687022906</v>
      </c>
      <c r="V7" s="24">
        <f t="shared" si="8"/>
        <v>12.456793893129772</v>
      </c>
      <c r="W7" s="24">
        <f t="shared" si="9"/>
        <v>1.0045801526717557</v>
      </c>
      <c r="X7" s="24">
        <f t="shared" si="10"/>
        <v>125.44000000000001</v>
      </c>
      <c r="Y7" s="8"/>
      <c r="Z7" s="26"/>
      <c r="AB7" s="8"/>
    </row>
    <row r="8" spans="4:58" x14ac:dyDescent="0.2">
      <c r="D8">
        <v>1922</v>
      </c>
      <c r="E8">
        <f>Hist_Stat!E10</f>
        <v>95</v>
      </c>
      <c r="F8" s="19">
        <f>Hist_Stat!F10</f>
        <v>43.015267175572518</v>
      </c>
      <c r="G8" s="19">
        <f>Hist_Stat!G10</f>
        <v>10.847328244274809</v>
      </c>
      <c r="H8" s="19">
        <f>Hist_Stat!H10</f>
        <v>5.9847328244274811</v>
      </c>
      <c r="I8" s="19">
        <f>Hist_Stat!I10</f>
        <v>13.091603053435115</v>
      </c>
      <c r="J8" s="19">
        <f>Hist_Stat!J10</f>
        <v>23.190839694656489</v>
      </c>
      <c r="K8" s="19">
        <f>Hist_Stat!K10</f>
        <v>1.8702290076335879</v>
      </c>
      <c r="N8" s="8">
        <f t="shared" si="0"/>
        <v>1.1200000000000001</v>
      </c>
      <c r="O8" s="8"/>
      <c r="P8" s="8">
        <f t="shared" si="2"/>
        <v>1922</v>
      </c>
      <c r="Q8" s="24">
        <f t="shared" si="3"/>
        <v>106.4</v>
      </c>
      <c r="R8" s="24">
        <f t="shared" si="4"/>
        <v>48.177099236641226</v>
      </c>
      <c r="S8" s="24">
        <f t="shared" si="5"/>
        <v>12.149007633587788</v>
      </c>
      <c r="T8" s="24">
        <f t="shared" si="6"/>
        <v>6.7029007633587794</v>
      </c>
      <c r="U8" s="24">
        <f t="shared" si="7"/>
        <v>14.66259541984733</v>
      </c>
      <c r="V8" s="24">
        <f t="shared" si="8"/>
        <v>25.973740458015271</v>
      </c>
      <c r="W8" s="24">
        <f t="shared" si="9"/>
        <v>2.0946564885496186</v>
      </c>
      <c r="X8" s="24">
        <f t="shared" si="10"/>
        <v>216.16</v>
      </c>
      <c r="Y8" s="8"/>
      <c r="Z8" s="26"/>
      <c r="AB8" s="8"/>
    </row>
    <row r="9" spans="4:58" x14ac:dyDescent="0.2">
      <c r="D9">
        <v>1923</v>
      </c>
      <c r="E9">
        <f>Hist_Stat!E11</f>
        <v>110</v>
      </c>
      <c r="F9" s="19">
        <f>Hist_Stat!F11</f>
        <v>43.454198473282446</v>
      </c>
      <c r="G9" s="19">
        <f>Hist_Stat!G11</f>
        <v>10.958015267175574</v>
      </c>
      <c r="H9" s="19">
        <f>Hist_Stat!H11</f>
        <v>6.0458015267175567</v>
      </c>
      <c r="I9" s="19">
        <f>Hist_Stat!I11</f>
        <v>13.225190839694656</v>
      </c>
      <c r="J9" s="19">
        <f>Hist_Stat!J11</f>
        <v>23.427480916030536</v>
      </c>
      <c r="K9" s="19">
        <f>Hist_Stat!K11</f>
        <v>1.8893129770992367</v>
      </c>
      <c r="N9" s="8">
        <f t="shared" si="0"/>
        <v>1.1200000000000001</v>
      </c>
      <c r="O9" s="8"/>
      <c r="P9" s="8">
        <f t="shared" si="2"/>
        <v>1923</v>
      </c>
      <c r="Q9" s="24">
        <f t="shared" si="3"/>
        <v>123.20000000000002</v>
      </c>
      <c r="R9" s="24">
        <f t="shared" si="4"/>
        <v>48.668702290076347</v>
      </c>
      <c r="S9" s="24">
        <f t="shared" si="5"/>
        <v>12.272977099236643</v>
      </c>
      <c r="T9" s="24">
        <f t="shared" si="6"/>
        <v>6.7712977099236644</v>
      </c>
      <c r="U9" s="24">
        <f t="shared" si="7"/>
        <v>14.812213740458017</v>
      </c>
      <c r="V9" s="24">
        <f t="shared" si="8"/>
        <v>26.238778625954204</v>
      </c>
      <c r="W9" s="24">
        <f t="shared" si="9"/>
        <v>2.1160305343511454</v>
      </c>
      <c r="X9" s="24">
        <f t="shared" si="10"/>
        <v>234.08000000000004</v>
      </c>
      <c r="Y9" s="8"/>
      <c r="Z9" s="26"/>
      <c r="AB9" s="8"/>
    </row>
    <row r="10" spans="4:58" x14ac:dyDescent="0.2">
      <c r="D10">
        <v>1924</v>
      </c>
      <c r="E10">
        <f>Hist_Stat!E12</f>
        <v>112</v>
      </c>
      <c r="F10" s="19">
        <f>Hist_Stat!F12</f>
        <v>47.843511450381683</v>
      </c>
      <c r="G10" s="19">
        <f>Hist_Stat!G12</f>
        <v>12.064885496183207</v>
      </c>
      <c r="H10" s="19">
        <f>Hist_Stat!H12</f>
        <v>6.6564885496183201</v>
      </c>
      <c r="I10" s="19">
        <f>Hist_Stat!I12</f>
        <v>14.561068702290076</v>
      </c>
      <c r="J10" s="19">
        <f>Hist_Stat!J12</f>
        <v>25.793893129770993</v>
      </c>
      <c r="K10" s="19">
        <f>Hist_Stat!K12</f>
        <v>2.0801526717557253</v>
      </c>
      <c r="N10" s="8">
        <f t="shared" si="0"/>
        <v>1.1200000000000001</v>
      </c>
      <c r="O10" s="8"/>
      <c r="P10" s="8">
        <f t="shared" si="2"/>
        <v>1924</v>
      </c>
      <c r="Q10" s="24">
        <f t="shared" si="3"/>
        <v>125.44000000000001</v>
      </c>
      <c r="R10" s="24">
        <f t="shared" si="4"/>
        <v>53.584732824427491</v>
      </c>
      <c r="S10" s="24">
        <f t="shared" si="5"/>
        <v>13.512671755725194</v>
      </c>
      <c r="T10" s="24">
        <f t="shared" si="6"/>
        <v>7.4552671755725193</v>
      </c>
      <c r="U10" s="24">
        <f t="shared" si="7"/>
        <v>16.308396946564887</v>
      </c>
      <c r="V10" s="24">
        <f t="shared" si="8"/>
        <v>28.889160305343516</v>
      </c>
      <c r="W10" s="24">
        <f t="shared" si="9"/>
        <v>2.3297709923664125</v>
      </c>
      <c r="X10" s="24">
        <f t="shared" si="10"/>
        <v>247.52000000000004</v>
      </c>
      <c r="Y10" s="8"/>
      <c r="Z10" s="26"/>
      <c r="AB10" s="8"/>
    </row>
    <row r="11" spans="4:58" x14ac:dyDescent="0.2">
      <c r="D11">
        <v>1925</v>
      </c>
      <c r="E11">
        <f>Hist_Stat!E13</f>
        <v>160</v>
      </c>
      <c r="F11">
        <f>Hist_Stat!F13</f>
        <v>61</v>
      </c>
      <c r="G11">
        <f>Hist_Stat!G13</f>
        <v>14</v>
      </c>
      <c r="H11">
        <f>Hist_Stat!H13</f>
        <v>8</v>
      </c>
      <c r="I11">
        <f>Hist_Stat!I13</f>
        <v>19</v>
      </c>
      <c r="J11">
        <f>Hist_Stat!J13</f>
        <v>32</v>
      </c>
      <c r="K11">
        <f>Hist_Stat!K13</f>
        <v>1</v>
      </c>
      <c r="N11" s="8">
        <f>West_inflation!Q8</f>
        <v>1.127</v>
      </c>
      <c r="O11" s="8"/>
      <c r="P11" s="8">
        <f t="shared" si="2"/>
        <v>1925</v>
      </c>
      <c r="Q11" s="24">
        <f t="shared" si="3"/>
        <v>180.32</v>
      </c>
      <c r="R11" s="24">
        <f t="shared" si="4"/>
        <v>68.747</v>
      </c>
      <c r="S11" s="24">
        <f t="shared" si="5"/>
        <v>15.778</v>
      </c>
      <c r="T11" s="24">
        <f t="shared" si="6"/>
        <v>9.016</v>
      </c>
      <c r="U11" s="24">
        <f t="shared" si="7"/>
        <v>21.413</v>
      </c>
      <c r="V11" s="24">
        <f t="shared" si="8"/>
        <v>36.064</v>
      </c>
      <c r="W11" s="24">
        <f t="shared" si="9"/>
        <v>1.127</v>
      </c>
      <c r="X11" s="24">
        <f t="shared" si="10"/>
        <v>332.46500000000009</v>
      </c>
      <c r="Y11" s="8"/>
      <c r="Z11" s="26"/>
      <c r="AA11" s="19">
        <f>X11</f>
        <v>332.46500000000009</v>
      </c>
      <c r="AB11" s="8">
        <f>AH11+AL11+AP11+AT11+AX11+BB11+BF11</f>
        <v>321.39999999999998</v>
      </c>
      <c r="AC11">
        <f t="shared" ref="AC11:AC41" si="11">X11/AB11</f>
        <v>1.0344275046670819</v>
      </c>
      <c r="AF11" s="19">
        <f>Q11</f>
        <v>180.32</v>
      </c>
      <c r="AG11">
        <f>DODCompareOld!$B2+DODCompareOld!$C2+DODCompareOld!$E2</f>
        <v>160</v>
      </c>
      <c r="AH11">
        <f>DODCompareOld!$B2+DODCompareOld!$C2+DODCompareOld!$E2+DODCompareOld!$D2</f>
        <v>169.4</v>
      </c>
      <c r="AK11" s="19">
        <f>R11</f>
        <v>68.747</v>
      </c>
      <c r="AL11">
        <f>DODCompareOld!F2</f>
        <v>69</v>
      </c>
      <c r="AO11" s="19">
        <f>S11</f>
        <v>15.778</v>
      </c>
      <c r="AP11">
        <f>DODCompareOld!G2</f>
        <v>16</v>
      </c>
      <c r="AS11" s="19">
        <f>T11</f>
        <v>9.016</v>
      </c>
      <c r="AT11">
        <f>DODCompareOld!H2</f>
        <v>9</v>
      </c>
      <c r="AW11" s="19">
        <f>U11</f>
        <v>21.413</v>
      </c>
      <c r="AX11">
        <f>DODCompareOld!I2</f>
        <v>21</v>
      </c>
      <c r="BA11" s="19">
        <f>V11</f>
        <v>36.064</v>
      </c>
      <c r="BB11">
        <f>DODCompareOld!K2</f>
        <v>32</v>
      </c>
      <c r="BE11" s="19">
        <f>W11</f>
        <v>1.127</v>
      </c>
      <c r="BF11">
        <f>DODCompareOld!L2</f>
        <v>5</v>
      </c>
    </row>
    <row r="12" spans="4:58" x14ac:dyDescent="0.2">
      <c r="D12">
        <f t="shared" ref="D12:D56" si="12">D11+1</f>
        <v>1926</v>
      </c>
      <c r="E12">
        <f>Hist_Stat!E14</f>
        <v>152</v>
      </c>
      <c r="F12">
        <f>Hist_Stat!F14</f>
        <v>54</v>
      </c>
      <c r="G12">
        <f>Hist_Stat!G14</f>
        <v>15</v>
      </c>
      <c r="H12">
        <f>Hist_Stat!H14</f>
        <v>8</v>
      </c>
      <c r="I12">
        <f>Hist_Stat!I14</f>
        <v>16</v>
      </c>
      <c r="J12">
        <f>Hist_Stat!J14</f>
        <v>30</v>
      </c>
      <c r="K12">
        <f>Hist_Stat!K14</f>
        <v>4</v>
      </c>
      <c r="N12" s="8">
        <f>West_inflation!Q9</f>
        <v>1.1304000000000001</v>
      </c>
      <c r="O12" s="8"/>
      <c r="P12" s="8">
        <f t="shared" si="2"/>
        <v>1926</v>
      </c>
      <c r="Q12" s="24">
        <f t="shared" si="3"/>
        <v>171.82080000000002</v>
      </c>
      <c r="R12" s="24">
        <f t="shared" si="4"/>
        <v>61.041600000000003</v>
      </c>
      <c r="S12" s="24">
        <f t="shared" si="5"/>
        <v>16.956</v>
      </c>
      <c r="T12" s="24">
        <f t="shared" si="6"/>
        <v>9.0432000000000006</v>
      </c>
      <c r="U12" s="24">
        <f t="shared" si="7"/>
        <v>18.086400000000001</v>
      </c>
      <c r="V12" s="24">
        <f t="shared" si="8"/>
        <v>33.911999999999999</v>
      </c>
      <c r="W12" s="24">
        <f t="shared" si="9"/>
        <v>4.5216000000000003</v>
      </c>
      <c r="X12" s="24">
        <f t="shared" si="10"/>
        <v>315.38159999999999</v>
      </c>
      <c r="Y12" s="8"/>
      <c r="Z12" s="26"/>
      <c r="AA12" s="19">
        <f t="shared" ref="AA12:AA41" si="13">X12</f>
        <v>315.38159999999999</v>
      </c>
      <c r="AB12" s="8">
        <f t="shared" ref="AB12:AB75" si="14">AH12+AL12+AP12+AT12+AX12+BB12+BF12</f>
        <v>304</v>
      </c>
      <c r="AC12">
        <f t="shared" si="11"/>
        <v>1.0374394736842105</v>
      </c>
      <c r="AF12" s="19">
        <f t="shared" ref="AF12:AF41" si="15">Q12</f>
        <v>171.82080000000002</v>
      </c>
      <c r="AG12">
        <f>DODCompareOld!$B3+DODCompareOld!$C3+DODCompareOld!$E3</f>
        <v>152</v>
      </c>
      <c r="AH12">
        <f>DODCompareOld!$B3+DODCompareOld!$C3+DODCompareOld!$E3+DODCompareOld!$D3</f>
        <v>161</v>
      </c>
      <c r="AK12" s="19">
        <f t="shared" ref="AK12:AK41" si="16">R12</f>
        <v>61.041600000000003</v>
      </c>
      <c r="AL12">
        <f>DODCompareOld!F3</f>
        <v>61</v>
      </c>
      <c r="AO12" s="19">
        <f t="shared" ref="AO12:AO41" si="17">S12</f>
        <v>16.956</v>
      </c>
      <c r="AP12">
        <f>DODCompareOld!G3</f>
        <v>17</v>
      </c>
      <c r="AS12" s="19">
        <f t="shared" ref="AS12:AS41" si="18">T12</f>
        <v>9.0432000000000006</v>
      </c>
      <c r="AT12">
        <f>DODCompareOld!H3</f>
        <v>9</v>
      </c>
      <c r="AW12" s="19">
        <f t="shared" ref="AW12:AW41" si="19">U12</f>
        <v>18.086400000000001</v>
      </c>
      <c r="AX12">
        <f>DODCompareOld!I3</f>
        <v>18</v>
      </c>
      <c r="BA12" s="19">
        <f t="shared" ref="BA12:BA41" si="20">V12</f>
        <v>33.911999999999999</v>
      </c>
      <c r="BB12">
        <f>DODCompareOld!K3</f>
        <v>30</v>
      </c>
      <c r="BE12" s="19">
        <f t="shared" ref="BE12:BE41" si="21">W12</f>
        <v>4.5216000000000003</v>
      </c>
      <c r="BF12">
        <f>DODCompareOld!L3</f>
        <v>8</v>
      </c>
    </row>
    <row r="13" spans="4:58" x14ac:dyDescent="0.2">
      <c r="D13">
        <f t="shared" si="12"/>
        <v>1927</v>
      </c>
      <c r="E13">
        <f>Hist_Stat!E15</f>
        <v>142</v>
      </c>
      <c r="F13">
        <f>Hist_Stat!F15</f>
        <v>54</v>
      </c>
      <c r="G13">
        <f>Hist_Stat!G15</f>
        <v>19</v>
      </c>
      <c r="H13">
        <f>Hist_Stat!H15</f>
        <v>10</v>
      </c>
      <c r="I13">
        <f>Hist_Stat!I15</f>
        <v>17</v>
      </c>
      <c r="J13">
        <f>Hist_Stat!J15</f>
        <v>34</v>
      </c>
      <c r="K13">
        <f>Hist_Stat!K15</f>
        <v>7</v>
      </c>
      <c r="N13" s="8">
        <f>West_inflation!Q10</f>
        <v>1.1337999999999999</v>
      </c>
      <c r="O13" s="8"/>
      <c r="P13" s="8">
        <f t="shared" si="2"/>
        <v>1927</v>
      </c>
      <c r="Q13" s="24">
        <f t="shared" si="3"/>
        <v>160.99959999999999</v>
      </c>
      <c r="R13" s="24">
        <f t="shared" si="4"/>
        <v>61.225199999999994</v>
      </c>
      <c r="S13" s="24">
        <f t="shared" si="5"/>
        <v>21.542199999999998</v>
      </c>
      <c r="T13" s="24">
        <f t="shared" si="6"/>
        <v>11.337999999999999</v>
      </c>
      <c r="U13" s="24">
        <f t="shared" si="7"/>
        <v>19.2746</v>
      </c>
      <c r="V13" s="24">
        <f t="shared" si="8"/>
        <v>38.549199999999999</v>
      </c>
      <c r="W13" s="24">
        <f t="shared" si="9"/>
        <v>7.9365999999999994</v>
      </c>
      <c r="X13" s="24">
        <f t="shared" si="10"/>
        <v>320.86539999999997</v>
      </c>
      <c r="Y13" s="8"/>
      <c r="Z13" s="26"/>
      <c r="AA13" s="19">
        <f t="shared" si="13"/>
        <v>320.86539999999997</v>
      </c>
      <c r="AB13" s="8">
        <f t="shared" si="14"/>
        <v>308.60000000000002</v>
      </c>
      <c r="AC13">
        <f t="shared" si="11"/>
        <v>1.039745301360985</v>
      </c>
      <c r="AF13" s="19">
        <f t="shared" si="15"/>
        <v>160.99959999999999</v>
      </c>
      <c r="AG13">
        <f>DODCompareOld!$B4+DODCompareOld!$C4+DODCompareOld!$E4</f>
        <v>142</v>
      </c>
      <c r="AH13">
        <f>DODCompareOld!$B4+DODCompareOld!$C4+DODCompareOld!$E4+DODCompareOld!$D4</f>
        <v>150.6</v>
      </c>
      <c r="AK13" s="19">
        <f t="shared" si="16"/>
        <v>61.225199999999994</v>
      </c>
      <c r="AL13">
        <f>DODCompareOld!F4</f>
        <v>61</v>
      </c>
      <c r="AO13" s="19">
        <f t="shared" si="17"/>
        <v>21.542199999999998</v>
      </c>
      <c r="AP13">
        <f>DODCompareOld!G4</f>
        <v>21</v>
      </c>
      <c r="AS13" s="19">
        <f t="shared" si="18"/>
        <v>11.337999999999999</v>
      </c>
      <c r="AT13">
        <f>DODCompareOld!H4</f>
        <v>11</v>
      </c>
      <c r="AW13" s="19">
        <f t="shared" si="19"/>
        <v>19.2746</v>
      </c>
      <c r="AX13">
        <f>DODCompareOld!I4</f>
        <v>19</v>
      </c>
      <c r="BA13" s="19">
        <f t="shared" si="20"/>
        <v>38.549199999999999</v>
      </c>
      <c r="BB13">
        <f>DODCompareOld!K4</f>
        <v>34</v>
      </c>
      <c r="BE13" s="19">
        <f t="shared" si="21"/>
        <v>7.9365999999999994</v>
      </c>
      <c r="BF13">
        <f>DODCompareOld!L4</f>
        <v>12</v>
      </c>
    </row>
    <row r="14" spans="4:58" x14ac:dyDescent="0.2">
      <c r="D14">
        <f t="shared" si="12"/>
        <v>1928</v>
      </c>
      <c r="E14">
        <f>Hist_Stat!E16</f>
        <v>159</v>
      </c>
      <c r="F14">
        <f>Hist_Stat!F16</f>
        <v>61</v>
      </c>
      <c r="G14">
        <f>Hist_Stat!G16</f>
        <v>20</v>
      </c>
      <c r="H14">
        <f>Hist_Stat!H16</f>
        <v>11</v>
      </c>
      <c r="I14">
        <f>Hist_Stat!I16</f>
        <v>15</v>
      </c>
      <c r="J14">
        <f>Hist_Stat!J16</f>
        <v>28</v>
      </c>
      <c r="K14">
        <f>Hist_Stat!K16</f>
        <v>6</v>
      </c>
      <c r="N14" s="8">
        <f>West_inflation!Q11</f>
        <v>1.1372</v>
      </c>
      <c r="O14" s="8"/>
      <c r="P14" s="8">
        <f t="shared" si="2"/>
        <v>1928</v>
      </c>
      <c r="Q14" s="24">
        <f t="shared" si="3"/>
        <v>180.81479999999999</v>
      </c>
      <c r="R14" s="24">
        <f t="shared" si="4"/>
        <v>69.369200000000006</v>
      </c>
      <c r="S14" s="24">
        <f t="shared" si="5"/>
        <v>22.744</v>
      </c>
      <c r="T14" s="24">
        <f t="shared" si="6"/>
        <v>12.5092</v>
      </c>
      <c r="U14" s="24">
        <f t="shared" si="7"/>
        <v>17.058</v>
      </c>
      <c r="V14" s="24">
        <f t="shared" si="8"/>
        <v>31.8416</v>
      </c>
      <c r="W14" s="24">
        <f t="shared" si="9"/>
        <v>6.8231999999999999</v>
      </c>
      <c r="X14" s="24">
        <f t="shared" si="10"/>
        <v>341.16</v>
      </c>
      <c r="Y14" s="8"/>
      <c r="Z14" s="26"/>
      <c r="AA14" s="19">
        <f t="shared" si="13"/>
        <v>341.16</v>
      </c>
      <c r="AB14" s="8">
        <f t="shared" si="14"/>
        <v>329.4</v>
      </c>
      <c r="AC14">
        <f t="shared" si="11"/>
        <v>1.0357012750455374</v>
      </c>
      <c r="AF14" s="19">
        <f t="shared" si="15"/>
        <v>180.81479999999999</v>
      </c>
      <c r="AG14">
        <f>DODCompareOld!$B5+DODCompareOld!$C5+DODCompareOld!$E5</f>
        <v>160</v>
      </c>
      <c r="AH14">
        <f>DODCompareOld!$B5+DODCompareOld!$C5+DODCompareOld!$E5+DODCompareOld!$D5</f>
        <v>169.4</v>
      </c>
      <c r="AK14" s="19">
        <f t="shared" si="16"/>
        <v>69.369200000000006</v>
      </c>
      <c r="AL14">
        <f>DODCompareOld!F5</f>
        <v>69</v>
      </c>
      <c r="AO14" s="19">
        <f t="shared" si="17"/>
        <v>22.744</v>
      </c>
      <c r="AP14">
        <f>DODCompareOld!G5</f>
        <v>23</v>
      </c>
      <c r="AS14" s="19">
        <f t="shared" si="18"/>
        <v>12.5092</v>
      </c>
      <c r="AT14">
        <f>DODCompareOld!H5</f>
        <v>12</v>
      </c>
      <c r="AW14" s="19">
        <f t="shared" si="19"/>
        <v>17.058</v>
      </c>
      <c r="AX14">
        <f>DODCompareOld!I5</f>
        <v>17</v>
      </c>
      <c r="BA14" s="19">
        <f t="shared" si="20"/>
        <v>31.8416</v>
      </c>
      <c r="BB14">
        <f>DODCompareOld!K5</f>
        <v>28</v>
      </c>
      <c r="BE14" s="19">
        <f t="shared" si="21"/>
        <v>6.8231999999999999</v>
      </c>
      <c r="BF14">
        <f>DODCompareOld!L5</f>
        <v>11</v>
      </c>
    </row>
    <row r="15" spans="4:58" x14ac:dyDescent="0.2">
      <c r="D15">
        <f t="shared" si="12"/>
        <v>1929</v>
      </c>
      <c r="E15">
        <f>Hist_Stat!E17</f>
        <v>161</v>
      </c>
      <c r="F15">
        <f>Hist_Stat!F17</f>
        <v>59</v>
      </c>
      <c r="G15">
        <f>Hist_Stat!G17</f>
        <v>20</v>
      </c>
      <c r="H15">
        <f>Hist_Stat!H17</f>
        <v>13</v>
      </c>
      <c r="I15">
        <f>Hist_Stat!I17</f>
        <v>13</v>
      </c>
      <c r="J15">
        <f>Hist_Stat!J17</f>
        <v>22</v>
      </c>
      <c r="K15">
        <f>Hist_Stat!K17</f>
        <v>6</v>
      </c>
      <c r="N15" s="8">
        <f>West_inflation!Q12</f>
        <v>1.1406000000000001</v>
      </c>
      <c r="O15" s="8"/>
      <c r="P15" s="8">
        <f t="shared" si="2"/>
        <v>1929</v>
      </c>
      <c r="Q15" s="24">
        <f t="shared" si="3"/>
        <v>183.63660000000002</v>
      </c>
      <c r="R15" s="24">
        <f t="shared" si="4"/>
        <v>67.295400000000001</v>
      </c>
      <c r="S15" s="24">
        <f t="shared" si="5"/>
        <v>22.812000000000001</v>
      </c>
      <c r="T15" s="24">
        <f t="shared" si="6"/>
        <v>14.8278</v>
      </c>
      <c r="U15" s="24">
        <f t="shared" si="7"/>
        <v>14.8278</v>
      </c>
      <c r="V15" s="24">
        <f t="shared" si="8"/>
        <v>25.093200000000003</v>
      </c>
      <c r="W15" s="24">
        <f t="shared" si="9"/>
        <v>6.8436000000000003</v>
      </c>
      <c r="X15" s="24">
        <f t="shared" si="10"/>
        <v>335.33640000000008</v>
      </c>
      <c r="Y15" s="8"/>
      <c r="Z15" s="26"/>
      <c r="AA15" s="19">
        <f t="shared" si="13"/>
        <v>335.33640000000008</v>
      </c>
      <c r="AB15" s="8">
        <f t="shared" si="14"/>
        <v>323.39999999999998</v>
      </c>
      <c r="AC15">
        <f t="shared" si="11"/>
        <v>1.0369090909090912</v>
      </c>
      <c r="AF15" s="19">
        <f t="shared" si="15"/>
        <v>183.63660000000002</v>
      </c>
      <c r="AG15">
        <f>DODCompareOld!$B6+DODCompareOld!$C6+DODCompareOld!$E6</f>
        <v>162</v>
      </c>
      <c r="AH15">
        <f>DODCompareOld!$B6+DODCompareOld!$C6+DODCompareOld!$E6+DODCompareOld!$D6</f>
        <v>171.4</v>
      </c>
      <c r="AK15" s="19">
        <f t="shared" si="16"/>
        <v>67.295400000000001</v>
      </c>
      <c r="AL15">
        <f>DODCompareOld!F6</f>
        <v>67</v>
      </c>
      <c r="AO15" s="19">
        <f t="shared" si="17"/>
        <v>22.812000000000001</v>
      </c>
      <c r="AP15">
        <f>DODCompareOld!G6</f>
        <v>23</v>
      </c>
      <c r="AS15" s="19">
        <f t="shared" si="18"/>
        <v>14.8278</v>
      </c>
      <c r="AT15">
        <f>DODCompareOld!H6</f>
        <v>15</v>
      </c>
      <c r="AW15" s="19">
        <f t="shared" si="19"/>
        <v>14.8278</v>
      </c>
      <c r="AX15">
        <f>DODCompareOld!I6</f>
        <v>15</v>
      </c>
      <c r="BA15" s="19">
        <f t="shared" si="20"/>
        <v>25.093200000000003</v>
      </c>
      <c r="BB15">
        <f>DODCompareOld!K6</f>
        <v>22</v>
      </c>
      <c r="BE15" s="19">
        <f t="shared" si="21"/>
        <v>6.8436000000000003</v>
      </c>
      <c r="BF15">
        <f>DODCompareOld!L6</f>
        <v>10</v>
      </c>
    </row>
    <row r="16" spans="4:58" x14ac:dyDescent="0.2">
      <c r="D16">
        <f t="shared" si="12"/>
        <v>1930</v>
      </c>
      <c r="E16">
        <f>Hist_Stat!E18</f>
        <v>97</v>
      </c>
      <c r="F16">
        <f>Hist_Stat!F18</f>
        <v>57</v>
      </c>
      <c r="G16">
        <f>Hist_Stat!G18</f>
        <v>19</v>
      </c>
      <c r="H16">
        <f>Hist_Stat!H18</f>
        <v>17</v>
      </c>
      <c r="I16">
        <f>Hist_Stat!I18</f>
        <v>11</v>
      </c>
      <c r="J16">
        <f>Hist_Stat!J18</f>
        <v>16</v>
      </c>
      <c r="K16">
        <f>Hist_Stat!K18</f>
        <v>7</v>
      </c>
      <c r="N16" s="8">
        <f>West_inflation!Q13</f>
        <v>1.1439999999999999</v>
      </c>
      <c r="O16" s="8"/>
      <c r="P16" s="8">
        <f t="shared" si="2"/>
        <v>1930</v>
      </c>
      <c r="Q16" s="24">
        <f t="shared" si="3"/>
        <v>110.96799999999999</v>
      </c>
      <c r="R16" s="24">
        <f t="shared" si="4"/>
        <v>65.207999999999998</v>
      </c>
      <c r="S16" s="24">
        <f t="shared" si="5"/>
        <v>21.735999999999997</v>
      </c>
      <c r="T16" s="24">
        <f t="shared" si="6"/>
        <v>19.447999999999997</v>
      </c>
      <c r="U16" s="24">
        <f t="shared" si="7"/>
        <v>12.584</v>
      </c>
      <c r="V16" s="24">
        <f t="shared" si="8"/>
        <v>18.303999999999998</v>
      </c>
      <c r="W16" s="24">
        <f t="shared" si="9"/>
        <v>8.0079999999999991</v>
      </c>
      <c r="X16" s="24">
        <f t="shared" si="10"/>
        <v>256.25599999999997</v>
      </c>
      <c r="Y16" s="8"/>
      <c r="Z16" s="26"/>
      <c r="AA16" s="19">
        <f t="shared" si="13"/>
        <v>256.25599999999997</v>
      </c>
      <c r="AB16" s="8">
        <f t="shared" si="14"/>
        <v>248.8</v>
      </c>
      <c r="AC16">
        <f t="shared" si="11"/>
        <v>1.0299678456591639</v>
      </c>
      <c r="AF16" s="19">
        <f t="shared" si="15"/>
        <v>110.96799999999999</v>
      </c>
      <c r="AG16">
        <f>DODCompareOld!$B7+DODCompareOld!$C7+DODCompareOld!$E7</f>
        <v>99</v>
      </c>
      <c r="AH16">
        <f>DODCompareOld!$B7+DODCompareOld!$C7+DODCompareOld!$E7+DODCompareOld!$D7</f>
        <v>104.8</v>
      </c>
      <c r="AK16" s="19">
        <f t="shared" si="16"/>
        <v>65.207999999999998</v>
      </c>
      <c r="AL16">
        <f>DODCompareOld!F7</f>
        <v>65</v>
      </c>
      <c r="AO16" s="19">
        <f t="shared" si="17"/>
        <v>21.735999999999997</v>
      </c>
      <c r="AP16">
        <f>DODCompareOld!G7</f>
        <v>21</v>
      </c>
      <c r="AS16" s="19">
        <f t="shared" si="18"/>
        <v>19.447999999999997</v>
      </c>
      <c r="AT16">
        <f>DODCompareOld!H7</f>
        <v>19</v>
      </c>
      <c r="AW16" s="19">
        <f t="shared" si="19"/>
        <v>12.584</v>
      </c>
      <c r="AX16">
        <f>DODCompareOld!I7</f>
        <v>13</v>
      </c>
      <c r="BA16" s="19">
        <f t="shared" si="20"/>
        <v>18.303999999999998</v>
      </c>
      <c r="BB16">
        <f>DODCompareOld!K7</f>
        <v>16</v>
      </c>
      <c r="BE16" s="19">
        <f t="shared" si="21"/>
        <v>8.0079999999999991</v>
      </c>
      <c r="BF16">
        <f>DODCompareOld!L7</f>
        <v>10</v>
      </c>
    </row>
    <row r="17" spans="4:58" x14ac:dyDescent="0.2">
      <c r="D17">
        <f t="shared" si="12"/>
        <v>1931</v>
      </c>
      <c r="E17">
        <f>Hist_Stat!E19</f>
        <v>50</v>
      </c>
      <c r="F17">
        <f>Hist_Stat!F19</f>
        <v>37</v>
      </c>
      <c r="G17">
        <f>Hist_Stat!G19</f>
        <v>17</v>
      </c>
      <c r="H17">
        <f>Hist_Stat!H19</f>
        <v>24</v>
      </c>
      <c r="I17">
        <f>Hist_Stat!I19</f>
        <v>6</v>
      </c>
      <c r="J17">
        <f>Hist_Stat!J19</f>
        <v>14</v>
      </c>
      <c r="K17">
        <f>Hist_Stat!K19</f>
        <v>3</v>
      </c>
      <c r="N17" s="8">
        <f>West_inflation!Q14</f>
        <v>1.1392</v>
      </c>
      <c r="O17" s="8"/>
      <c r="P17" s="8">
        <f t="shared" si="2"/>
        <v>1931</v>
      </c>
      <c r="Q17" s="24">
        <f t="shared" si="3"/>
        <v>56.96</v>
      </c>
      <c r="R17" s="24">
        <f t="shared" si="4"/>
        <v>42.150399999999998</v>
      </c>
      <c r="S17" s="24">
        <f t="shared" si="5"/>
        <v>19.366399999999999</v>
      </c>
      <c r="T17" s="24">
        <f t="shared" si="6"/>
        <v>27.340800000000002</v>
      </c>
      <c r="U17" s="24">
        <f t="shared" si="7"/>
        <v>6.8352000000000004</v>
      </c>
      <c r="V17" s="24">
        <f t="shared" si="8"/>
        <v>15.9488</v>
      </c>
      <c r="W17" s="24">
        <f t="shared" si="9"/>
        <v>3.4176000000000002</v>
      </c>
      <c r="X17" s="24">
        <f t="shared" si="10"/>
        <v>172.01920000000001</v>
      </c>
      <c r="Y17" s="8"/>
      <c r="Z17" s="26"/>
      <c r="AA17" s="19">
        <f t="shared" si="13"/>
        <v>172.01920000000001</v>
      </c>
      <c r="AB17" s="8">
        <f t="shared" si="14"/>
        <v>165.7</v>
      </c>
      <c r="AC17">
        <f t="shared" si="11"/>
        <v>1.0381363910681958</v>
      </c>
      <c r="AF17" s="19">
        <f t="shared" si="15"/>
        <v>56.96</v>
      </c>
      <c r="AG17">
        <f>DODCompareOld!$B8+DODCompareOld!$C8+DODCompareOld!$E8</f>
        <v>50</v>
      </c>
      <c r="AH17">
        <f>DODCompareOld!$B8+DODCompareOld!$C8+DODCompareOld!$E8+DODCompareOld!$D8</f>
        <v>52.7</v>
      </c>
      <c r="AK17" s="19">
        <f t="shared" si="16"/>
        <v>42.150399999999998</v>
      </c>
      <c r="AL17">
        <f>DODCompareOld!F8</f>
        <v>41</v>
      </c>
      <c r="AO17" s="19">
        <f t="shared" si="17"/>
        <v>19.366399999999999</v>
      </c>
      <c r="AP17">
        <f>DODCompareOld!G8</f>
        <v>19</v>
      </c>
      <c r="AS17" s="19">
        <f t="shared" si="18"/>
        <v>27.340800000000002</v>
      </c>
      <c r="AT17">
        <f>DODCompareOld!H8</f>
        <v>27</v>
      </c>
      <c r="AW17" s="19">
        <f t="shared" si="19"/>
        <v>6.8352000000000004</v>
      </c>
      <c r="AX17">
        <f>DODCompareOld!I8</f>
        <v>7</v>
      </c>
      <c r="BA17" s="19">
        <f t="shared" si="20"/>
        <v>15.9488</v>
      </c>
      <c r="BB17">
        <f>DODCompareOld!K8</f>
        <v>14</v>
      </c>
      <c r="BE17" s="19">
        <f t="shared" si="21"/>
        <v>3.4176000000000002</v>
      </c>
      <c r="BF17">
        <f>DODCompareOld!L8</f>
        <v>5</v>
      </c>
    </row>
    <row r="18" spans="4:58" x14ac:dyDescent="0.2">
      <c r="D18">
        <f t="shared" si="12"/>
        <v>1932</v>
      </c>
      <c r="E18">
        <f>Hist_Stat!E20</f>
        <v>24</v>
      </c>
      <c r="F18">
        <f>Hist_Stat!F20</f>
        <v>14</v>
      </c>
      <c r="G18">
        <f>Hist_Stat!G20</f>
        <v>7</v>
      </c>
      <c r="H18">
        <f>Hist_Stat!H20</f>
        <v>16</v>
      </c>
      <c r="I18">
        <f>Hist_Stat!I20</f>
        <v>4</v>
      </c>
      <c r="J18">
        <f>Hist_Stat!J20</f>
        <v>6</v>
      </c>
      <c r="K18">
        <f>Hist_Stat!K20</f>
        <v>1</v>
      </c>
      <c r="N18" s="8">
        <f>West_inflation!Q15</f>
        <v>1.1343999999999999</v>
      </c>
      <c r="O18" s="8"/>
      <c r="P18" s="8">
        <f t="shared" si="2"/>
        <v>1932</v>
      </c>
      <c r="Q18" s="24">
        <f t="shared" si="3"/>
        <v>27.225599999999996</v>
      </c>
      <c r="R18" s="24">
        <f t="shared" si="4"/>
        <v>15.881599999999999</v>
      </c>
      <c r="S18" s="24">
        <f t="shared" si="5"/>
        <v>7.9407999999999994</v>
      </c>
      <c r="T18" s="24">
        <f t="shared" si="6"/>
        <v>18.150399999999998</v>
      </c>
      <c r="U18" s="24">
        <f t="shared" si="7"/>
        <v>4.5375999999999994</v>
      </c>
      <c r="V18" s="24">
        <f t="shared" si="8"/>
        <v>6.8063999999999991</v>
      </c>
      <c r="W18" s="24">
        <f t="shared" si="9"/>
        <v>1.1343999999999999</v>
      </c>
      <c r="X18" s="24">
        <f t="shared" si="10"/>
        <v>81.676799999999986</v>
      </c>
      <c r="Y18" s="8"/>
      <c r="Z18" s="26"/>
      <c r="AA18" s="19">
        <f t="shared" si="13"/>
        <v>81.676799999999986</v>
      </c>
      <c r="AB18" s="8">
        <f t="shared" si="14"/>
        <v>79.400000000000006</v>
      </c>
      <c r="AC18">
        <f t="shared" si="11"/>
        <v>1.0286750629722918</v>
      </c>
      <c r="AF18" s="19">
        <f t="shared" si="15"/>
        <v>27.225599999999996</v>
      </c>
      <c r="AG18">
        <f>DODCompareOld!$B9+DODCompareOld!$C9+DODCompareOld!$E9</f>
        <v>24</v>
      </c>
      <c r="AH18">
        <f>DODCompareOld!$B9+DODCompareOld!$C9+DODCompareOld!$E9+DODCompareOld!$D9</f>
        <v>25.4</v>
      </c>
      <c r="AK18" s="19">
        <f t="shared" si="16"/>
        <v>15.881599999999999</v>
      </c>
      <c r="AL18">
        <f>DODCompareOld!F9</f>
        <v>16</v>
      </c>
      <c r="AO18" s="19">
        <f t="shared" si="17"/>
        <v>7.9407999999999994</v>
      </c>
      <c r="AP18">
        <f>DODCompareOld!G9</f>
        <v>8</v>
      </c>
      <c r="AS18" s="19">
        <f t="shared" si="18"/>
        <v>18.150399999999998</v>
      </c>
      <c r="AT18">
        <f>DODCompareOld!H9</f>
        <v>18</v>
      </c>
      <c r="AW18" s="19">
        <f t="shared" si="19"/>
        <v>4.5375999999999994</v>
      </c>
      <c r="AX18">
        <f>DODCompareOld!I9</f>
        <v>4</v>
      </c>
      <c r="BA18" s="19">
        <f t="shared" si="20"/>
        <v>6.8063999999999991</v>
      </c>
      <c r="BB18">
        <f>DODCompareOld!K9</f>
        <v>6</v>
      </c>
      <c r="BE18" s="19">
        <f t="shared" si="21"/>
        <v>1.1343999999999999</v>
      </c>
      <c r="BF18">
        <f>DODCompareOld!L9</f>
        <v>2</v>
      </c>
    </row>
    <row r="19" spans="4:58" x14ac:dyDescent="0.2">
      <c r="D19">
        <f t="shared" si="12"/>
        <v>1933</v>
      </c>
      <c r="E19">
        <f>Hist_Stat!E21</f>
        <v>23</v>
      </c>
      <c r="F19">
        <f>Hist_Stat!F21</f>
        <v>6</v>
      </c>
      <c r="G19">
        <f>Hist_Stat!G21</f>
        <v>6</v>
      </c>
      <c r="H19">
        <f>Hist_Stat!H21</f>
        <v>10</v>
      </c>
      <c r="I19">
        <f>Hist_Stat!I21</f>
        <v>3</v>
      </c>
      <c r="J19">
        <f>Hist_Stat!J21</f>
        <v>6</v>
      </c>
      <c r="K19">
        <f>Hist_Stat!K21</f>
        <v>2</v>
      </c>
      <c r="N19">
        <f>West_inflation!Q16</f>
        <v>1.1295999999999999</v>
      </c>
      <c r="P19" s="8">
        <f t="shared" si="2"/>
        <v>1933</v>
      </c>
      <c r="Q19" s="24">
        <f t="shared" si="3"/>
        <v>25.980799999999999</v>
      </c>
      <c r="R19" s="24">
        <f t="shared" si="4"/>
        <v>6.7775999999999996</v>
      </c>
      <c r="S19" s="24">
        <f t="shared" si="5"/>
        <v>6.7775999999999996</v>
      </c>
      <c r="T19" s="24">
        <f t="shared" si="6"/>
        <v>11.295999999999999</v>
      </c>
      <c r="U19" s="24">
        <f t="shared" si="7"/>
        <v>3.3887999999999998</v>
      </c>
      <c r="V19" s="24">
        <f t="shared" si="8"/>
        <v>6.7775999999999996</v>
      </c>
      <c r="W19" s="24">
        <f t="shared" si="9"/>
        <v>2.2591999999999999</v>
      </c>
      <c r="X19" s="24">
        <f t="shared" si="10"/>
        <v>63.257599999999996</v>
      </c>
      <c r="Z19" s="26"/>
      <c r="AA19" s="19">
        <f t="shared" si="13"/>
        <v>63.257599999999996</v>
      </c>
      <c r="AB19" s="8">
        <f t="shared" si="14"/>
        <v>61.4</v>
      </c>
      <c r="AC19">
        <f t="shared" si="11"/>
        <v>1.0302540716612378</v>
      </c>
      <c r="AF19" s="19">
        <f t="shared" si="15"/>
        <v>25.980799999999999</v>
      </c>
      <c r="AG19">
        <f>DODCompareOld!$B10+DODCompareOld!$C10+DODCompareOld!$E10</f>
        <v>23</v>
      </c>
      <c r="AH19">
        <f>DODCompareOld!$B10+DODCompareOld!$C10+DODCompareOld!$E10+DODCompareOld!$D10</f>
        <v>24.4</v>
      </c>
      <c r="AK19" s="19">
        <f t="shared" si="16"/>
        <v>6.7775999999999996</v>
      </c>
      <c r="AL19">
        <f>DODCompareOld!F10</f>
        <v>7</v>
      </c>
      <c r="AO19" s="19">
        <f t="shared" si="17"/>
        <v>6.7775999999999996</v>
      </c>
      <c r="AP19">
        <f>DODCompareOld!G10</f>
        <v>7</v>
      </c>
      <c r="AS19" s="19">
        <f t="shared" si="18"/>
        <v>11.295999999999999</v>
      </c>
      <c r="AT19">
        <f>DODCompareOld!H10</f>
        <v>11</v>
      </c>
      <c r="AW19" s="19">
        <f t="shared" si="19"/>
        <v>3.3887999999999998</v>
      </c>
      <c r="AX19">
        <f>DODCompareOld!I10</f>
        <v>3</v>
      </c>
      <c r="BA19" s="19">
        <f t="shared" si="20"/>
        <v>6.7775999999999996</v>
      </c>
      <c r="BB19">
        <f>DODCompareOld!K10</f>
        <v>6</v>
      </c>
      <c r="BE19" s="19">
        <f t="shared" si="21"/>
        <v>2.2591999999999999</v>
      </c>
      <c r="BF19">
        <f>DODCompareOld!L10</f>
        <v>3</v>
      </c>
    </row>
    <row r="20" spans="4:58" x14ac:dyDescent="0.2">
      <c r="D20">
        <f t="shared" si="12"/>
        <v>1934</v>
      </c>
      <c r="E20">
        <f>Hist_Stat!E22</f>
        <v>28</v>
      </c>
      <c r="F20">
        <f>Hist_Stat!F22</f>
        <v>17</v>
      </c>
      <c r="G20">
        <f>Hist_Stat!G22</f>
        <v>4</v>
      </c>
      <c r="H20">
        <f>Hist_Stat!H22</f>
        <v>9</v>
      </c>
      <c r="I20">
        <f>Hist_Stat!I22</f>
        <v>3</v>
      </c>
      <c r="J20">
        <f>Hist_Stat!J22</f>
        <v>7</v>
      </c>
      <c r="K20">
        <f>Hist_Stat!K22</f>
        <v>1</v>
      </c>
      <c r="N20">
        <f>West_inflation!Q17</f>
        <v>1.1248</v>
      </c>
      <c r="P20" s="8">
        <f t="shared" si="2"/>
        <v>1934</v>
      </c>
      <c r="Q20" s="24">
        <f t="shared" si="3"/>
        <v>31.494399999999999</v>
      </c>
      <c r="R20" s="24">
        <f t="shared" si="4"/>
        <v>19.121600000000001</v>
      </c>
      <c r="S20" s="24">
        <f t="shared" si="5"/>
        <v>4.4992000000000001</v>
      </c>
      <c r="T20" s="24">
        <f t="shared" si="6"/>
        <v>10.123200000000001</v>
      </c>
      <c r="U20" s="24">
        <f t="shared" si="7"/>
        <v>3.3744000000000001</v>
      </c>
      <c r="V20" s="24">
        <f t="shared" si="8"/>
        <v>7.8735999999999997</v>
      </c>
      <c r="W20" s="24">
        <f t="shared" si="9"/>
        <v>1.1248</v>
      </c>
      <c r="X20" s="24">
        <f t="shared" si="10"/>
        <v>77.611199999999982</v>
      </c>
      <c r="Z20" s="26"/>
      <c r="AA20" s="19">
        <f t="shared" si="13"/>
        <v>77.611199999999982</v>
      </c>
      <c r="AB20" s="8">
        <f t="shared" si="14"/>
        <v>75.8</v>
      </c>
      <c r="AC20">
        <f t="shared" si="11"/>
        <v>1.0238944591029022</v>
      </c>
      <c r="AF20" s="19">
        <f t="shared" si="15"/>
        <v>31.494399999999999</v>
      </c>
      <c r="AG20">
        <f>DODCompareOld!$B11+DODCompareOld!$C11+DODCompareOld!$E11</f>
        <v>29</v>
      </c>
      <c r="AH20">
        <f>DODCompareOld!$B11+DODCompareOld!$C11+DODCompareOld!$E11+DODCompareOld!$D11</f>
        <v>30.8</v>
      </c>
      <c r="AK20" s="19">
        <f t="shared" si="16"/>
        <v>19.121600000000001</v>
      </c>
      <c r="AL20">
        <f>DODCompareOld!F11</f>
        <v>19</v>
      </c>
      <c r="AO20" s="19">
        <f t="shared" si="17"/>
        <v>4.4992000000000001</v>
      </c>
      <c r="AP20">
        <f>DODCompareOld!G11</f>
        <v>4</v>
      </c>
      <c r="AS20" s="19">
        <f t="shared" si="18"/>
        <v>10.123200000000001</v>
      </c>
      <c r="AT20">
        <f>DODCompareOld!H11</f>
        <v>10</v>
      </c>
      <c r="AW20" s="19">
        <f t="shared" si="19"/>
        <v>3.3744000000000001</v>
      </c>
      <c r="AX20">
        <f>DODCompareOld!I11</f>
        <v>3</v>
      </c>
      <c r="BA20" s="19">
        <f t="shared" si="20"/>
        <v>7.8735999999999997</v>
      </c>
      <c r="BB20">
        <f>DODCompareOld!K11</f>
        <v>7</v>
      </c>
      <c r="BE20" s="19">
        <f t="shared" si="21"/>
        <v>1.1248</v>
      </c>
      <c r="BF20">
        <f>DODCompareOld!L11</f>
        <v>2</v>
      </c>
    </row>
    <row r="21" spans="4:58" x14ac:dyDescent="0.2">
      <c r="D21">
        <f t="shared" si="12"/>
        <v>1935</v>
      </c>
      <c r="E21">
        <f>Hist_Stat!E23</f>
        <v>35</v>
      </c>
      <c r="F21">
        <f>Hist_Stat!F23</f>
        <v>26</v>
      </c>
      <c r="G21">
        <f>Hist_Stat!G23</f>
        <v>6</v>
      </c>
      <c r="H21">
        <f>Hist_Stat!H23</f>
        <v>14</v>
      </c>
      <c r="I21">
        <f>Hist_Stat!I23</f>
        <v>4</v>
      </c>
      <c r="J21">
        <f>Hist_Stat!J23</f>
        <v>8</v>
      </c>
      <c r="K21">
        <f>Hist_Stat!K23</f>
        <v>1</v>
      </c>
      <c r="N21">
        <f>West_inflation!Q18</f>
        <v>1.1200000000000001</v>
      </c>
      <c r="P21" s="8">
        <f t="shared" si="2"/>
        <v>1935</v>
      </c>
      <c r="Q21" s="24">
        <f t="shared" si="3"/>
        <v>39.200000000000003</v>
      </c>
      <c r="R21" s="24">
        <f t="shared" si="4"/>
        <v>29.120000000000005</v>
      </c>
      <c r="S21" s="24">
        <f t="shared" si="5"/>
        <v>6.7200000000000006</v>
      </c>
      <c r="T21" s="24">
        <f t="shared" si="6"/>
        <v>15.680000000000001</v>
      </c>
      <c r="U21" s="24">
        <f t="shared" si="7"/>
        <v>4.4800000000000004</v>
      </c>
      <c r="V21" s="24">
        <f t="shared" si="8"/>
        <v>8.9600000000000009</v>
      </c>
      <c r="W21" s="24">
        <f t="shared" si="9"/>
        <v>1.1200000000000001</v>
      </c>
      <c r="X21" s="24">
        <f t="shared" si="10"/>
        <v>105.28000000000003</v>
      </c>
      <c r="Z21" s="26"/>
      <c r="AA21" s="19">
        <f t="shared" si="13"/>
        <v>105.28000000000003</v>
      </c>
      <c r="AB21" s="8">
        <f t="shared" si="14"/>
        <v>102.3</v>
      </c>
      <c r="AC21">
        <f t="shared" si="11"/>
        <v>1.0291300097751714</v>
      </c>
      <c r="AF21" s="19">
        <f t="shared" si="15"/>
        <v>39.200000000000003</v>
      </c>
      <c r="AG21">
        <f>DODCompareOld!$B12+DODCompareOld!$C12+DODCompareOld!$E12</f>
        <v>34</v>
      </c>
      <c r="AH21">
        <f>DODCompareOld!$B12+DODCompareOld!$C12+DODCompareOld!$E12+DODCompareOld!$D12</f>
        <v>36.299999999999997</v>
      </c>
      <c r="AK21" s="19">
        <f t="shared" si="16"/>
        <v>29.120000000000005</v>
      </c>
      <c r="AL21">
        <f>DODCompareOld!F12</f>
        <v>29</v>
      </c>
      <c r="AO21" s="19">
        <f t="shared" si="17"/>
        <v>6.7200000000000006</v>
      </c>
      <c r="AP21">
        <f>DODCompareOld!G12</f>
        <v>7</v>
      </c>
      <c r="AS21" s="19">
        <f t="shared" si="18"/>
        <v>15.680000000000001</v>
      </c>
      <c r="AT21">
        <f>DODCompareOld!H12</f>
        <v>16</v>
      </c>
      <c r="AW21" s="19">
        <f t="shared" si="19"/>
        <v>4.4800000000000004</v>
      </c>
      <c r="AX21">
        <f>DODCompareOld!I12</f>
        <v>4</v>
      </c>
      <c r="BA21" s="19">
        <f t="shared" si="20"/>
        <v>8.9600000000000009</v>
      </c>
      <c r="BB21">
        <f>DODCompareOld!K12</f>
        <v>8</v>
      </c>
      <c r="BE21" s="19">
        <f t="shared" si="21"/>
        <v>1.1200000000000001</v>
      </c>
      <c r="BF21">
        <f>DODCompareOld!L12</f>
        <v>2</v>
      </c>
    </row>
    <row r="22" spans="4:58" x14ac:dyDescent="0.2">
      <c r="D22">
        <f t="shared" si="12"/>
        <v>1936</v>
      </c>
      <c r="E22">
        <f>Hist_Stat!E24</f>
        <v>57</v>
      </c>
      <c r="F22">
        <f>Hist_Stat!F24</f>
        <v>42</v>
      </c>
      <c r="G22">
        <f>Hist_Stat!G24</f>
        <v>10</v>
      </c>
      <c r="H22">
        <f>Hist_Stat!H24</f>
        <v>14</v>
      </c>
      <c r="I22">
        <f>Hist_Stat!I24</f>
        <v>4</v>
      </c>
      <c r="J22">
        <f>Hist_Stat!J24</f>
        <v>13</v>
      </c>
      <c r="K22">
        <f>Hist_Stat!K24</f>
        <v>1</v>
      </c>
      <c r="N22">
        <f>West_inflation!Q19</f>
        <v>1.1324000000000001</v>
      </c>
      <c r="P22" s="8">
        <f t="shared" si="2"/>
        <v>1936</v>
      </c>
      <c r="Q22" s="24">
        <f t="shared" si="3"/>
        <v>64.546800000000005</v>
      </c>
      <c r="R22" s="24">
        <f t="shared" si="4"/>
        <v>47.5608</v>
      </c>
      <c r="S22" s="24">
        <f t="shared" si="5"/>
        <v>11.324000000000002</v>
      </c>
      <c r="T22" s="24">
        <f t="shared" si="6"/>
        <v>15.8536</v>
      </c>
      <c r="U22" s="24">
        <f t="shared" si="7"/>
        <v>4.5296000000000003</v>
      </c>
      <c r="V22" s="24">
        <f t="shared" si="8"/>
        <v>14.721200000000001</v>
      </c>
      <c r="W22" s="24">
        <f t="shared" si="9"/>
        <v>1.1324000000000001</v>
      </c>
      <c r="X22" s="24">
        <f t="shared" si="10"/>
        <v>159.66839999999999</v>
      </c>
      <c r="Z22" s="26"/>
      <c r="AA22" s="19">
        <f t="shared" si="13"/>
        <v>159.66839999999999</v>
      </c>
      <c r="AB22" s="8">
        <f t="shared" si="14"/>
        <v>178.1</v>
      </c>
      <c r="AC22">
        <f t="shared" si="11"/>
        <v>0.8965098259404829</v>
      </c>
      <c r="AF22" s="19">
        <f t="shared" si="15"/>
        <v>64.546800000000005</v>
      </c>
      <c r="AG22">
        <f>DODCompareOld!$B13+DODCompareOld!$C13+DODCompareOld!$E13</f>
        <v>68</v>
      </c>
      <c r="AH22">
        <f>DODCompareOld!$B13+DODCompareOld!$C13+DODCompareOld!$E13+DODCompareOld!$D13</f>
        <v>72.099999999999994</v>
      </c>
      <c r="AK22" s="19">
        <f t="shared" si="16"/>
        <v>47.5608</v>
      </c>
      <c r="AL22">
        <f>DODCompareOld!F13</f>
        <v>52</v>
      </c>
      <c r="AO22" s="19">
        <f t="shared" si="17"/>
        <v>11.324000000000002</v>
      </c>
      <c r="AP22">
        <f>DODCompareOld!G13</f>
        <v>13</v>
      </c>
      <c r="AS22" s="19">
        <f t="shared" si="18"/>
        <v>15.8536</v>
      </c>
      <c r="AT22">
        <f>DODCompareOld!H13</f>
        <v>17</v>
      </c>
      <c r="AW22" s="19">
        <f t="shared" si="19"/>
        <v>4.5296000000000003</v>
      </c>
      <c r="AX22">
        <f>DODCompareOld!I13</f>
        <v>6</v>
      </c>
      <c r="BA22" s="19">
        <f t="shared" si="20"/>
        <v>14.721200000000001</v>
      </c>
      <c r="BB22">
        <f>DODCompareOld!K13</f>
        <v>13</v>
      </c>
      <c r="BE22" s="19">
        <f t="shared" si="21"/>
        <v>1.1324000000000001</v>
      </c>
      <c r="BF22">
        <f>DODCompareOld!L13</f>
        <v>5</v>
      </c>
    </row>
    <row r="23" spans="4:58" x14ac:dyDescent="0.2">
      <c r="D23">
        <f t="shared" si="12"/>
        <v>1937</v>
      </c>
      <c r="E23">
        <f>Hist_Stat!E25</f>
        <v>62</v>
      </c>
      <c r="F23">
        <f>Hist_Stat!F25</f>
        <v>36</v>
      </c>
      <c r="G23">
        <f>Hist_Stat!G25</f>
        <v>11</v>
      </c>
      <c r="H23">
        <f>Hist_Stat!H25</f>
        <v>12</v>
      </c>
      <c r="I23">
        <f>Hist_Stat!I25</f>
        <v>6</v>
      </c>
      <c r="J23">
        <f>Hist_Stat!J25</f>
        <v>14</v>
      </c>
      <c r="K23">
        <f>Hist_Stat!K25</f>
        <v>1</v>
      </c>
      <c r="N23">
        <f>West_inflation!Q20</f>
        <v>1.1448</v>
      </c>
      <c r="P23" s="8">
        <f t="shared" si="2"/>
        <v>1937</v>
      </c>
      <c r="Q23" s="24">
        <f t="shared" si="3"/>
        <v>70.977599999999995</v>
      </c>
      <c r="R23" s="24">
        <f t="shared" si="4"/>
        <v>41.212800000000001</v>
      </c>
      <c r="S23" s="24">
        <f t="shared" si="5"/>
        <v>12.5928</v>
      </c>
      <c r="T23" s="24">
        <f t="shared" si="6"/>
        <v>13.7376</v>
      </c>
      <c r="U23" s="24">
        <f t="shared" si="7"/>
        <v>6.8688000000000002</v>
      </c>
      <c r="V23" s="24">
        <f t="shared" si="8"/>
        <v>16.027200000000001</v>
      </c>
      <c r="W23" s="24">
        <f t="shared" si="9"/>
        <v>1.1448</v>
      </c>
      <c r="X23" s="24">
        <f t="shared" si="10"/>
        <v>162.5616</v>
      </c>
      <c r="Z23" s="26"/>
      <c r="AA23" s="19">
        <f t="shared" si="13"/>
        <v>162.5616</v>
      </c>
      <c r="AB23" s="8">
        <f t="shared" si="14"/>
        <v>166.1</v>
      </c>
      <c r="AC23">
        <f t="shared" si="11"/>
        <v>0.9786971703792896</v>
      </c>
      <c r="AF23" s="19">
        <f t="shared" si="15"/>
        <v>70.977599999999995</v>
      </c>
      <c r="AG23">
        <f>DODCompareOld!$B14+DODCompareOld!$C14+DODCompareOld!$E14</f>
        <v>67</v>
      </c>
      <c r="AH23">
        <f>DODCompareOld!$B14+DODCompareOld!$C14+DODCompareOld!$E14+DODCompareOld!$D14</f>
        <v>71.099999999999994</v>
      </c>
      <c r="AK23" s="19">
        <f t="shared" si="16"/>
        <v>41.212800000000001</v>
      </c>
      <c r="AL23">
        <f>DODCompareOld!F14</f>
        <v>43</v>
      </c>
      <c r="AO23" s="19">
        <f t="shared" si="17"/>
        <v>12.5928</v>
      </c>
      <c r="AP23">
        <f>DODCompareOld!G14</f>
        <v>13</v>
      </c>
      <c r="AS23" s="19">
        <f t="shared" si="18"/>
        <v>13.7376</v>
      </c>
      <c r="AT23">
        <f>DODCompareOld!H14</f>
        <v>14</v>
      </c>
      <c r="AW23" s="19">
        <f t="shared" si="19"/>
        <v>6.8688000000000002</v>
      </c>
      <c r="AX23">
        <f>DODCompareOld!I14</f>
        <v>7</v>
      </c>
      <c r="BA23" s="19">
        <f t="shared" si="20"/>
        <v>16.027200000000001</v>
      </c>
      <c r="BB23">
        <f>DODCompareOld!K14</f>
        <v>14</v>
      </c>
      <c r="BE23" s="19">
        <f t="shared" si="21"/>
        <v>1.1448</v>
      </c>
      <c r="BF23">
        <f>DODCompareOld!L14</f>
        <v>4</v>
      </c>
    </row>
    <row r="24" spans="4:58" x14ac:dyDescent="0.2">
      <c r="D24">
        <f t="shared" si="12"/>
        <v>1938</v>
      </c>
      <c r="E24">
        <f>Hist_Stat!E26</f>
        <v>42</v>
      </c>
      <c r="F24">
        <f>Hist_Stat!F26</f>
        <v>57</v>
      </c>
      <c r="G24">
        <f>Hist_Stat!G26</f>
        <v>17</v>
      </c>
      <c r="H24">
        <f>Hist_Stat!H26</f>
        <v>16</v>
      </c>
      <c r="I24">
        <f>Hist_Stat!I26</f>
        <v>5</v>
      </c>
      <c r="J24">
        <f>Hist_Stat!J26</f>
        <v>18</v>
      </c>
      <c r="K24">
        <f>Hist_Stat!K26</f>
        <v>6</v>
      </c>
      <c r="N24">
        <f>West_inflation!Q21</f>
        <v>1.1572</v>
      </c>
      <c r="P24" s="8">
        <f t="shared" si="2"/>
        <v>1938</v>
      </c>
      <c r="Q24" s="24">
        <f t="shared" si="3"/>
        <v>48.602400000000003</v>
      </c>
      <c r="R24" s="24">
        <f t="shared" si="4"/>
        <v>65.960400000000007</v>
      </c>
      <c r="S24" s="24">
        <f t="shared" si="5"/>
        <v>19.6724</v>
      </c>
      <c r="T24" s="24">
        <f t="shared" si="6"/>
        <v>18.5152</v>
      </c>
      <c r="U24" s="24">
        <f t="shared" si="7"/>
        <v>5.7859999999999996</v>
      </c>
      <c r="V24" s="24">
        <f t="shared" si="8"/>
        <v>20.829599999999999</v>
      </c>
      <c r="W24" s="24">
        <f t="shared" si="9"/>
        <v>6.9432</v>
      </c>
      <c r="X24" s="24">
        <f t="shared" si="10"/>
        <v>186.3092</v>
      </c>
      <c r="Z24" s="26"/>
      <c r="AA24" s="19">
        <f t="shared" si="13"/>
        <v>186.3092</v>
      </c>
      <c r="AB24" s="8">
        <f t="shared" si="14"/>
        <v>182.7</v>
      </c>
      <c r="AC24">
        <f t="shared" si="11"/>
        <v>1.0197547892720307</v>
      </c>
      <c r="AF24" s="19">
        <f t="shared" si="15"/>
        <v>48.602400000000003</v>
      </c>
      <c r="AG24">
        <f>DODCompareOld!$B15+DODCompareOld!$C15+DODCompareOld!$E15</f>
        <v>44</v>
      </c>
      <c r="AH24">
        <f>DODCompareOld!$B15+DODCompareOld!$C15+DODCompareOld!$E15+DODCompareOld!$D15</f>
        <v>46.7</v>
      </c>
      <c r="AK24" s="19">
        <f t="shared" si="16"/>
        <v>65.960400000000007</v>
      </c>
      <c r="AL24">
        <f>DODCompareOld!F15</f>
        <v>65</v>
      </c>
      <c r="AO24" s="19">
        <f t="shared" si="17"/>
        <v>19.6724</v>
      </c>
      <c r="AP24">
        <f>DODCompareOld!G15</f>
        <v>19</v>
      </c>
      <c r="AS24" s="19">
        <f t="shared" si="18"/>
        <v>18.5152</v>
      </c>
      <c r="AT24">
        <f>DODCompareOld!H15</f>
        <v>18</v>
      </c>
      <c r="AW24" s="19">
        <f t="shared" si="19"/>
        <v>5.7859999999999996</v>
      </c>
      <c r="AX24">
        <f>DODCompareOld!I15</f>
        <v>6</v>
      </c>
      <c r="BA24" s="19">
        <f t="shared" si="20"/>
        <v>20.829599999999999</v>
      </c>
      <c r="BB24">
        <f>DODCompareOld!K15</f>
        <v>18</v>
      </c>
      <c r="BE24" s="19">
        <f t="shared" si="21"/>
        <v>6.9432</v>
      </c>
      <c r="BF24">
        <f>DODCompareOld!L15</f>
        <v>10</v>
      </c>
    </row>
    <row r="25" spans="4:58" x14ac:dyDescent="0.2">
      <c r="D25">
        <f t="shared" si="12"/>
        <v>1939</v>
      </c>
      <c r="E25">
        <f>Hist_Stat!E27</f>
        <v>49</v>
      </c>
      <c r="F25">
        <f>Hist_Stat!F27</f>
        <v>34</v>
      </c>
      <c r="G25">
        <f>Hist_Stat!G27</f>
        <v>12</v>
      </c>
      <c r="H25">
        <f>Hist_Stat!H27</f>
        <v>15</v>
      </c>
      <c r="I25">
        <f>Hist_Stat!I27</f>
        <v>6</v>
      </c>
      <c r="J25">
        <f>Hist_Stat!J27</f>
        <v>12</v>
      </c>
      <c r="K25">
        <f>Hist_Stat!K27</f>
        <v>6</v>
      </c>
      <c r="N25">
        <f>West_inflation!Q22</f>
        <v>1.1696</v>
      </c>
      <c r="P25" s="8">
        <f t="shared" si="2"/>
        <v>1939</v>
      </c>
      <c r="Q25" s="24">
        <f t="shared" si="3"/>
        <v>57.310400000000001</v>
      </c>
      <c r="R25" s="24">
        <f t="shared" si="4"/>
        <v>39.766399999999997</v>
      </c>
      <c r="S25" s="24">
        <f t="shared" si="5"/>
        <v>14.0352</v>
      </c>
      <c r="T25" s="24">
        <f t="shared" si="6"/>
        <v>17.544</v>
      </c>
      <c r="U25" s="24">
        <f t="shared" si="7"/>
        <v>7.0175999999999998</v>
      </c>
      <c r="V25" s="24">
        <f t="shared" si="8"/>
        <v>14.0352</v>
      </c>
      <c r="W25" s="24">
        <f t="shared" si="9"/>
        <v>7.0175999999999998</v>
      </c>
      <c r="X25" s="24">
        <f t="shared" si="10"/>
        <v>156.72639999999998</v>
      </c>
      <c r="Z25" s="26"/>
      <c r="AA25" s="19">
        <f t="shared" si="13"/>
        <v>156.72639999999998</v>
      </c>
      <c r="AB25" s="8">
        <f t="shared" si="14"/>
        <v>152.19999999999999</v>
      </c>
      <c r="AC25">
        <f t="shared" si="11"/>
        <v>1.0297398160315374</v>
      </c>
      <c r="AF25" s="19">
        <f t="shared" si="15"/>
        <v>57.310400000000001</v>
      </c>
      <c r="AG25">
        <f>DODCompareOld!$B16+DODCompareOld!$C16+DODCompareOld!$E16</f>
        <v>51</v>
      </c>
      <c r="AH25">
        <f>DODCompareOld!$B16+DODCompareOld!$C16+DODCompareOld!$E16+DODCompareOld!$D16</f>
        <v>54.2</v>
      </c>
      <c r="AK25" s="19">
        <f t="shared" si="16"/>
        <v>39.766399999999997</v>
      </c>
      <c r="AL25">
        <f>DODCompareOld!F16</f>
        <v>39</v>
      </c>
      <c r="AO25" s="19">
        <f t="shared" si="17"/>
        <v>14.0352</v>
      </c>
      <c r="AP25">
        <f>DODCompareOld!G16</f>
        <v>14</v>
      </c>
      <c r="AS25" s="19">
        <f t="shared" si="18"/>
        <v>17.544</v>
      </c>
      <c r="AT25">
        <f>DODCompareOld!H16</f>
        <v>17</v>
      </c>
      <c r="AW25" s="19">
        <f t="shared" si="19"/>
        <v>7.0175999999999998</v>
      </c>
      <c r="AX25">
        <f>DODCompareOld!I16</f>
        <v>7</v>
      </c>
      <c r="BA25" s="19">
        <f t="shared" si="20"/>
        <v>14.0352</v>
      </c>
      <c r="BB25">
        <f>DODCompareOld!K16</f>
        <v>12</v>
      </c>
      <c r="BE25" s="19">
        <f t="shared" si="21"/>
        <v>7.0175999999999998</v>
      </c>
      <c r="BF25">
        <f>DODCompareOld!L16</f>
        <v>9</v>
      </c>
    </row>
    <row r="26" spans="4:58" x14ac:dyDescent="0.2">
      <c r="D26">
        <f t="shared" si="12"/>
        <v>1940</v>
      </c>
      <c r="E26">
        <f>Hist_Stat!E28</f>
        <v>67</v>
      </c>
      <c r="F26">
        <f>Hist_Stat!F28</f>
        <v>25</v>
      </c>
      <c r="G26">
        <f>Hist_Stat!G28</f>
        <v>14</v>
      </c>
      <c r="H26">
        <f>Hist_Stat!H28</f>
        <v>12</v>
      </c>
      <c r="I26">
        <f>Hist_Stat!I28</f>
        <v>7</v>
      </c>
      <c r="J26">
        <f>Hist_Stat!J28</f>
        <v>12</v>
      </c>
      <c r="K26">
        <f>Hist_Stat!K28</f>
        <v>37</v>
      </c>
      <c r="N26">
        <f>West_inflation!Q23</f>
        <v>1.1819999999999999</v>
      </c>
      <c r="P26" s="8">
        <f t="shared" si="2"/>
        <v>1940</v>
      </c>
      <c r="Q26" s="24">
        <f t="shared" si="3"/>
        <v>79.194000000000003</v>
      </c>
      <c r="R26" s="24">
        <f t="shared" si="4"/>
        <v>29.549999999999997</v>
      </c>
      <c r="S26" s="24">
        <f t="shared" si="5"/>
        <v>16.547999999999998</v>
      </c>
      <c r="T26" s="24">
        <f t="shared" si="6"/>
        <v>14.183999999999999</v>
      </c>
      <c r="U26" s="24">
        <f t="shared" si="7"/>
        <v>8.2739999999999991</v>
      </c>
      <c r="V26" s="24">
        <f t="shared" si="8"/>
        <v>14.183999999999999</v>
      </c>
      <c r="W26" s="24">
        <f t="shared" si="9"/>
        <v>43.733999999999995</v>
      </c>
      <c r="X26" s="24">
        <f t="shared" si="10"/>
        <v>205.66800000000001</v>
      </c>
      <c r="Z26" s="26"/>
      <c r="AA26" s="19">
        <f t="shared" si="13"/>
        <v>205.66800000000001</v>
      </c>
      <c r="AB26" s="8">
        <f t="shared" si="14"/>
        <v>198.1</v>
      </c>
      <c r="AC26">
        <f t="shared" si="11"/>
        <v>1.0382029278142353</v>
      </c>
      <c r="AF26" s="19">
        <f t="shared" si="15"/>
        <v>79.194000000000003</v>
      </c>
      <c r="AG26">
        <f>DODCompareOld!$B17+DODCompareOld!$C17+DODCompareOld!$E17</f>
        <v>70</v>
      </c>
      <c r="AH26">
        <f>DODCompareOld!$B17+DODCompareOld!$C17+DODCompareOld!$E17+DODCompareOld!$D17</f>
        <v>74.099999999999994</v>
      </c>
      <c r="AK26" s="19">
        <f t="shared" si="16"/>
        <v>29.549999999999997</v>
      </c>
      <c r="AL26">
        <f>DODCompareOld!F17</f>
        <v>30</v>
      </c>
      <c r="AO26" s="19">
        <f t="shared" si="17"/>
        <v>16.547999999999998</v>
      </c>
      <c r="AP26">
        <f>DODCompareOld!G17</f>
        <v>16</v>
      </c>
      <c r="AS26" s="19">
        <f t="shared" si="18"/>
        <v>14.183999999999999</v>
      </c>
      <c r="AT26">
        <f>DODCompareOld!H17</f>
        <v>14</v>
      </c>
      <c r="AW26" s="19">
        <f t="shared" si="19"/>
        <v>8.2739999999999991</v>
      </c>
      <c r="AX26">
        <f>DODCompareOld!I17</f>
        <v>8</v>
      </c>
      <c r="BA26" s="19">
        <f t="shared" si="20"/>
        <v>14.183999999999999</v>
      </c>
      <c r="BB26">
        <f>DODCompareOld!K17</f>
        <v>12</v>
      </c>
      <c r="BE26" s="19">
        <f t="shared" si="21"/>
        <v>43.733999999999995</v>
      </c>
      <c r="BF26">
        <f>DODCompareOld!L17</f>
        <v>44</v>
      </c>
    </row>
    <row r="27" spans="4:58" x14ac:dyDescent="0.2">
      <c r="D27">
        <f t="shared" si="12"/>
        <v>1941</v>
      </c>
      <c r="E27">
        <f>Hist_Stat!E29</f>
        <v>106</v>
      </c>
      <c r="F27">
        <f>Hist_Stat!F29</f>
        <v>24</v>
      </c>
      <c r="G27">
        <f>Hist_Stat!G29</f>
        <v>15</v>
      </c>
      <c r="H27">
        <f>Hist_Stat!H29</f>
        <v>14</v>
      </c>
      <c r="I27">
        <f>Hist_Stat!I29</f>
        <v>9</v>
      </c>
      <c r="J27">
        <f>Hist_Stat!J29</f>
        <v>15</v>
      </c>
      <c r="K27">
        <f>Hist_Stat!K29</f>
        <v>69</v>
      </c>
      <c r="N27">
        <f>West_inflation!Q24</f>
        <v>1.2242</v>
      </c>
      <c r="P27" s="8">
        <f t="shared" si="2"/>
        <v>1941</v>
      </c>
      <c r="Q27" s="24">
        <f t="shared" si="3"/>
        <v>129.76519999999999</v>
      </c>
      <c r="R27" s="24">
        <f t="shared" si="4"/>
        <v>29.380800000000001</v>
      </c>
      <c r="S27" s="24">
        <f t="shared" si="5"/>
        <v>18.363</v>
      </c>
      <c r="T27" s="24">
        <f t="shared" si="6"/>
        <v>17.1388</v>
      </c>
      <c r="U27" s="24">
        <f t="shared" si="7"/>
        <v>11.017799999999999</v>
      </c>
      <c r="V27" s="24">
        <f t="shared" si="8"/>
        <v>18.363</v>
      </c>
      <c r="W27" s="24">
        <f t="shared" si="9"/>
        <v>84.469799999999992</v>
      </c>
      <c r="X27" s="24">
        <f t="shared" si="10"/>
        <v>308.49839999999995</v>
      </c>
      <c r="Z27" s="26"/>
      <c r="AA27" s="19">
        <f t="shared" si="13"/>
        <v>308.49839999999995</v>
      </c>
      <c r="AB27" s="8">
        <f t="shared" si="14"/>
        <v>286.3</v>
      </c>
      <c r="AC27">
        <f t="shared" si="11"/>
        <v>1.0775354523227381</v>
      </c>
      <c r="AF27" s="19">
        <f t="shared" si="15"/>
        <v>129.76519999999999</v>
      </c>
      <c r="AG27">
        <f>DODCompareOld!$B18+DODCompareOld!$C18+DODCompareOld!$E18</f>
        <v>111</v>
      </c>
      <c r="AH27">
        <f>DODCompareOld!$B18+DODCompareOld!$C18+DODCompareOld!$E18+DODCompareOld!$D18</f>
        <v>117.3</v>
      </c>
      <c r="AK27" s="19">
        <f t="shared" si="16"/>
        <v>29.380800000000001</v>
      </c>
      <c r="AL27">
        <f>DODCompareOld!F18</f>
        <v>29</v>
      </c>
      <c r="AO27" s="19">
        <f t="shared" si="17"/>
        <v>18.363</v>
      </c>
      <c r="AP27">
        <f>DODCompareOld!G18</f>
        <v>17</v>
      </c>
      <c r="AS27" s="19">
        <f t="shared" si="18"/>
        <v>17.1388</v>
      </c>
      <c r="AT27">
        <f>DODCompareOld!H18</f>
        <v>16</v>
      </c>
      <c r="AW27" s="19">
        <f t="shared" si="19"/>
        <v>11.017799999999999</v>
      </c>
      <c r="AX27">
        <f>DODCompareOld!I18</f>
        <v>11</v>
      </c>
      <c r="BA27" s="19">
        <f t="shared" si="20"/>
        <v>18.363</v>
      </c>
      <c r="BB27">
        <f>DODCompareOld!K18</f>
        <v>15</v>
      </c>
      <c r="BE27" s="19">
        <f t="shared" si="21"/>
        <v>84.469799999999992</v>
      </c>
      <c r="BF27">
        <f>DODCompareOld!L18</f>
        <v>81</v>
      </c>
    </row>
    <row r="28" spans="4:58" x14ac:dyDescent="0.2">
      <c r="D28">
        <f t="shared" si="12"/>
        <v>1942</v>
      </c>
      <c r="E28">
        <f>Hist_Stat!E30</f>
        <v>74</v>
      </c>
      <c r="F28">
        <f>Hist_Stat!F30</f>
        <v>31</v>
      </c>
      <c r="G28">
        <f>Hist_Stat!G30</f>
        <v>34</v>
      </c>
      <c r="H28">
        <f>Hist_Stat!H30</f>
        <v>20</v>
      </c>
      <c r="I28">
        <f>Hist_Stat!I30</f>
        <v>3</v>
      </c>
      <c r="J28">
        <f>Hist_Stat!J30</f>
        <v>23</v>
      </c>
      <c r="K28">
        <f>Hist_Stat!K30</f>
        <v>216</v>
      </c>
      <c r="N28">
        <f>West_inflation!Q25</f>
        <v>1.2664</v>
      </c>
      <c r="P28" s="8">
        <f t="shared" si="2"/>
        <v>1942</v>
      </c>
      <c r="Q28" s="24">
        <f t="shared" si="3"/>
        <v>93.7136</v>
      </c>
      <c r="R28" s="24">
        <f t="shared" si="4"/>
        <v>39.258400000000002</v>
      </c>
      <c r="S28" s="24">
        <f t="shared" si="5"/>
        <v>43.057600000000001</v>
      </c>
      <c r="T28" s="24">
        <f t="shared" si="6"/>
        <v>25.327999999999999</v>
      </c>
      <c r="U28" s="24">
        <f t="shared" si="7"/>
        <v>3.7991999999999999</v>
      </c>
      <c r="V28" s="24">
        <f t="shared" si="8"/>
        <v>29.127199999999998</v>
      </c>
      <c r="W28" s="24">
        <f t="shared" si="9"/>
        <v>273.54239999999999</v>
      </c>
      <c r="X28" s="24">
        <f t="shared" si="10"/>
        <v>507.82640000000004</v>
      </c>
      <c r="Z28" s="26"/>
      <c r="AA28" s="19">
        <f t="shared" si="13"/>
        <v>507.82640000000004</v>
      </c>
      <c r="AB28" s="8">
        <f t="shared" si="14"/>
        <v>470.9</v>
      </c>
      <c r="AC28">
        <f t="shared" si="11"/>
        <v>1.0784166489700575</v>
      </c>
      <c r="AF28" s="19">
        <f t="shared" si="15"/>
        <v>93.7136</v>
      </c>
      <c r="AG28">
        <f>DODCompareOld!$B19+DODCompareOld!$C19+DODCompareOld!$E19</f>
        <v>85</v>
      </c>
      <c r="AH28">
        <f>DODCompareOld!$B19+DODCompareOld!$C19+DODCompareOld!$E19+DODCompareOld!$D19</f>
        <v>89.9</v>
      </c>
      <c r="AK28" s="19">
        <f t="shared" si="16"/>
        <v>39.258400000000002</v>
      </c>
      <c r="AL28">
        <f>DODCompareOld!F19</f>
        <v>40</v>
      </c>
      <c r="AO28" s="19">
        <f t="shared" si="17"/>
        <v>43.057600000000001</v>
      </c>
      <c r="AP28">
        <f>DODCompareOld!G19</f>
        <v>40</v>
      </c>
      <c r="AS28" s="19">
        <f t="shared" si="18"/>
        <v>25.327999999999999</v>
      </c>
      <c r="AT28">
        <f>DODCompareOld!H19</f>
        <v>24</v>
      </c>
      <c r="AW28" s="19">
        <f t="shared" si="19"/>
        <v>3.7991999999999999</v>
      </c>
      <c r="AX28">
        <f>DODCompareOld!I19</f>
        <v>5</v>
      </c>
      <c r="BA28" s="19">
        <f t="shared" si="20"/>
        <v>29.127199999999998</v>
      </c>
      <c r="BB28">
        <f>DODCompareOld!K19</f>
        <v>23</v>
      </c>
      <c r="BE28" s="19">
        <f t="shared" si="21"/>
        <v>273.54239999999999</v>
      </c>
      <c r="BF28">
        <f>DODCompareOld!L19</f>
        <v>249</v>
      </c>
    </row>
    <row r="29" spans="4:58" x14ac:dyDescent="0.2">
      <c r="D29">
        <f t="shared" si="12"/>
        <v>1943</v>
      </c>
      <c r="E29">
        <f>Hist_Stat!E31</f>
        <v>22</v>
      </c>
      <c r="F29">
        <f>Hist_Stat!F31</f>
        <v>12</v>
      </c>
      <c r="G29">
        <f>Hist_Stat!G31</f>
        <v>20</v>
      </c>
      <c r="H29">
        <f>Hist_Stat!H31</f>
        <v>5</v>
      </c>
      <c r="I29">
        <f>Hist_Stat!I31</f>
        <v>1</v>
      </c>
      <c r="J29">
        <f>Hist_Stat!J31</f>
        <v>13</v>
      </c>
      <c r="K29">
        <f>Hist_Stat!K31</f>
        <v>66</v>
      </c>
      <c r="N29">
        <f>West_inflation!Q26</f>
        <v>1.3086</v>
      </c>
      <c r="P29" s="8">
        <f t="shared" si="2"/>
        <v>1943</v>
      </c>
      <c r="Q29" s="24">
        <f t="shared" si="3"/>
        <v>28.789200000000001</v>
      </c>
      <c r="R29" s="24">
        <f t="shared" si="4"/>
        <v>15.703199999999999</v>
      </c>
      <c r="S29" s="24">
        <f t="shared" si="5"/>
        <v>26.172000000000001</v>
      </c>
      <c r="T29" s="24">
        <f t="shared" si="6"/>
        <v>6.5430000000000001</v>
      </c>
      <c r="U29" s="24">
        <f t="shared" si="7"/>
        <v>1.3086</v>
      </c>
      <c r="V29" s="24">
        <f t="shared" si="8"/>
        <v>17.011800000000001</v>
      </c>
      <c r="W29" s="24">
        <f t="shared" si="9"/>
        <v>86.367599999999996</v>
      </c>
      <c r="X29" s="24">
        <f t="shared" si="10"/>
        <v>181.8954</v>
      </c>
      <c r="Z29" s="26"/>
      <c r="AA29" s="19">
        <f t="shared" si="13"/>
        <v>181.8954</v>
      </c>
      <c r="AB29" s="8">
        <f t="shared" si="14"/>
        <v>221.2</v>
      </c>
      <c r="AC29">
        <f t="shared" si="11"/>
        <v>0.82231193490054255</v>
      </c>
      <c r="AF29" s="19">
        <f t="shared" si="15"/>
        <v>28.789200000000001</v>
      </c>
      <c r="AG29">
        <f>DODCompareOld!$B20+DODCompareOld!$C20+DODCompareOld!$E20</f>
        <v>50</v>
      </c>
      <c r="AH29">
        <f>DODCompareOld!$B20+DODCompareOld!$C20+DODCompareOld!$E20+DODCompareOld!$D20</f>
        <v>53.2</v>
      </c>
      <c r="AK29" s="19">
        <f t="shared" si="16"/>
        <v>15.703199999999999</v>
      </c>
      <c r="AL29">
        <f>DODCompareOld!F20</f>
        <v>27</v>
      </c>
      <c r="AO29" s="19">
        <f t="shared" si="17"/>
        <v>26.172000000000001</v>
      </c>
      <c r="AP29">
        <f>DODCompareOld!G20</f>
        <v>27</v>
      </c>
      <c r="AS29" s="19">
        <f t="shared" si="18"/>
        <v>6.5430000000000001</v>
      </c>
      <c r="AT29">
        <f>DODCompareOld!H20</f>
        <v>9</v>
      </c>
      <c r="AW29" s="19">
        <f t="shared" si="19"/>
        <v>1.3086</v>
      </c>
      <c r="AX29">
        <f>DODCompareOld!I20</f>
        <v>5</v>
      </c>
      <c r="BA29" s="19">
        <f t="shared" si="20"/>
        <v>17.011800000000001</v>
      </c>
      <c r="BB29">
        <f>DODCompareOld!K20</f>
        <v>13</v>
      </c>
      <c r="BE29" s="19">
        <f t="shared" si="21"/>
        <v>86.367599999999996</v>
      </c>
      <c r="BF29">
        <f>DODCompareOld!L20</f>
        <v>87</v>
      </c>
    </row>
    <row r="30" spans="4:58" x14ac:dyDescent="0.2">
      <c r="D30">
        <f t="shared" si="12"/>
        <v>1944</v>
      </c>
      <c r="E30">
        <f>Hist_Stat!E32</f>
        <v>12</v>
      </c>
      <c r="F30">
        <f>Hist_Stat!F32</f>
        <v>10</v>
      </c>
      <c r="G30">
        <f>Hist_Stat!G32</f>
        <v>8</v>
      </c>
      <c r="H30">
        <f>Hist_Stat!H32</f>
        <v>2</v>
      </c>
      <c r="I30">
        <f>Hist_Stat!I32</f>
        <v>1</v>
      </c>
      <c r="J30">
        <f>Hist_Stat!J32</f>
        <v>5</v>
      </c>
      <c r="K30">
        <f>Hist_Stat!K32</f>
        <v>33</v>
      </c>
      <c r="N30">
        <f>West_inflation!Q27</f>
        <v>1.3508</v>
      </c>
      <c r="P30" s="8">
        <f t="shared" si="2"/>
        <v>1944</v>
      </c>
      <c r="Q30" s="24">
        <f t="shared" si="3"/>
        <v>16.209600000000002</v>
      </c>
      <c r="R30" s="24">
        <f t="shared" si="4"/>
        <v>13.507999999999999</v>
      </c>
      <c r="S30" s="24">
        <f t="shared" si="5"/>
        <v>10.8064</v>
      </c>
      <c r="T30" s="24">
        <f t="shared" si="6"/>
        <v>2.7016</v>
      </c>
      <c r="U30" s="24">
        <f t="shared" si="7"/>
        <v>1.3508</v>
      </c>
      <c r="V30" s="24">
        <f t="shared" si="8"/>
        <v>6.7539999999999996</v>
      </c>
      <c r="W30" s="24">
        <f t="shared" si="9"/>
        <v>44.5764</v>
      </c>
      <c r="X30" s="24">
        <f t="shared" si="10"/>
        <v>95.906800000000004</v>
      </c>
      <c r="Z30" s="26"/>
      <c r="AA30" s="19">
        <f t="shared" si="13"/>
        <v>95.906800000000004</v>
      </c>
      <c r="AB30" s="8">
        <f t="shared" si="14"/>
        <v>80.900000000000006</v>
      </c>
      <c r="AC30">
        <f t="shared" si="11"/>
        <v>1.1854981458590852</v>
      </c>
      <c r="AF30" s="19">
        <f t="shared" si="15"/>
        <v>16.209600000000002</v>
      </c>
      <c r="AG30">
        <f>DODCompareOld!$B21+DODCompareOld!$C21+DODCompareOld!$E21</f>
        <v>12</v>
      </c>
      <c r="AH30">
        <f>DODCompareOld!$B21+DODCompareOld!$C21+DODCompareOld!$E21+DODCompareOld!$D21</f>
        <v>12.9</v>
      </c>
      <c r="AK30" s="19">
        <f t="shared" si="16"/>
        <v>13.507999999999999</v>
      </c>
      <c r="AL30">
        <f>DODCompareOld!F21</f>
        <v>12</v>
      </c>
      <c r="AO30" s="19">
        <f t="shared" si="17"/>
        <v>10.8064</v>
      </c>
      <c r="AP30">
        <f>DODCompareOld!G21</f>
        <v>9</v>
      </c>
      <c r="AS30" s="19">
        <f t="shared" si="18"/>
        <v>2.7016</v>
      </c>
      <c r="AT30">
        <f>DODCompareOld!H21</f>
        <v>2</v>
      </c>
      <c r="AW30" s="19">
        <f t="shared" si="19"/>
        <v>1.3508</v>
      </c>
      <c r="AX30">
        <f>DODCompareOld!I21</f>
        <v>1</v>
      </c>
      <c r="BA30" s="19">
        <f t="shared" si="20"/>
        <v>6.7539999999999996</v>
      </c>
      <c r="BB30">
        <f>DODCompareOld!K21</f>
        <v>5</v>
      </c>
      <c r="BE30" s="19">
        <f t="shared" si="21"/>
        <v>44.5764</v>
      </c>
      <c r="BF30">
        <f>DODCompareOld!L21</f>
        <v>39</v>
      </c>
    </row>
    <row r="31" spans="4:58" x14ac:dyDescent="0.2">
      <c r="D31">
        <f t="shared" si="12"/>
        <v>1945</v>
      </c>
      <c r="E31">
        <f>Hist_Stat!E33</f>
        <v>63</v>
      </c>
      <c r="F31">
        <f>Hist_Stat!F33</f>
        <v>13</v>
      </c>
      <c r="G31">
        <f>Hist_Stat!G33</f>
        <v>11</v>
      </c>
      <c r="H31">
        <f>Hist_Stat!H33</f>
        <v>2</v>
      </c>
      <c r="I31">
        <f>Hist_Stat!I33</f>
        <v>5</v>
      </c>
      <c r="J31">
        <f>Hist_Stat!J33</f>
        <v>8</v>
      </c>
      <c r="K31">
        <f>Hist_Stat!K33</f>
        <v>26</v>
      </c>
      <c r="N31">
        <f>West_inflation!Q28</f>
        <v>1.393</v>
      </c>
      <c r="P31" s="8">
        <f t="shared" si="2"/>
        <v>1945</v>
      </c>
      <c r="Q31" s="24">
        <f t="shared" si="3"/>
        <v>87.759</v>
      </c>
      <c r="R31" s="24">
        <f t="shared" si="4"/>
        <v>18.109000000000002</v>
      </c>
      <c r="S31" s="24">
        <f t="shared" si="5"/>
        <v>15.323</v>
      </c>
      <c r="T31" s="24">
        <f t="shared" si="6"/>
        <v>2.786</v>
      </c>
      <c r="U31" s="24">
        <f t="shared" si="7"/>
        <v>6.9649999999999999</v>
      </c>
      <c r="V31" s="24">
        <f t="shared" si="8"/>
        <v>11.144</v>
      </c>
      <c r="W31" s="24">
        <f t="shared" si="9"/>
        <v>36.218000000000004</v>
      </c>
      <c r="X31" s="24">
        <f t="shared" si="10"/>
        <v>178.30400000000003</v>
      </c>
      <c r="Z31" s="26"/>
      <c r="AA31" s="19">
        <f t="shared" si="13"/>
        <v>178.30400000000003</v>
      </c>
      <c r="AB31" s="8">
        <f t="shared" si="14"/>
        <v>168.5</v>
      </c>
      <c r="AC31">
        <f t="shared" si="11"/>
        <v>1.0581839762611278</v>
      </c>
      <c r="AF31" s="19">
        <f t="shared" si="15"/>
        <v>87.759</v>
      </c>
      <c r="AG31">
        <f>DODCompareOld!$B22+DODCompareOld!$C22+DODCompareOld!$E22</f>
        <v>75</v>
      </c>
      <c r="AH31">
        <f>DODCompareOld!$B22+DODCompareOld!$C22+DODCompareOld!$E22+DODCompareOld!$D22</f>
        <v>79.5</v>
      </c>
      <c r="AK31" s="19">
        <f t="shared" si="16"/>
        <v>18.109000000000002</v>
      </c>
      <c r="AL31">
        <f>DODCompareOld!F22</f>
        <v>20</v>
      </c>
      <c r="AO31" s="19">
        <f t="shared" si="17"/>
        <v>15.323</v>
      </c>
      <c r="AP31">
        <f>DODCompareOld!G22</f>
        <v>14</v>
      </c>
      <c r="AS31" s="19">
        <f t="shared" si="18"/>
        <v>2.786</v>
      </c>
      <c r="AT31">
        <f>DODCompareOld!H22</f>
        <v>4</v>
      </c>
      <c r="AW31" s="19">
        <f t="shared" si="19"/>
        <v>6.9649999999999999</v>
      </c>
      <c r="AX31">
        <f>DODCompareOld!I22</f>
        <v>7</v>
      </c>
      <c r="BA31" s="19">
        <f t="shared" si="20"/>
        <v>11.144</v>
      </c>
      <c r="BB31">
        <f>DODCompareOld!K22</f>
        <v>8</v>
      </c>
      <c r="BE31" s="19">
        <f t="shared" si="21"/>
        <v>36.218000000000004</v>
      </c>
      <c r="BF31">
        <f>DODCompareOld!L22</f>
        <v>36</v>
      </c>
    </row>
    <row r="32" spans="4:58" x14ac:dyDescent="0.2">
      <c r="D32">
        <f t="shared" si="12"/>
        <v>1946</v>
      </c>
      <c r="E32">
        <f>Hist_Stat!E34</f>
        <v>119</v>
      </c>
      <c r="F32">
        <f>Hist_Stat!F34</f>
        <v>26</v>
      </c>
      <c r="G32">
        <f>Hist_Stat!G34</f>
        <v>15</v>
      </c>
      <c r="H32">
        <f>Hist_Stat!H34</f>
        <v>2</v>
      </c>
      <c r="I32">
        <f>Hist_Stat!I34</f>
        <v>8</v>
      </c>
      <c r="J32">
        <f>Hist_Stat!J34</f>
        <v>11</v>
      </c>
      <c r="K32">
        <f>Hist_Stat!K34</f>
        <v>15</v>
      </c>
      <c r="N32">
        <f>West_inflation!Q29</f>
        <v>1.3045</v>
      </c>
      <c r="P32" s="8">
        <f t="shared" si="2"/>
        <v>1946</v>
      </c>
      <c r="Q32" s="24">
        <f t="shared" si="3"/>
        <v>155.2355</v>
      </c>
      <c r="R32" s="24">
        <f t="shared" si="4"/>
        <v>33.917000000000002</v>
      </c>
      <c r="S32" s="24">
        <f t="shared" si="5"/>
        <v>19.567499999999999</v>
      </c>
      <c r="T32" s="24">
        <f t="shared" si="6"/>
        <v>2.609</v>
      </c>
      <c r="U32" s="24">
        <f t="shared" si="7"/>
        <v>10.436</v>
      </c>
      <c r="V32" s="24">
        <f t="shared" si="8"/>
        <v>14.349499999999999</v>
      </c>
      <c r="W32" s="24">
        <f t="shared" si="9"/>
        <v>19.567499999999999</v>
      </c>
      <c r="X32" s="24">
        <f t="shared" si="10"/>
        <v>255.68200000000002</v>
      </c>
      <c r="Z32" s="26"/>
      <c r="AA32" s="19">
        <f t="shared" si="13"/>
        <v>255.68200000000002</v>
      </c>
      <c r="AB32" s="8">
        <f t="shared" si="14"/>
        <v>241.7</v>
      </c>
      <c r="AC32">
        <f t="shared" si="11"/>
        <v>1.0578485726106746</v>
      </c>
      <c r="AF32" s="19">
        <f t="shared" si="15"/>
        <v>155.2355</v>
      </c>
      <c r="AG32">
        <f>DODCompareOld!$B23+DODCompareOld!$C23+DODCompareOld!$E23</f>
        <v>132</v>
      </c>
      <c r="AH32">
        <f>DODCompareOld!$B23+DODCompareOld!$C23+DODCompareOld!$E23+DODCompareOld!$D23</f>
        <v>139.69999999999999</v>
      </c>
      <c r="AK32" s="19">
        <f t="shared" si="16"/>
        <v>33.917000000000002</v>
      </c>
      <c r="AL32">
        <f>DODCompareOld!F23</f>
        <v>35</v>
      </c>
      <c r="AO32" s="19">
        <f t="shared" si="17"/>
        <v>19.567499999999999</v>
      </c>
      <c r="AP32">
        <f>DODCompareOld!G23</f>
        <v>19</v>
      </c>
      <c r="AS32" s="19">
        <f t="shared" si="18"/>
        <v>2.609</v>
      </c>
      <c r="AT32">
        <f>DODCompareOld!H23</f>
        <v>3</v>
      </c>
      <c r="AW32" s="19">
        <f t="shared" si="19"/>
        <v>10.436</v>
      </c>
      <c r="AX32">
        <f>DODCompareOld!I23</f>
        <v>11</v>
      </c>
      <c r="BA32" s="19">
        <f t="shared" si="20"/>
        <v>14.349499999999999</v>
      </c>
      <c r="BB32">
        <f>DODCompareOld!K23</f>
        <v>11</v>
      </c>
      <c r="BE32" s="19">
        <f t="shared" si="21"/>
        <v>19.567499999999999</v>
      </c>
      <c r="BF32">
        <f>DODCompareOld!L23</f>
        <v>23</v>
      </c>
    </row>
    <row r="33" spans="4:59" x14ac:dyDescent="0.2">
      <c r="D33">
        <f t="shared" si="12"/>
        <v>1947</v>
      </c>
      <c r="E33">
        <f>Hist_Stat!E35</f>
        <v>100</v>
      </c>
      <c r="F33">
        <f>Hist_Stat!F35</f>
        <v>41</v>
      </c>
      <c r="G33">
        <f>Hist_Stat!G35</f>
        <v>20</v>
      </c>
      <c r="H33">
        <f>Hist_Stat!H35</f>
        <v>6</v>
      </c>
      <c r="I33">
        <f>Hist_Stat!I35</f>
        <v>12</v>
      </c>
      <c r="J33">
        <f>Hist_Stat!J35</f>
        <v>14</v>
      </c>
      <c r="K33">
        <f>Hist_Stat!K35</f>
        <v>12</v>
      </c>
      <c r="N33">
        <f>West_inflation!Q30</f>
        <v>1.282375</v>
      </c>
      <c r="P33" s="8">
        <f t="shared" si="2"/>
        <v>1947</v>
      </c>
      <c r="Q33" s="24">
        <f t="shared" si="3"/>
        <v>128.23750000000001</v>
      </c>
      <c r="R33" s="24">
        <f t="shared" si="4"/>
        <v>52.577375000000004</v>
      </c>
      <c r="S33" s="24">
        <f t="shared" si="5"/>
        <v>25.647500000000001</v>
      </c>
      <c r="T33" s="24">
        <f t="shared" si="6"/>
        <v>7.6942500000000003</v>
      </c>
      <c r="U33" s="24">
        <f t="shared" si="7"/>
        <v>15.388500000000001</v>
      </c>
      <c r="V33" s="24">
        <f t="shared" si="8"/>
        <v>17.953250000000001</v>
      </c>
      <c r="W33" s="24">
        <f t="shared" si="9"/>
        <v>15.388500000000001</v>
      </c>
      <c r="X33" s="24">
        <f t="shared" si="10"/>
        <v>262.88687500000003</v>
      </c>
      <c r="Z33" s="26"/>
      <c r="AA33" s="19">
        <f t="shared" si="13"/>
        <v>262.88687500000003</v>
      </c>
      <c r="AB33" s="8">
        <f t="shared" si="14"/>
        <v>227.8</v>
      </c>
      <c r="AC33">
        <f t="shared" si="11"/>
        <v>1.1540249122036876</v>
      </c>
      <c r="AF33" s="19">
        <f t="shared" si="15"/>
        <v>128.23750000000001</v>
      </c>
      <c r="AG33">
        <f>DODCompareOld!$B24+DODCompareOld!$C24+DODCompareOld!$E24</f>
        <v>101</v>
      </c>
      <c r="AH33">
        <f>DODCompareOld!$B24+DODCompareOld!$C24+DODCompareOld!$E24+DODCompareOld!$D24</f>
        <v>106.8</v>
      </c>
      <c r="AK33" s="19">
        <f t="shared" si="16"/>
        <v>52.577375000000004</v>
      </c>
      <c r="AL33">
        <f>DODCompareOld!F24</f>
        <v>47</v>
      </c>
      <c r="AO33" s="19">
        <f t="shared" si="17"/>
        <v>25.647500000000001</v>
      </c>
      <c r="AP33">
        <f>DODCompareOld!G24</f>
        <v>23</v>
      </c>
      <c r="AS33" s="19">
        <f t="shared" si="18"/>
        <v>7.6942500000000003</v>
      </c>
      <c r="AT33">
        <f>DODCompareOld!H24</f>
        <v>7</v>
      </c>
      <c r="AW33" s="19">
        <f t="shared" si="19"/>
        <v>15.388500000000001</v>
      </c>
      <c r="AX33">
        <f>DODCompareOld!I24</f>
        <v>14</v>
      </c>
      <c r="BA33" s="19">
        <f t="shared" si="20"/>
        <v>17.953250000000001</v>
      </c>
      <c r="BB33">
        <f>DODCompareOld!K24</f>
        <v>14</v>
      </c>
      <c r="BE33" s="19">
        <f t="shared" si="21"/>
        <v>15.388500000000001</v>
      </c>
      <c r="BF33">
        <f>DODCompareOld!L24</f>
        <v>16</v>
      </c>
    </row>
    <row r="34" spans="4:59" x14ac:dyDescent="0.2">
      <c r="D34">
        <f t="shared" si="12"/>
        <v>1948</v>
      </c>
      <c r="E34">
        <f>Hist_Stat!E36</f>
        <v>101</v>
      </c>
      <c r="F34">
        <f>Hist_Stat!F36</f>
        <v>72</v>
      </c>
      <c r="G34">
        <f>Hist_Stat!G36</f>
        <v>35</v>
      </c>
      <c r="H34">
        <f>Hist_Stat!H36</f>
        <v>6</v>
      </c>
      <c r="I34">
        <f>Hist_Stat!I36</f>
        <v>21</v>
      </c>
      <c r="J34">
        <f>Hist_Stat!J36</f>
        <v>22</v>
      </c>
      <c r="K34">
        <f>Hist_Stat!K36</f>
        <v>18</v>
      </c>
      <c r="N34">
        <f>West_inflation!Q31</f>
        <v>1.2602500000000001</v>
      </c>
      <c r="P34" s="8">
        <f t="shared" si="2"/>
        <v>1948</v>
      </c>
      <c r="Q34" s="24">
        <f t="shared" si="3"/>
        <v>127.28525</v>
      </c>
      <c r="R34" s="24">
        <f t="shared" si="4"/>
        <v>90.738</v>
      </c>
      <c r="S34" s="24">
        <f t="shared" si="5"/>
        <v>44.108750000000001</v>
      </c>
      <c r="T34" s="24">
        <f t="shared" si="6"/>
        <v>7.5615000000000006</v>
      </c>
      <c r="U34" s="24">
        <f t="shared" si="7"/>
        <v>26.465250000000001</v>
      </c>
      <c r="V34" s="24">
        <f t="shared" si="8"/>
        <v>27.725500000000004</v>
      </c>
      <c r="W34" s="24">
        <f t="shared" si="9"/>
        <v>22.6845</v>
      </c>
      <c r="X34" s="24">
        <f t="shared" si="10"/>
        <v>346.56875000000008</v>
      </c>
      <c r="Z34" s="26"/>
      <c r="AA34" s="19">
        <f t="shared" si="13"/>
        <v>346.56875000000008</v>
      </c>
      <c r="AB34" s="8">
        <f t="shared" si="14"/>
        <v>316.3</v>
      </c>
      <c r="AC34">
        <f t="shared" si="11"/>
        <v>1.0956963325956373</v>
      </c>
      <c r="AF34" s="19">
        <f t="shared" si="15"/>
        <v>127.28525</v>
      </c>
      <c r="AG34">
        <f>DODCompareOld!$B25+DODCompareOld!$C25+DODCompareOld!$E25</f>
        <v>106</v>
      </c>
      <c r="AH34">
        <f>DODCompareOld!$B25+DODCompareOld!$C25+DODCompareOld!$E25+DODCompareOld!$D25</f>
        <v>112.3</v>
      </c>
      <c r="AK34" s="19">
        <f t="shared" si="16"/>
        <v>90.738</v>
      </c>
      <c r="AL34">
        <f>DODCompareOld!F25</f>
        <v>84</v>
      </c>
      <c r="AO34" s="19">
        <f t="shared" si="17"/>
        <v>44.108750000000001</v>
      </c>
      <c r="AP34">
        <f>DODCompareOld!G25</f>
        <v>41</v>
      </c>
      <c r="AS34" s="19">
        <f t="shared" si="18"/>
        <v>7.5615000000000006</v>
      </c>
      <c r="AT34">
        <f>DODCompareOld!H25</f>
        <v>7</v>
      </c>
      <c r="AW34" s="19">
        <f t="shared" si="19"/>
        <v>26.465250000000001</v>
      </c>
      <c r="AX34">
        <f>DODCompareOld!I25</f>
        <v>25</v>
      </c>
      <c r="BA34" s="19">
        <f t="shared" si="20"/>
        <v>27.725500000000004</v>
      </c>
      <c r="BB34">
        <f>DODCompareOld!K25</f>
        <v>22</v>
      </c>
      <c r="BE34" s="19">
        <f t="shared" si="21"/>
        <v>22.6845</v>
      </c>
      <c r="BF34">
        <f>DODCompareOld!L25</f>
        <v>25</v>
      </c>
    </row>
    <row r="35" spans="4:59" x14ac:dyDescent="0.2">
      <c r="D35">
        <f t="shared" si="12"/>
        <v>1949</v>
      </c>
      <c r="E35">
        <f>Hist_Stat!E37</f>
        <v>86</v>
      </c>
      <c r="F35">
        <f>Hist_Stat!F37</f>
        <v>79</v>
      </c>
      <c r="G35">
        <f>Hist_Stat!G37</f>
        <v>42</v>
      </c>
      <c r="H35">
        <f>Hist_Stat!H37</f>
        <v>8</v>
      </c>
      <c r="I35">
        <f>Hist_Stat!I37</f>
        <v>25</v>
      </c>
      <c r="J35">
        <f>Hist_Stat!J37</f>
        <v>21</v>
      </c>
      <c r="K35">
        <f>Hist_Stat!K37</f>
        <v>22</v>
      </c>
      <c r="N35">
        <f>West_inflation!Q32</f>
        <v>1.2381249999999999</v>
      </c>
      <c r="P35" s="8">
        <f t="shared" si="2"/>
        <v>1949</v>
      </c>
      <c r="Q35" s="24">
        <f t="shared" si="3"/>
        <v>106.47874999999999</v>
      </c>
      <c r="R35" s="24">
        <f t="shared" si="4"/>
        <v>97.811875000000001</v>
      </c>
      <c r="S35" s="24">
        <f t="shared" si="5"/>
        <v>52.001249999999999</v>
      </c>
      <c r="T35" s="24">
        <f t="shared" si="6"/>
        <v>9.9049999999999994</v>
      </c>
      <c r="U35" s="24">
        <f t="shared" si="7"/>
        <v>30.953124999999996</v>
      </c>
      <c r="V35" s="24">
        <f t="shared" si="8"/>
        <v>26.000624999999999</v>
      </c>
      <c r="W35" s="24">
        <f t="shared" si="9"/>
        <v>27.23875</v>
      </c>
      <c r="X35" s="24">
        <f t="shared" si="10"/>
        <v>350.38937499999997</v>
      </c>
      <c r="Z35" s="26"/>
      <c r="AA35" s="19">
        <f t="shared" si="13"/>
        <v>350.38937499999997</v>
      </c>
      <c r="AB35" s="8">
        <f t="shared" si="14"/>
        <v>329.4</v>
      </c>
      <c r="AC35">
        <f t="shared" si="11"/>
        <v>1.0637200212507589</v>
      </c>
      <c r="AF35" s="19">
        <f t="shared" si="15"/>
        <v>106.47874999999999</v>
      </c>
      <c r="AG35">
        <f>DODCompareOld!$B26+DODCompareOld!$C26+DODCompareOld!$E26</f>
        <v>92</v>
      </c>
      <c r="AH35">
        <f>DODCompareOld!$B26+DODCompareOld!$C26+DODCompareOld!$E26+DODCompareOld!$D26</f>
        <v>97.4</v>
      </c>
      <c r="AK35" s="19">
        <f t="shared" si="16"/>
        <v>97.811875000000001</v>
      </c>
      <c r="AL35">
        <f>DODCompareOld!F26</f>
        <v>93</v>
      </c>
      <c r="AO35" s="19">
        <f t="shared" si="17"/>
        <v>52.001249999999999</v>
      </c>
      <c r="AP35">
        <f>DODCompareOld!G26</f>
        <v>49</v>
      </c>
      <c r="AS35" s="19">
        <f t="shared" si="18"/>
        <v>9.9049999999999994</v>
      </c>
      <c r="AT35">
        <f>DODCompareOld!H26</f>
        <v>10</v>
      </c>
      <c r="AW35" s="19">
        <f t="shared" si="19"/>
        <v>30.953124999999996</v>
      </c>
      <c r="AX35">
        <f>DODCompareOld!I26</f>
        <v>29</v>
      </c>
      <c r="BA35" s="19">
        <f t="shared" si="20"/>
        <v>26.000624999999999</v>
      </c>
      <c r="BB35">
        <f>DODCompareOld!K26</f>
        <v>21</v>
      </c>
      <c r="BE35" s="19">
        <f t="shared" si="21"/>
        <v>27.23875</v>
      </c>
      <c r="BF35">
        <f>DODCompareOld!L26</f>
        <v>30</v>
      </c>
    </row>
    <row r="36" spans="4:59" x14ac:dyDescent="0.2">
      <c r="D36">
        <f t="shared" si="12"/>
        <v>1950</v>
      </c>
      <c r="E36">
        <f>Hist_Stat!E38</f>
        <v>122</v>
      </c>
      <c r="F36">
        <f>Hist_Stat!F38</f>
        <v>111</v>
      </c>
      <c r="G36">
        <f>Hist_Stat!G38</f>
        <v>45</v>
      </c>
      <c r="H36">
        <f>Hist_Stat!H38</f>
        <v>10</v>
      </c>
      <c r="I36">
        <f>Hist_Stat!I38</f>
        <v>29</v>
      </c>
      <c r="J36">
        <f>Hist_Stat!J38</f>
        <v>24</v>
      </c>
      <c r="K36">
        <f>Hist_Stat!K38</f>
        <v>28</v>
      </c>
      <c r="N36">
        <f>West_inflation!Q33</f>
        <v>1.216</v>
      </c>
      <c r="P36" s="8">
        <f t="shared" si="2"/>
        <v>1950</v>
      </c>
      <c r="Q36" s="24">
        <f t="shared" si="3"/>
        <v>148.352</v>
      </c>
      <c r="R36" s="24">
        <f t="shared" si="4"/>
        <v>134.976</v>
      </c>
      <c r="S36" s="24">
        <f t="shared" si="5"/>
        <v>54.72</v>
      </c>
      <c r="T36" s="24">
        <f t="shared" si="6"/>
        <v>12.16</v>
      </c>
      <c r="U36" s="24">
        <f t="shared" si="7"/>
        <v>35.263999999999996</v>
      </c>
      <c r="V36" s="24">
        <f t="shared" si="8"/>
        <v>29.183999999999997</v>
      </c>
      <c r="W36" s="24">
        <f t="shared" si="9"/>
        <v>34.048000000000002</v>
      </c>
      <c r="X36" s="24">
        <f t="shared" si="10"/>
        <v>448.70400000000006</v>
      </c>
      <c r="Z36" s="26"/>
      <c r="AA36" s="19">
        <f t="shared" si="13"/>
        <v>448.70400000000006</v>
      </c>
      <c r="AB36" s="8">
        <f t="shared" si="14"/>
        <v>435.7</v>
      </c>
      <c r="AC36">
        <f t="shared" si="11"/>
        <v>1.0298462244663762</v>
      </c>
      <c r="AF36" s="19">
        <f t="shared" si="15"/>
        <v>148.352</v>
      </c>
      <c r="AG36">
        <f>DODCompareOld!$B27+DODCompareOld!$C27+DODCompareOld!$E27</f>
        <v>132</v>
      </c>
      <c r="AH36">
        <f>DODCompareOld!$B27+DODCompareOld!$C27+DODCompareOld!$E27+DODCompareOld!$D27</f>
        <v>139.69999999999999</v>
      </c>
      <c r="AK36" s="19">
        <f t="shared" si="16"/>
        <v>134.976</v>
      </c>
      <c r="AL36">
        <f>DODCompareOld!F27</f>
        <v>132</v>
      </c>
      <c r="AO36" s="19">
        <f t="shared" si="17"/>
        <v>54.72</v>
      </c>
      <c r="AP36">
        <f>DODCompareOld!G27</f>
        <v>53</v>
      </c>
      <c r="AS36" s="19">
        <f t="shared" si="18"/>
        <v>12.16</v>
      </c>
      <c r="AT36">
        <f>DODCompareOld!H27</f>
        <v>12</v>
      </c>
      <c r="AW36" s="19">
        <f t="shared" si="19"/>
        <v>35.263999999999996</v>
      </c>
      <c r="AX36">
        <f>DODCompareOld!I27</f>
        <v>35</v>
      </c>
      <c r="BA36" s="19">
        <f t="shared" si="20"/>
        <v>29.183999999999997</v>
      </c>
      <c r="BB36">
        <f>DODCompareOld!K27</f>
        <v>24</v>
      </c>
      <c r="BE36" s="19">
        <f t="shared" si="21"/>
        <v>34.048000000000002</v>
      </c>
      <c r="BF36">
        <f>DODCompareOld!L27</f>
        <v>40</v>
      </c>
    </row>
    <row r="37" spans="4:59" x14ac:dyDescent="0.2">
      <c r="D37">
        <f t="shared" si="12"/>
        <v>1951</v>
      </c>
      <c r="E37">
        <f>Hist_Stat!E39</f>
        <v>77</v>
      </c>
      <c r="F37">
        <f>Hist_Stat!F39</f>
        <v>110</v>
      </c>
      <c r="G37">
        <f>Hist_Stat!G39</f>
        <v>38</v>
      </c>
      <c r="H37">
        <f>Hist_Stat!H39</f>
        <v>11</v>
      </c>
      <c r="I37">
        <f>Hist_Stat!I39</f>
        <v>25</v>
      </c>
      <c r="J37">
        <f>Hist_Stat!J39</f>
        <v>11</v>
      </c>
      <c r="K37">
        <f>Hist_Stat!K39</f>
        <v>50</v>
      </c>
      <c r="N37">
        <f>West_inflation!Q34</f>
        <v>1.2370000000000001</v>
      </c>
      <c r="P37" s="8">
        <f t="shared" si="2"/>
        <v>1951</v>
      </c>
      <c r="Q37" s="24">
        <f t="shared" si="3"/>
        <v>95.249000000000009</v>
      </c>
      <c r="R37" s="24">
        <f t="shared" si="4"/>
        <v>136.07000000000002</v>
      </c>
      <c r="S37" s="24">
        <f t="shared" si="5"/>
        <v>47.006</v>
      </c>
      <c r="T37" s="24">
        <f t="shared" si="6"/>
        <v>13.607000000000001</v>
      </c>
      <c r="U37" s="24">
        <f t="shared" si="7"/>
        <v>30.925000000000004</v>
      </c>
      <c r="V37" s="24">
        <f t="shared" si="8"/>
        <v>13.607000000000001</v>
      </c>
      <c r="W37" s="24">
        <f t="shared" si="9"/>
        <v>61.850000000000009</v>
      </c>
      <c r="X37" s="24">
        <f t="shared" si="10"/>
        <v>398.31400000000014</v>
      </c>
      <c r="Z37" s="26"/>
      <c r="AA37" s="19">
        <f t="shared" si="13"/>
        <v>398.31400000000014</v>
      </c>
      <c r="AB37" s="8">
        <f t="shared" si="14"/>
        <v>390.4</v>
      </c>
      <c r="AC37">
        <f t="shared" si="11"/>
        <v>1.020271516393443</v>
      </c>
      <c r="AF37" s="19">
        <f t="shared" si="15"/>
        <v>95.249000000000009</v>
      </c>
      <c r="AG37">
        <f>DODCompareOld!$B28+DODCompareOld!$C28+DODCompareOld!$E28</f>
        <v>88</v>
      </c>
      <c r="AH37">
        <f>DODCompareOld!$B28+DODCompareOld!$C28+DODCompareOld!$E28+DODCompareOld!$D28</f>
        <v>93.4</v>
      </c>
      <c r="AK37" s="19">
        <f t="shared" si="16"/>
        <v>136.07000000000002</v>
      </c>
      <c r="AL37">
        <f>DODCompareOld!F28</f>
        <v>132</v>
      </c>
      <c r="AO37" s="19">
        <f t="shared" si="17"/>
        <v>47.006</v>
      </c>
      <c r="AP37">
        <f>DODCompareOld!G28</f>
        <v>46</v>
      </c>
      <c r="AS37" s="19">
        <f t="shared" si="18"/>
        <v>13.607000000000001</v>
      </c>
      <c r="AT37">
        <f>DODCompareOld!H28</f>
        <v>14</v>
      </c>
      <c r="AW37" s="19">
        <f t="shared" si="19"/>
        <v>30.925000000000004</v>
      </c>
      <c r="AX37">
        <f>DODCompareOld!I28</f>
        <v>30</v>
      </c>
      <c r="BA37" s="19">
        <f t="shared" si="20"/>
        <v>13.607000000000001</v>
      </c>
      <c r="BB37">
        <f>DODCompareOld!K28</f>
        <v>11</v>
      </c>
      <c r="BE37" s="19">
        <f t="shared" si="21"/>
        <v>61.850000000000009</v>
      </c>
      <c r="BF37">
        <f>DODCompareOld!L28</f>
        <v>64</v>
      </c>
    </row>
    <row r="38" spans="4:59" x14ac:dyDescent="0.2">
      <c r="D38">
        <f t="shared" si="12"/>
        <v>1952</v>
      </c>
      <c r="E38">
        <f>Hist_Stat!E40</f>
        <v>82</v>
      </c>
      <c r="F38">
        <f>Hist_Stat!F40</f>
        <v>107</v>
      </c>
      <c r="G38">
        <f>Hist_Stat!G40</f>
        <v>26</v>
      </c>
      <c r="H38">
        <f>Hist_Stat!H40</f>
        <v>15</v>
      </c>
      <c r="I38">
        <f>Hist_Stat!I40</f>
        <v>22</v>
      </c>
      <c r="J38">
        <f>Hist_Stat!J40</f>
        <v>12</v>
      </c>
      <c r="K38">
        <f>Hist_Stat!K40</f>
        <v>62</v>
      </c>
      <c r="N38">
        <f>West_inflation!Q35</f>
        <v>1.224</v>
      </c>
      <c r="P38" s="8">
        <f t="shared" si="2"/>
        <v>1952</v>
      </c>
      <c r="Q38" s="24">
        <f t="shared" si="3"/>
        <v>100.36799999999999</v>
      </c>
      <c r="R38" s="24">
        <f t="shared" si="4"/>
        <v>130.96799999999999</v>
      </c>
      <c r="S38" s="24">
        <f t="shared" si="5"/>
        <v>31.823999999999998</v>
      </c>
      <c r="T38" s="24">
        <f t="shared" si="6"/>
        <v>18.36</v>
      </c>
      <c r="U38" s="24">
        <f t="shared" si="7"/>
        <v>26.928000000000001</v>
      </c>
      <c r="V38" s="24">
        <f t="shared" si="8"/>
        <v>14.687999999999999</v>
      </c>
      <c r="W38" s="24">
        <f t="shared" si="9"/>
        <v>75.888000000000005</v>
      </c>
      <c r="X38" s="24">
        <f t="shared" si="10"/>
        <v>399.024</v>
      </c>
      <c r="Z38" s="26"/>
      <c r="AA38" s="19">
        <f t="shared" si="13"/>
        <v>399.024</v>
      </c>
      <c r="AB38" s="8">
        <f t="shared" si="14"/>
        <v>417.8</v>
      </c>
      <c r="AC38">
        <f t="shared" si="11"/>
        <v>0.95505983724269983</v>
      </c>
      <c r="AF38" s="19">
        <f t="shared" si="15"/>
        <v>100.36799999999999</v>
      </c>
      <c r="AG38">
        <f>DODCompareOld!$B29+DODCompareOld!$C29+DODCompareOld!$E29</f>
        <v>103</v>
      </c>
      <c r="AH38">
        <f>DODCompareOld!$B29+DODCompareOld!$C29+DODCompareOld!$E29+DODCompareOld!$D29</f>
        <v>108.8</v>
      </c>
      <c r="AI38" t="s">
        <v>213</v>
      </c>
      <c r="AK38" s="19">
        <f t="shared" si="16"/>
        <v>130.96799999999999</v>
      </c>
      <c r="AL38">
        <f>DODCompareOld!F29</f>
        <v>134</v>
      </c>
      <c r="AM38" t="s">
        <v>213</v>
      </c>
      <c r="AO38" s="19">
        <f t="shared" si="17"/>
        <v>31.823999999999998</v>
      </c>
      <c r="AP38">
        <f>DODCompareOld!G29</f>
        <v>34</v>
      </c>
      <c r="AQ38" t="s">
        <v>213</v>
      </c>
      <c r="AS38" s="19">
        <f t="shared" si="18"/>
        <v>18.36</v>
      </c>
      <c r="AT38">
        <f>DODCompareOld!H29</f>
        <v>19</v>
      </c>
      <c r="AU38" t="s">
        <v>213</v>
      </c>
      <c r="AW38" s="19">
        <f t="shared" si="19"/>
        <v>26.928000000000001</v>
      </c>
      <c r="AX38">
        <f>DODCompareOld!I29</f>
        <v>28</v>
      </c>
      <c r="AY38" t="s">
        <v>213</v>
      </c>
      <c r="BA38" s="19">
        <f t="shared" si="20"/>
        <v>14.687999999999999</v>
      </c>
      <c r="BB38">
        <f>DODCompareOld!K29</f>
        <v>12</v>
      </c>
      <c r="BC38" t="s">
        <v>213</v>
      </c>
      <c r="BE38" s="19">
        <f t="shared" si="21"/>
        <v>75.888000000000005</v>
      </c>
      <c r="BF38">
        <f>DODCompareOld!L29</f>
        <v>82</v>
      </c>
      <c r="BG38" t="s">
        <v>213</v>
      </c>
    </row>
    <row r="39" spans="4:59" x14ac:dyDescent="0.2">
      <c r="D39">
        <f t="shared" si="12"/>
        <v>1953</v>
      </c>
      <c r="E39">
        <f>Hist_Stat!E41</f>
        <v>123</v>
      </c>
      <c r="F39">
        <f>Hist_Stat!F41</f>
        <v>124</v>
      </c>
      <c r="G39">
        <f>Hist_Stat!G41</f>
        <v>23</v>
      </c>
      <c r="H39">
        <f>Hist_Stat!H41</f>
        <v>13</v>
      </c>
      <c r="I39">
        <f>Hist_Stat!I41</f>
        <v>28</v>
      </c>
      <c r="J39">
        <f>Hist_Stat!J41</f>
        <v>17</v>
      </c>
      <c r="K39">
        <f>Hist_Stat!K41</f>
        <v>50</v>
      </c>
      <c r="N39">
        <f>West_inflation!Q36</f>
        <v>1.2090000000000001</v>
      </c>
      <c r="P39" s="8">
        <f t="shared" si="2"/>
        <v>1953</v>
      </c>
      <c r="Q39" s="24">
        <f t="shared" si="3"/>
        <v>148.70700000000002</v>
      </c>
      <c r="R39" s="24">
        <f t="shared" si="4"/>
        <v>149.916</v>
      </c>
      <c r="S39" s="24">
        <f t="shared" si="5"/>
        <v>27.807000000000002</v>
      </c>
      <c r="T39" s="24">
        <f t="shared" si="6"/>
        <v>15.717000000000001</v>
      </c>
      <c r="U39" s="24">
        <f t="shared" si="7"/>
        <v>33.852000000000004</v>
      </c>
      <c r="V39" s="24">
        <f t="shared" si="8"/>
        <v>20.553000000000001</v>
      </c>
      <c r="W39" s="24">
        <f t="shared" si="9"/>
        <v>60.45</v>
      </c>
      <c r="X39" s="24">
        <f t="shared" si="10"/>
        <v>457.00200000000001</v>
      </c>
      <c r="Z39" s="26"/>
      <c r="AA39" s="19">
        <f t="shared" si="13"/>
        <v>457.00200000000001</v>
      </c>
      <c r="AB39" s="8">
        <f t="shared" si="14"/>
        <v>445.7</v>
      </c>
      <c r="AC39">
        <f t="shared" si="11"/>
        <v>1.0253578640341037</v>
      </c>
      <c r="AF39" s="19">
        <f t="shared" si="15"/>
        <v>148.70700000000002</v>
      </c>
      <c r="AG39">
        <f>DODCompareOld!$B30+DODCompareOld!$C30+DODCompareOld!$E30</f>
        <v>132</v>
      </c>
      <c r="AH39">
        <f>DODCompareOld!$B30+DODCompareOld!$C30+DODCompareOld!$E30+DODCompareOld!$D30</f>
        <v>139.69999999999999</v>
      </c>
      <c r="AI39" s="19">
        <f>SUM(AF11:AF41)</f>
        <v>3236.2124000000003</v>
      </c>
      <c r="AK39" s="19">
        <f t="shared" si="16"/>
        <v>149.916</v>
      </c>
      <c r="AL39">
        <f>DODCompareOld!F30</f>
        <v>148</v>
      </c>
      <c r="AM39" s="19">
        <f>SUM(AK11:AK41)</f>
        <v>2050.2186499999998</v>
      </c>
      <c r="AO39" s="19">
        <f t="shared" si="17"/>
        <v>27.807000000000002</v>
      </c>
      <c r="AP39">
        <f>DODCompareOld!G30</f>
        <v>28</v>
      </c>
      <c r="AQ39" s="19">
        <f>SUM(AO11:AO41)</f>
        <v>719.67959999999994</v>
      </c>
      <c r="AS39" s="19">
        <f t="shared" si="18"/>
        <v>15.717000000000001</v>
      </c>
      <c r="AT39">
        <f>DODCompareOld!H30</f>
        <v>16</v>
      </c>
      <c r="AU39" s="19">
        <f>SUM(AS11:AS41)</f>
        <v>422.24815000000001</v>
      </c>
      <c r="AW39" s="19">
        <f t="shared" si="19"/>
        <v>33.852000000000004</v>
      </c>
      <c r="AX39">
        <f>DODCompareOld!I30</f>
        <v>33</v>
      </c>
      <c r="AY39" s="19">
        <f>SUM(AW11:AW41)</f>
        <v>479.70407499999999</v>
      </c>
      <c r="BA39" s="19">
        <f t="shared" si="20"/>
        <v>20.553000000000001</v>
      </c>
      <c r="BB39">
        <f>DODCompareOld!K30</f>
        <v>17</v>
      </c>
      <c r="BC39" s="19">
        <f>SUM(BA11:BA41)</f>
        <v>604.01547500000015</v>
      </c>
      <c r="BE39" s="19">
        <f t="shared" si="21"/>
        <v>60.45</v>
      </c>
      <c r="BF39">
        <f>DODCompareOld!L30</f>
        <v>64</v>
      </c>
      <c r="BG39" s="19">
        <f>SUM(BE11:BE41)</f>
        <v>1065.08645</v>
      </c>
    </row>
    <row r="40" spans="4:59" x14ac:dyDescent="0.2">
      <c r="D40">
        <f t="shared" si="12"/>
        <v>1954</v>
      </c>
      <c r="E40">
        <f>Hist_Stat!E42</f>
        <v>138</v>
      </c>
      <c r="F40">
        <f>Hist_Stat!F42</f>
        <v>154</v>
      </c>
      <c r="G40">
        <f>Hist_Stat!G42</f>
        <v>28</v>
      </c>
      <c r="H40">
        <f>Hist_Stat!H42</f>
        <v>16</v>
      </c>
      <c r="I40">
        <f>Hist_Stat!I42</f>
        <v>34</v>
      </c>
      <c r="J40">
        <f>Hist_Stat!J42</f>
        <v>19</v>
      </c>
      <c r="K40">
        <f>Hist_Stat!K42</f>
        <v>44</v>
      </c>
      <c r="N40">
        <f>West_inflation!Q37</f>
        <v>1.2130000000000001</v>
      </c>
      <c r="P40" s="8">
        <f t="shared" si="2"/>
        <v>1954</v>
      </c>
      <c r="Q40" s="24">
        <f t="shared" si="3"/>
        <v>167.39400000000001</v>
      </c>
      <c r="R40" s="24">
        <f t="shared" si="4"/>
        <v>186.80200000000002</v>
      </c>
      <c r="S40" s="24">
        <f t="shared" si="5"/>
        <v>33.963999999999999</v>
      </c>
      <c r="T40" s="24">
        <f t="shared" si="6"/>
        <v>19.408000000000001</v>
      </c>
      <c r="U40" s="24">
        <f t="shared" si="7"/>
        <v>41.242000000000004</v>
      </c>
      <c r="V40" s="24">
        <f t="shared" si="8"/>
        <v>23.047000000000001</v>
      </c>
      <c r="W40" s="24">
        <f t="shared" si="9"/>
        <v>53.372</v>
      </c>
      <c r="X40" s="24">
        <f t="shared" si="10"/>
        <v>525.22900000000004</v>
      </c>
      <c r="Z40" s="26"/>
      <c r="AA40" s="19">
        <f t="shared" si="13"/>
        <v>525.22900000000004</v>
      </c>
      <c r="AB40" s="8">
        <f t="shared" si="14"/>
        <v>514</v>
      </c>
      <c r="AC40">
        <f t="shared" si="11"/>
        <v>1.0218463035019456</v>
      </c>
      <c r="AF40" s="19">
        <f t="shared" si="15"/>
        <v>167.39400000000001</v>
      </c>
      <c r="AG40">
        <f>DODCompareOld!$B31+DODCompareOld!$C31+DODCompareOld!$E31</f>
        <v>150</v>
      </c>
      <c r="AH40">
        <f>DODCompareOld!$B31+DODCompareOld!$C31+DODCompareOld!$E31+DODCompareOld!$D31</f>
        <v>159</v>
      </c>
      <c r="AI40" t="s">
        <v>223</v>
      </c>
      <c r="AK40" s="19">
        <f t="shared" si="16"/>
        <v>186.80200000000002</v>
      </c>
      <c r="AL40">
        <f>DODCompareOld!F31</f>
        <v>184</v>
      </c>
      <c r="AM40" t="s">
        <v>214</v>
      </c>
      <c r="AO40" s="19">
        <f t="shared" si="17"/>
        <v>33.963999999999999</v>
      </c>
      <c r="AP40">
        <f>DODCompareOld!G31</f>
        <v>34</v>
      </c>
      <c r="AQ40" t="s">
        <v>214</v>
      </c>
      <c r="AS40" s="19">
        <f t="shared" si="18"/>
        <v>19.408000000000001</v>
      </c>
      <c r="AT40">
        <f>DODCompareOld!H31</f>
        <v>19</v>
      </c>
      <c r="AU40" t="s">
        <v>214</v>
      </c>
      <c r="AW40" s="19">
        <f t="shared" si="19"/>
        <v>41.242000000000004</v>
      </c>
      <c r="AX40">
        <f>DODCompareOld!I31</f>
        <v>41</v>
      </c>
      <c r="AY40" t="s">
        <v>214</v>
      </c>
      <c r="BA40" s="19">
        <f t="shared" si="20"/>
        <v>23.047000000000001</v>
      </c>
      <c r="BB40">
        <f>DODCompareOld!K31</f>
        <v>19</v>
      </c>
      <c r="BC40" t="s">
        <v>214</v>
      </c>
      <c r="BE40" s="19">
        <f t="shared" si="21"/>
        <v>53.372</v>
      </c>
      <c r="BF40">
        <f>DODCompareOld!L31</f>
        <v>58</v>
      </c>
      <c r="BG40" t="s">
        <v>214</v>
      </c>
    </row>
    <row r="41" spans="4:59" x14ac:dyDescent="0.2">
      <c r="D41">
        <f t="shared" si="12"/>
        <v>1955</v>
      </c>
      <c r="E41">
        <f>Hist_Stat!E43</f>
        <v>173</v>
      </c>
      <c r="F41">
        <f>Hist_Stat!F43</f>
        <v>155</v>
      </c>
      <c r="G41">
        <f>Hist_Stat!G43</f>
        <v>23</v>
      </c>
      <c r="H41">
        <f>Hist_Stat!H43</f>
        <v>18</v>
      </c>
      <c r="I41">
        <f>Hist_Stat!I43</f>
        <v>37</v>
      </c>
      <c r="J41">
        <f>Hist_Stat!J43</f>
        <v>20</v>
      </c>
      <c r="K41">
        <f>Hist_Stat!K43</f>
        <v>53</v>
      </c>
      <c r="N41">
        <f>West_inflation!Q38</f>
        <v>1.2290000000000001</v>
      </c>
      <c r="P41" s="8">
        <f t="shared" si="2"/>
        <v>1955</v>
      </c>
      <c r="Q41" s="24">
        <f t="shared" si="3"/>
        <v>212.61700000000002</v>
      </c>
      <c r="R41" s="24">
        <f t="shared" si="4"/>
        <v>190.495</v>
      </c>
      <c r="S41" s="24">
        <f t="shared" si="5"/>
        <v>28.267000000000003</v>
      </c>
      <c r="T41" s="24">
        <f t="shared" si="6"/>
        <v>22.122</v>
      </c>
      <c r="U41" s="24">
        <f t="shared" si="7"/>
        <v>45.473000000000006</v>
      </c>
      <c r="V41" s="24">
        <f t="shared" si="8"/>
        <v>24.580000000000002</v>
      </c>
      <c r="W41" s="24">
        <f t="shared" si="9"/>
        <v>65.137</v>
      </c>
      <c r="X41" s="24">
        <f t="shared" si="10"/>
        <v>588.69100000000003</v>
      </c>
      <c r="Z41" s="26"/>
      <c r="AA41" s="19">
        <f t="shared" si="13"/>
        <v>588.69100000000003</v>
      </c>
      <c r="AB41" s="8">
        <f t="shared" si="14"/>
        <v>572.29999999999995</v>
      </c>
      <c r="AC41">
        <f t="shared" si="11"/>
        <v>1.0286405731259831</v>
      </c>
      <c r="AF41" s="19">
        <f t="shared" si="15"/>
        <v>212.61700000000002</v>
      </c>
      <c r="AG41">
        <f>DODCompareOld!$B32+DODCompareOld!$C32+DODCompareOld!$E32</f>
        <v>188</v>
      </c>
      <c r="AH41">
        <f>DODCompareOld!$B32+DODCompareOld!$C32+DODCompareOld!$E32+DODCompareOld!$D32</f>
        <v>199.3</v>
      </c>
      <c r="AI41" s="19">
        <f>SUM(AG11:AG41)</f>
        <v>2892</v>
      </c>
      <c r="AK41" s="19">
        <f t="shared" si="16"/>
        <v>190.495</v>
      </c>
      <c r="AL41">
        <f>DODCompareOld!F32</f>
        <v>187</v>
      </c>
      <c r="AM41" s="19">
        <f>SUM(AL11:AL41)</f>
        <v>2037</v>
      </c>
      <c r="AO41" s="19">
        <f t="shared" si="17"/>
        <v>28.267000000000003</v>
      </c>
      <c r="AP41">
        <f>DODCompareOld!G32</f>
        <v>29</v>
      </c>
      <c r="AQ41" s="19">
        <f>SUM(AP11:AP41)</f>
        <v>704</v>
      </c>
      <c r="AS41" s="19">
        <f t="shared" si="18"/>
        <v>22.122</v>
      </c>
      <c r="AT41">
        <f>DODCompareOld!H32</f>
        <v>22</v>
      </c>
      <c r="AU41" s="19">
        <f>SUM(AT11:AT41)</f>
        <v>421</v>
      </c>
      <c r="AW41" s="19">
        <f t="shared" si="19"/>
        <v>45.473000000000006</v>
      </c>
      <c r="AX41">
        <f>DODCompareOld!I32</f>
        <v>45</v>
      </c>
      <c r="AY41" s="19">
        <f>SUM(AX11:AX41)</f>
        <v>478</v>
      </c>
      <c r="BA41" s="19">
        <f t="shared" si="20"/>
        <v>24.580000000000002</v>
      </c>
      <c r="BB41">
        <f>DODCompareOld!K32</f>
        <v>20</v>
      </c>
      <c r="BC41" s="19">
        <f>SUM(BB11:BB41)</f>
        <v>507</v>
      </c>
      <c r="BE41" s="19">
        <f t="shared" si="21"/>
        <v>65.137</v>
      </c>
      <c r="BF41">
        <f>DODCompareOld!L32</f>
        <v>70</v>
      </c>
      <c r="BG41" s="19">
        <f>SUM(BF11:BF41)</f>
        <v>1106</v>
      </c>
    </row>
    <row r="42" spans="4:59" x14ac:dyDescent="0.2">
      <c r="D42">
        <f t="shared" si="12"/>
        <v>1956</v>
      </c>
      <c r="E42">
        <f>Hist_Stat!E44</f>
        <v>244</v>
      </c>
      <c r="F42">
        <f>Hist_Stat!F44</f>
        <v>200</v>
      </c>
      <c r="G42">
        <f>Hist_Stat!G44</f>
        <v>33</v>
      </c>
      <c r="H42">
        <f>Hist_Stat!H44</f>
        <v>27</v>
      </c>
      <c r="I42">
        <f>Hist_Stat!I44</f>
        <v>48</v>
      </c>
      <c r="J42">
        <f>Hist_Stat!J44</f>
        <v>30</v>
      </c>
      <c r="K42">
        <f>Hist_Stat!K44</f>
        <v>48</v>
      </c>
      <c r="O42" t="s">
        <v>226</v>
      </c>
      <c r="P42" s="8">
        <f t="shared" si="2"/>
        <v>1956</v>
      </c>
      <c r="Q42" s="27">
        <f t="shared" ref="Q42:Q56" si="22">E42</f>
        <v>244</v>
      </c>
      <c r="R42" s="27">
        <f t="shared" ref="R42:R56" si="23">F42</f>
        <v>200</v>
      </c>
      <c r="S42" s="27">
        <f t="shared" ref="S42:S56" si="24">G42</f>
        <v>33</v>
      </c>
      <c r="T42" s="27">
        <f t="shared" ref="T42:T56" si="25">H42</f>
        <v>27</v>
      </c>
      <c r="U42" s="27">
        <f t="shared" ref="U42:U56" si="26">I42</f>
        <v>48</v>
      </c>
      <c r="V42" s="27">
        <f t="shared" ref="V42:V56" si="27">J42</f>
        <v>30</v>
      </c>
      <c r="W42" s="27">
        <f t="shared" ref="W42:W56" si="28">K42</f>
        <v>48</v>
      </c>
      <c r="Z42" s="26"/>
      <c r="AB42" s="8">
        <f t="shared" si="14"/>
        <v>616.6</v>
      </c>
      <c r="AG42">
        <f>DODCompareOld!$B33+DODCompareOld!$C33+DODCompareOld!$E33</f>
        <v>217</v>
      </c>
      <c r="AH42">
        <f>DODCompareOld!$B33+DODCompareOld!$C33+DODCompareOld!$E33+DODCompareOld!$D33</f>
        <v>229.6</v>
      </c>
      <c r="AI42" t="s">
        <v>224</v>
      </c>
      <c r="AL42">
        <f>DODCompareOld!F33</f>
        <v>201</v>
      </c>
      <c r="AP42">
        <f>DODCompareOld!G33</f>
        <v>33</v>
      </c>
      <c r="AT42">
        <f>DODCompareOld!H33</f>
        <v>27</v>
      </c>
      <c r="AX42">
        <f>DODCompareOld!I33</f>
        <v>48</v>
      </c>
      <c r="BB42">
        <f>DODCompareOld!K33</f>
        <v>30</v>
      </c>
      <c r="BF42">
        <f>DODCompareOld!L33</f>
        <v>48</v>
      </c>
    </row>
    <row r="43" spans="4:59" x14ac:dyDescent="0.2">
      <c r="D43">
        <f t="shared" si="12"/>
        <v>1957</v>
      </c>
      <c r="E43">
        <f>Hist_Stat!E45</f>
        <v>245</v>
      </c>
      <c r="F43">
        <f>Hist_Stat!F45</f>
        <v>207</v>
      </c>
      <c r="G43">
        <f>Hist_Stat!G45</f>
        <v>40</v>
      </c>
      <c r="H43">
        <f>Hist_Stat!H45</f>
        <v>27</v>
      </c>
      <c r="I43">
        <f>Hist_Stat!I45</f>
        <v>50</v>
      </c>
      <c r="J43">
        <f>Hist_Stat!J45</f>
        <v>31</v>
      </c>
      <c r="K43">
        <f>Hist_Stat!K45</f>
        <v>33</v>
      </c>
      <c r="P43" s="8">
        <f t="shared" si="2"/>
        <v>1957</v>
      </c>
      <c r="Q43" s="27">
        <f t="shared" si="22"/>
        <v>245</v>
      </c>
      <c r="R43" s="27">
        <f t="shared" si="23"/>
        <v>207</v>
      </c>
      <c r="S43" s="27">
        <f t="shared" si="24"/>
        <v>40</v>
      </c>
      <c r="T43" s="27">
        <f t="shared" si="25"/>
        <v>27</v>
      </c>
      <c r="U43" s="27">
        <f t="shared" si="26"/>
        <v>50</v>
      </c>
      <c r="V43" s="27">
        <f t="shared" si="27"/>
        <v>31</v>
      </c>
      <c r="W43" s="27">
        <f t="shared" si="28"/>
        <v>33</v>
      </c>
      <c r="Z43" s="26"/>
      <c r="AB43" s="8">
        <f t="shared" si="14"/>
        <v>618.6</v>
      </c>
      <c r="AG43">
        <f>DODCompareOld!$B34+DODCompareOld!$C34+DODCompareOld!$E34</f>
        <v>217</v>
      </c>
      <c r="AH43">
        <f>DODCompareOld!$B34+DODCompareOld!$C34+DODCompareOld!$E34+DODCompareOld!$D34</f>
        <v>229.6</v>
      </c>
      <c r="AI43" s="19">
        <f>SUM(AH11:AH41)</f>
        <v>3063.3</v>
      </c>
      <c r="AL43">
        <f>DODCompareOld!F34</f>
        <v>208</v>
      </c>
      <c r="AP43">
        <f>DODCompareOld!G34</f>
        <v>40</v>
      </c>
      <c r="AT43">
        <f>DODCompareOld!H34</f>
        <v>27</v>
      </c>
      <c r="AX43">
        <f>DODCompareOld!I34</f>
        <v>50</v>
      </c>
      <c r="BB43">
        <f>DODCompareOld!K34</f>
        <v>31</v>
      </c>
      <c r="BF43">
        <f>DODCompareOld!L34</f>
        <v>33</v>
      </c>
    </row>
    <row r="44" spans="4:59" x14ac:dyDescent="0.2">
      <c r="D44">
        <f t="shared" si="12"/>
        <v>1958</v>
      </c>
      <c r="E44">
        <f>Hist_Stat!E46</f>
        <v>243</v>
      </c>
      <c r="F44">
        <f>Hist_Stat!F46</f>
        <v>201</v>
      </c>
      <c r="G44">
        <f>Hist_Stat!G46</f>
        <v>38</v>
      </c>
      <c r="H44">
        <f>Hist_Stat!H46</f>
        <v>37</v>
      </c>
      <c r="I44">
        <f>Hist_Stat!I46</f>
        <v>51</v>
      </c>
      <c r="J44">
        <f>Hist_Stat!J46</f>
        <v>37</v>
      </c>
      <c r="K44">
        <f>Hist_Stat!K46</f>
        <v>47</v>
      </c>
      <c r="P44" s="8">
        <f t="shared" si="2"/>
        <v>1958</v>
      </c>
      <c r="Q44" s="27">
        <f t="shared" si="22"/>
        <v>243</v>
      </c>
      <c r="R44" s="27">
        <f t="shared" si="23"/>
        <v>201</v>
      </c>
      <c r="S44" s="27">
        <f t="shared" si="24"/>
        <v>38</v>
      </c>
      <c r="T44" s="27">
        <f t="shared" si="25"/>
        <v>37</v>
      </c>
      <c r="U44" s="27">
        <f t="shared" si="26"/>
        <v>51</v>
      </c>
      <c r="V44" s="27">
        <f t="shared" si="27"/>
        <v>37</v>
      </c>
      <c r="W44" s="27">
        <f t="shared" si="28"/>
        <v>47</v>
      </c>
      <c r="Z44" s="26"/>
      <c r="AB44" s="8">
        <f t="shared" si="14"/>
        <v>640.6</v>
      </c>
      <c r="AG44">
        <f>DODCompareOld!$B35+DODCompareOld!$C35+DODCompareOld!$E35</f>
        <v>216</v>
      </c>
      <c r="AH44">
        <f>DODCompareOld!$B35+DODCompareOld!$C35+DODCompareOld!$E35+DODCompareOld!$D35</f>
        <v>228.6</v>
      </c>
      <c r="AL44">
        <f>DODCompareOld!F35</f>
        <v>202</v>
      </c>
      <c r="AP44">
        <f>DODCompareOld!G35</f>
        <v>38</v>
      </c>
      <c r="AT44">
        <f>DODCompareOld!H35</f>
        <v>37</v>
      </c>
      <c r="AX44">
        <f>DODCompareOld!I35</f>
        <v>51</v>
      </c>
      <c r="BB44">
        <f>DODCompareOld!K35</f>
        <v>37</v>
      </c>
      <c r="BF44">
        <f>DODCompareOld!L35</f>
        <v>47</v>
      </c>
    </row>
    <row r="45" spans="4:59" x14ac:dyDescent="0.2">
      <c r="D45">
        <f t="shared" si="12"/>
        <v>1959</v>
      </c>
      <c r="E45">
        <f>Hist_Stat!E47</f>
        <v>281</v>
      </c>
      <c r="F45">
        <f>Hist_Stat!F47</f>
        <v>181</v>
      </c>
      <c r="G45">
        <f>Hist_Stat!G47</f>
        <v>38</v>
      </c>
      <c r="H45">
        <f>Hist_Stat!H47</f>
        <v>34</v>
      </c>
      <c r="I45">
        <f>Hist_Stat!I47</f>
        <v>54</v>
      </c>
      <c r="J45">
        <f>Hist_Stat!J47</f>
        <v>43</v>
      </c>
      <c r="K45">
        <f>Hist_Stat!K47</f>
        <v>35</v>
      </c>
      <c r="P45" s="8">
        <f t="shared" si="2"/>
        <v>1959</v>
      </c>
      <c r="Q45" s="27">
        <f t="shared" si="22"/>
        <v>281</v>
      </c>
      <c r="R45" s="27">
        <f t="shared" si="23"/>
        <v>181</v>
      </c>
      <c r="S45" s="27">
        <f t="shared" si="24"/>
        <v>38</v>
      </c>
      <c r="T45" s="27">
        <f t="shared" si="25"/>
        <v>34</v>
      </c>
      <c r="U45" s="27">
        <f t="shared" si="26"/>
        <v>54</v>
      </c>
      <c r="V45" s="27">
        <f t="shared" si="27"/>
        <v>43</v>
      </c>
      <c r="W45" s="27">
        <f t="shared" si="28"/>
        <v>35</v>
      </c>
      <c r="Z45" s="26"/>
      <c r="AB45" s="8">
        <f t="shared" si="14"/>
        <v>650.9</v>
      </c>
      <c r="AG45">
        <f>DODCompareOld!$B36+DODCompareOld!$C36+DODCompareOld!$E36</f>
        <v>250</v>
      </c>
      <c r="AH45">
        <f>DODCompareOld!$B36+DODCompareOld!$C36+DODCompareOld!$E36+DODCompareOld!$D36</f>
        <v>264.89999999999998</v>
      </c>
      <c r="AL45">
        <f>DODCompareOld!F36</f>
        <v>182</v>
      </c>
      <c r="AP45">
        <f>DODCompareOld!G36</f>
        <v>38</v>
      </c>
      <c r="AT45">
        <f>DODCompareOld!H36</f>
        <v>34</v>
      </c>
      <c r="AX45">
        <f>DODCompareOld!I36</f>
        <v>54</v>
      </c>
      <c r="BB45">
        <f>DODCompareOld!K36</f>
        <v>43</v>
      </c>
      <c r="BF45">
        <f>DODCompareOld!L36</f>
        <v>35</v>
      </c>
    </row>
    <row r="46" spans="4:59" x14ac:dyDescent="0.2">
      <c r="D46">
        <f t="shared" si="12"/>
        <v>1960</v>
      </c>
      <c r="E46">
        <f>Hist_Stat!E48</f>
        <v>283</v>
      </c>
      <c r="F46">
        <f>Hist_Stat!F48</f>
        <v>196</v>
      </c>
      <c r="G46">
        <f>Hist_Stat!G48</f>
        <v>36</v>
      </c>
      <c r="H46">
        <f>Hist_Stat!H48</f>
        <v>33</v>
      </c>
      <c r="I46">
        <f>Hist_Stat!I48</f>
        <v>53</v>
      </c>
      <c r="J46">
        <f>Hist_Stat!J48</f>
        <v>44</v>
      </c>
      <c r="K46">
        <f>Hist_Stat!K48</f>
        <v>31</v>
      </c>
      <c r="P46" s="8">
        <f t="shared" si="2"/>
        <v>1960</v>
      </c>
      <c r="Q46" s="27">
        <f t="shared" si="22"/>
        <v>283</v>
      </c>
      <c r="R46" s="27">
        <f t="shared" si="23"/>
        <v>196</v>
      </c>
      <c r="S46" s="27">
        <f t="shared" si="24"/>
        <v>36</v>
      </c>
      <c r="T46" s="27">
        <f t="shared" si="25"/>
        <v>33</v>
      </c>
      <c r="U46" s="27">
        <f t="shared" si="26"/>
        <v>53</v>
      </c>
      <c r="V46" s="27">
        <f t="shared" si="27"/>
        <v>44</v>
      </c>
      <c r="W46" s="27">
        <f t="shared" si="28"/>
        <v>31</v>
      </c>
      <c r="Z46" s="26"/>
      <c r="AB46" s="8">
        <f t="shared" si="14"/>
        <v>683</v>
      </c>
      <c r="AG46">
        <f>DODCompareOld!$B37+DODCompareOld!$C37+DODCompareOld!$E37</f>
        <v>261</v>
      </c>
      <c r="AH46">
        <f>DODCompareOld!$B37+DODCompareOld!$C37+DODCompareOld!$E37+DODCompareOld!$D37</f>
        <v>285</v>
      </c>
      <c r="AL46">
        <f>DODCompareOld!F37</f>
        <v>198</v>
      </c>
      <c r="AP46">
        <f>DODCompareOld!G37</f>
        <v>36</v>
      </c>
      <c r="AT46">
        <f>DODCompareOld!H37</f>
        <v>34</v>
      </c>
      <c r="AX46">
        <f>DODCompareOld!I37</f>
        <v>54</v>
      </c>
      <c r="BB46">
        <f>DODCompareOld!K37</f>
        <v>44</v>
      </c>
      <c r="BF46">
        <f>DODCompareOld!L37</f>
        <v>32</v>
      </c>
    </row>
    <row r="47" spans="4:59" x14ac:dyDescent="0.2">
      <c r="D47">
        <f t="shared" si="12"/>
        <v>1961</v>
      </c>
      <c r="E47">
        <f>Hist_Stat!E49</f>
        <v>293</v>
      </c>
      <c r="F47">
        <f>Hist_Stat!F49</f>
        <v>194</v>
      </c>
      <c r="G47">
        <f>Hist_Stat!G49</f>
        <v>44</v>
      </c>
      <c r="H47">
        <f>Hist_Stat!H49</f>
        <v>33</v>
      </c>
      <c r="I47">
        <f>Hist_Stat!I49</f>
        <v>53</v>
      </c>
      <c r="J47">
        <f>Hist_Stat!J49</f>
        <v>41</v>
      </c>
      <c r="K47">
        <f>Hist_Stat!K49</f>
        <v>29</v>
      </c>
      <c r="P47" s="8">
        <f t="shared" si="2"/>
        <v>1961</v>
      </c>
      <c r="Q47" s="27">
        <f t="shared" si="22"/>
        <v>293</v>
      </c>
      <c r="R47" s="27">
        <f t="shared" si="23"/>
        <v>194</v>
      </c>
      <c r="S47" s="27">
        <f t="shared" si="24"/>
        <v>44</v>
      </c>
      <c r="T47" s="27">
        <f t="shared" si="25"/>
        <v>33</v>
      </c>
      <c r="U47" s="27">
        <f t="shared" si="26"/>
        <v>53</v>
      </c>
      <c r="V47" s="27">
        <f t="shared" si="27"/>
        <v>41</v>
      </c>
      <c r="W47" s="27">
        <f t="shared" si="28"/>
        <v>29</v>
      </c>
      <c r="Z47" s="26"/>
      <c r="AB47" s="8">
        <f t="shared" si="14"/>
        <v>694</v>
      </c>
      <c r="AG47">
        <f>DODCompareOld!$B38+DODCompareOld!$C38+DODCompareOld!$E38</f>
        <v>269</v>
      </c>
      <c r="AH47">
        <f>DODCompareOld!$B38+DODCompareOld!$C38+DODCompareOld!$E38+DODCompareOld!$D38</f>
        <v>295</v>
      </c>
      <c r="AL47">
        <f>DODCompareOld!F38</f>
        <v>197</v>
      </c>
      <c r="AP47">
        <f>DODCompareOld!G38</f>
        <v>45</v>
      </c>
      <c r="AT47">
        <f>DODCompareOld!H38</f>
        <v>33</v>
      </c>
      <c r="AX47">
        <f>DODCompareOld!I38</f>
        <v>53</v>
      </c>
      <c r="BB47">
        <f>DODCompareOld!K38</f>
        <v>41</v>
      </c>
      <c r="BF47">
        <f>DODCompareOld!L38</f>
        <v>30</v>
      </c>
    </row>
    <row r="48" spans="4:59" x14ac:dyDescent="0.2">
      <c r="D48">
        <f t="shared" si="12"/>
        <v>1962</v>
      </c>
      <c r="E48">
        <f>Hist_Stat!E50</f>
        <v>326</v>
      </c>
      <c r="F48">
        <f>Hist_Stat!F50</f>
        <v>191</v>
      </c>
      <c r="G48">
        <f>Hist_Stat!G50</f>
        <v>49</v>
      </c>
      <c r="H48">
        <f>Hist_Stat!H50</f>
        <v>34</v>
      </c>
      <c r="I48">
        <f>Hist_Stat!I50</f>
        <v>53</v>
      </c>
      <c r="J48">
        <f>Hist_Stat!J50</f>
        <v>40</v>
      </c>
      <c r="K48">
        <f>Hist_Stat!K50</f>
        <v>27</v>
      </c>
      <c r="P48" s="8">
        <f t="shared" si="2"/>
        <v>1962</v>
      </c>
      <c r="Q48" s="27">
        <f t="shared" si="22"/>
        <v>326</v>
      </c>
      <c r="R48" s="27">
        <f t="shared" si="23"/>
        <v>191</v>
      </c>
      <c r="S48" s="27">
        <f t="shared" si="24"/>
        <v>49</v>
      </c>
      <c r="T48" s="27">
        <f t="shared" si="25"/>
        <v>34</v>
      </c>
      <c r="U48" s="27">
        <f t="shared" si="26"/>
        <v>53</v>
      </c>
      <c r="V48" s="27">
        <f t="shared" si="27"/>
        <v>40</v>
      </c>
      <c r="W48" s="27">
        <f t="shared" si="28"/>
        <v>27</v>
      </c>
      <c r="Z48" s="26"/>
      <c r="AB48" s="8">
        <f t="shared" si="14"/>
        <v>727</v>
      </c>
      <c r="AG48">
        <f>DODCompareOld!$B39+DODCompareOld!$C39+DODCompareOld!$E39</f>
        <v>301</v>
      </c>
      <c r="AH48">
        <f>DODCompareOld!$B39+DODCompareOld!$C39+DODCompareOld!$E39+DODCompareOld!$D39</f>
        <v>328</v>
      </c>
      <c r="AL48">
        <f>DODCompareOld!F39</f>
        <v>193</v>
      </c>
      <c r="AP48">
        <f>DODCompareOld!G39</f>
        <v>50</v>
      </c>
      <c r="AT48">
        <f>DODCompareOld!H39</f>
        <v>35</v>
      </c>
      <c r="AX48">
        <f>DODCompareOld!I39</f>
        <v>53</v>
      </c>
      <c r="BB48">
        <f>DODCompareOld!K39</f>
        <v>40</v>
      </c>
      <c r="BF48">
        <f>DODCompareOld!L39</f>
        <v>28</v>
      </c>
    </row>
    <row r="49" spans="4:58" x14ac:dyDescent="0.2">
      <c r="D49">
        <f t="shared" si="12"/>
        <v>1963</v>
      </c>
      <c r="E49">
        <f>Hist_Stat!E51</f>
        <v>347</v>
      </c>
      <c r="F49">
        <f>Hist_Stat!F51</f>
        <v>197</v>
      </c>
      <c r="G49">
        <f>Hist_Stat!G51</f>
        <v>65</v>
      </c>
      <c r="H49">
        <f>Hist_Stat!H51</f>
        <v>43</v>
      </c>
      <c r="I49">
        <f>Hist_Stat!I51</f>
        <v>48</v>
      </c>
      <c r="J49">
        <f>Hist_Stat!J51</f>
        <v>38</v>
      </c>
      <c r="K49">
        <f>Hist_Stat!K51</f>
        <v>32</v>
      </c>
      <c r="P49" s="8">
        <f t="shared" si="2"/>
        <v>1963</v>
      </c>
      <c r="Q49" s="27">
        <f t="shared" si="22"/>
        <v>347</v>
      </c>
      <c r="R49" s="27">
        <f t="shared" si="23"/>
        <v>197</v>
      </c>
      <c r="S49" s="27">
        <f t="shared" si="24"/>
        <v>65</v>
      </c>
      <c r="T49" s="27">
        <f t="shared" si="25"/>
        <v>43</v>
      </c>
      <c r="U49" s="27">
        <f t="shared" si="26"/>
        <v>48</v>
      </c>
      <c r="V49" s="27">
        <f t="shared" si="27"/>
        <v>38</v>
      </c>
      <c r="W49" s="27">
        <f t="shared" si="28"/>
        <v>32</v>
      </c>
      <c r="Z49" s="26"/>
      <c r="AB49" s="8">
        <f t="shared" si="14"/>
        <v>777</v>
      </c>
      <c r="AG49">
        <f>DODCompareOld!$B40+DODCompareOld!$C40+DODCompareOld!$E40</f>
        <v>316</v>
      </c>
      <c r="AH49">
        <f>DODCompareOld!$B40+DODCompareOld!$C40+DODCompareOld!$E40+DODCompareOld!$D40</f>
        <v>349</v>
      </c>
      <c r="AL49">
        <f>DODCompareOld!F40</f>
        <v>199</v>
      </c>
      <c r="AP49">
        <f>DODCompareOld!G40</f>
        <v>66</v>
      </c>
      <c r="AT49">
        <f>DODCompareOld!H40</f>
        <v>43</v>
      </c>
      <c r="AX49">
        <f>DODCompareOld!I40</f>
        <v>48</v>
      </c>
      <c r="BB49">
        <f>DODCompareOld!K40</f>
        <v>39</v>
      </c>
      <c r="BF49">
        <f>DODCompareOld!L40</f>
        <v>33</v>
      </c>
    </row>
    <row r="50" spans="4:58" x14ac:dyDescent="0.2">
      <c r="D50">
        <f t="shared" si="12"/>
        <v>1964</v>
      </c>
      <c r="E50">
        <f>Hist_Stat!E52</f>
        <v>360</v>
      </c>
      <c r="F50">
        <f>Hist_Stat!F52</f>
        <v>202</v>
      </c>
      <c r="G50">
        <f>Hist_Stat!G52</f>
        <v>67</v>
      </c>
      <c r="H50">
        <f>Hist_Stat!H52</f>
        <v>34</v>
      </c>
      <c r="I50">
        <f>Hist_Stat!I52</f>
        <v>50</v>
      </c>
      <c r="J50">
        <f>Hist_Stat!J52</f>
        <v>36</v>
      </c>
      <c r="K50">
        <f>Hist_Stat!K52</f>
        <v>36</v>
      </c>
      <c r="P50" s="8">
        <f t="shared" si="2"/>
        <v>1964</v>
      </c>
      <c r="Q50" s="27">
        <f t="shared" si="22"/>
        <v>360</v>
      </c>
      <c r="R50" s="27">
        <f t="shared" si="23"/>
        <v>202</v>
      </c>
      <c r="S50" s="27">
        <f t="shared" si="24"/>
        <v>67</v>
      </c>
      <c r="T50" s="27">
        <f t="shared" si="25"/>
        <v>34</v>
      </c>
      <c r="U50" s="27">
        <f t="shared" si="26"/>
        <v>50</v>
      </c>
      <c r="V50" s="27">
        <f t="shared" si="27"/>
        <v>36</v>
      </c>
      <c r="W50" s="27">
        <f t="shared" si="28"/>
        <v>36</v>
      </c>
      <c r="Z50" s="26"/>
      <c r="AB50" s="8">
        <f t="shared" si="14"/>
        <v>792</v>
      </c>
      <c r="AG50">
        <f>DODCompareOld!$B41+DODCompareOld!$C41+DODCompareOld!$E41</f>
        <v>329</v>
      </c>
      <c r="AH50">
        <f>DODCompareOld!$B41+DODCompareOld!$C41+DODCompareOld!$E41+DODCompareOld!$D41</f>
        <v>362</v>
      </c>
      <c r="AL50">
        <f>DODCompareOld!F41</f>
        <v>205</v>
      </c>
      <c r="AP50">
        <f>DODCompareOld!G41</f>
        <v>67</v>
      </c>
      <c r="AT50">
        <f>DODCompareOld!H41</f>
        <v>35</v>
      </c>
      <c r="AX50">
        <f>DODCompareOld!I41</f>
        <v>50</v>
      </c>
      <c r="BB50">
        <f>DODCompareOld!K41</f>
        <v>36</v>
      </c>
      <c r="BF50">
        <f>DODCompareOld!L41</f>
        <v>37</v>
      </c>
    </row>
    <row r="51" spans="4:58" x14ac:dyDescent="0.2">
      <c r="D51">
        <f t="shared" si="12"/>
        <v>1965</v>
      </c>
      <c r="E51">
        <f>Hist_Stat!E53</f>
        <v>415</v>
      </c>
      <c r="F51">
        <f>Hist_Stat!F53</f>
        <v>225</v>
      </c>
      <c r="G51">
        <f>Hist_Stat!G53</f>
        <v>60</v>
      </c>
      <c r="H51">
        <f>Hist_Stat!H53</f>
        <v>36</v>
      </c>
      <c r="I51">
        <f>Hist_Stat!I53</f>
        <v>45</v>
      </c>
      <c r="J51">
        <f>Hist_Stat!J53</f>
        <v>47</v>
      </c>
      <c r="K51">
        <f>Hist_Stat!K53</f>
        <v>38</v>
      </c>
      <c r="P51" s="8">
        <f t="shared" si="2"/>
        <v>1965</v>
      </c>
      <c r="Q51" s="27">
        <f t="shared" si="22"/>
        <v>415</v>
      </c>
      <c r="R51" s="27">
        <f t="shared" si="23"/>
        <v>225</v>
      </c>
      <c r="S51" s="27">
        <f t="shared" si="24"/>
        <v>60</v>
      </c>
      <c r="T51" s="27">
        <f t="shared" si="25"/>
        <v>36</v>
      </c>
      <c r="U51" s="27">
        <f t="shared" si="26"/>
        <v>45</v>
      </c>
      <c r="V51" s="27">
        <f t="shared" si="27"/>
        <v>47</v>
      </c>
      <c r="W51" s="27">
        <f t="shared" si="28"/>
        <v>38</v>
      </c>
      <c r="Z51" s="26"/>
      <c r="AB51" s="8">
        <f t="shared" si="14"/>
        <v>875</v>
      </c>
      <c r="AG51">
        <f>DODCompareOld!$B42+DODCompareOld!$C42+DODCompareOld!$E42</f>
        <v>381</v>
      </c>
      <c r="AH51">
        <f>DODCompareOld!$B42+DODCompareOld!$C42+DODCompareOld!$E42+DODCompareOld!$D42</f>
        <v>418</v>
      </c>
      <c r="AL51">
        <f>DODCompareOld!F42</f>
        <v>228</v>
      </c>
      <c r="AP51">
        <f>DODCompareOld!G42</f>
        <v>60</v>
      </c>
      <c r="AT51">
        <f>DODCompareOld!H42</f>
        <v>36</v>
      </c>
      <c r="AX51">
        <f>DODCompareOld!I42</f>
        <v>45</v>
      </c>
      <c r="BB51">
        <f>DODCompareOld!K42</f>
        <v>48</v>
      </c>
      <c r="BF51">
        <f>DODCompareOld!L42</f>
        <v>40</v>
      </c>
    </row>
    <row r="52" spans="4:58" x14ac:dyDescent="0.2">
      <c r="D52">
        <f t="shared" si="12"/>
        <v>1966</v>
      </c>
      <c r="E52">
        <f>Hist_Stat!E54</f>
        <v>442</v>
      </c>
      <c r="F52">
        <f>Hist_Stat!F54</f>
        <v>245</v>
      </c>
      <c r="G52">
        <f>Hist_Stat!G54</f>
        <v>60</v>
      </c>
      <c r="H52">
        <f>Hist_Stat!H54</f>
        <v>37</v>
      </c>
      <c r="I52">
        <f>Hist_Stat!I54</f>
        <v>45</v>
      </c>
      <c r="J52">
        <f>Hist_Stat!J54</f>
        <v>47</v>
      </c>
      <c r="K52">
        <f>Hist_Stat!K54</f>
        <v>40</v>
      </c>
      <c r="P52" s="8">
        <f t="shared" si="2"/>
        <v>1966</v>
      </c>
      <c r="Q52" s="27">
        <f t="shared" si="22"/>
        <v>442</v>
      </c>
      <c r="R52" s="27">
        <f t="shared" si="23"/>
        <v>245</v>
      </c>
      <c r="S52" s="27">
        <f t="shared" si="24"/>
        <v>60</v>
      </c>
      <c r="T52" s="27">
        <f t="shared" si="25"/>
        <v>37</v>
      </c>
      <c r="U52" s="27">
        <f t="shared" si="26"/>
        <v>45</v>
      </c>
      <c r="V52" s="27">
        <f t="shared" si="27"/>
        <v>47</v>
      </c>
      <c r="W52" s="27">
        <f t="shared" si="28"/>
        <v>40</v>
      </c>
      <c r="Z52" s="26"/>
      <c r="AB52" s="8">
        <f t="shared" si="14"/>
        <v>923</v>
      </c>
      <c r="AG52">
        <f>DODCompareOld!$B43+DODCompareOld!$C43+DODCompareOld!$E43</f>
        <v>405</v>
      </c>
      <c r="AH52">
        <f>DODCompareOld!$B43+DODCompareOld!$C43+DODCompareOld!$E43+DODCompareOld!$D43</f>
        <v>444</v>
      </c>
      <c r="AL52">
        <f>DODCompareOld!F43</f>
        <v>248</v>
      </c>
      <c r="AP52">
        <f>DODCompareOld!G43</f>
        <v>60</v>
      </c>
      <c r="AT52">
        <f>DODCompareOld!H43</f>
        <v>37</v>
      </c>
      <c r="AX52">
        <f>DODCompareOld!I43</f>
        <v>45</v>
      </c>
      <c r="BB52">
        <f>DODCompareOld!K43</f>
        <v>47</v>
      </c>
      <c r="BF52">
        <f>DODCompareOld!L43</f>
        <v>42</v>
      </c>
    </row>
    <row r="53" spans="4:58" x14ac:dyDescent="0.2">
      <c r="D53">
        <f t="shared" si="12"/>
        <v>1967</v>
      </c>
      <c r="E53">
        <f>Hist_Stat!E55</f>
        <v>424</v>
      </c>
      <c r="F53">
        <f>Hist_Stat!F55</f>
        <v>242</v>
      </c>
      <c r="G53">
        <f>Hist_Stat!G55</f>
        <v>66</v>
      </c>
      <c r="H53">
        <f>Hist_Stat!H55</f>
        <v>37</v>
      </c>
      <c r="I53">
        <f>Hist_Stat!I55</f>
        <v>41</v>
      </c>
      <c r="J53">
        <f>Hist_Stat!J55</f>
        <v>42</v>
      </c>
      <c r="K53">
        <f>Hist_Stat!K55</f>
        <v>43</v>
      </c>
      <c r="P53" s="8">
        <f t="shared" si="2"/>
        <v>1967</v>
      </c>
      <c r="Q53" s="27">
        <f t="shared" si="22"/>
        <v>424</v>
      </c>
      <c r="R53" s="27">
        <f t="shared" si="23"/>
        <v>242</v>
      </c>
      <c r="S53" s="27">
        <f t="shared" si="24"/>
        <v>66</v>
      </c>
      <c r="T53" s="27">
        <f t="shared" si="25"/>
        <v>37</v>
      </c>
      <c r="U53" s="27">
        <f t="shared" si="26"/>
        <v>41</v>
      </c>
      <c r="V53" s="27">
        <f t="shared" si="27"/>
        <v>42</v>
      </c>
      <c r="W53" s="27">
        <f t="shared" si="28"/>
        <v>43</v>
      </c>
      <c r="Z53" s="26"/>
      <c r="AB53" s="8">
        <f t="shared" si="14"/>
        <v>905</v>
      </c>
      <c r="AG53">
        <f>DODCompareOld!$B44+DODCompareOld!$C44+DODCompareOld!$E44</f>
        <v>388</v>
      </c>
      <c r="AH53">
        <f>DODCompareOld!$B44+DODCompareOld!$C44+DODCompareOld!$E44+DODCompareOld!$D44</f>
        <v>427</v>
      </c>
      <c r="AL53">
        <f>DODCompareOld!F44</f>
        <v>245</v>
      </c>
      <c r="AP53">
        <f>DODCompareOld!G44</f>
        <v>66</v>
      </c>
      <c r="AT53">
        <f>DODCompareOld!H44</f>
        <v>37</v>
      </c>
      <c r="AX53">
        <f>DODCompareOld!I44</f>
        <v>42</v>
      </c>
      <c r="BB53">
        <f>DODCompareOld!K44</f>
        <v>43</v>
      </c>
      <c r="BF53">
        <f>DODCompareOld!L44</f>
        <v>45</v>
      </c>
    </row>
    <row r="54" spans="4:58" x14ac:dyDescent="0.2">
      <c r="D54">
        <f t="shared" si="12"/>
        <v>1968</v>
      </c>
      <c r="E54">
        <f>Hist_Stat!E56</f>
        <v>496</v>
      </c>
      <c r="F54">
        <f>Hist_Stat!F56</f>
        <v>234</v>
      </c>
      <c r="G54">
        <f>Hist_Stat!G56</f>
        <v>69</v>
      </c>
      <c r="H54">
        <f>Hist_Stat!H56</f>
        <v>39</v>
      </c>
      <c r="I54">
        <f>Hist_Stat!I56</f>
        <v>39</v>
      </c>
      <c r="J54">
        <f>Hist_Stat!J56</f>
        <v>46</v>
      </c>
      <c r="K54">
        <f>Hist_Stat!K56</f>
        <v>47</v>
      </c>
      <c r="P54" s="8">
        <f t="shared" si="2"/>
        <v>1968</v>
      </c>
      <c r="Q54" s="27">
        <f t="shared" si="22"/>
        <v>496</v>
      </c>
      <c r="R54" s="27">
        <f t="shared" si="23"/>
        <v>234</v>
      </c>
      <c r="S54" s="27">
        <f t="shared" si="24"/>
        <v>69</v>
      </c>
      <c r="T54" s="27">
        <f t="shared" si="25"/>
        <v>39</v>
      </c>
      <c r="U54" s="27">
        <f t="shared" si="26"/>
        <v>39</v>
      </c>
      <c r="V54" s="27">
        <f t="shared" si="27"/>
        <v>46</v>
      </c>
      <c r="W54" s="27">
        <f t="shared" si="28"/>
        <v>47</v>
      </c>
      <c r="Z54" s="26"/>
      <c r="AB54" s="8">
        <f t="shared" si="14"/>
        <v>980</v>
      </c>
      <c r="AG54">
        <f>DODCompareOld!$B45+DODCompareOld!$C45+DODCompareOld!$E45</f>
        <v>459</v>
      </c>
      <c r="AH54">
        <f>DODCompareOld!$B45+DODCompareOld!$C45+DODCompareOld!$E45+DODCompareOld!$D45</f>
        <v>499</v>
      </c>
      <c r="AL54">
        <f>DODCompareOld!F45</f>
        <v>237</v>
      </c>
      <c r="AP54">
        <f>DODCompareOld!G45</f>
        <v>69</v>
      </c>
      <c r="AT54">
        <f>DODCompareOld!H45</f>
        <v>40</v>
      </c>
      <c r="AX54">
        <f>DODCompareOld!I45</f>
        <v>39</v>
      </c>
      <c r="BB54">
        <f>DODCompareOld!K45</f>
        <v>47</v>
      </c>
      <c r="BF54">
        <f>DODCompareOld!L45</f>
        <v>49</v>
      </c>
    </row>
    <row r="55" spans="4:58" x14ac:dyDescent="0.2">
      <c r="D55">
        <f t="shared" si="12"/>
        <v>1969</v>
      </c>
      <c r="E55">
        <f>Hist_Stat!E57</f>
        <v>573</v>
      </c>
      <c r="F55">
        <f>Hist_Stat!F57</f>
        <v>221</v>
      </c>
      <c r="G55">
        <f>Hist_Stat!G57</f>
        <v>87</v>
      </c>
      <c r="H55">
        <f>Hist_Stat!H57</f>
        <v>36</v>
      </c>
      <c r="I55">
        <f>Hist_Stat!I57</f>
        <v>33</v>
      </c>
      <c r="J55">
        <f>Hist_Stat!J57</f>
        <v>53</v>
      </c>
      <c r="K55">
        <f>Hist_Stat!K57</f>
        <v>54</v>
      </c>
      <c r="P55" s="8">
        <f t="shared" si="2"/>
        <v>1969</v>
      </c>
      <c r="Q55" s="27">
        <f t="shared" si="22"/>
        <v>573</v>
      </c>
      <c r="R55" s="27">
        <f t="shared" si="23"/>
        <v>221</v>
      </c>
      <c r="S55" s="27">
        <f t="shared" si="24"/>
        <v>87</v>
      </c>
      <c r="T55" s="27">
        <f t="shared" si="25"/>
        <v>36</v>
      </c>
      <c r="U55" s="27">
        <f t="shared" si="26"/>
        <v>33</v>
      </c>
      <c r="V55" s="27">
        <f t="shared" si="27"/>
        <v>53</v>
      </c>
      <c r="W55" s="27">
        <f t="shared" si="28"/>
        <v>54</v>
      </c>
      <c r="Z55" s="26"/>
      <c r="AB55" s="8">
        <f t="shared" si="14"/>
        <v>1051</v>
      </c>
      <c r="AG55">
        <f>DODCompareOld!$B46+DODCompareOld!$C46+DODCompareOld!$E46</f>
        <v>522</v>
      </c>
      <c r="AH55">
        <f>DODCompareOld!$B46+DODCompareOld!$C46+DODCompareOld!$E46+DODCompareOld!$D46</f>
        <v>574</v>
      </c>
      <c r="AL55">
        <f>DODCompareOld!F46</f>
        <v>222</v>
      </c>
      <c r="AP55">
        <f>DODCompareOld!G46</f>
        <v>87</v>
      </c>
      <c r="AT55">
        <f>DODCompareOld!H46</f>
        <v>36</v>
      </c>
      <c r="AX55">
        <f>DODCompareOld!I46</f>
        <v>33</v>
      </c>
      <c r="BB55">
        <f>DODCompareOld!K46</f>
        <v>53</v>
      </c>
      <c r="BF55">
        <f>DODCompareOld!L46</f>
        <v>46</v>
      </c>
    </row>
    <row r="56" spans="4:58" x14ac:dyDescent="0.2">
      <c r="D56">
        <f t="shared" si="12"/>
        <v>1970</v>
      </c>
      <c r="E56">
        <f>Hist_Stat!E58</f>
        <v>530</v>
      </c>
      <c r="F56">
        <f>Hist_Stat!F58</f>
        <v>195</v>
      </c>
      <c r="G56">
        <f>Hist_Stat!G58</f>
        <v>75</v>
      </c>
      <c r="H56">
        <f>Hist_Stat!H58</f>
        <v>29</v>
      </c>
      <c r="I56">
        <f>Hist_Stat!I58</f>
        <v>27</v>
      </c>
      <c r="J56">
        <f>Hist_Stat!J58</f>
        <v>47</v>
      </c>
      <c r="K56">
        <f>Hist_Stat!K58</f>
        <v>42</v>
      </c>
      <c r="P56" s="8">
        <f t="shared" si="2"/>
        <v>1970</v>
      </c>
      <c r="Q56" s="27">
        <f t="shared" si="22"/>
        <v>530</v>
      </c>
      <c r="R56" s="27">
        <f t="shared" si="23"/>
        <v>195</v>
      </c>
      <c r="S56" s="27">
        <f t="shared" si="24"/>
        <v>75</v>
      </c>
      <c r="T56" s="27">
        <f t="shared" si="25"/>
        <v>29</v>
      </c>
      <c r="U56" s="27">
        <f t="shared" si="26"/>
        <v>27</v>
      </c>
      <c r="V56" s="27">
        <f t="shared" si="27"/>
        <v>47</v>
      </c>
      <c r="W56" s="27">
        <f t="shared" si="28"/>
        <v>42</v>
      </c>
      <c r="Z56" s="26"/>
      <c r="AB56" s="8">
        <f t="shared" si="14"/>
        <v>945</v>
      </c>
      <c r="AG56">
        <f>DODCompareOld!$B47+DODCompareOld!$C47+DODCompareOld!$E47</f>
        <v>476</v>
      </c>
      <c r="AH56">
        <f>DODCompareOld!$B47+DODCompareOld!$C47+DODCompareOld!$E47+DODCompareOld!$D47</f>
        <v>530</v>
      </c>
      <c r="AL56">
        <f>DODCompareOld!F47</f>
        <v>195</v>
      </c>
      <c r="AP56">
        <f>DODCompareOld!G47</f>
        <v>75</v>
      </c>
      <c r="AT56">
        <f>DODCompareOld!H47</f>
        <v>29</v>
      </c>
      <c r="AX56">
        <f>DODCompareOld!I47</f>
        <v>27</v>
      </c>
      <c r="BB56">
        <f>DODCompareOld!K47</f>
        <v>47</v>
      </c>
      <c r="BF56">
        <f>DODCompareOld!L47</f>
        <v>42</v>
      </c>
    </row>
    <row r="57" spans="4:58" x14ac:dyDescent="0.2">
      <c r="Z57" s="26"/>
      <c r="AB57" s="8">
        <f t="shared" si="14"/>
        <v>981</v>
      </c>
      <c r="AG57">
        <f>DODCompareOld!$B48+DODCompareOld!$C48+DODCompareOld!$E48</f>
        <v>503</v>
      </c>
      <c r="AH57">
        <f>DODCompareOld!$B48+DODCompareOld!$C48+DODCompareOld!$E48+DODCompareOld!$D48</f>
        <v>552</v>
      </c>
      <c r="AL57">
        <f>DODCompareOld!F48</f>
        <v>189</v>
      </c>
      <c r="AP57">
        <f>DODCompareOld!G48</f>
        <v>76</v>
      </c>
      <c r="AT57">
        <f>DODCompareOld!H48</f>
        <v>40</v>
      </c>
      <c r="AX57">
        <f>DODCompareOld!I48</f>
        <v>26</v>
      </c>
      <c r="BB57">
        <f>DODCompareOld!K48</f>
        <v>52</v>
      </c>
      <c r="BF57">
        <f>DODCompareOld!L48</f>
        <v>46</v>
      </c>
    </row>
    <row r="58" spans="4:58" x14ac:dyDescent="0.2">
      <c r="Z58" s="26"/>
      <c r="AB58" s="8">
        <f t="shared" si="14"/>
        <v>1046</v>
      </c>
      <c r="AG58">
        <f>DODCompareOld!$B49+DODCompareOld!$C49+DODCompareOld!$E49</f>
        <v>599</v>
      </c>
      <c r="AH58">
        <f>DODCompareOld!$B49+DODCompareOld!$C49+DODCompareOld!$E49+DODCompareOld!$D49</f>
        <v>643</v>
      </c>
      <c r="AL58">
        <f>DODCompareOld!F49</f>
        <v>157</v>
      </c>
      <c r="AP58">
        <f>DODCompareOld!G49</f>
        <v>84</v>
      </c>
      <c r="AT58">
        <f>DODCompareOld!H49</f>
        <v>39</v>
      </c>
      <c r="AX58">
        <f>DODCompareOld!I49</f>
        <v>27</v>
      </c>
      <c r="BB58">
        <f>DODCompareOld!K49</f>
        <v>51</v>
      </c>
      <c r="BF58">
        <f>DODCompareOld!L49</f>
        <v>45</v>
      </c>
    </row>
    <row r="59" spans="4:58" x14ac:dyDescent="0.2">
      <c r="Z59" s="26"/>
      <c r="AB59" s="8">
        <f t="shared" si="14"/>
        <v>1144</v>
      </c>
      <c r="AG59">
        <f>DODCompareOld!$B50+DODCompareOld!$C50+DODCompareOld!$E50</f>
        <v>673</v>
      </c>
      <c r="AH59">
        <f>DODCompareOld!$B50+DODCompareOld!$C50+DODCompareOld!$E50+DODCompareOld!$D50</f>
        <v>717</v>
      </c>
      <c r="AL59">
        <f>DODCompareOld!F50</f>
        <v>156</v>
      </c>
      <c r="AP59">
        <f>DODCompareOld!G50</f>
        <v>76</v>
      </c>
      <c r="AT59">
        <f>DODCompareOld!H50</f>
        <v>49</v>
      </c>
      <c r="AX59">
        <f>DODCompareOld!I50</f>
        <v>26</v>
      </c>
      <c r="BB59">
        <f>DODCompareOld!K50</f>
        <v>63</v>
      </c>
      <c r="BF59">
        <f>DODCompareOld!L50</f>
        <v>57</v>
      </c>
    </row>
    <row r="60" spans="4:58" x14ac:dyDescent="0.2">
      <c r="Z60" s="26"/>
      <c r="AB60" s="8">
        <f t="shared" si="14"/>
        <v>1036</v>
      </c>
      <c r="AG60">
        <f>DODCompareOld!$B51+DODCompareOld!$C51+DODCompareOld!$E51</f>
        <v>544</v>
      </c>
      <c r="AH60">
        <f>DODCompareOld!$B51+DODCompareOld!$C51+DODCompareOld!$E51+DODCompareOld!$D51</f>
        <v>594</v>
      </c>
      <c r="AL60">
        <f>DODCompareOld!F51</f>
        <v>176</v>
      </c>
      <c r="AP60">
        <f>DODCompareOld!G51</f>
        <v>75</v>
      </c>
      <c r="AT60">
        <f>DODCompareOld!H51</f>
        <v>47</v>
      </c>
      <c r="AX60">
        <f>DODCompareOld!I51</f>
        <v>27</v>
      </c>
      <c r="BB60">
        <f>DODCompareOld!K51</f>
        <v>58</v>
      </c>
      <c r="BF60">
        <f>DODCompareOld!L51</f>
        <v>59</v>
      </c>
    </row>
    <row r="61" spans="4:58" x14ac:dyDescent="0.2">
      <c r="Z61" s="26"/>
      <c r="AB61" s="8">
        <f t="shared" si="14"/>
        <v>803</v>
      </c>
      <c r="AG61">
        <f>DODCompareOld!$B52+DODCompareOld!$C52+DODCompareOld!$E52</f>
        <v>362</v>
      </c>
      <c r="AH61">
        <f>DODCompareOld!$B52+DODCompareOld!$C52+DODCompareOld!$E52+DODCompareOld!$D52</f>
        <v>409</v>
      </c>
      <c r="AL61">
        <f>DODCompareOld!F52</f>
        <v>152</v>
      </c>
      <c r="AP61">
        <f>DODCompareOld!G52</f>
        <v>63</v>
      </c>
      <c r="AT61">
        <f>DODCompareOld!H52</f>
        <v>46</v>
      </c>
      <c r="AX61">
        <f>DODCompareOld!I52</f>
        <v>28</v>
      </c>
      <c r="BB61">
        <f>DODCompareOld!K52</f>
        <v>52</v>
      </c>
      <c r="BF61">
        <f>DODCompareOld!L52</f>
        <v>53</v>
      </c>
    </row>
    <row r="62" spans="4:58" x14ac:dyDescent="0.2">
      <c r="Z62" s="26"/>
      <c r="AB62" s="8">
        <f t="shared" si="14"/>
        <v>801</v>
      </c>
      <c r="AG62">
        <f>DODCompareOld!$B53+DODCompareOld!$C53+DODCompareOld!$E53</f>
        <v>405</v>
      </c>
      <c r="AH62">
        <f>DODCompareOld!$B53+DODCompareOld!$C53+DODCompareOld!$E53+DODCompareOld!$D53</f>
        <v>440</v>
      </c>
      <c r="AL62">
        <f>DODCompareOld!F53</f>
        <v>118</v>
      </c>
      <c r="AP62">
        <f>DODCompareOld!G53</f>
        <v>71</v>
      </c>
      <c r="AT62">
        <f>DODCompareOld!H53</f>
        <v>42</v>
      </c>
      <c r="AX62">
        <f>DODCompareOld!I53</f>
        <v>31</v>
      </c>
      <c r="BB62">
        <f>DODCompareOld!K53</f>
        <v>48</v>
      </c>
      <c r="BF62">
        <f>DODCompareOld!L53</f>
        <v>51</v>
      </c>
    </row>
    <row r="63" spans="4:58" x14ac:dyDescent="0.2">
      <c r="Z63" s="26"/>
      <c r="AB63" s="8">
        <f t="shared" si="14"/>
        <v>921</v>
      </c>
      <c r="AG63">
        <f>DODCompareOld!$B54+DODCompareOld!$C54+DODCompareOld!$E54</f>
        <v>519</v>
      </c>
      <c r="AH63">
        <f>DODCompareOld!$B54+DODCompareOld!$C54+DODCompareOld!$E54+DODCompareOld!$D54</f>
        <v>563</v>
      </c>
      <c r="AL63">
        <f>DODCompareOld!F54</f>
        <v>112</v>
      </c>
      <c r="AP63">
        <f>DODCompareOld!G54</f>
        <v>66</v>
      </c>
      <c r="AT63">
        <f>DODCompareOld!H54</f>
        <v>43</v>
      </c>
      <c r="AX63">
        <f>DODCompareOld!I54</f>
        <v>32</v>
      </c>
      <c r="BB63">
        <f>DODCompareOld!K54</f>
        <v>48</v>
      </c>
      <c r="BF63">
        <f>DODCompareOld!L54</f>
        <v>57</v>
      </c>
    </row>
    <row r="64" spans="4:58" x14ac:dyDescent="0.2">
      <c r="Z64" s="26"/>
      <c r="AB64" s="8">
        <f t="shared" si="14"/>
        <v>1067</v>
      </c>
      <c r="AG64">
        <f>DODCompareOld!$B55+DODCompareOld!$C55+DODCompareOld!$E55</f>
        <v>699</v>
      </c>
      <c r="AH64">
        <f>DODCompareOld!$B55+DODCompareOld!$C55+DODCompareOld!$E55+DODCompareOld!$D55</f>
        <v>757</v>
      </c>
      <c r="AL64">
        <f>DODCompareOld!F55</f>
        <v>104</v>
      </c>
      <c r="AP64">
        <f>DODCompareOld!G55</f>
        <v>53</v>
      </c>
      <c r="AT64">
        <f>DODCompareOld!H55</f>
        <v>22</v>
      </c>
      <c r="AX64">
        <f>DODCompareOld!I55</f>
        <v>35</v>
      </c>
      <c r="BB64">
        <f>DODCompareOld!K55</f>
        <v>53</v>
      </c>
      <c r="BF64">
        <f>DODCompareOld!L55</f>
        <v>43</v>
      </c>
    </row>
    <row r="65" spans="26:58" x14ac:dyDescent="0.2">
      <c r="Z65" s="26"/>
      <c r="AB65" s="8">
        <f t="shared" si="14"/>
        <v>1135</v>
      </c>
      <c r="AG65">
        <f>DODCompareOld!$B56+DODCompareOld!$C56+DODCompareOld!$E56</f>
        <v>745</v>
      </c>
      <c r="AH65">
        <f>DODCompareOld!$B56+DODCompareOld!$C56+DODCompareOld!$E56+DODCompareOld!$D56</f>
        <v>816</v>
      </c>
      <c r="AL65">
        <f>DODCompareOld!F56</f>
        <v>102</v>
      </c>
      <c r="AP65">
        <f>DODCompareOld!G56</f>
        <v>57</v>
      </c>
      <c r="AT65">
        <f>DODCompareOld!H56</f>
        <v>20</v>
      </c>
      <c r="AX65">
        <f>DODCompareOld!I56</f>
        <v>34</v>
      </c>
      <c r="BB65">
        <f>DODCompareOld!K56</f>
        <v>53</v>
      </c>
      <c r="BF65">
        <f>DODCompareOld!L56</f>
        <v>53</v>
      </c>
    </row>
    <row r="66" spans="26:58" x14ac:dyDescent="0.2">
      <c r="Z66" s="26"/>
      <c r="AB66" s="8">
        <f t="shared" si="14"/>
        <v>0</v>
      </c>
    </row>
    <row r="67" spans="26:58" x14ac:dyDescent="0.2">
      <c r="Z67" s="26"/>
      <c r="AB67" s="8">
        <f t="shared" si="14"/>
        <v>0</v>
      </c>
    </row>
    <row r="68" spans="26:58" x14ac:dyDescent="0.2">
      <c r="Z68" s="26"/>
      <c r="AB68" s="8">
        <f t="shared" si="14"/>
        <v>0</v>
      </c>
    </row>
    <row r="69" spans="26:58" x14ac:dyDescent="0.2">
      <c r="Z69" s="26"/>
      <c r="AB69" s="8">
        <f t="shared" si="14"/>
        <v>0</v>
      </c>
    </row>
    <row r="70" spans="26:58" x14ac:dyDescent="0.2">
      <c r="Z70" s="26"/>
      <c r="AB70" s="8">
        <f t="shared" si="14"/>
        <v>0</v>
      </c>
    </row>
    <row r="71" spans="26:58" x14ac:dyDescent="0.2">
      <c r="Z71" s="26"/>
      <c r="AB71" s="8">
        <f t="shared" si="14"/>
        <v>0</v>
      </c>
    </row>
    <row r="72" spans="26:58" x14ac:dyDescent="0.2">
      <c r="Z72" s="26"/>
      <c r="AB72" s="8">
        <f t="shared" si="14"/>
        <v>0</v>
      </c>
    </row>
    <row r="73" spans="26:58" x14ac:dyDescent="0.2">
      <c r="Z73" s="26"/>
      <c r="AB73" s="8">
        <f t="shared" si="14"/>
        <v>0</v>
      </c>
    </row>
    <row r="74" spans="26:58" x14ac:dyDescent="0.2">
      <c r="Z74" s="26"/>
      <c r="AB74" s="8">
        <f t="shared" si="14"/>
        <v>0</v>
      </c>
    </row>
    <row r="75" spans="26:58" x14ac:dyDescent="0.2">
      <c r="Z75" s="26"/>
      <c r="AB75" s="8">
        <f t="shared" si="14"/>
        <v>0</v>
      </c>
    </row>
    <row r="76" spans="26:58" x14ac:dyDescent="0.2">
      <c r="Z76" s="26"/>
      <c r="AB76" s="8">
        <f t="shared" ref="AB76:AB87" si="29">AH76+AL76+AP76+AT76+AX76+BB76+BF76</f>
        <v>0</v>
      </c>
    </row>
    <row r="77" spans="26:58" x14ac:dyDescent="0.2">
      <c r="Z77" s="26"/>
      <c r="AB77" s="8">
        <f t="shared" si="29"/>
        <v>0</v>
      </c>
    </row>
    <row r="78" spans="26:58" x14ac:dyDescent="0.2">
      <c r="Z78" s="26"/>
      <c r="AB78" s="8">
        <f t="shared" si="29"/>
        <v>0</v>
      </c>
    </row>
    <row r="79" spans="26:58" x14ac:dyDescent="0.2">
      <c r="Z79" s="26"/>
      <c r="AB79" s="8">
        <f t="shared" si="29"/>
        <v>0</v>
      </c>
    </row>
    <row r="80" spans="26:58" x14ac:dyDescent="0.2">
      <c r="Z80" s="26"/>
      <c r="AB80" s="8">
        <f t="shared" si="29"/>
        <v>0</v>
      </c>
    </row>
    <row r="81" spans="26:28" x14ac:dyDescent="0.2">
      <c r="Z81" s="26"/>
      <c r="AB81" s="8">
        <f t="shared" si="29"/>
        <v>0</v>
      </c>
    </row>
    <row r="82" spans="26:28" x14ac:dyDescent="0.2">
      <c r="Z82" s="26"/>
      <c r="AB82" s="8">
        <f t="shared" si="29"/>
        <v>0</v>
      </c>
    </row>
    <row r="83" spans="26:28" x14ac:dyDescent="0.2">
      <c r="Z83" s="26"/>
      <c r="AB83" s="8">
        <f t="shared" si="29"/>
        <v>0</v>
      </c>
    </row>
    <row r="84" spans="26:28" x14ac:dyDescent="0.2">
      <c r="Z84" s="26"/>
      <c r="AB84" s="8">
        <f t="shared" si="29"/>
        <v>0</v>
      </c>
    </row>
    <row r="85" spans="26:28" x14ac:dyDescent="0.2">
      <c r="Z85" s="26"/>
      <c r="AB85" s="8">
        <f t="shared" si="29"/>
        <v>0</v>
      </c>
    </row>
    <row r="86" spans="26:28" x14ac:dyDescent="0.2">
      <c r="Z86" s="26"/>
      <c r="AB86" s="8">
        <f t="shared" si="29"/>
        <v>0</v>
      </c>
    </row>
    <row r="87" spans="26:28" x14ac:dyDescent="0.2">
      <c r="Z87" s="26"/>
      <c r="AB87" s="8">
        <f t="shared" si="29"/>
        <v>0</v>
      </c>
    </row>
    <row r="88" spans="26:28" x14ac:dyDescent="0.2">
      <c r="Z88" s="26"/>
    </row>
    <row r="89" spans="26:28" x14ac:dyDescent="0.2">
      <c r="Z89" s="26"/>
    </row>
    <row r="90" spans="26:28" x14ac:dyDescent="0.2">
      <c r="Z90" s="26"/>
    </row>
    <row r="91" spans="26:28" x14ac:dyDescent="0.2">
      <c r="Z91" s="26"/>
    </row>
    <row r="92" spans="26:28" x14ac:dyDescent="0.2">
      <c r="Z92" s="26"/>
    </row>
    <row r="93" spans="26:28" x14ac:dyDescent="0.2">
      <c r="Z93" s="26"/>
    </row>
    <row r="94" spans="26:28" x14ac:dyDescent="0.2">
      <c r="Z94" s="26"/>
    </row>
    <row r="95" spans="26:28" x14ac:dyDescent="0.2">
      <c r="Z95" s="26"/>
    </row>
    <row r="96" spans="26:28" x14ac:dyDescent="0.2">
      <c r="Z96" s="26"/>
    </row>
    <row r="97" spans="26:26" x14ac:dyDescent="0.2">
      <c r="Z97" s="26"/>
    </row>
    <row r="98" spans="26:26" x14ac:dyDescent="0.2">
      <c r="Z98" s="26"/>
    </row>
    <row r="99" spans="26:26" x14ac:dyDescent="0.2">
      <c r="Z99" s="26"/>
    </row>
    <row r="100" spans="26:26" x14ac:dyDescent="0.2">
      <c r="Z100" s="26"/>
    </row>
    <row r="101" spans="26:26" x14ac:dyDescent="0.2">
      <c r="Z101" s="26"/>
    </row>
    <row r="102" spans="26:26" x14ac:dyDescent="0.2">
      <c r="Z102" s="26"/>
    </row>
    <row r="103" spans="26:26" x14ac:dyDescent="0.2">
      <c r="Z103" s="26"/>
    </row>
    <row r="104" spans="26:26" x14ac:dyDescent="0.2">
      <c r="Z104" s="26"/>
    </row>
    <row r="105" spans="26:26" x14ac:dyDescent="0.2">
      <c r="Z105" s="26"/>
    </row>
    <row r="106" spans="26:26" x14ac:dyDescent="0.2">
      <c r="Z106" s="26"/>
    </row>
    <row r="107" spans="26:26" x14ac:dyDescent="0.2">
      <c r="Z107" s="26"/>
    </row>
    <row r="108" spans="26:26" x14ac:dyDescent="0.2">
      <c r="Z108" s="26"/>
    </row>
    <row r="109" spans="26:26" x14ac:dyDescent="0.2">
      <c r="Z109" s="26"/>
    </row>
    <row r="110" spans="26:26" x14ac:dyDescent="0.2">
      <c r="Z110" s="26"/>
    </row>
    <row r="111" spans="26:26" x14ac:dyDescent="0.2">
      <c r="Z111" s="26"/>
    </row>
    <row r="112" spans="26:26" x14ac:dyDescent="0.2">
      <c r="Z112" s="26"/>
    </row>
    <row r="113" spans="26:26" x14ac:dyDescent="0.2">
      <c r="Z113" s="26"/>
    </row>
    <row r="114" spans="26:26" x14ac:dyDescent="0.2">
      <c r="Z114" s="26"/>
    </row>
    <row r="115" spans="26:26" x14ac:dyDescent="0.2">
      <c r="Z115" s="26"/>
    </row>
    <row r="116" spans="26:26" x14ac:dyDescent="0.2">
      <c r="Z116" s="26"/>
    </row>
    <row r="117" spans="26:26" x14ac:dyDescent="0.2">
      <c r="Z117" s="26"/>
    </row>
    <row r="118" spans="26:26" x14ac:dyDescent="0.2">
      <c r="Z118" s="26"/>
    </row>
    <row r="119" spans="26:26" x14ac:dyDescent="0.2">
      <c r="Z119" s="26"/>
    </row>
    <row r="120" spans="26:26" x14ac:dyDescent="0.2">
      <c r="Z120" s="26"/>
    </row>
    <row r="121" spans="26:26" x14ac:dyDescent="0.2">
      <c r="Z121" s="26"/>
    </row>
    <row r="122" spans="26:26" x14ac:dyDescent="0.2">
      <c r="Z122" s="26"/>
    </row>
    <row r="123" spans="26:26" x14ac:dyDescent="0.2">
      <c r="Z123" s="26"/>
    </row>
    <row r="124" spans="26:26" x14ac:dyDescent="0.2">
      <c r="Z124" s="26"/>
    </row>
    <row r="125" spans="26:26" x14ac:dyDescent="0.2">
      <c r="Z125" s="26"/>
    </row>
    <row r="126" spans="26:26" x14ac:dyDescent="0.2">
      <c r="Z126" s="26"/>
    </row>
    <row r="127" spans="26:26" x14ac:dyDescent="0.2">
      <c r="Z127" s="26"/>
    </row>
    <row r="128" spans="26:26" x14ac:dyDescent="0.2">
      <c r="Z128" s="26"/>
    </row>
    <row r="129" spans="26:26" x14ac:dyDescent="0.2">
      <c r="Z129" s="2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J135"/>
  <sheetViews>
    <sheetView workbookViewId="0">
      <pane xSplit="1" ySplit="1" topLeftCell="F2" activePane="bottomRight" state="frozen"/>
      <selection pane="topRight" activeCell="B1" sqref="B1"/>
      <selection pane="bottomLeft" activeCell="A2" sqref="A2"/>
      <selection pane="bottomRight" activeCell="F1" sqref="F1"/>
    </sheetView>
  </sheetViews>
  <sheetFormatPr defaultRowHeight="12.75" x14ac:dyDescent="0.2"/>
  <cols>
    <col min="1" max="1" width="9.7109375" customWidth="1"/>
    <col min="5" max="5" width="10.7109375" customWidth="1"/>
    <col min="6" max="6" width="10" customWidth="1"/>
    <col min="18" max="23" width="11.28515625" customWidth="1"/>
    <col min="24" max="25" width="10.5703125" customWidth="1"/>
    <col min="35" max="35" width="12.28515625" customWidth="1"/>
  </cols>
  <sheetData>
    <row r="1" spans="1:28" x14ac:dyDescent="0.2">
      <c r="A1" t="s">
        <v>290</v>
      </c>
      <c r="B1" t="s">
        <v>65</v>
      </c>
      <c r="C1" t="s">
        <v>66</v>
      </c>
      <c r="D1" t="s">
        <v>67</v>
      </c>
      <c r="E1" t="s">
        <v>68</v>
      </c>
      <c r="F1" t="s">
        <v>69</v>
      </c>
      <c r="G1" t="s">
        <v>70</v>
      </c>
      <c r="H1" t="s">
        <v>71</v>
      </c>
      <c r="I1" t="s">
        <v>72</v>
      </c>
      <c r="J1" t="s">
        <v>73</v>
      </c>
      <c r="K1" t="s">
        <v>95</v>
      </c>
      <c r="L1" t="s">
        <v>96</v>
      </c>
      <c r="M1" t="s">
        <v>83</v>
      </c>
      <c r="O1" t="s">
        <v>88</v>
      </c>
      <c r="R1" t="s">
        <v>74</v>
      </c>
      <c r="S1" t="s">
        <v>117</v>
      </c>
      <c r="T1" t="s">
        <v>102</v>
      </c>
      <c r="U1" t="s">
        <v>175</v>
      </c>
      <c r="V1" t="s">
        <v>174</v>
      </c>
      <c r="X1" t="s">
        <v>75</v>
      </c>
      <c r="AB1" t="s">
        <v>90</v>
      </c>
    </row>
    <row r="2" spans="1:28" x14ac:dyDescent="0.2">
      <c r="A2">
        <v>1925</v>
      </c>
      <c r="B2">
        <v>66</v>
      </c>
      <c r="C2">
        <v>62</v>
      </c>
      <c r="D2">
        <v>9.4</v>
      </c>
      <c r="E2">
        <v>32</v>
      </c>
      <c r="F2">
        <v>69</v>
      </c>
      <c r="G2">
        <v>16</v>
      </c>
      <c r="H2">
        <v>9</v>
      </c>
      <c r="I2">
        <v>21</v>
      </c>
      <c r="J2">
        <v>36</v>
      </c>
      <c r="K2">
        <v>32</v>
      </c>
      <c r="L2">
        <f>O2-K2</f>
        <v>5</v>
      </c>
      <c r="M2">
        <f>SUM(B2:L2)</f>
        <v>357.4</v>
      </c>
      <c r="O2">
        <v>37</v>
      </c>
      <c r="Q2">
        <f>A2</f>
        <v>1925</v>
      </c>
      <c r="R2">
        <f>B2+C2+D2+E2</f>
        <v>169.4</v>
      </c>
      <c r="S2">
        <f>B2+C2+E2</f>
        <v>160</v>
      </c>
      <c r="T2">
        <v>160</v>
      </c>
      <c r="U2">
        <f>R2/T2</f>
        <v>1.0587500000000001</v>
      </c>
    </row>
    <row r="3" spans="1:28" x14ac:dyDescent="0.2">
      <c r="A3">
        <f>A2+1</f>
        <v>1926</v>
      </c>
      <c r="B3">
        <v>63</v>
      </c>
      <c r="C3">
        <v>59</v>
      </c>
      <c r="D3">
        <v>9</v>
      </c>
      <c r="E3">
        <v>30</v>
      </c>
      <c r="F3">
        <v>61</v>
      </c>
      <c r="G3">
        <v>17</v>
      </c>
      <c r="H3">
        <v>9</v>
      </c>
      <c r="I3">
        <v>18</v>
      </c>
      <c r="J3">
        <v>34</v>
      </c>
      <c r="K3">
        <v>30</v>
      </c>
      <c r="L3">
        <f t="shared" ref="L3:L36" si="0">O3-K3</f>
        <v>8</v>
      </c>
      <c r="M3">
        <f t="shared" ref="M3:M66" si="1">SUM(B3:L3)</f>
        <v>338</v>
      </c>
      <c r="O3">
        <v>38</v>
      </c>
      <c r="Q3">
        <f t="shared" ref="Q3:Q43" si="2">A3</f>
        <v>1926</v>
      </c>
      <c r="R3">
        <f t="shared" ref="R3:R66" si="3">B3+C3+D3+E3</f>
        <v>161</v>
      </c>
      <c r="S3">
        <f t="shared" ref="S3:S36" si="4">B3+C3+E3</f>
        <v>152</v>
      </c>
      <c r="T3">
        <v>152</v>
      </c>
      <c r="U3">
        <f t="shared" ref="U3:U33" si="5">R3/T3</f>
        <v>1.0592105263157894</v>
      </c>
      <c r="V3">
        <f>S3/T3</f>
        <v>1</v>
      </c>
    </row>
    <row r="4" spans="1:28" x14ac:dyDescent="0.2">
      <c r="A4">
        <f t="shared" ref="A4:A67" si="6">A3+1</f>
        <v>1927</v>
      </c>
      <c r="B4">
        <v>59</v>
      </c>
      <c r="C4">
        <v>55</v>
      </c>
      <c r="D4">
        <v>8.6</v>
      </c>
      <c r="E4">
        <v>28</v>
      </c>
      <c r="F4">
        <v>61</v>
      </c>
      <c r="G4">
        <v>21</v>
      </c>
      <c r="H4">
        <v>11</v>
      </c>
      <c r="I4">
        <v>19</v>
      </c>
      <c r="J4">
        <v>38</v>
      </c>
      <c r="K4">
        <v>34</v>
      </c>
      <c r="L4">
        <f t="shared" si="0"/>
        <v>12</v>
      </c>
      <c r="M4">
        <f t="shared" si="1"/>
        <v>346.6</v>
      </c>
      <c r="O4">
        <v>46</v>
      </c>
      <c r="Q4">
        <f t="shared" si="2"/>
        <v>1927</v>
      </c>
      <c r="R4">
        <f t="shared" si="3"/>
        <v>150.6</v>
      </c>
      <c r="S4">
        <f t="shared" si="4"/>
        <v>142</v>
      </c>
      <c r="T4">
        <v>142</v>
      </c>
      <c r="U4">
        <f t="shared" si="5"/>
        <v>1.0605633802816901</v>
      </c>
      <c r="V4">
        <f t="shared" ref="V4:V33" si="7">S4/T4</f>
        <v>1</v>
      </c>
    </row>
    <row r="5" spans="1:28" x14ac:dyDescent="0.2">
      <c r="A5">
        <f t="shared" si="6"/>
        <v>1928</v>
      </c>
      <c r="B5">
        <v>66</v>
      </c>
      <c r="C5">
        <v>62</v>
      </c>
      <c r="D5">
        <v>9.4</v>
      </c>
      <c r="E5">
        <v>32</v>
      </c>
      <c r="F5">
        <v>69</v>
      </c>
      <c r="G5">
        <v>23</v>
      </c>
      <c r="H5">
        <v>12</v>
      </c>
      <c r="I5">
        <v>17</v>
      </c>
      <c r="J5">
        <v>32</v>
      </c>
      <c r="K5">
        <v>28</v>
      </c>
      <c r="L5">
        <f t="shared" si="0"/>
        <v>11</v>
      </c>
      <c r="M5">
        <f t="shared" si="1"/>
        <v>361.4</v>
      </c>
      <c r="O5">
        <v>39</v>
      </c>
      <c r="Q5">
        <f t="shared" si="2"/>
        <v>1928</v>
      </c>
      <c r="R5">
        <f t="shared" si="3"/>
        <v>169.4</v>
      </c>
      <c r="S5">
        <f t="shared" si="4"/>
        <v>160</v>
      </c>
      <c r="T5">
        <v>159</v>
      </c>
      <c r="U5">
        <f t="shared" si="5"/>
        <v>1.0654088050314465</v>
      </c>
      <c r="V5">
        <f t="shared" si="7"/>
        <v>1.0062893081761006</v>
      </c>
    </row>
    <row r="6" spans="1:28" x14ac:dyDescent="0.2">
      <c r="A6">
        <f t="shared" si="6"/>
        <v>1929</v>
      </c>
      <c r="B6">
        <v>67</v>
      </c>
      <c r="C6">
        <v>63</v>
      </c>
      <c r="D6">
        <v>9.4</v>
      </c>
      <c r="E6">
        <v>32</v>
      </c>
      <c r="F6">
        <v>67</v>
      </c>
      <c r="G6">
        <v>23</v>
      </c>
      <c r="H6">
        <v>15</v>
      </c>
      <c r="I6">
        <v>15</v>
      </c>
      <c r="J6">
        <v>25</v>
      </c>
      <c r="K6">
        <v>22</v>
      </c>
      <c r="L6">
        <f t="shared" si="0"/>
        <v>10</v>
      </c>
      <c r="M6">
        <f t="shared" si="1"/>
        <v>348.4</v>
      </c>
      <c r="O6">
        <v>32</v>
      </c>
      <c r="Q6">
        <f t="shared" si="2"/>
        <v>1929</v>
      </c>
      <c r="R6">
        <f t="shared" si="3"/>
        <v>171.4</v>
      </c>
      <c r="S6">
        <f t="shared" si="4"/>
        <v>162</v>
      </c>
      <c r="T6">
        <v>161</v>
      </c>
      <c r="U6">
        <f t="shared" si="5"/>
        <v>1.0645962732919254</v>
      </c>
      <c r="V6">
        <f t="shared" si="7"/>
        <v>1.0062111801242235</v>
      </c>
    </row>
    <row r="7" spans="1:28" x14ac:dyDescent="0.2">
      <c r="A7">
        <f t="shared" si="6"/>
        <v>1930</v>
      </c>
      <c r="B7">
        <v>41</v>
      </c>
      <c r="C7">
        <v>38</v>
      </c>
      <c r="D7">
        <v>5.8</v>
      </c>
      <c r="E7">
        <v>20</v>
      </c>
      <c r="F7">
        <v>65</v>
      </c>
      <c r="G7">
        <v>21</v>
      </c>
      <c r="H7">
        <v>19</v>
      </c>
      <c r="I7">
        <v>13</v>
      </c>
      <c r="J7">
        <v>18</v>
      </c>
      <c r="K7">
        <v>16</v>
      </c>
      <c r="L7">
        <f t="shared" si="0"/>
        <v>10</v>
      </c>
      <c r="M7">
        <f t="shared" si="1"/>
        <v>266.8</v>
      </c>
      <c r="O7">
        <v>26</v>
      </c>
      <c r="Q7">
        <f t="shared" si="2"/>
        <v>1930</v>
      </c>
      <c r="R7">
        <f t="shared" si="3"/>
        <v>104.8</v>
      </c>
      <c r="S7">
        <f t="shared" si="4"/>
        <v>99</v>
      </c>
      <c r="T7">
        <v>97</v>
      </c>
      <c r="U7">
        <f t="shared" si="5"/>
        <v>1.0804123711340206</v>
      </c>
      <c r="V7">
        <f t="shared" si="7"/>
        <v>1.0206185567010309</v>
      </c>
    </row>
    <row r="8" spans="1:28" x14ac:dyDescent="0.2">
      <c r="A8">
        <f t="shared" si="6"/>
        <v>1931</v>
      </c>
      <c r="B8">
        <v>21</v>
      </c>
      <c r="C8">
        <v>19</v>
      </c>
      <c r="D8">
        <v>2.7</v>
      </c>
      <c r="E8">
        <v>10</v>
      </c>
      <c r="F8">
        <v>41</v>
      </c>
      <c r="G8">
        <v>19</v>
      </c>
      <c r="H8">
        <v>27</v>
      </c>
      <c r="I8">
        <v>7</v>
      </c>
      <c r="J8">
        <v>16</v>
      </c>
      <c r="K8">
        <v>14</v>
      </c>
      <c r="L8">
        <f t="shared" si="0"/>
        <v>5</v>
      </c>
      <c r="M8">
        <f t="shared" si="1"/>
        <v>181.7</v>
      </c>
      <c r="O8">
        <v>19</v>
      </c>
      <c r="Q8">
        <f t="shared" si="2"/>
        <v>1931</v>
      </c>
      <c r="R8">
        <f t="shared" si="3"/>
        <v>52.7</v>
      </c>
      <c r="S8">
        <f t="shared" si="4"/>
        <v>50</v>
      </c>
      <c r="T8">
        <v>50</v>
      </c>
      <c r="U8">
        <f t="shared" si="5"/>
        <v>1.054</v>
      </c>
      <c r="V8">
        <f t="shared" si="7"/>
        <v>1</v>
      </c>
    </row>
    <row r="9" spans="1:28" x14ac:dyDescent="0.2">
      <c r="A9">
        <f t="shared" si="6"/>
        <v>1932</v>
      </c>
      <c r="B9">
        <v>10</v>
      </c>
      <c r="C9">
        <v>9</v>
      </c>
      <c r="D9">
        <v>1.4</v>
      </c>
      <c r="E9">
        <v>5</v>
      </c>
      <c r="F9">
        <v>16</v>
      </c>
      <c r="G9">
        <v>8</v>
      </c>
      <c r="H9">
        <v>18</v>
      </c>
      <c r="I9">
        <v>4</v>
      </c>
      <c r="J9">
        <v>7</v>
      </c>
      <c r="K9">
        <v>6</v>
      </c>
      <c r="L9">
        <f t="shared" si="0"/>
        <v>2</v>
      </c>
      <c r="M9">
        <f t="shared" si="1"/>
        <v>86.4</v>
      </c>
      <c r="O9">
        <v>8</v>
      </c>
      <c r="Q9">
        <f t="shared" si="2"/>
        <v>1932</v>
      </c>
      <c r="R9">
        <f t="shared" si="3"/>
        <v>25.4</v>
      </c>
      <c r="S9">
        <f t="shared" si="4"/>
        <v>24</v>
      </c>
      <c r="T9">
        <v>24</v>
      </c>
      <c r="U9">
        <f t="shared" si="5"/>
        <v>1.0583333333333333</v>
      </c>
      <c r="V9">
        <f t="shared" si="7"/>
        <v>1</v>
      </c>
    </row>
    <row r="10" spans="1:28" x14ac:dyDescent="0.2">
      <c r="A10">
        <f t="shared" si="6"/>
        <v>1933</v>
      </c>
      <c r="B10">
        <v>9</v>
      </c>
      <c r="C10">
        <v>9</v>
      </c>
      <c r="D10">
        <v>1.4</v>
      </c>
      <c r="E10">
        <v>5</v>
      </c>
      <c r="F10">
        <v>7</v>
      </c>
      <c r="G10">
        <v>7</v>
      </c>
      <c r="H10">
        <v>11</v>
      </c>
      <c r="I10">
        <v>3</v>
      </c>
      <c r="J10">
        <v>7</v>
      </c>
      <c r="K10">
        <v>6</v>
      </c>
      <c r="L10">
        <f t="shared" si="0"/>
        <v>3</v>
      </c>
      <c r="M10">
        <f t="shared" si="1"/>
        <v>68.400000000000006</v>
      </c>
      <c r="O10">
        <v>9</v>
      </c>
      <c r="Q10">
        <f t="shared" si="2"/>
        <v>1933</v>
      </c>
      <c r="R10">
        <f t="shared" si="3"/>
        <v>24.4</v>
      </c>
      <c r="S10">
        <f t="shared" si="4"/>
        <v>23</v>
      </c>
      <c r="T10">
        <v>23</v>
      </c>
      <c r="U10">
        <f t="shared" si="5"/>
        <v>1.0608695652173912</v>
      </c>
      <c r="V10">
        <f t="shared" si="7"/>
        <v>1</v>
      </c>
    </row>
    <row r="11" spans="1:28" x14ac:dyDescent="0.2">
      <c r="A11">
        <f t="shared" si="6"/>
        <v>1934</v>
      </c>
      <c r="B11">
        <v>12</v>
      </c>
      <c r="C11">
        <v>11</v>
      </c>
      <c r="D11">
        <v>1.8</v>
      </c>
      <c r="E11">
        <v>6</v>
      </c>
      <c r="F11">
        <v>19</v>
      </c>
      <c r="G11">
        <v>4</v>
      </c>
      <c r="H11">
        <v>10</v>
      </c>
      <c r="I11">
        <v>3</v>
      </c>
      <c r="J11">
        <v>8</v>
      </c>
      <c r="K11">
        <v>7</v>
      </c>
      <c r="L11">
        <f t="shared" si="0"/>
        <v>2</v>
      </c>
      <c r="M11">
        <f t="shared" si="1"/>
        <v>83.8</v>
      </c>
      <c r="O11">
        <v>9</v>
      </c>
      <c r="Q11">
        <f t="shared" si="2"/>
        <v>1934</v>
      </c>
      <c r="R11">
        <f t="shared" si="3"/>
        <v>30.8</v>
      </c>
      <c r="S11">
        <f t="shared" si="4"/>
        <v>29</v>
      </c>
      <c r="T11">
        <v>28</v>
      </c>
      <c r="U11">
        <f t="shared" si="5"/>
        <v>1.1000000000000001</v>
      </c>
      <c r="V11">
        <f t="shared" si="7"/>
        <v>1.0357142857142858</v>
      </c>
    </row>
    <row r="12" spans="1:28" x14ac:dyDescent="0.2">
      <c r="A12">
        <f t="shared" si="6"/>
        <v>1935</v>
      </c>
      <c r="B12">
        <v>14</v>
      </c>
      <c r="C12">
        <v>13</v>
      </c>
      <c r="D12">
        <v>2.2999999999999998</v>
      </c>
      <c r="E12">
        <v>7</v>
      </c>
      <c r="F12">
        <v>29</v>
      </c>
      <c r="G12">
        <v>7</v>
      </c>
      <c r="H12">
        <v>16</v>
      </c>
      <c r="I12">
        <v>4</v>
      </c>
      <c r="J12">
        <v>9</v>
      </c>
      <c r="K12">
        <v>8</v>
      </c>
      <c r="L12">
        <f t="shared" si="0"/>
        <v>2</v>
      </c>
      <c r="M12">
        <f t="shared" si="1"/>
        <v>111.3</v>
      </c>
      <c r="O12">
        <v>10</v>
      </c>
      <c r="Q12">
        <f t="shared" si="2"/>
        <v>1935</v>
      </c>
      <c r="R12">
        <f t="shared" si="3"/>
        <v>36.299999999999997</v>
      </c>
      <c r="S12">
        <f t="shared" si="4"/>
        <v>34</v>
      </c>
      <c r="T12">
        <v>35</v>
      </c>
      <c r="U12">
        <f t="shared" si="5"/>
        <v>1.0371428571428571</v>
      </c>
      <c r="V12">
        <f t="shared" si="7"/>
        <v>0.97142857142857142</v>
      </c>
    </row>
    <row r="13" spans="1:28" x14ac:dyDescent="0.2">
      <c r="A13">
        <f t="shared" si="6"/>
        <v>1936</v>
      </c>
      <c r="B13">
        <v>28</v>
      </c>
      <c r="C13">
        <v>26</v>
      </c>
      <c r="D13">
        <v>4.0999999999999996</v>
      </c>
      <c r="E13">
        <v>14</v>
      </c>
      <c r="F13">
        <v>52</v>
      </c>
      <c r="G13">
        <v>13</v>
      </c>
      <c r="H13">
        <v>17</v>
      </c>
      <c r="I13">
        <v>6</v>
      </c>
      <c r="J13">
        <v>17</v>
      </c>
      <c r="K13">
        <v>13</v>
      </c>
      <c r="L13">
        <f t="shared" si="0"/>
        <v>5</v>
      </c>
      <c r="M13">
        <f t="shared" si="1"/>
        <v>195.1</v>
      </c>
      <c r="O13">
        <v>18</v>
      </c>
      <c r="Q13">
        <f t="shared" si="2"/>
        <v>1936</v>
      </c>
      <c r="R13">
        <f t="shared" si="3"/>
        <v>72.099999999999994</v>
      </c>
      <c r="S13">
        <f t="shared" si="4"/>
        <v>68</v>
      </c>
      <c r="T13">
        <v>57</v>
      </c>
      <c r="U13">
        <f t="shared" si="5"/>
        <v>1.2649122807017543</v>
      </c>
      <c r="V13">
        <f t="shared" si="7"/>
        <v>1.1929824561403508</v>
      </c>
    </row>
    <row r="14" spans="1:28" x14ac:dyDescent="0.2">
      <c r="A14">
        <f t="shared" si="6"/>
        <v>1937</v>
      </c>
      <c r="B14">
        <v>28</v>
      </c>
      <c r="C14">
        <v>26</v>
      </c>
      <c r="D14">
        <v>4.0999999999999996</v>
      </c>
      <c r="E14">
        <v>13</v>
      </c>
      <c r="F14">
        <v>43</v>
      </c>
      <c r="G14">
        <v>13</v>
      </c>
      <c r="H14">
        <v>14</v>
      </c>
      <c r="I14">
        <v>7</v>
      </c>
      <c r="J14">
        <v>17</v>
      </c>
      <c r="K14">
        <v>14</v>
      </c>
      <c r="L14">
        <f t="shared" si="0"/>
        <v>4</v>
      </c>
      <c r="M14">
        <f t="shared" si="1"/>
        <v>183.1</v>
      </c>
      <c r="O14">
        <v>18</v>
      </c>
      <c r="Q14">
        <f t="shared" si="2"/>
        <v>1937</v>
      </c>
      <c r="R14">
        <f t="shared" si="3"/>
        <v>71.099999999999994</v>
      </c>
      <c r="S14">
        <f t="shared" si="4"/>
        <v>67</v>
      </c>
      <c r="T14">
        <v>62</v>
      </c>
      <c r="U14">
        <f t="shared" si="5"/>
        <v>1.1467741935483871</v>
      </c>
      <c r="V14">
        <f t="shared" si="7"/>
        <v>1.0806451612903225</v>
      </c>
    </row>
    <row r="15" spans="1:28" x14ac:dyDescent="0.2">
      <c r="A15">
        <f t="shared" si="6"/>
        <v>1938</v>
      </c>
      <c r="B15">
        <v>18</v>
      </c>
      <c r="C15">
        <v>17</v>
      </c>
      <c r="D15">
        <v>2.7</v>
      </c>
      <c r="E15">
        <v>9</v>
      </c>
      <c r="F15">
        <v>65</v>
      </c>
      <c r="G15">
        <v>19</v>
      </c>
      <c r="H15">
        <v>18</v>
      </c>
      <c r="I15">
        <v>6</v>
      </c>
      <c r="J15">
        <v>21</v>
      </c>
      <c r="K15">
        <v>18</v>
      </c>
      <c r="L15">
        <f t="shared" si="0"/>
        <v>10</v>
      </c>
      <c r="M15">
        <f t="shared" si="1"/>
        <v>203.7</v>
      </c>
      <c r="O15">
        <v>28</v>
      </c>
      <c r="Q15">
        <f t="shared" si="2"/>
        <v>1938</v>
      </c>
      <c r="R15">
        <f t="shared" si="3"/>
        <v>46.7</v>
      </c>
      <c r="S15">
        <f t="shared" si="4"/>
        <v>44</v>
      </c>
      <c r="T15">
        <v>42</v>
      </c>
      <c r="U15">
        <f t="shared" si="5"/>
        <v>1.111904761904762</v>
      </c>
      <c r="V15">
        <f t="shared" si="7"/>
        <v>1.0476190476190477</v>
      </c>
    </row>
    <row r="16" spans="1:28" x14ac:dyDescent="0.2">
      <c r="A16">
        <f t="shared" si="6"/>
        <v>1939</v>
      </c>
      <c r="B16">
        <v>21</v>
      </c>
      <c r="C16">
        <v>20</v>
      </c>
      <c r="D16">
        <v>3.2</v>
      </c>
      <c r="E16">
        <v>10</v>
      </c>
      <c r="F16">
        <v>39</v>
      </c>
      <c r="G16">
        <v>14</v>
      </c>
      <c r="H16">
        <v>17</v>
      </c>
      <c r="I16">
        <v>7</v>
      </c>
      <c r="J16">
        <v>14</v>
      </c>
      <c r="K16">
        <v>12</v>
      </c>
      <c r="L16">
        <f t="shared" si="0"/>
        <v>9</v>
      </c>
      <c r="M16">
        <f t="shared" si="1"/>
        <v>166.2</v>
      </c>
      <c r="O16">
        <v>21</v>
      </c>
      <c r="Q16">
        <f t="shared" si="2"/>
        <v>1939</v>
      </c>
      <c r="R16">
        <f t="shared" si="3"/>
        <v>54.2</v>
      </c>
      <c r="S16">
        <f t="shared" si="4"/>
        <v>51</v>
      </c>
      <c r="T16">
        <v>49</v>
      </c>
      <c r="U16">
        <f t="shared" si="5"/>
        <v>1.106122448979592</v>
      </c>
      <c r="V16">
        <f t="shared" si="7"/>
        <v>1.0408163265306123</v>
      </c>
    </row>
    <row r="17" spans="1:22" x14ac:dyDescent="0.2">
      <c r="A17">
        <f t="shared" si="6"/>
        <v>1940</v>
      </c>
      <c r="B17">
        <v>29</v>
      </c>
      <c r="C17">
        <v>27</v>
      </c>
      <c r="D17">
        <v>4.0999999999999996</v>
      </c>
      <c r="E17">
        <v>14</v>
      </c>
      <c r="F17">
        <v>30</v>
      </c>
      <c r="G17">
        <v>16</v>
      </c>
      <c r="H17">
        <v>14</v>
      </c>
      <c r="I17">
        <v>8</v>
      </c>
      <c r="J17">
        <v>14</v>
      </c>
      <c r="K17">
        <v>12</v>
      </c>
      <c r="L17">
        <f t="shared" si="0"/>
        <v>44</v>
      </c>
      <c r="M17">
        <f t="shared" si="1"/>
        <v>212.1</v>
      </c>
      <c r="O17">
        <v>56</v>
      </c>
      <c r="Q17">
        <f t="shared" si="2"/>
        <v>1940</v>
      </c>
      <c r="R17">
        <f t="shared" si="3"/>
        <v>74.099999999999994</v>
      </c>
      <c r="S17">
        <f t="shared" si="4"/>
        <v>70</v>
      </c>
      <c r="T17">
        <v>67</v>
      </c>
      <c r="U17">
        <f t="shared" si="5"/>
        <v>1.1059701492537313</v>
      </c>
      <c r="V17">
        <f t="shared" si="7"/>
        <v>1.044776119402985</v>
      </c>
    </row>
    <row r="18" spans="1:22" x14ac:dyDescent="0.2">
      <c r="A18">
        <f t="shared" si="6"/>
        <v>1941</v>
      </c>
      <c r="B18">
        <v>46</v>
      </c>
      <c r="C18">
        <v>43</v>
      </c>
      <c r="D18">
        <v>6.3</v>
      </c>
      <c r="E18">
        <v>22</v>
      </c>
      <c r="F18">
        <v>29</v>
      </c>
      <c r="G18">
        <v>17</v>
      </c>
      <c r="H18">
        <v>16</v>
      </c>
      <c r="I18">
        <v>11</v>
      </c>
      <c r="J18">
        <v>18</v>
      </c>
      <c r="K18">
        <v>15</v>
      </c>
      <c r="L18">
        <f t="shared" si="0"/>
        <v>81</v>
      </c>
      <c r="M18">
        <f t="shared" si="1"/>
        <v>304.3</v>
      </c>
      <c r="O18">
        <v>96</v>
      </c>
      <c r="Q18">
        <f t="shared" si="2"/>
        <v>1941</v>
      </c>
      <c r="R18">
        <f t="shared" si="3"/>
        <v>117.3</v>
      </c>
      <c r="S18">
        <f t="shared" si="4"/>
        <v>111</v>
      </c>
      <c r="T18">
        <v>106</v>
      </c>
      <c r="U18">
        <f t="shared" si="5"/>
        <v>1.1066037735849057</v>
      </c>
      <c r="V18">
        <f t="shared" si="7"/>
        <v>1.0471698113207548</v>
      </c>
    </row>
    <row r="19" spans="1:22" x14ac:dyDescent="0.2">
      <c r="A19">
        <f t="shared" si="6"/>
        <v>1942</v>
      </c>
      <c r="B19">
        <v>35</v>
      </c>
      <c r="C19">
        <v>33</v>
      </c>
      <c r="D19">
        <v>4.9000000000000004</v>
      </c>
      <c r="E19">
        <v>17</v>
      </c>
      <c r="F19">
        <v>40</v>
      </c>
      <c r="G19">
        <v>40</v>
      </c>
      <c r="H19">
        <v>24</v>
      </c>
      <c r="I19">
        <v>5</v>
      </c>
      <c r="J19">
        <v>28</v>
      </c>
      <c r="K19">
        <v>23</v>
      </c>
      <c r="L19">
        <f t="shared" si="0"/>
        <v>249</v>
      </c>
      <c r="M19">
        <f t="shared" si="1"/>
        <v>498.9</v>
      </c>
      <c r="O19">
        <v>272</v>
      </c>
      <c r="Q19">
        <f t="shared" si="2"/>
        <v>1942</v>
      </c>
      <c r="R19">
        <f t="shared" si="3"/>
        <v>89.9</v>
      </c>
      <c r="S19">
        <f t="shared" si="4"/>
        <v>85</v>
      </c>
      <c r="T19">
        <v>74</v>
      </c>
      <c r="U19">
        <f t="shared" si="5"/>
        <v>1.214864864864865</v>
      </c>
      <c r="V19">
        <f t="shared" si="7"/>
        <v>1.1486486486486487</v>
      </c>
    </row>
    <row r="20" spans="1:22" x14ac:dyDescent="0.2">
      <c r="A20">
        <f t="shared" si="6"/>
        <v>1943</v>
      </c>
      <c r="B20">
        <v>21</v>
      </c>
      <c r="C20">
        <v>19</v>
      </c>
      <c r="D20">
        <v>3.2</v>
      </c>
      <c r="E20">
        <v>10</v>
      </c>
      <c r="F20">
        <v>27</v>
      </c>
      <c r="G20">
        <v>27</v>
      </c>
      <c r="H20">
        <v>9</v>
      </c>
      <c r="I20">
        <v>5</v>
      </c>
      <c r="J20">
        <v>21</v>
      </c>
      <c r="K20">
        <v>13</v>
      </c>
      <c r="L20">
        <f t="shared" si="0"/>
        <v>87</v>
      </c>
      <c r="M20">
        <f t="shared" si="1"/>
        <v>242.2</v>
      </c>
      <c r="O20">
        <v>100</v>
      </c>
      <c r="Q20">
        <f t="shared" si="2"/>
        <v>1943</v>
      </c>
      <c r="R20">
        <f t="shared" si="3"/>
        <v>53.2</v>
      </c>
      <c r="S20">
        <f t="shared" si="4"/>
        <v>50</v>
      </c>
      <c r="T20">
        <v>22</v>
      </c>
      <c r="U20">
        <f t="shared" si="5"/>
        <v>2.4181818181818184</v>
      </c>
      <c r="V20">
        <f t="shared" si="7"/>
        <v>2.2727272727272729</v>
      </c>
    </row>
    <row r="21" spans="1:22" x14ac:dyDescent="0.2">
      <c r="A21">
        <f t="shared" si="6"/>
        <v>1944</v>
      </c>
      <c r="B21">
        <v>5</v>
      </c>
      <c r="C21">
        <v>5</v>
      </c>
      <c r="D21">
        <v>0.9</v>
      </c>
      <c r="E21">
        <v>2</v>
      </c>
      <c r="F21">
        <v>12</v>
      </c>
      <c r="G21">
        <v>9</v>
      </c>
      <c r="H21">
        <v>2</v>
      </c>
      <c r="I21">
        <v>1</v>
      </c>
      <c r="J21">
        <v>6</v>
      </c>
      <c r="K21">
        <v>5</v>
      </c>
      <c r="L21">
        <f t="shared" si="0"/>
        <v>39</v>
      </c>
      <c r="M21">
        <f t="shared" si="1"/>
        <v>86.9</v>
      </c>
      <c r="O21">
        <v>44</v>
      </c>
      <c r="Q21">
        <f t="shared" si="2"/>
        <v>1944</v>
      </c>
      <c r="R21">
        <f t="shared" si="3"/>
        <v>12.9</v>
      </c>
      <c r="S21">
        <f t="shared" si="4"/>
        <v>12</v>
      </c>
      <c r="T21">
        <v>12</v>
      </c>
      <c r="U21">
        <f t="shared" si="5"/>
        <v>1.075</v>
      </c>
      <c r="V21">
        <f t="shared" si="7"/>
        <v>1</v>
      </c>
    </row>
    <row r="22" spans="1:22" x14ac:dyDescent="0.2">
      <c r="A22">
        <f t="shared" si="6"/>
        <v>1945</v>
      </c>
      <c r="B22">
        <v>31</v>
      </c>
      <c r="C22">
        <v>29</v>
      </c>
      <c r="D22">
        <v>4.5</v>
      </c>
      <c r="E22">
        <v>15</v>
      </c>
      <c r="F22">
        <v>20</v>
      </c>
      <c r="G22">
        <v>14</v>
      </c>
      <c r="H22">
        <v>4</v>
      </c>
      <c r="I22">
        <v>7</v>
      </c>
      <c r="J22">
        <v>12</v>
      </c>
      <c r="K22">
        <v>8</v>
      </c>
      <c r="L22">
        <f t="shared" si="0"/>
        <v>36</v>
      </c>
      <c r="M22">
        <f t="shared" si="1"/>
        <v>180.5</v>
      </c>
      <c r="O22">
        <v>44</v>
      </c>
      <c r="Q22">
        <f t="shared" si="2"/>
        <v>1945</v>
      </c>
      <c r="R22">
        <f t="shared" si="3"/>
        <v>79.5</v>
      </c>
      <c r="S22">
        <f t="shared" si="4"/>
        <v>75</v>
      </c>
      <c r="T22">
        <v>63</v>
      </c>
      <c r="U22">
        <f t="shared" si="5"/>
        <v>1.2619047619047619</v>
      </c>
      <c r="V22">
        <f t="shared" si="7"/>
        <v>1.1904761904761905</v>
      </c>
    </row>
    <row r="23" spans="1:22" x14ac:dyDescent="0.2">
      <c r="A23">
        <f t="shared" si="6"/>
        <v>1946</v>
      </c>
      <c r="B23">
        <v>55</v>
      </c>
      <c r="C23">
        <v>51</v>
      </c>
      <c r="D23">
        <v>7.7</v>
      </c>
      <c r="E23">
        <v>26</v>
      </c>
      <c r="F23">
        <v>35</v>
      </c>
      <c r="G23">
        <v>19</v>
      </c>
      <c r="H23">
        <v>3</v>
      </c>
      <c r="I23">
        <v>11</v>
      </c>
      <c r="J23">
        <v>15</v>
      </c>
      <c r="K23">
        <v>11</v>
      </c>
      <c r="L23">
        <f t="shared" si="0"/>
        <v>23</v>
      </c>
      <c r="M23">
        <f t="shared" si="1"/>
        <v>256.7</v>
      </c>
      <c r="O23">
        <v>34</v>
      </c>
      <c r="Q23">
        <f t="shared" si="2"/>
        <v>1946</v>
      </c>
      <c r="R23">
        <f t="shared" si="3"/>
        <v>139.69999999999999</v>
      </c>
      <c r="S23">
        <f t="shared" si="4"/>
        <v>132</v>
      </c>
      <c r="T23">
        <v>119</v>
      </c>
      <c r="U23">
        <f t="shared" si="5"/>
        <v>1.1739495798319326</v>
      </c>
      <c r="V23">
        <f t="shared" si="7"/>
        <v>1.1092436974789917</v>
      </c>
    </row>
    <row r="24" spans="1:22" x14ac:dyDescent="0.2">
      <c r="A24">
        <f t="shared" si="6"/>
        <v>1947</v>
      </c>
      <c r="B24">
        <v>42</v>
      </c>
      <c r="C24">
        <v>39</v>
      </c>
      <c r="D24">
        <v>5.8</v>
      </c>
      <c r="E24">
        <v>20</v>
      </c>
      <c r="F24">
        <v>47</v>
      </c>
      <c r="G24">
        <v>23</v>
      </c>
      <c r="H24">
        <v>7</v>
      </c>
      <c r="I24">
        <v>14</v>
      </c>
      <c r="J24">
        <v>16</v>
      </c>
      <c r="K24">
        <v>14</v>
      </c>
      <c r="L24">
        <f t="shared" si="0"/>
        <v>16</v>
      </c>
      <c r="M24">
        <f t="shared" si="1"/>
        <v>243.8</v>
      </c>
      <c r="O24">
        <v>30</v>
      </c>
      <c r="Q24">
        <f t="shared" si="2"/>
        <v>1947</v>
      </c>
      <c r="R24">
        <f t="shared" si="3"/>
        <v>106.8</v>
      </c>
      <c r="S24">
        <f t="shared" si="4"/>
        <v>101</v>
      </c>
      <c r="T24">
        <v>100</v>
      </c>
      <c r="U24">
        <f t="shared" si="5"/>
        <v>1.0680000000000001</v>
      </c>
      <c r="V24">
        <f t="shared" si="7"/>
        <v>1.01</v>
      </c>
    </row>
    <row r="25" spans="1:22" x14ac:dyDescent="0.2">
      <c r="A25">
        <f t="shared" si="6"/>
        <v>1948</v>
      </c>
      <c r="B25">
        <v>44</v>
      </c>
      <c r="C25">
        <v>41</v>
      </c>
      <c r="D25">
        <v>6.3</v>
      </c>
      <c r="E25">
        <v>21</v>
      </c>
      <c r="F25">
        <v>84</v>
      </c>
      <c r="G25">
        <v>41</v>
      </c>
      <c r="H25">
        <v>7</v>
      </c>
      <c r="I25">
        <v>25</v>
      </c>
      <c r="J25">
        <v>26</v>
      </c>
      <c r="K25">
        <v>22</v>
      </c>
      <c r="L25">
        <f t="shared" si="0"/>
        <v>25</v>
      </c>
      <c r="M25">
        <f t="shared" si="1"/>
        <v>342.3</v>
      </c>
      <c r="O25">
        <v>47</v>
      </c>
      <c r="Q25">
        <f t="shared" si="2"/>
        <v>1948</v>
      </c>
      <c r="R25">
        <f t="shared" si="3"/>
        <v>112.3</v>
      </c>
      <c r="S25">
        <f t="shared" si="4"/>
        <v>106</v>
      </c>
      <c r="T25">
        <v>101</v>
      </c>
      <c r="U25">
        <f t="shared" si="5"/>
        <v>1.1118811881188118</v>
      </c>
      <c r="V25">
        <f t="shared" si="7"/>
        <v>1.0495049504950495</v>
      </c>
    </row>
    <row r="26" spans="1:22" x14ac:dyDescent="0.2">
      <c r="A26">
        <f t="shared" si="6"/>
        <v>1949</v>
      </c>
      <c r="B26">
        <v>38</v>
      </c>
      <c r="C26">
        <v>36</v>
      </c>
      <c r="D26">
        <v>5.4</v>
      </c>
      <c r="E26">
        <v>18</v>
      </c>
      <c r="F26">
        <v>93</v>
      </c>
      <c r="G26">
        <v>49</v>
      </c>
      <c r="H26">
        <v>10</v>
      </c>
      <c r="I26">
        <v>29</v>
      </c>
      <c r="J26">
        <v>25</v>
      </c>
      <c r="K26">
        <v>21</v>
      </c>
      <c r="L26">
        <f t="shared" si="0"/>
        <v>30</v>
      </c>
      <c r="M26">
        <f t="shared" si="1"/>
        <v>354.4</v>
      </c>
      <c r="O26">
        <v>51</v>
      </c>
      <c r="Q26">
        <f t="shared" si="2"/>
        <v>1949</v>
      </c>
      <c r="R26">
        <f t="shared" si="3"/>
        <v>97.4</v>
      </c>
      <c r="S26">
        <f t="shared" si="4"/>
        <v>92</v>
      </c>
      <c r="T26">
        <v>86</v>
      </c>
      <c r="U26">
        <f t="shared" si="5"/>
        <v>1.1325581395348838</v>
      </c>
      <c r="V26">
        <f t="shared" si="7"/>
        <v>1.069767441860465</v>
      </c>
    </row>
    <row r="27" spans="1:22" x14ac:dyDescent="0.2">
      <c r="A27">
        <f t="shared" si="6"/>
        <v>1950</v>
      </c>
      <c r="B27">
        <v>55</v>
      </c>
      <c r="C27">
        <v>51</v>
      </c>
      <c r="D27">
        <v>7.7</v>
      </c>
      <c r="E27">
        <v>26</v>
      </c>
      <c r="F27">
        <v>132</v>
      </c>
      <c r="G27">
        <v>53</v>
      </c>
      <c r="H27">
        <v>12</v>
      </c>
      <c r="I27">
        <v>35</v>
      </c>
      <c r="J27">
        <v>30</v>
      </c>
      <c r="K27">
        <v>24</v>
      </c>
      <c r="L27">
        <f t="shared" si="0"/>
        <v>40</v>
      </c>
      <c r="M27">
        <f t="shared" si="1"/>
        <v>465.7</v>
      </c>
      <c r="O27">
        <v>64</v>
      </c>
      <c r="Q27">
        <f t="shared" si="2"/>
        <v>1950</v>
      </c>
      <c r="R27">
        <f t="shared" si="3"/>
        <v>139.69999999999999</v>
      </c>
      <c r="S27">
        <f t="shared" si="4"/>
        <v>132</v>
      </c>
      <c r="T27">
        <v>122</v>
      </c>
      <c r="U27">
        <f t="shared" si="5"/>
        <v>1.1450819672131147</v>
      </c>
      <c r="V27">
        <f t="shared" si="7"/>
        <v>1.0819672131147542</v>
      </c>
    </row>
    <row r="28" spans="1:22" x14ac:dyDescent="0.2">
      <c r="A28">
        <f t="shared" si="6"/>
        <v>1951</v>
      </c>
      <c r="B28">
        <v>37</v>
      </c>
      <c r="C28">
        <v>34</v>
      </c>
      <c r="D28">
        <v>5.4</v>
      </c>
      <c r="E28">
        <v>17</v>
      </c>
      <c r="F28">
        <v>132</v>
      </c>
      <c r="G28">
        <v>46</v>
      </c>
      <c r="H28">
        <v>14</v>
      </c>
      <c r="I28">
        <v>30</v>
      </c>
      <c r="J28">
        <v>15</v>
      </c>
      <c r="K28">
        <v>11</v>
      </c>
      <c r="L28">
        <f t="shared" si="0"/>
        <v>64</v>
      </c>
      <c r="M28">
        <f t="shared" si="1"/>
        <v>405.4</v>
      </c>
      <c r="O28">
        <v>75</v>
      </c>
      <c r="Q28">
        <f t="shared" si="2"/>
        <v>1951</v>
      </c>
      <c r="R28">
        <f t="shared" si="3"/>
        <v>93.4</v>
      </c>
      <c r="S28">
        <f t="shared" si="4"/>
        <v>88</v>
      </c>
      <c r="T28">
        <v>77</v>
      </c>
      <c r="U28">
        <f t="shared" si="5"/>
        <v>1.2129870129870131</v>
      </c>
      <c r="V28">
        <f t="shared" si="7"/>
        <v>1.1428571428571428</v>
      </c>
    </row>
    <row r="29" spans="1:22" x14ac:dyDescent="0.2">
      <c r="A29">
        <f t="shared" si="6"/>
        <v>1952</v>
      </c>
      <c r="B29">
        <v>43</v>
      </c>
      <c r="C29">
        <v>40</v>
      </c>
      <c r="D29">
        <v>5.8</v>
      </c>
      <c r="E29">
        <v>20</v>
      </c>
      <c r="F29">
        <v>134</v>
      </c>
      <c r="G29">
        <v>34</v>
      </c>
      <c r="H29">
        <v>19</v>
      </c>
      <c r="I29">
        <v>28</v>
      </c>
      <c r="J29">
        <v>18</v>
      </c>
      <c r="K29">
        <v>12</v>
      </c>
      <c r="L29">
        <f t="shared" si="0"/>
        <v>82</v>
      </c>
      <c r="M29">
        <f t="shared" si="1"/>
        <v>435.8</v>
      </c>
      <c r="O29">
        <v>94</v>
      </c>
      <c r="Q29">
        <f t="shared" si="2"/>
        <v>1952</v>
      </c>
      <c r="R29">
        <f t="shared" si="3"/>
        <v>108.8</v>
      </c>
      <c r="S29">
        <f t="shared" si="4"/>
        <v>103</v>
      </c>
      <c r="T29">
        <v>82</v>
      </c>
      <c r="U29">
        <f t="shared" si="5"/>
        <v>1.326829268292683</v>
      </c>
      <c r="V29">
        <f t="shared" si="7"/>
        <v>1.2560975609756098</v>
      </c>
    </row>
    <row r="30" spans="1:22" x14ac:dyDescent="0.2">
      <c r="A30">
        <f t="shared" si="6"/>
        <v>1953</v>
      </c>
      <c r="B30">
        <v>55</v>
      </c>
      <c r="C30">
        <v>51</v>
      </c>
      <c r="D30">
        <v>7.7</v>
      </c>
      <c r="E30">
        <v>26</v>
      </c>
      <c r="F30">
        <v>148</v>
      </c>
      <c r="G30">
        <v>28</v>
      </c>
      <c r="H30">
        <v>16</v>
      </c>
      <c r="I30">
        <v>33</v>
      </c>
      <c r="J30">
        <v>21</v>
      </c>
      <c r="K30">
        <v>17</v>
      </c>
      <c r="L30">
        <f t="shared" si="0"/>
        <v>64</v>
      </c>
      <c r="M30">
        <f t="shared" si="1"/>
        <v>466.7</v>
      </c>
      <c r="O30">
        <v>81</v>
      </c>
      <c r="Q30">
        <f t="shared" si="2"/>
        <v>1953</v>
      </c>
      <c r="R30">
        <f t="shared" si="3"/>
        <v>139.69999999999999</v>
      </c>
      <c r="S30">
        <f t="shared" si="4"/>
        <v>132</v>
      </c>
      <c r="T30">
        <v>123</v>
      </c>
      <c r="U30">
        <f t="shared" si="5"/>
        <v>1.1357723577235772</v>
      </c>
      <c r="V30">
        <f t="shared" si="7"/>
        <v>1.0731707317073171</v>
      </c>
    </row>
    <row r="31" spans="1:22" x14ac:dyDescent="0.2">
      <c r="A31">
        <f t="shared" si="6"/>
        <v>1954</v>
      </c>
      <c r="B31">
        <v>62</v>
      </c>
      <c r="C31">
        <v>58</v>
      </c>
      <c r="D31">
        <v>9</v>
      </c>
      <c r="E31">
        <v>30</v>
      </c>
      <c r="F31">
        <v>184</v>
      </c>
      <c r="G31">
        <v>34</v>
      </c>
      <c r="H31">
        <v>19</v>
      </c>
      <c r="I31">
        <v>41</v>
      </c>
      <c r="J31">
        <v>24</v>
      </c>
      <c r="K31">
        <v>19</v>
      </c>
      <c r="L31">
        <f t="shared" si="0"/>
        <v>58</v>
      </c>
      <c r="M31">
        <f t="shared" si="1"/>
        <v>538</v>
      </c>
      <c r="O31">
        <v>77</v>
      </c>
      <c r="Q31">
        <f t="shared" si="2"/>
        <v>1954</v>
      </c>
      <c r="R31">
        <f t="shared" si="3"/>
        <v>159</v>
      </c>
      <c r="S31">
        <f t="shared" si="4"/>
        <v>150</v>
      </c>
      <c r="T31">
        <v>138</v>
      </c>
      <c r="U31">
        <f t="shared" si="5"/>
        <v>1.1521739130434783</v>
      </c>
      <c r="V31">
        <f t="shared" si="7"/>
        <v>1.0869565217391304</v>
      </c>
    </row>
    <row r="32" spans="1:22" x14ac:dyDescent="0.2">
      <c r="A32">
        <f t="shared" si="6"/>
        <v>1955</v>
      </c>
      <c r="B32">
        <v>78</v>
      </c>
      <c r="C32">
        <v>73</v>
      </c>
      <c r="D32">
        <v>11.3</v>
      </c>
      <c r="E32">
        <v>37</v>
      </c>
      <c r="F32">
        <v>187</v>
      </c>
      <c r="G32">
        <v>29</v>
      </c>
      <c r="H32">
        <v>22</v>
      </c>
      <c r="I32">
        <v>45</v>
      </c>
      <c r="J32">
        <v>26</v>
      </c>
      <c r="K32">
        <v>20</v>
      </c>
      <c r="L32">
        <f t="shared" si="0"/>
        <v>70</v>
      </c>
      <c r="M32">
        <f t="shared" si="1"/>
        <v>598.29999999999995</v>
      </c>
      <c r="O32">
        <v>90</v>
      </c>
      <c r="Q32">
        <f t="shared" si="2"/>
        <v>1955</v>
      </c>
      <c r="R32">
        <f t="shared" si="3"/>
        <v>199.3</v>
      </c>
      <c r="S32">
        <f t="shared" si="4"/>
        <v>188</v>
      </c>
      <c r="T32">
        <v>173</v>
      </c>
      <c r="U32">
        <f t="shared" si="5"/>
        <v>1.1520231213872834</v>
      </c>
      <c r="V32">
        <f t="shared" si="7"/>
        <v>1.0867052023121386</v>
      </c>
    </row>
    <row r="33" spans="1:27" x14ac:dyDescent="0.2">
      <c r="A33">
        <f t="shared" si="6"/>
        <v>1956</v>
      </c>
      <c r="B33">
        <v>90</v>
      </c>
      <c r="C33">
        <v>84</v>
      </c>
      <c r="D33">
        <v>12.6</v>
      </c>
      <c r="E33">
        <v>43</v>
      </c>
      <c r="F33">
        <v>201</v>
      </c>
      <c r="G33">
        <v>33</v>
      </c>
      <c r="H33">
        <v>27</v>
      </c>
      <c r="I33">
        <v>48</v>
      </c>
      <c r="J33">
        <v>30</v>
      </c>
      <c r="K33">
        <v>30</v>
      </c>
      <c r="L33">
        <f t="shared" si="0"/>
        <v>48</v>
      </c>
      <c r="M33">
        <f t="shared" si="1"/>
        <v>646.6</v>
      </c>
      <c r="O33">
        <v>78</v>
      </c>
      <c r="Q33">
        <f t="shared" si="2"/>
        <v>1956</v>
      </c>
      <c r="R33">
        <f t="shared" si="3"/>
        <v>229.6</v>
      </c>
      <c r="S33">
        <f t="shared" si="4"/>
        <v>217</v>
      </c>
      <c r="T33">
        <v>244</v>
      </c>
      <c r="U33">
        <f t="shared" si="5"/>
        <v>0.94098360655737701</v>
      </c>
      <c r="V33">
        <f t="shared" si="7"/>
        <v>0.88934426229508201</v>
      </c>
    </row>
    <row r="34" spans="1:27" x14ac:dyDescent="0.2">
      <c r="A34">
        <f t="shared" si="6"/>
        <v>1957</v>
      </c>
      <c r="B34">
        <v>90</v>
      </c>
      <c r="C34">
        <v>84</v>
      </c>
      <c r="D34">
        <v>12.6</v>
      </c>
      <c r="E34">
        <v>43</v>
      </c>
      <c r="F34">
        <v>208</v>
      </c>
      <c r="G34">
        <v>40</v>
      </c>
      <c r="H34">
        <v>27</v>
      </c>
      <c r="I34">
        <v>50</v>
      </c>
      <c r="J34">
        <v>31</v>
      </c>
      <c r="K34">
        <v>31</v>
      </c>
      <c r="L34">
        <f t="shared" si="0"/>
        <v>33</v>
      </c>
      <c r="M34">
        <f t="shared" si="1"/>
        <v>649.6</v>
      </c>
      <c r="O34">
        <v>64</v>
      </c>
      <c r="Q34">
        <f t="shared" si="2"/>
        <v>1957</v>
      </c>
      <c r="R34">
        <f t="shared" si="3"/>
        <v>229.6</v>
      </c>
      <c r="S34">
        <f t="shared" si="4"/>
        <v>217</v>
      </c>
      <c r="T34">
        <v>245</v>
      </c>
    </row>
    <row r="35" spans="1:27" x14ac:dyDescent="0.2">
      <c r="A35">
        <f t="shared" si="6"/>
        <v>1958</v>
      </c>
      <c r="B35">
        <v>90</v>
      </c>
      <c r="C35">
        <v>83</v>
      </c>
      <c r="D35">
        <v>12.6</v>
      </c>
      <c r="E35">
        <v>43</v>
      </c>
      <c r="F35">
        <v>202</v>
      </c>
      <c r="G35">
        <v>38</v>
      </c>
      <c r="H35">
        <v>37</v>
      </c>
      <c r="I35">
        <v>51</v>
      </c>
      <c r="J35">
        <v>37</v>
      </c>
      <c r="K35">
        <v>37</v>
      </c>
      <c r="L35">
        <f t="shared" si="0"/>
        <v>47</v>
      </c>
      <c r="M35">
        <f t="shared" si="1"/>
        <v>677.6</v>
      </c>
      <c r="O35">
        <v>84</v>
      </c>
      <c r="Q35">
        <f t="shared" si="2"/>
        <v>1958</v>
      </c>
      <c r="R35">
        <f t="shared" si="3"/>
        <v>228.6</v>
      </c>
      <c r="S35">
        <f t="shared" si="4"/>
        <v>216</v>
      </c>
      <c r="T35">
        <v>243</v>
      </c>
    </row>
    <row r="36" spans="1:27" x14ac:dyDescent="0.2">
      <c r="A36">
        <f t="shared" si="6"/>
        <v>1959</v>
      </c>
      <c r="B36">
        <v>104</v>
      </c>
      <c r="C36">
        <v>97</v>
      </c>
      <c r="D36">
        <v>14.9</v>
      </c>
      <c r="E36">
        <v>49</v>
      </c>
      <c r="F36">
        <v>182</v>
      </c>
      <c r="G36">
        <v>38</v>
      </c>
      <c r="H36">
        <v>34</v>
      </c>
      <c r="I36">
        <v>54</v>
      </c>
      <c r="J36">
        <v>43</v>
      </c>
      <c r="K36">
        <v>43</v>
      </c>
      <c r="L36">
        <f t="shared" si="0"/>
        <v>35</v>
      </c>
      <c r="M36">
        <f t="shared" si="1"/>
        <v>693.9</v>
      </c>
      <c r="O36">
        <v>78</v>
      </c>
      <c r="Q36">
        <f t="shared" si="2"/>
        <v>1959</v>
      </c>
      <c r="R36">
        <f t="shared" si="3"/>
        <v>264.89999999999998</v>
      </c>
      <c r="S36">
        <f t="shared" si="4"/>
        <v>250</v>
      </c>
      <c r="T36">
        <v>281</v>
      </c>
    </row>
    <row r="37" spans="1:27" x14ac:dyDescent="0.2">
      <c r="A37">
        <f t="shared" si="6"/>
        <v>1960</v>
      </c>
      <c r="B37">
        <v>125</v>
      </c>
      <c r="C37">
        <v>77</v>
      </c>
      <c r="D37">
        <v>24</v>
      </c>
      <c r="E37">
        <v>59</v>
      </c>
      <c r="F37">
        <v>198</v>
      </c>
      <c r="G37">
        <v>36</v>
      </c>
      <c r="H37">
        <v>34</v>
      </c>
      <c r="I37">
        <v>54</v>
      </c>
      <c r="J37">
        <v>57</v>
      </c>
      <c r="K37">
        <v>44</v>
      </c>
      <c r="L37">
        <f>O37-K37</f>
        <v>32</v>
      </c>
      <c r="M37">
        <f t="shared" si="1"/>
        <v>740</v>
      </c>
      <c r="O37">
        <v>76</v>
      </c>
      <c r="Q37">
        <f t="shared" si="2"/>
        <v>1960</v>
      </c>
      <c r="R37">
        <f t="shared" si="3"/>
        <v>285</v>
      </c>
      <c r="T37">
        <v>283</v>
      </c>
    </row>
    <row r="38" spans="1:27" x14ac:dyDescent="0.2">
      <c r="A38">
        <f t="shared" si="6"/>
        <v>1961</v>
      </c>
      <c r="B38">
        <v>129</v>
      </c>
      <c r="C38">
        <v>76</v>
      </c>
      <c r="D38">
        <v>26</v>
      </c>
      <c r="E38">
        <v>64</v>
      </c>
      <c r="F38">
        <v>197</v>
      </c>
      <c r="G38">
        <v>45</v>
      </c>
      <c r="H38">
        <v>33</v>
      </c>
      <c r="I38">
        <v>53</v>
      </c>
      <c r="J38">
        <v>65</v>
      </c>
      <c r="K38">
        <v>41</v>
      </c>
      <c r="L38">
        <f t="shared" ref="L38:L77" si="8">O38-K38</f>
        <v>30</v>
      </c>
      <c r="M38">
        <f t="shared" si="1"/>
        <v>759</v>
      </c>
      <c r="O38">
        <v>71</v>
      </c>
      <c r="Q38">
        <f t="shared" si="2"/>
        <v>1961</v>
      </c>
      <c r="R38">
        <f t="shared" si="3"/>
        <v>295</v>
      </c>
      <c r="T38">
        <v>293</v>
      </c>
    </row>
    <row r="39" spans="1:27" x14ac:dyDescent="0.2">
      <c r="A39">
        <f t="shared" si="6"/>
        <v>1962</v>
      </c>
      <c r="B39">
        <v>133</v>
      </c>
      <c r="C39">
        <v>99</v>
      </c>
      <c r="D39">
        <v>27</v>
      </c>
      <c r="E39">
        <v>69</v>
      </c>
      <c r="F39">
        <v>193</v>
      </c>
      <c r="G39">
        <v>50</v>
      </c>
      <c r="H39">
        <v>35</v>
      </c>
      <c r="I39">
        <v>53</v>
      </c>
      <c r="J39">
        <v>76</v>
      </c>
      <c r="K39">
        <v>40</v>
      </c>
      <c r="L39">
        <f t="shared" si="8"/>
        <v>28</v>
      </c>
      <c r="M39">
        <f t="shared" si="1"/>
        <v>803</v>
      </c>
      <c r="O39">
        <v>68</v>
      </c>
      <c r="Q39">
        <f t="shared" si="2"/>
        <v>1962</v>
      </c>
      <c r="R39">
        <f t="shared" si="3"/>
        <v>328</v>
      </c>
      <c r="T39">
        <v>326</v>
      </c>
    </row>
    <row r="40" spans="1:27" x14ac:dyDescent="0.2">
      <c r="A40">
        <f t="shared" si="6"/>
        <v>1963</v>
      </c>
      <c r="B40">
        <v>139</v>
      </c>
      <c r="C40">
        <v>105</v>
      </c>
      <c r="D40">
        <v>33</v>
      </c>
      <c r="E40">
        <v>72</v>
      </c>
      <c r="F40">
        <v>199</v>
      </c>
      <c r="G40">
        <v>66</v>
      </c>
      <c r="H40">
        <v>43</v>
      </c>
      <c r="I40">
        <v>48</v>
      </c>
      <c r="J40">
        <v>77</v>
      </c>
      <c r="K40">
        <v>39</v>
      </c>
      <c r="L40">
        <f t="shared" si="8"/>
        <v>33</v>
      </c>
      <c r="M40">
        <f t="shared" si="1"/>
        <v>854</v>
      </c>
      <c r="O40">
        <v>72</v>
      </c>
      <c r="Q40">
        <f t="shared" si="2"/>
        <v>1963</v>
      </c>
      <c r="R40">
        <f t="shared" si="3"/>
        <v>349</v>
      </c>
      <c r="T40">
        <v>347</v>
      </c>
    </row>
    <row r="41" spans="1:27" x14ac:dyDescent="0.2">
      <c r="A41">
        <f t="shared" si="6"/>
        <v>1964</v>
      </c>
      <c r="B41">
        <v>149</v>
      </c>
      <c r="C41">
        <v>97</v>
      </c>
      <c r="D41">
        <v>33</v>
      </c>
      <c r="E41">
        <v>83</v>
      </c>
      <c r="F41">
        <v>205</v>
      </c>
      <c r="G41">
        <v>67</v>
      </c>
      <c r="H41">
        <v>35</v>
      </c>
      <c r="I41">
        <v>50</v>
      </c>
      <c r="J41">
        <v>84</v>
      </c>
      <c r="K41">
        <v>36</v>
      </c>
      <c r="L41">
        <f t="shared" si="8"/>
        <v>37</v>
      </c>
      <c r="M41">
        <f t="shared" si="1"/>
        <v>876</v>
      </c>
      <c r="O41">
        <v>73</v>
      </c>
      <c r="Q41">
        <f t="shared" si="2"/>
        <v>1964</v>
      </c>
      <c r="R41">
        <f t="shared" si="3"/>
        <v>362</v>
      </c>
      <c r="T41">
        <v>360</v>
      </c>
    </row>
    <row r="42" spans="1:27" x14ac:dyDescent="0.2">
      <c r="A42">
        <f t="shared" si="6"/>
        <v>1965</v>
      </c>
      <c r="B42">
        <v>181</v>
      </c>
      <c r="C42">
        <v>109</v>
      </c>
      <c r="D42">
        <v>37</v>
      </c>
      <c r="E42">
        <v>91</v>
      </c>
      <c r="F42">
        <v>228</v>
      </c>
      <c r="G42">
        <v>60</v>
      </c>
      <c r="H42">
        <v>36</v>
      </c>
      <c r="I42">
        <v>45</v>
      </c>
      <c r="J42">
        <v>92</v>
      </c>
      <c r="K42">
        <v>48</v>
      </c>
      <c r="L42">
        <f t="shared" si="8"/>
        <v>40</v>
      </c>
      <c r="M42">
        <f t="shared" si="1"/>
        <v>967</v>
      </c>
      <c r="O42">
        <v>88</v>
      </c>
      <c r="Q42">
        <f t="shared" si="2"/>
        <v>1965</v>
      </c>
      <c r="R42">
        <f t="shared" si="3"/>
        <v>418</v>
      </c>
      <c r="T42">
        <v>415</v>
      </c>
    </row>
    <row r="43" spans="1:27" x14ac:dyDescent="0.2">
      <c r="A43">
        <f t="shared" si="6"/>
        <v>1966</v>
      </c>
      <c r="B43">
        <v>182</v>
      </c>
      <c r="C43">
        <v>110</v>
      </c>
      <c r="D43">
        <v>39</v>
      </c>
      <c r="E43">
        <v>113</v>
      </c>
      <c r="F43">
        <v>248</v>
      </c>
      <c r="G43">
        <v>60</v>
      </c>
      <c r="H43">
        <v>37</v>
      </c>
      <c r="I43">
        <v>45</v>
      </c>
      <c r="J43">
        <v>81</v>
      </c>
      <c r="K43">
        <v>47</v>
      </c>
      <c r="L43">
        <f t="shared" si="8"/>
        <v>42</v>
      </c>
      <c r="M43">
        <f t="shared" si="1"/>
        <v>1004</v>
      </c>
      <c r="O43">
        <v>89</v>
      </c>
      <c r="Q43">
        <f t="shared" si="2"/>
        <v>1966</v>
      </c>
      <c r="R43">
        <f t="shared" si="3"/>
        <v>444</v>
      </c>
      <c r="T43">
        <v>442</v>
      </c>
    </row>
    <row r="44" spans="1:27" x14ac:dyDescent="0.2">
      <c r="A44">
        <f t="shared" si="6"/>
        <v>1967</v>
      </c>
      <c r="B44">
        <v>170</v>
      </c>
      <c r="C44">
        <v>122</v>
      </c>
      <c r="D44">
        <v>39</v>
      </c>
      <c r="E44">
        <v>96</v>
      </c>
      <c r="F44">
        <v>245</v>
      </c>
      <c r="G44">
        <v>66</v>
      </c>
      <c r="H44">
        <v>37</v>
      </c>
      <c r="I44">
        <v>42</v>
      </c>
      <c r="J44">
        <v>78</v>
      </c>
      <c r="K44">
        <v>43</v>
      </c>
      <c r="L44">
        <f t="shared" si="8"/>
        <v>45</v>
      </c>
      <c r="M44">
        <f t="shared" si="1"/>
        <v>983</v>
      </c>
      <c r="O44">
        <v>88</v>
      </c>
      <c r="Q44">
        <v>1967</v>
      </c>
      <c r="R44">
        <f t="shared" si="3"/>
        <v>427</v>
      </c>
      <c r="T44">
        <v>424</v>
      </c>
    </row>
    <row r="45" spans="1:27" x14ac:dyDescent="0.2">
      <c r="A45">
        <f t="shared" si="6"/>
        <v>1968</v>
      </c>
      <c r="B45">
        <v>194</v>
      </c>
      <c r="C45">
        <v>153</v>
      </c>
      <c r="D45">
        <v>40</v>
      </c>
      <c r="E45">
        <v>112</v>
      </c>
      <c r="F45">
        <v>237</v>
      </c>
      <c r="G45">
        <v>69</v>
      </c>
      <c r="H45">
        <v>40</v>
      </c>
      <c r="I45">
        <v>39</v>
      </c>
      <c r="J45">
        <v>77</v>
      </c>
      <c r="K45">
        <v>47</v>
      </c>
      <c r="L45">
        <f t="shared" si="8"/>
        <v>49</v>
      </c>
      <c r="M45">
        <f t="shared" si="1"/>
        <v>1057</v>
      </c>
      <c r="O45">
        <v>96</v>
      </c>
      <c r="Q45">
        <v>1968</v>
      </c>
      <c r="R45">
        <f t="shared" si="3"/>
        <v>499</v>
      </c>
      <c r="T45">
        <v>496</v>
      </c>
    </row>
    <row r="46" spans="1:27" x14ac:dyDescent="0.2">
      <c r="A46">
        <f t="shared" si="6"/>
        <v>1969</v>
      </c>
      <c r="B46">
        <v>205</v>
      </c>
      <c r="C46">
        <v>192</v>
      </c>
      <c r="D46">
        <v>52</v>
      </c>
      <c r="E46">
        <v>125</v>
      </c>
      <c r="F46">
        <v>222</v>
      </c>
      <c r="G46">
        <v>87</v>
      </c>
      <c r="H46">
        <v>36</v>
      </c>
      <c r="I46">
        <v>33</v>
      </c>
      <c r="J46">
        <v>75</v>
      </c>
      <c r="K46">
        <v>53</v>
      </c>
      <c r="L46">
        <f t="shared" si="8"/>
        <v>46</v>
      </c>
      <c r="M46">
        <f t="shared" si="1"/>
        <v>1126</v>
      </c>
      <c r="O46">
        <v>99</v>
      </c>
      <c r="Q46">
        <v>1969</v>
      </c>
      <c r="R46">
        <f t="shared" si="3"/>
        <v>574</v>
      </c>
      <c r="T46">
        <v>573</v>
      </c>
      <c r="X46" s="1" t="s">
        <v>76</v>
      </c>
      <c r="Y46" s="1"/>
      <c r="AA46" t="s">
        <v>94</v>
      </c>
    </row>
    <row r="47" spans="1:27" x14ac:dyDescent="0.2">
      <c r="A47">
        <f t="shared" si="6"/>
        <v>1970</v>
      </c>
      <c r="B47">
        <v>189</v>
      </c>
      <c r="C47">
        <v>171</v>
      </c>
      <c r="D47">
        <v>54</v>
      </c>
      <c r="E47">
        <v>116</v>
      </c>
      <c r="F47">
        <v>195</v>
      </c>
      <c r="G47">
        <v>75</v>
      </c>
      <c r="H47">
        <v>29</v>
      </c>
      <c r="I47">
        <v>27</v>
      </c>
      <c r="J47">
        <v>66</v>
      </c>
      <c r="K47">
        <v>47</v>
      </c>
      <c r="L47">
        <f t="shared" si="8"/>
        <v>42</v>
      </c>
      <c r="M47">
        <f t="shared" si="1"/>
        <v>1011</v>
      </c>
      <c r="O47">
        <v>89</v>
      </c>
      <c r="Q47">
        <v>1970</v>
      </c>
      <c r="R47">
        <f t="shared" si="3"/>
        <v>530</v>
      </c>
      <c r="T47">
        <v>530</v>
      </c>
      <c r="X47">
        <v>530</v>
      </c>
    </row>
    <row r="48" spans="1:27" x14ac:dyDescent="0.2">
      <c r="A48">
        <f t="shared" si="6"/>
        <v>1971</v>
      </c>
      <c r="B48">
        <v>206</v>
      </c>
      <c r="C48">
        <v>172</v>
      </c>
      <c r="D48">
        <v>49</v>
      </c>
      <c r="E48">
        <v>125</v>
      </c>
      <c r="F48">
        <v>189</v>
      </c>
      <c r="G48">
        <v>76</v>
      </c>
      <c r="H48">
        <v>40</v>
      </c>
      <c r="I48">
        <v>26</v>
      </c>
      <c r="J48">
        <v>70</v>
      </c>
      <c r="K48">
        <v>52</v>
      </c>
      <c r="L48">
        <f t="shared" si="8"/>
        <v>46</v>
      </c>
      <c r="M48">
        <f t="shared" si="1"/>
        <v>1051</v>
      </c>
      <c r="O48">
        <v>98</v>
      </c>
      <c r="Q48">
        <f>Q47+1</f>
        <v>1971</v>
      </c>
      <c r="R48">
        <f t="shared" si="3"/>
        <v>552</v>
      </c>
    </row>
    <row r="49" spans="1:36" x14ac:dyDescent="0.2">
      <c r="A49">
        <f t="shared" si="6"/>
        <v>1972</v>
      </c>
      <c r="B49">
        <v>252</v>
      </c>
      <c r="C49">
        <v>188</v>
      </c>
      <c r="D49">
        <v>44</v>
      </c>
      <c r="E49">
        <v>159</v>
      </c>
      <c r="F49">
        <v>157</v>
      </c>
      <c r="G49">
        <v>84</v>
      </c>
      <c r="H49">
        <v>39</v>
      </c>
      <c r="I49">
        <v>27</v>
      </c>
      <c r="J49">
        <v>92</v>
      </c>
      <c r="K49">
        <v>51</v>
      </c>
      <c r="L49">
        <f t="shared" si="8"/>
        <v>45</v>
      </c>
      <c r="M49">
        <f t="shared" si="1"/>
        <v>1138</v>
      </c>
      <c r="O49">
        <v>96</v>
      </c>
      <c r="Q49">
        <f t="shared" ref="Q49:Q87" si="9">Q48+1</f>
        <v>1972</v>
      </c>
      <c r="R49">
        <f t="shared" si="3"/>
        <v>643</v>
      </c>
    </row>
    <row r="50" spans="1:36" x14ac:dyDescent="0.2">
      <c r="A50">
        <f t="shared" si="6"/>
        <v>1973</v>
      </c>
      <c r="B50">
        <v>263</v>
      </c>
      <c r="C50">
        <v>195</v>
      </c>
      <c r="D50">
        <v>44</v>
      </c>
      <c r="E50">
        <v>215</v>
      </c>
      <c r="F50">
        <v>156</v>
      </c>
      <c r="G50">
        <v>76</v>
      </c>
      <c r="H50">
        <v>49</v>
      </c>
      <c r="I50">
        <v>26</v>
      </c>
      <c r="J50">
        <v>104</v>
      </c>
      <c r="K50">
        <v>63</v>
      </c>
      <c r="L50">
        <f t="shared" si="8"/>
        <v>57</v>
      </c>
      <c r="M50">
        <f t="shared" si="1"/>
        <v>1248</v>
      </c>
      <c r="O50">
        <v>120</v>
      </c>
      <c r="Q50">
        <f t="shared" si="9"/>
        <v>1973</v>
      </c>
      <c r="R50">
        <f t="shared" si="3"/>
        <v>717</v>
      </c>
      <c r="X50">
        <v>717</v>
      </c>
    </row>
    <row r="51" spans="1:36" x14ac:dyDescent="0.2">
      <c r="A51">
        <f t="shared" si="6"/>
        <v>1974</v>
      </c>
      <c r="B51">
        <v>203</v>
      </c>
      <c r="C51">
        <v>159</v>
      </c>
      <c r="D51">
        <v>50</v>
      </c>
      <c r="E51">
        <v>182</v>
      </c>
      <c r="F51">
        <v>176</v>
      </c>
      <c r="G51">
        <v>75</v>
      </c>
      <c r="H51">
        <v>47</v>
      </c>
      <c r="I51">
        <v>27</v>
      </c>
      <c r="J51">
        <v>48</v>
      </c>
      <c r="K51">
        <v>58</v>
      </c>
      <c r="L51">
        <f t="shared" si="8"/>
        <v>59</v>
      </c>
      <c r="M51">
        <f t="shared" si="1"/>
        <v>1084</v>
      </c>
      <c r="O51">
        <v>117</v>
      </c>
      <c r="Q51">
        <f t="shared" si="9"/>
        <v>1974</v>
      </c>
      <c r="R51">
        <f t="shared" si="3"/>
        <v>594</v>
      </c>
      <c r="X51">
        <v>594</v>
      </c>
    </row>
    <row r="52" spans="1:36" x14ac:dyDescent="0.2">
      <c r="A52">
        <f t="shared" si="6"/>
        <v>1975</v>
      </c>
      <c r="B52">
        <v>149</v>
      </c>
      <c r="C52">
        <v>107</v>
      </c>
      <c r="D52">
        <v>47</v>
      </c>
      <c r="E52">
        <v>106</v>
      </c>
      <c r="F52">
        <v>152</v>
      </c>
      <c r="G52">
        <v>63</v>
      </c>
      <c r="H52">
        <v>46</v>
      </c>
      <c r="I52">
        <v>28</v>
      </c>
      <c r="J52">
        <v>32</v>
      </c>
      <c r="K52">
        <v>52</v>
      </c>
      <c r="L52">
        <f t="shared" si="8"/>
        <v>53</v>
      </c>
      <c r="M52">
        <f t="shared" si="1"/>
        <v>835</v>
      </c>
      <c r="O52">
        <v>105</v>
      </c>
      <c r="Q52">
        <f t="shared" si="9"/>
        <v>1975</v>
      </c>
      <c r="R52">
        <f t="shared" si="3"/>
        <v>409</v>
      </c>
      <c r="X52">
        <v>409</v>
      </c>
    </row>
    <row r="53" spans="1:36" x14ac:dyDescent="0.2">
      <c r="A53">
        <f t="shared" si="6"/>
        <v>1976</v>
      </c>
      <c r="B53">
        <v>177</v>
      </c>
      <c r="C53">
        <v>106</v>
      </c>
      <c r="D53">
        <v>35</v>
      </c>
      <c r="E53">
        <v>122</v>
      </c>
      <c r="F53">
        <v>118</v>
      </c>
      <c r="G53">
        <v>71</v>
      </c>
      <c r="H53">
        <v>42</v>
      </c>
      <c r="I53">
        <v>31</v>
      </c>
      <c r="J53">
        <v>34</v>
      </c>
      <c r="K53">
        <v>48</v>
      </c>
      <c r="L53">
        <f t="shared" si="8"/>
        <v>51</v>
      </c>
      <c r="M53">
        <f t="shared" si="1"/>
        <v>835</v>
      </c>
      <c r="O53">
        <v>99</v>
      </c>
      <c r="Q53">
        <f t="shared" si="9"/>
        <v>1976</v>
      </c>
      <c r="R53">
        <f t="shared" si="3"/>
        <v>440</v>
      </c>
      <c r="X53">
        <v>440</v>
      </c>
    </row>
    <row r="54" spans="1:36" x14ac:dyDescent="0.2">
      <c r="A54">
        <f t="shared" si="6"/>
        <v>1977</v>
      </c>
      <c r="B54">
        <v>212</v>
      </c>
      <c r="C54">
        <v>137</v>
      </c>
      <c r="D54">
        <v>44</v>
      </c>
      <c r="E54">
        <v>170</v>
      </c>
      <c r="F54">
        <v>112</v>
      </c>
      <c r="G54">
        <v>66</v>
      </c>
      <c r="H54">
        <v>43</v>
      </c>
      <c r="I54">
        <v>32</v>
      </c>
      <c r="J54">
        <v>37</v>
      </c>
      <c r="K54">
        <v>48</v>
      </c>
      <c r="L54">
        <f t="shared" si="8"/>
        <v>57</v>
      </c>
      <c r="M54">
        <f t="shared" si="1"/>
        <v>958</v>
      </c>
      <c r="O54">
        <v>105</v>
      </c>
      <c r="Q54">
        <f t="shared" si="9"/>
        <v>1977</v>
      </c>
      <c r="R54">
        <f t="shared" si="3"/>
        <v>563</v>
      </c>
      <c r="X54">
        <v>564</v>
      </c>
      <c r="Y54" s="43"/>
      <c r="Z54" s="43"/>
    </row>
    <row r="55" spans="1:36" x14ac:dyDescent="0.2">
      <c r="A55">
        <f t="shared" si="6"/>
        <v>1978</v>
      </c>
      <c r="B55">
        <v>242</v>
      </c>
      <c r="C55">
        <v>207</v>
      </c>
      <c r="D55">
        <v>58</v>
      </c>
      <c r="E55">
        <v>250</v>
      </c>
      <c r="F55">
        <v>104</v>
      </c>
      <c r="G55">
        <v>53</v>
      </c>
      <c r="H55">
        <v>22</v>
      </c>
      <c r="I55">
        <v>35</v>
      </c>
      <c r="J55">
        <v>42</v>
      </c>
      <c r="K55">
        <v>53</v>
      </c>
      <c r="L55">
        <f t="shared" si="8"/>
        <v>43</v>
      </c>
      <c r="M55">
        <f t="shared" si="1"/>
        <v>1109</v>
      </c>
      <c r="O55">
        <v>96</v>
      </c>
      <c r="Q55">
        <f t="shared" si="9"/>
        <v>1978</v>
      </c>
      <c r="R55">
        <f t="shared" si="3"/>
        <v>757</v>
      </c>
      <c r="X55">
        <v>758</v>
      </c>
      <c r="Y55" s="43"/>
      <c r="Z55" s="43"/>
      <c r="AB55" t="s">
        <v>118</v>
      </c>
      <c r="AC55" t="s">
        <v>119</v>
      </c>
    </row>
    <row r="56" spans="1:36" ht="13.5" thickBot="1" x14ac:dyDescent="0.25">
      <c r="A56">
        <f t="shared" si="6"/>
        <v>1979</v>
      </c>
      <c r="B56">
        <v>250</v>
      </c>
      <c r="C56">
        <v>235</v>
      </c>
      <c r="D56">
        <v>71</v>
      </c>
      <c r="E56">
        <v>260</v>
      </c>
      <c r="F56">
        <v>102</v>
      </c>
      <c r="G56">
        <v>57</v>
      </c>
      <c r="H56">
        <v>20</v>
      </c>
      <c r="I56">
        <v>34</v>
      </c>
      <c r="J56">
        <v>56</v>
      </c>
      <c r="K56">
        <v>53</v>
      </c>
      <c r="L56">
        <f t="shared" si="8"/>
        <v>53</v>
      </c>
      <c r="M56">
        <f t="shared" si="1"/>
        <v>1191</v>
      </c>
      <c r="O56">
        <v>106</v>
      </c>
      <c r="Q56">
        <f t="shared" si="9"/>
        <v>1979</v>
      </c>
      <c r="R56">
        <f t="shared" si="3"/>
        <v>816</v>
      </c>
      <c r="X56">
        <v>813</v>
      </c>
      <c r="Y56" s="54" t="s">
        <v>93</v>
      </c>
      <c r="Z56" s="54" t="s">
        <v>89</v>
      </c>
    </row>
    <row r="57" spans="1:36" x14ac:dyDescent="0.2">
      <c r="A57">
        <f t="shared" si="6"/>
        <v>1980</v>
      </c>
      <c r="B57">
        <v>183</v>
      </c>
      <c r="C57">
        <v>243</v>
      </c>
      <c r="D57">
        <v>66</v>
      </c>
      <c r="E57">
        <v>196</v>
      </c>
      <c r="F57" s="3">
        <v>103</v>
      </c>
      <c r="G57" s="2">
        <v>55</v>
      </c>
      <c r="H57" s="2">
        <v>18</v>
      </c>
      <c r="I57">
        <v>28</v>
      </c>
      <c r="J57">
        <v>57</v>
      </c>
      <c r="K57">
        <v>49</v>
      </c>
      <c r="L57">
        <f t="shared" si="8"/>
        <v>52</v>
      </c>
      <c r="M57">
        <f t="shared" si="1"/>
        <v>1050</v>
      </c>
      <c r="O57" s="2">
        <v>101</v>
      </c>
      <c r="Q57">
        <f t="shared" si="9"/>
        <v>1980</v>
      </c>
      <c r="R57">
        <f t="shared" si="3"/>
        <v>688</v>
      </c>
      <c r="Y57">
        <v>738</v>
      </c>
      <c r="Z57">
        <f>738</f>
        <v>738</v>
      </c>
      <c r="AA57">
        <f>Z57</f>
        <v>738</v>
      </c>
      <c r="AB57">
        <f t="shared" ref="AB57:AB78" si="10">AA57-R57</f>
        <v>50</v>
      </c>
      <c r="AC57">
        <f>J57</f>
        <v>57</v>
      </c>
      <c r="AD57">
        <f>AC57/AB57</f>
        <v>1.1399999999999999</v>
      </c>
    </row>
    <row r="58" spans="1:36" x14ac:dyDescent="0.2">
      <c r="A58">
        <f t="shared" si="6"/>
        <v>1981</v>
      </c>
      <c r="B58">
        <v>153</v>
      </c>
      <c r="C58">
        <v>328</v>
      </c>
      <c r="D58">
        <v>70</v>
      </c>
      <c r="E58">
        <v>181</v>
      </c>
      <c r="F58" s="2">
        <v>83</v>
      </c>
      <c r="G58" s="2">
        <v>60</v>
      </c>
      <c r="H58" s="2">
        <v>14</v>
      </c>
      <c r="I58">
        <v>25</v>
      </c>
      <c r="J58">
        <v>60</v>
      </c>
      <c r="K58">
        <v>46</v>
      </c>
      <c r="L58">
        <f t="shared" si="8"/>
        <v>41</v>
      </c>
      <c r="M58">
        <f t="shared" si="1"/>
        <v>1061</v>
      </c>
      <c r="O58" s="2">
        <v>87</v>
      </c>
      <c r="Q58">
        <f t="shared" si="9"/>
        <v>1981</v>
      </c>
      <c r="R58">
        <f t="shared" si="3"/>
        <v>732</v>
      </c>
      <c r="Y58">
        <v>787</v>
      </c>
      <c r="AA58">
        <f>Y58</f>
        <v>787</v>
      </c>
      <c r="AB58">
        <f t="shared" si="10"/>
        <v>55</v>
      </c>
      <c r="AC58">
        <f>J58</f>
        <v>60</v>
      </c>
      <c r="AD58">
        <f>AC58/AB58</f>
        <v>1.0909090909090908</v>
      </c>
      <c r="AF58" t="s">
        <v>171</v>
      </c>
      <c r="AG58" t="s">
        <v>91</v>
      </c>
      <c r="AH58" t="s">
        <v>83</v>
      </c>
      <c r="AI58" t="s">
        <v>172</v>
      </c>
      <c r="AJ58" t="s">
        <v>173</v>
      </c>
    </row>
    <row r="59" spans="1:36" x14ac:dyDescent="0.2">
      <c r="A59">
        <f t="shared" si="6"/>
        <v>1982</v>
      </c>
      <c r="B59">
        <v>125.81</v>
      </c>
      <c r="C59">
        <v>264</v>
      </c>
      <c r="D59">
        <v>44.44</v>
      </c>
      <c r="E59">
        <v>136.75</v>
      </c>
      <c r="F59" s="2">
        <v>82</v>
      </c>
      <c r="G59" s="2">
        <v>71</v>
      </c>
      <c r="H59" s="2">
        <v>19</v>
      </c>
      <c r="I59">
        <v>25</v>
      </c>
      <c r="J59">
        <v>61.8</v>
      </c>
      <c r="K59">
        <v>38</v>
      </c>
      <c r="L59">
        <f t="shared" si="8"/>
        <v>30</v>
      </c>
      <c r="M59">
        <f t="shared" si="1"/>
        <v>897.8</v>
      </c>
      <c r="O59" s="2">
        <v>68</v>
      </c>
      <c r="Q59">
        <f t="shared" si="9"/>
        <v>1982</v>
      </c>
      <c r="R59">
        <f t="shared" si="3"/>
        <v>571</v>
      </c>
      <c r="Y59">
        <v>631</v>
      </c>
      <c r="AA59">
        <f t="shared" ref="AA59:AA69" si="11">Y59</f>
        <v>631</v>
      </c>
      <c r="AB59">
        <f t="shared" si="10"/>
        <v>60</v>
      </c>
      <c r="AC59" s="5">
        <f>1.1*AB59</f>
        <v>66</v>
      </c>
      <c r="AF59">
        <f>B59+D59+E59</f>
        <v>307</v>
      </c>
      <c r="AG59">
        <f>C59</f>
        <v>264</v>
      </c>
      <c r="AH59">
        <f>AF59+AG59</f>
        <v>571</v>
      </c>
      <c r="AI59">
        <f>B59/AF59</f>
        <v>0.40980456026058631</v>
      </c>
      <c r="AJ59">
        <f>D59/AF59</f>
        <v>0.1447557003257329</v>
      </c>
    </row>
    <row r="60" spans="1:36" x14ac:dyDescent="0.2">
      <c r="A60">
        <f t="shared" si="6"/>
        <v>1983</v>
      </c>
      <c r="B60">
        <v>150.38999999999999</v>
      </c>
      <c r="C60">
        <v>280</v>
      </c>
      <c r="D60">
        <v>53.13</v>
      </c>
      <c r="E60">
        <v>163.47999999999999</v>
      </c>
      <c r="F60" s="2">
        <v>84</v>
      </c>
      <c r="G60" s="2">
        <v>84</v>
      </c>
      <c r="H60" s="2">
        <v>20</v>
      </c>
      <c r="I60">
        <v>29</v>
      </c>
      <c r="J60">
        <v>69.849999999999994</v>
      </c>
      <c r="K60">
        <v>36</v>
      </c>
      <c r="L60">
        <f t="shared" si="8"/>
        <v>31</v>
      </c>
      <c r="M60">
        <f t="shared" si="1"/>
        <v>1000.85</v>
      </c>
      <c r="O60" s="2">
        <v>67</v>
      </c>
      <c r="Q60">
        <f t="shared" si="9"/>
        <v>1983</v>
      </c>
      <c r="R60">
        <f t="shared" si="3"/>
        <v>647</v>
      </c>
      <c r="Y60">
        <v>716</v>
      </c>
      <c r="AA60">
        <f t="shared" si="11"/>
        <v>716</v>
      </c>
      <c r="AB60">
        <f t="shared" si="10"/>
        <v>69</v>
      </c>
      <c r="AC60" s="5">
        <f t="shared" ref="AC60:AC66" si="12">1.1*AB60</f>
        <v>75.900000000000006</v>
      </c>
      <c r="AF60">
        <f>B60+D60+E60</f>
        <v>367</v>
      </c>
      <c r="AG60">
        <f>C60</f>
        <v>280</v>
      </c>
      <c r="AH60">
        <f>AF60+AG60</f>
        <v>647</v>
      </c>
      <c r="AI60">
        <f>B60/AF60</f>
        <v>0.40978201634877381</v>
      </c>
      <c r="AJ60">
        <f t="shared" ref="AJ60:AJ71" si="13">D60/AF60</f>
        <v>0.14476839237057221</v>
      </c>
    </row>
    <row r="61" spans="1:36" x14ac:dyDescent="0.2">
      <c r="A61">
        <f t="shared" si="6"/>
        <v>1984</v>
      </c>
      <c r="B61">
        <v>204.08</v>
      </c>
      <c r="C61">
        <v>310</v>
      </c>
      <c r="D61">
        <v>72.09</v>
      </c>
      <c r="E61">
        <v>221.84</v>
      </c>
      <c r="F61" s="2">
        <v>100</v>
      </c>
      <c r="G61" s="2">
        <v>70</v>
      </c>
      <c r="H61" s="2">
        <v>23</v>
      </c>
      <c r="I61">
        <v>29</v>
      </c>
      <c r="J61">
        <v>80.02</v>
      </c>
      <c r="K61">
        <v>37</v>
      </c>
      <c r="L61">
        <f t="shared" si="8"/>
        <v>34</v>
      </c>
      <c r="M61">
        <f t="shared" si="1"/>
        <v>1181.0300000000002</v>
      </c>
      <c r="O61" s="2">
        <v>71</v>
      </c>
      <c r="Q61">
        <f t="shared" si="9"/>
        <v>1984</v>
      </c>
      <c r="R61">
        <f t="shared" si="3"/>
        <v>808.0100000000001</v>
      </c>
      <c r="Y61">
        <v>901</v>
      </c>
      <c r="AA61">
        <f t="shared" si="11"/>
        <v>901</v>
      </c>
      <c r="AB61">
        <f t="shared" si="10"/>
        <v>92.989999999999895</v>
      </c>
      <c r="AC61" s="5">
        <f t="shared" si="12"/>
        <v>102.28899999999989</v>
      </c>
      <c r="AF61">
        <f>B61+D61+E61</f>
        <v>498.01</v>
      </c>
      <c r="AG61">
        <f>C61</f>
        <v>310</v>
      </c>
      <c r="AH61">
        <f>AF61+AG61</f>
        <v>808.01</v>
      </c>
      <c r="AI61">
        <f>B61/AF61</f>
        <v>0.40979096805285037</v>
      </c>
      <c r="AJ61">
        <f t="shared" si="13"/>
        <v>0.14475612939499208</v>
      </c>
    </row>
    <row r="62" spans="1:36" x14ac:dyDescent="0.2">
      <c r="A62">
        <f t="shared" si="6"/>
        <v>1985</v>
      </c>
      <c r="B62">
        <v>236.79</v>
      </c>
      <c r="C62">
        <v>361.16</v>
      </c>
      <c r="D62">
        <v>83.65</v>
      </c>
      <c r="E62">
        <v>257.39999999999998</v>
      </c>
      <c r="F62" s="2">
        <v>111</v>
      </c>
      <c r="G62" s="2">
        <v>73</v>
      </c>
      <c r="H62" s="2">
        <v>28</v>
      </c>
      <c r="I62">
        <v>32</v>
      </c>
      <c r="J62">
        <v>82.5</v>
      </c>
      <c r="K62">
        <v>44</v>
      </c>
      <c r="L62">
        <f t="shared" si="8"/>
        <v>38</v>
      </c>
      <c r="M62">
        <f t="shared" si="1"/>
        <v>1347.5</v>
      </c>
      <c r="O62" s="2">
        <v>82</v>
      </c>
      <c r="Q62">
        <f t="shared" si="9"/>
        <v>1985</v>
      </c>
      <c r="R62">
        <f t="shared" si="3"/>
        <v>939</v>
      </c>
      <c r="Y62">
        <v>1039</v>
      </c>
      <c r="Z62">
        <v>1039</v>
      </c>
      <c r="AA62">
        <f t="shared" si="11"/>
        <v>1039</v>
      </c>
      <c r="AB62">
        <f t="shared" si="10"/>
        <v>100</v>
      </c>
      <c r="AC62" s="5">
        <f t="shared" si="12"/>
        <v>110.00000000000001</v>
      </c>
      <c r="AF62">
        <f t="shared" ref="AF62:AF71" si="14">B62+D62+E62</f>
        <v>577.83999999999992</v>
      </c>
      <c r="AG62">
        <f t="shared" ref="AG62:AG71" si="15">C62</f>
        <v>361.16</v>
      </c>
      <c r="AH62">
        <f t="shared" ref="AH62:AH71" si="16">AF62+AG62</f>
        <v>939</v>
      </c>
      <c r="AI62">
        <f t="shared" ref="AI62:AI71" si="17">B62/AF62</f>
        <v>0.40978471549217782</v>
      </c>
      <c r="AJ62">
        <f t="shared" si="13"/>
        <v>0.14476325626470998</v>
      </c>
    </row>
    <row r="63" spans="1:36" x14ac:dyDescent="0.2">
      <c r="A63">
        <f t="shared" si="6"/>
        <v>1986</v>
      </c>
      <c r="B63">
        <v>224.79</v>
      </c>
      <c r="C63">
        <v>320.45999999999998</v>
      </c>
      <c r="D63">
        <v>79.400000000000006</v>
      </c>
      <c r="E63">
        <v>244.35</v>
      </c>
      <c r="F63" s="2">
        <v>129</v>
      </c>
      <c r="G63" s="2">
        <v>73</v>
      </c>
      <c r="H63" s="2">
        <v>30</v>
      </c>
      <c r="I63">
        <v>32</v>
      </c>
      <c r="J63">
        <v>81.819999999999993</v>
      </c>
      <c r="K63">
        <v>44</v>
      </c>
      <c r="L63">
        <f t="shared" si="8"/>
        <v>39</v>
      </c>
      <c r="M63">
        <f t="shared" si="1"/>
        <v>1297.82</v>
      </c>
      <c r="O63" s="2">
        <v>83</v>
      </c>
      <c r="Q63">
        <f t="shared" si="9"/>
        <v>1986</v>
      </c>
      <c r="R63">
        <f t="shared" si="3"/>
        <v>869</v>
      </c>
      <c r="Y63">
        <v>960</v>
      </c>
      <c r="AA63">
        <f t="shared" si="11"/>
        <v>960</v>
      </c>
      <c r="AB63">
        <f t="shared" si="10"/>
        <v>91</v>
      </c>
      <c r="AC63" s="5">
        <f t="shared" si="12"/>
        <v>100.10000000000001</v>
      </c>
      <c r="AF63">
        <f t="shared" si="14"/>
        <v>548.54</v>
      </c>
      <c r="AG63">
        <f t="shared" si="15"/>
        <v>320.45999999999998</v>
      </c>
      <c r="AH63">
        <f t="shared" si="16"/>
        <v>869</v>
      </c>
      <c r="AI63">
        <f t="shared" si="17"/>
        <v>0.4097969154482809</v>
      </c>
      <c r="AJ63">
        <f t="shared" si="13"/>
        <v>0.14474787618040619</v>
      </c>
    </row>
    <row r="64" spans="1:36" x14ac:dyDescent="0.2">
      <c r="A64">
        <f t="shared" si="6"/>
        <v>1987</v>
      </c>
      <c r="B64">
        <v>233.96</v>
      </c>
      <c r="C64">
        <v>288.08</v>
      </c>
      <c r="D64">
        <v>82.64</v>
      </c>
      <c r="E64">
        <v>254.32</v>
      </c>
      <c r="F64" s="2">
        <v>139</v>
      </c>
      <c r="G64" s="2">
        <v>78</v>
      </c>
      <c r="H64" s="2">
        <v>42</v>
      </c>
      <c r="I64">
        <v>32</v>
      </c>
      <c r="J64">
        <v>79.489999999999995</v>
      </c>
      <c r="K64" s="2">
        <v>46</v>
      </c>
      <c r="L64">
        <f t="shared" si="8"/>
        <v>38</v>
      </c>
      <c r="M64">
        <f t="shared" si="1"/>
        <v>1313.49</v>
      </c>
      <c r="O64" s="2">
        <v>84</v>
      </c>
      <c r="Q64">
        <f t="shared" si="9"/>
        <v>1987</v>
      </c>
      <c r="R64">
        <f t="shared" si="3"/>
        <v>859</v>
      </c>
      <c r="Y64">
        <v>933</v>
      </c>
      <c r="AA64">
        <f t="shared" si="11"/>
        <v>933</v>
      </c>
      <c r="AB64">
        <f t="shared" si="10"/>
        <v>74</v>
      </c>
      <c r="AC64" s="5">
        <f t="shared" si="12"/>
        <v>81.400000000000006</v>
      </c>
      <c r="AF64">
        <f t="shared" si="14"/>
        <v>570.92000000000007</v>
      </c>
      <c r="AG64">
        <f t="shared" si="15"/>
        <v>288.08</v>
      </c>
      <c r="AH64">
        <f t="shared" si="16"/>
        <v>859</v>
      </c>
      <c r="AI64">
        <f t="shared" si="17"/>
        <v>0.40979471729839556</v>
      </c>
      <c r="AJ64">
        <f t="shared" si="13"/>
        <v>0.14474882645554543</v>
      </c>
    </row>
    <row r="65" spans="1:36" x14ac:dyDescent="0.2">
      <c r="A65">
        <f t="shared" si="6"/>
        <v>1988</v>
      </c>
      <c r="B65">
        <v>213.56</v>
      </c>
      <c r="C65">
        <v>293.86</v>
      </c>
      <c r="D65">
        <v>75.44</v>
      </c>
      <c r="E65">
        <v>232.14</v>
      </c>
      <c r="F65" s="2">
        <v>142</v>
      </c>
      <c r="G65" s="2">
        <v>71</v>
      </c>
      <c r="H65" s="2">
        <v>38</v>
      </c>
      <c r="I65">
        <v>32</v>
      </c>
      <c r="J65">
        <v>73.97</v>
      </c>
      <c r="K65" s="2">
        <v>49</v>
      </c>
      <c r="L65">
        <f t="shared" si="8"/>
        <v>37</v>
      </c>
      <c r="M65">
        <f t="shared" si="1"/>
        <v>1257.97</v>
      </c>
      <c r="O65" s="2">
        <v>86</v>
      </c>
      <c r="Q65">
        <f t="shared" si="9"/>
        <v>1988</v>
      </c>
      <c r="R65">
        <f t="shared" si="3"/>
        <v>815</v>
      </c>
      <c r="Y65">
        <v>883</v>
      </c>
      <c r="AA65">
        <f t="shared" si="11"/>
        <v>883</v>
      </c>
      <c r="AB65">
        <f t="shared" si="10"/>
        <v>68</v>
      </c>
      <c r="AC65" s="5">
        <f t="shared" si="12"/>
        <v>74.800000000000011</v>
      </c>
      <c r="AF65">
        <f t="shared" si="14"/>
        <v>521.14</v>
      </c>
      <c r="AG65">
        <f t="shared" si="15"/>
        <v>293.86</v>
      </c>
      <c r="AH65">
        <f t="shared" si="16"/>
        <v>815</v>
      </c>
      <c r="AI65">
        <f t="shared" si="17"/>
        <v>0.40979391334382315</v>
      </c>
      <c r="AJ65">
        <f t="shared" si="13"/>
        <v>0.14475956556779368</v>
      </c>
    </row>
    <row r="66" spans="1:36" x14ac:dyDescent="0.2">
      <c r="A66">
        <f t="shared" si="6"/>
        <v>1989</v>
      </c>
      <c r="B66">
        <v>201.76</v>
      </c>
      <c r="C66">
        <v>289.64999999999998</v>
      </c>
      <c r="D66">
        <v>71.27</v>
      </c>
      <c r="E66">
        <v>219.32</v>
      </c>
      <c r="F66" s="2">
        <v>151</v>
      </c>
      <c r="G66" s="2">
        <v>72</v>
      </c>
      <c r="H66" s="2">
        <v>41</v>
      </c>
      <c r="I66">
        <v>27</v>
      </c>
      <c r="J66">
        <v>77.510000000000005</v>
      </c>
      <c r="K66" s="2">
        <v>48</v>
      </c>
      <c r="L66">
        <f t="shared" si="8"/>
        <v>35</v>
      </c>
      <c r="M66">
        <f t="shared" si="1"/>
        <v>1233.51</v>
      </c>
      <c r="N66">
        <f>SUM(M57:M66)</f>
        <v>11640.97</v>
      </c>
      <c r="O66" s="2">
        <f>48+35</f>
        <v>83</v>
      </c>
      <c r="Q66">
        <f t="shared" si="9"/>
        <v>1989</v>
      </c>
      <c r="R66">
        <f t="shared" si="3"/>
        <v>782</v>
      </c>
      <c r="Y66">
        <v>867</v>
      </c>
      <c r="Z66">
        <v>867</v>
      </c>
      <c r="AA66">
        <f t="shared" si="11"/>
        <v>867</v>
      </c>
      <c r="AB66">
        <f t="shared" si="10"/>
        <v>85</v>
      </c>
      <c r="AC66" s="5">
        <f t="shared" si="12"/>
        <v>93.500000000000014</v>
      </c>
      <c r="AF66">
        <f t="shared" si="14"/>
        <v>492.34999999999997</v>
      </c>
      <c r="AG66">
        <f t="shared" si="15"/>
        <v>289.64999999999998</v>
      </c>
      <c r="AH66">
        <f t="shared" si="16"/>
        <v>782</v>
      </c>
      <c r="AI66">
        <f t="shared" si="17"/>
        <v>0.40978978369046409</v>
      </c>
      <c r="AJ66">
        <f t="shared" si="13"/>
        <v>0.14475474763887478</v>
      </c>
    </row>
    <row r="67" spans="1:36" x14ac:dyDescent="0.2">
      <c r="A67">
        <f t="shared" si="6"/>
        <v>1990</v>
      </c>
      <c r="B67">
        <f>Z67</f>
        <v>694</v>
      </c>
      <c r="F67" s="2">
        <v>152</v>
      </c>
      <c r="G67" s="2">
        <v>69</v>
      </c>
      <c r="H67" s="2">
        <v>47</v>
      </c>
      <c r="I67" s="2">
        <v>29</v>
      </c>
      <c r="K67" s="2">
        <v>51</v>
      </c>
      <c r="L67">
        <f t="shared" si="8"/>
        <v>-51</v>
      </c>
      <c r="M67">
        <f t="shared" ref="M67:M77" si="18">SUM(B67:L67)</f>
        <v>991</v>
      </c>
      <c r="O67" s="2">
        <f>SAUS2002!R6</f>
        <v>0</v>
      </c>
      <c r="Q67">
        <f t="shared" si="9"/>
        <v>1990</v>
      </c>
      <c r="R67">
        <f t="shared" ref="R67:R87" si="19">B67+C67+D67+E67</f>
        <v>694</v>
      </c>
      <c r="Y67">
        <v>694</v>
      </c>
      <c r="Z67">
        <v>694</v>
      </c>
      <c r="AA67">
        <f t="shared" si="11"/>
        <v>694</v>
      </c>
      <c r="AB67">
        <f t="shared" si="10"/>
        <v>0</v>
      </c>
      <c r="AF67">
        <f t="shared" si="14"/>
        <v>694</v>
      </c>
      <c r="AG67">
        <f t="shared" si="15"/>
        <v>0</v>
      </c>
      <c r="AH67">
        <f t="shared" si="16"/>
        <v>694</v>
      </c>
      <c r="AI67">
        <f t="shared" si="17"/>
        <v>1</v>
      </c>
      <c r="AJ67">
        <f t="shared" si="13"/>
        <v>0</v>
      </c>
    </row>
    <row r="68" spans="1:36" x14ac:dyDescent="0.2">
      <c r="A68">
        <f t="shared" ref="A68:A87" si="20">A67+1</f>
        <v>1991</v>
      </c>
      <c r="B68">
        <f t="shared" ref="B68:B77" si="21">Z68</f>
        <v>476</v>
      </c>
      <c r="F68" s="2">
        <v>177</v>
      </c>
      <c r="G68" s="2">
        <v>72</v>
      </c>
      <c r="H68" s="2">
        <v>50</v>
      </c>
      <c r="I68" s="2">
        <v>29</v>
      </c>
      <c r="K68" s="2">
        <v>45</v>
      </c>
      <c r="L68">
        <f t="shared" si="8"/>
        <v>-45</v>
      </c>
      <c r="M68">
        <f t="shared" si="18"/>
        <v>804</v>
      </c>
      <c r="O68" s="2">
        <f>SAUS2002!R7</f>
        <v>0</v>
      </c>
      <c r="Q68">
        <f t="shared" si="9"/>
        <v>1991</v>
      </c>
      <c r="R68">
        <f t="shared" si="19"/>
        <v>476</v>
      </c>
      <c r="Y68">
        <v>477</v>
      </c>
      <c r="Z68">
        <v>476</v>
      </c>
      <c r="AA68">
        <f t="shared" si="11"/>
        <v>477</v>
      </c>
      <c r="AB68">
        <f t="shared" si="10"/>
        <v>1</v>
      </c>
      <c r="AF68">
        <f t="shared" si="14"/>
        <v>476</v>
      </c>
      <c r="AG68">
        <f t="shared" si="15"/>
        <v>0</v>
      </c>
      <c r="AH68">
        <f t="shared" si="16"/>
        <v>476</v>
      </c>
      <c r="AI68">
        <f t="shared" si="17"/>
        <v>1</v>
      </c>
      <c r="AJ68">
        <f t="shared" si="13"/>
        <v>0</v>
      </c>
    </row>
    <row r="69" spans="1:36" x14ac:dyDescent="0.2">
      <c r="A69">
        <f t="shared" si="20"/>
        <v>1992</v>
      </c>
      <c r="B69">
        <f t="shared" si="21"/>
        <v>462</v>
      </c>
      <c r="F69" s="2">
        <v>156</v>
      </c>
      <c r="G69" s="2">
        <v>77</v>
      </c>
      <c r="H69" s="2">
        <v>41</v>
      </c>
      <c r="I69" s="2">
        <v>30</v>
      </c>
      <c r="K69" s="2">
        <v>42</v>
      </c>
      <c r="L69">
        <f t="shared" si="8"/>
        <v>-42</v>
      </c>
      <c r="M69">
        <f t="shared" si="18"/>
        <v>766</v>
      </c>
      <c r="O69" s="2">
        <f>SAUS2002!R8</f>
        <v>0</v>
      </c>
      <c r="Q69">
        <f t="shared" si="9"/>
        <v>1992</v>
      </c>
      <c r="R69">
        <f t="shared" si="19"/>
        <v>462</v>
      </c>
      <c r="Y69">
        <v>462</v>
      </c>
      <c r="Z69">
        <v>462</v>
      </c>
      <c r="AA69">
        <f t="shared" si="11"/>
        <v>462</v>
      </c>
      <c r="AB69">
        <f t="shared" si="10"/>
        <v>0</v>
      </c>
      <c r="AF69">
        <f t="shared" si="14"/>
        <v>462</v>
      </c>
      <c r="AG69">
        <f t="shared" si="15"/>
        <v>0</v>
      </c>
      <c r="AH69">
        <f t="shared" si="16"/>
        <v>462</v>
      </c>
      <c r="AI69">
        <f t="shared" si="17"/>
        <v>1</v>
      </c>
      <c r="AJ69">
        <f t="shared" si="13"/>
        <v>0</v>
      </c>
    </row>
    <row r="70" spans="1:36" x14ac:dyDescent="0.2">
      <c r="A70">
        <f t="shared" si="20"/>
        <v>1993</v>
      </c>
      <c r="B70">
        <f t="shared" si="21"/>
        <v>481</v>
      </c>
      <c r="F70" s="2">
        <v>165</v>
      </c>
      <c r="G70" s="2">
        <v>75</v>
      </c>
      <c r="H70" s="2">
        <v>30</v>
      </c>
      <c r="I70" s="2">
        <v>30</v>
      </c>
      <c r="K70" s="2">
        <v>51</v>
      </c>
      <c r="L70">
        <f t="shared" si="8"/>
        <v>-51</v>
      </c>
      <c r="M70">
        <f t="shared" si="18"/>
        <v>781</v>
      </c>
      <c r="O70" s="2">
        <f>SAUS2002!R9</f>
        <v>0</v>
      </c>
      <c r="Q70">
        <f t="shared" si="9"/>
        <v>1993</v>
      </c>
      <c r="R70">
        <f t="shared" si="19"/>
        <v>481</v>
      </c>
      <c r="Y70">
        <v>479</v>
      </c>
      <c r="Z70">
        <v>481</v>
      </c>
      <c r="AA70">
        <f t="shared" ref="AA70:AA77" si="22">Z70</f>
        <v>481</v>
      </c>
      <c r="AB70">
        <f t="shared" si="10"/>
        <v>0</v>
      </c>
      <c r="AF70">
        <f t="shared" si="14"/>
        <v>481</v>
      </c>
      <c r="AG70">
        <f t="shared" si="15"/>
        <v>0</v>
      </c>
      <c r="AH70">
        <f t="shared" si="16"/>
        <v>481</v>
      </c>
      <c r="AI70">
        <f t="shared" si="17"/>
        <v>1</v>
      </c>
      <c r="AJ70">
        <f t="shared" si="13"/>
        <v>0</v>
      </c>
    </row>
    <row r="71" spans="1:36" x14ac:dyDescent="0.2">
      <c r="A71">
        <f t="shared" si="20"/>
        <v>1994</v>
      </c>
      <c r="B71">
        <f t="shared" si="21"/>
        <v>600</v>
      </c>
      <c r="F71" s="2">
        <v>172</v>
      </c>
      <c r="G71" s="2">
        <v>72</v>
      </c>
      <c r="H71" s="2">
        <v>45</v>
      </c>
      <c r="I71" s="2">
        <v>30</v>
      </c>
      <c r="K71" s="2">
        <v>51</v>
      </c>
      <c r="L71">
        <f t="shared" si="8"/>
        <v>-51</v>
      </c>
      <c r="M71">
        <f t="shared" si="18"/>
        <v>919</v>
      </c>
      <c r="O71" s="2">
        <f>SAUS2002!R10</f>
        <v>0</v>
      </c>
      <c r="Q71">
        <f t="shared" si="9"/>
        <v>1994</v>
      </c>
      <c r="R71">
        <f t="shared" si="19"/>
        <v>600</v>
      </c>
      <c r="Z71">
        <v>600</v>
      </c>
      <c r="AA71">
        <f t="shared" si="22"/>
        <v>600</v>
      </c>
      <c r="AB71">
        <f t="shared" si="10"/>
        <v>0</v>
      </c>
      <c r="AF71">
        <f t="shared" si="14"/>
        <v>600</v>
      </c>
      <c r="AG71">
        <f t="shared" si="15"/>
        <v>0</v>
      </c>
      <c r="AH71">
        <f t="shared" si="16"/>
        <v>600</v>
      </c>
      <c r="AI71">
        <f t="shared" si="17"/>
        <v>1</v>
      </c>
      <c r="AJ71">
        <f t="shared" si="13"/>
        <v>0</v>
      </c>
    </row>
    <row r="72" spans="1:36" x14ac:dyDescent="0.2">
      <c r="A72">
        <f t="shared" si="20"/>
        <v>1995</v>
      </c>
      <c r="B72">
        <f t="shared" si="21"/>
        <v>700</v>
      </c>
      <c r="F72" s="2">
        <v>186</v>
      </c>
      <c r="G72" s="2">
        <v>70</v>
      </c>
      <c r="H72" s="2">
        <v>40</v>
      </c>
      <c r="I72" s="2">
        <v>33</v>
      </c>
      <c r="K72" s="2">
        <v>56</v>
      </c>
      <c r="L72">
        <f t="shared" si="8"/>
        <v>-56</v>
      </c>
      <c r="M72">
        <f t="shared" si="18"/>
        <v>1029</v>
      </c>
      <c r="O72" s="2">
        <f>SAUS2002!R11</f>
        <v>0</v>
      </c>
      <c r="Q72">
        <f t="shared" si="9"/>
        <v>1995</v>
      </c>
      <c r="R72">
        <f t="shared" si="19"/>
        <v>700</v>
      </c>
      <c r="Z72">
        <v>700</v>
      </c>
      <c r="AA72">
        <f t="shared" si="22"/>
        <v>700</v>
      </c>
      <c r="AB72">
        <f t="shared" si="10"/>
        <v>0</v>
      </c>
    </row>
    <row r="73" spans="1:36" x14ac:dyDescent="0.2">
      <c r="A73">
        <f t="shared" si="20"/>
        <v>1996</v>
      </c>
      <c r="B73">
        <f t="shared" si="21"/>
        <v>723</v>
      </c>
      <c r="F73" s="2">
        <v>177</v>
      </c>
      <c r="G73" s="2">
        <v>77</v>
      </c>
      <c r="H73" s="2">
        <v>41</v>
      </c>
      <c r="I73" s="2">
        <v>32</v>
      </c>
      <c r="K73" s="2">
        <v>60</v>
      </c>
      <c r="L73">
        <f t="shared" si="8"/>
        <v>-60</v>
      </c>
      <c r="M73">
        <f t="shared" si="18"/>
        <v>1050</v>
      </c>
      <c r="O73" s="2">
        <f>SAUS2002!R12</f>
        <v>0</v>
      </c>
      <c r="Q73">
        <f t="shared" si="9"/>
        <v>1996</v>
      </c>
      <c r="R73">
        <f t="shared" si="19"/>
        <v>723</v>
      </c>
      <c r="Z73">
        <v>723</v>
      </c>
      <c r="AA73">
        <f t="shared" si="22"/>
        <v>723</v>
      </c>
      <c r="AB73">
        <f t="shared" si="10"/>
        <v>0</v>
      </c>
    </row>
    <row r="74" spans="1:36" x14ac:dyDescent="0.2">
      <c r="A74">
        <f t="shared" si="20"/>
        <v>1997</v>
      </c>
      <c r="B74">
        <f t="shared" si="21"/>
        <v>855</v>
      </c>
      <c r="F74" s="2">
        <v>204</v>
      </c>
      <c r="G74" s="2">
        <v>89</v>
      </c>
      <c r="H74" s="2">
        <v>48</v>
      </c>
      <c r="I74" s="2">
        <v>42</v>
      </c>
      <c r="K74" s="2">
        <v>77</v>
      </c>
      <c r="L74">
        <f t="shared" si="8"/>
        <v>-77</v>
      </c>
      <c r="M74">
        <f t="shared" si="18"/>
        <v>1238</v>
      </c>
      <c r="O74" s="2">
        <f>SAUS2002!R13</f>
        <v>0</v>
      </c>
      <c r="Q74">
        <f t="shared" si="9"/>
        <v>1997</v>
      </c>
      <c r="R74">
        <f t="shared" si="19"/>
        <v>855</v>
      </c>
      <c r="Z74">
        <v>855</v>
      </c>
      <c r="AA74">
        <f t="shared" si="22"/>
        <v>855</v>
      </c>
      <c r="AB74">
        <f t="shared" si="10"/>
        <v>0</v>
      </c>
    </row>
    <row r="75" spans="1:36" x14ac:dyDescent="0.2">
      <c r="A75">
        <f t="shared" si="20"/>
        <v>1998</v>
      </c>
      <c r="B75">
        <f t="shared" si="21"/>
        <v>1106</v>
      </c>
      <c r="F75" s="2">
        <v>219</v>
      </c>
      <c r="G75" s="2">
        <v>96</v>
      </c>
      <c r="H75" s="2">
        <v>42</v>
      </c>
      <c r="I75" s="2">
        <v>47</v>
      </c>
      <c r="K75" s="2">
        <v>85</v>
      </c>
      <c r="L75">
        <f t="shared" si="8"/>
        <v>-85</v>
      </c>
      <c r="M75">
        <f t="shared" si="18"/>
        <v>1510</v>
      </c>
      <c r="O75" s="2">
        <f>SAUS2002!R14</f>
        <v>0</v>
      </c>
      <c r="Q75">
        <f t="shared" si="9"/>
        <v>1998</v>
      </c>
      <c r="R75">
        <f t="shared" si="19"/>
        <v>1106</v>
      </c>
      <c r="Z75">
        <v>1106</v>
      </c>
      <c r="AA75">
        <f t="shared" si="22"/>
        <v>1106</v>
      </c>
      <c r="AB75">
        <f t="shared" si="10"/>
        <v>0</v>
      </c>
    </row>
    <row r="76" spans="1:36" x14ac:dyDescent="0.2">
      <c r="A76">
        <f t="shared" si="20"/>
        <v>1999</v>
      </c>
      <c r="B76">
        <f t="shared" si="21"/>
        <v>1117</v>
      </c>
      <c r="F76" s="2">
        <v>262</v>
      </c>
      <c r="G76" s="2">
        <v>99</v>
      </c>
      <c r="H76" s="2">
        <v>50</v>
      </c>
      <c r="I76" s="2">
        <v>49</v>
      </c>
      <c r="K76" s="2">
        <v>88</v>
      </c>
      <c r="L76">
        <f t="shared" si="8"/>
        <v>-88</v>
      </c>
      <c r="M76">
        <f t="shared" si="18"/>
        <v>1577</v>
      </c>
      <c r="N76">
        <f>SUM(M67:M76)</f>
        <v>10665</v>
      </c>
      <c r="O76" s="2">
        <f>SAUS2002!R15</f>
        <v>0</v>
      </c>
      <c r="Q76">
        <f t="shared" si="9"/>
        <v>1999</v>
      </c>
      <c r="R76">
        <f t="shared" si="19"/>
        <v>1117</v>
      </c>
      <c r="Z76">
        <v>1117</v>
      </c>
      <c r="AA76">
        <f t="shared" si="22"/>
        <v>1117</v>
      </c>
      <c r="AB76">
        <f t="shared" si="10"/>
        <v>0</v>
      </c>
    </row>
    <row r="77" spans="1:36" x14ac:dyDescent="0.2">
      <c r="A77">
        <f t="shared" si="20"/>
        <v>2000</v>
      </c>
      <c r="B77">
        <f t="shared" si="21"/>
        <v>1176</v>
      </c>
      <c r="F77" s="2">
        <v>273</v>
      </c>
      <c r="G77" s="2">
        <v>88</v>
      </c>
      <c r="H77" s="2">
        <v>44</v>
      </c>
      <c r="I77" s="2">
        <v>50</v>
      </c>
      <c r="K77" s="2">
        <v>94</v>
      </c>
      <c r="L77">
        <f t="shared" si="8"/>
        <v>-94</v>
      </c>
      <c r="M77">
        <f t="shared" si="18"/>
        <v>1631</v>
      </c>
      <c r="N77">
        <f>SUM(M67:M77)</f>
        <v>12296</v>
      </c>
      <c r="O77" s="2">
        <f>SAUS2002!R16</f>
        <v>0</v>
      </c>
      <c r="Q77">
        <f t="shared" si="9"/>
        <v>2000</v>
      </c>
      <c r="R77">
        <f t="shared" si="19"/>
        <v>1176</v>
      </c>
      <c r="Z77">
        <v>1176</v>
      </c>
      <c r="AA77">
        <f t="shared" si="22"/>
        <v>1176</v>
      </c>
      <c r="AB77">
        <f t="shared" si="10"/>
        <v>0</v>
      </c>
    </row>
    <row r="78" spans="1:36" x14ac:dyDescent="0.2">
      <c r="A78">
        <f t="shared" si="20"/>
        <v>2001</v>
      </c>
      <c r="B78" t="s">
        <v>0</v>
      </c>
      <c r="C78" t="s">
        <v>1</v>
      </c>
      <c r="D78" t="s">
        <v>2</v>
      </c>
      <c r="E78">
        <v>0.89738079999999998</v>
      </c>
      <c r="F78" t="s">
        <v>3</v>
      </c>
      <c r="G78" t="s">
        <v>4</v>
      </c>
      <c r="H78">
        <v>0.84021279999999998</v>
      </c>
      <c r="I78" t="s">
        <v>5</v>
      </c>
      <c r="J78">
        <v>0.19692029999999999</v>
      </c>
      <c r="L78">
        <v>119.916504</v>
      </c>
      <c r="O78">
        <v>119.916504</v>
      </c>
      <c r="Q78">
        <f t="shared" si="9"/>
        <v>2001</v>
      </c>
      <c r="R78" t="e">
        <f t="shared" si="19"/>
        <v>#VALUE!</v>
      </c>
      <c r="AA78">
        <f>(173360-25861)/(179654-27419)*AA77</f>
        <v>1139.4148783131343</v>
      </c>
      <c r="AB78" t="e">
        <f t="shared" si="10"/>
        <v>#VALUE!</v>
      </c>
    </row>
    <row r="79" spans="1:36" x14ac:dyDescent="0.2">
      <c r="A79">
        <f t="shared" si="20"/>
        <v>2002</v>
      </c>
      <c r="B79" t="s">
        <v>6</v>
      </c>
      <c r="C79" t="s">
        <v>7</v>
      </c>
      <c r="D79" t="s">
        <v>8</v>
      </c>
      <c r="E79">
        <v>0.89532840000000002</v>
      </c>
      <c r="F79" t="s">
        <v>9</v>
      </c>
      <c r="G79" t="s">
        <v>10</v>
      </c>
      <c r="H79">
        <v>61701706</v>
      </c>
      <c r="I79" t="s">
        <v>11</v>
      </c>
      <c r="J79">
        <v>0.75184329999999999</v>
      </c>
      <c r="L79">
        <v>122.3148341</v>
      </c>
      <c r="O79">
        <v>122.3148341</v>
      </c>
      <c r="Q79">
        <f t="shared" si="9"/>
        <v>2002</v>
      </c>
      <c r="R79" t="e">
        <f t="shared" si="19"/>
        <v>#VALUE!</v>
      </c>
    </row>
    <row r="80" spans="1:36" x14ac:dyDescent="0.2">
      <c r="A80">
        <f t="shared" si="20"/>
        <v>2003</v>
      </c>
      <c r="B80" t="s">
        <v>12</v>
      </c>
      <c r="C80" t="s">
        <v>13</v>
      </c>
      <c r="D80" t="s">
        <v>14</v>
      </c>
      <c r="E80">
        <v>2.0132349999999999</v>
      </c>
      <c r="F80" t="s">
        <v>15</v>
      </c>
      <c r="G80" t="s">
        <v>16</v>
      </c>
      <c r="H80">
        <v>0.40935739999999998</v>
      </c>
      <c r="I80" t="s">
        <v>17</v>
      </c>
      <c r="J80">
        <v>0.37063940000000001</v>
      </c>
      <c r="L80">
        <v>124.7611308</v>
      </c>
      <c r="O80">
        <v>124.7611308</v>
      </c>
      <c r="Q80">
        <f t="shared" si="9"/>
        <v>2003</v>
      </c>
      <c r="R80" t="e">
        <f t="shared" si="19"/>
        <v>#VALUE!</v>
      </c>
    </row>
    <row r="81" spans="1:18" x14ac:dyDescent="0.2">
      <c r="A81">
        <f t="shared" si="20"/>
        <v>2004</v>
      </c>
      <c r="B81" t="s">
        <v>18</v>
      </c>
      <c r="C81" t="s">
        <v>19</v>
      </c>
      <c r="D81" t="s">
        <v>20</v>
      </c>
      <c r="E81">
        <v>0.25349969999999999</v>
      </c>
      <c r="F81" t="s">
        <v>21</v>
      </c>
      <c r="G81" t="s">
        <v>22</v>
      </c>
      <c r="H81">
        <v>21754455</v>
      </c>
      <c r="I81" t="s">
        <v>23</v>
      </c>
      <c r="J81">
        <v>5.49054E-2</v>
      </c>
      <c r="L81">
        <v>127.25635339999999</v>
      </c>
      <c r="O81">
        <v>127.25635339999999</v>
      </c>
      <c r="Q81">
        <f t="shared" si="9"/>
        <v>2004</v>
      </c>
      <c r="R81" t="e">
        <f t="shared" si="19"/>
        <v>#VALUE!</v>
      </c>
    </row>
    <row r="82" spans="1:18" x14ac:dyDescent="0.2">
      <c r="A82">
        <f t="shared" si="20"/>
        <v>2005</v>
      </c>
      <c r="B82" t="s">
        <v>24</v>
      </c>
      <c r="C82" t="s">
        <v>25</v>
      </c>
      <c r="D82" t="s">
        <v>26</v>
      </c>
      <c r="E82">
        <v>0.6185697</v>
      </c>
      <c r="F82" t="s">
        <v>27</v>
      </c>
      <c r="G82" t="s">
        <v>28</v>
      </c>
      <c r="H82">
        <v>4189544</v>
      </c>
      <c r="I82" t="s">
        <v>29</v>
      </c>
      <c r="J82">
        <v>2.8062779999999998</v>
      </c>
      <c r="L82">
        <v>129.8014804</v>
      </c>
      <c r="O82">
        <v>129.8014804</v>
      </c>
      <c r="Q82">
        <f t="shared" si="9"/>
        <v>2005</v>
      </c>
      <c r="R82" t="e">
        <f t="shared" si="19"/>
        <v>#VALUE!</v>
      </c>
    </row>
    <row r="83" spans="1:18" x14ac:dyDescent="0.2">
      <c r="A83">
        <f t="shared" si="20"/>
        <v>2006</v>
      </c>
      <c r="B83" t="s">
        <v>30</v>
      </c>
      <c r="C83" t="s">
        <v>31</v>
      </c>
      <c r="D83" t="s">
        <v>32</v>
      </c>
      <c r="E83">
        <v>0.1109411</v>
      </c>
      <c r="F83" t="s">
        <v>33</v>
      </c>
      <c r="G83" t="s">
        <v>34</v>
      </c>
      <c r="H83">
        <v>88273334</v>
      </c>
      <c r="I83" t="s">
        <v>35</v>
      </c>
      <c r="J83">
        <v>5.6264349999999999</v>
      </c>
      <c r="L83">
        <v>132.39751010000001</v>
      </c>
      <c r="O83">
        <v>132.39751010000001</v>
      </c>
      <c r="Q83">
        <f t="shared" si="9"/>
        <v>2006</v>
      </c>
      <c r="R83" t="e">
        <f t="shared" si="19"/>
        <v>#VALUE!</v>
      </c>
    </row>
    <row r="84" spans="1:18" x14ac:dyDescent="0.2">
      <c r="A84">
        <f t="shared" si="20"/>
        <v>2007</v>
      </c>
      <c r="B84" t="s">
        <v>36</v>
      </c>
      <c r="C84" t="s">
        <v>37</v>
      </c>
      <c r="D84" t="s">
        <v>38</v>
      </c>
      <c r="E84">
        <v>0.73315989999999998</v>
      </c>
      <c r="F84" t="s">
        <v>39</v>
      </c>
      <c r="G84" t="s">
        <v>40</v>
      </c>
      <c r="H84">
        <v>74038801</v>
      </c>
      <c r="I84" t="s">
        <v>41</v>
      </c>
      <c r="J84">
        <v>0.51709579999999999</v>
      </c>
      <c r="L84">
        <v>135.0454603</v>
      </c>
      <c r="O84">
        <v>135.0454603</v>
      </c>
      <c r="Q84">
        <f t="shared" si="9"/>
        <v>2007</v>
      </c>
      <c r="R84" t="e">
        <f t="shared" si="19"/>
        <v>#VALUE!</v>
      </c>
    </row>
    <row r="85" spans="1:18" x14ac:dyDescent="0.2">
      <c r="A85">
        <f t="shared" si="20"/>
        <v>2008</v>
      </c>
      <c r="B85" t="s">
        <v>42</v>
      </c>
      <c r="C85" t="s">
        <v>43</v>
      </c>
      <c r="D85" t="s">
        <v>44</v>
      </c>
      <c r="E85">
        <v>0.48782310000000001</v>
      </c>
      <c r="F85" t="s">
        <v>45</v>
      </c>
      <c r="G85" t="s">
        <v>46</v>
      </c>
      <c r="H85">
        <v>61519577</v>
      </c>
      <c r="I85" t="s">
        <v>47</v>
      </c>
      <c r="J85">
        <v>0.48002319999999998</v>
      </c>
      <c r="L85">
        <v>137.74636949999999</v>
      </c>
      <c r="O85">
        <v>137.74636949999999</v>
      </c>
      <c r="Q85">
        <f t="shared" si="9"/>
        <v>2008</v>
      </c>
      <c r="R85" t="e">
        <f t="shared" si="19"/>
        <v>#VALUE!</v>
      </c>
    </row>
    <row r="86" spans="1:18" x14ac:dyDescent="0.2">
      <c r="A86">
        <f t="shared" si="20"/>
        <v>2009</v>
      </c>
      <c r="B86" t="s">
        <v>48</v>
      </c>
      <c r="C86" t="s">
        <v>49</v>
      </c>
      <c r="D86" t="s">
        <v>50</v>
      </c>
      <c r="E86">
        <v>0.37757960000000002</v>
      </c>
      <c r="F86" t="s">
        <v>51</v>
      </c>
      <c r="G86" t="s">
        <v>52</v>
      </c>
      <c r="H86">
        <v>50749969</v>
      </c>
      <c r="I86" t="s">
        <v>53</v>
      </c>
      <c r="J86">
        <v>0.51702380000000003</v>
      </c>
      <c r="L86">
        <v>140.50129680000001</v>
      </c>
      <c r="O86">
        <v>140.50129680000001</v>
      </c>
      <c r="Q86">
        <f t="shared" si="9"/>
        <v>2009</v>
      </c>
      <c r="R86" t="e">
        <f t="shared" si="19"/>
        <v>#VALUE!</v>
      </c>
    </row>
    <row r="87" spans="1:18" x14ac:dyDescent="0.2">
      <c r="A87">
        <f t="shared" si="20"/>
        <v>2010</v>
      </c>
      <c r="B87" t="s">
        <v>54</v>
      </c>
      <c r="C87" t="s">
        <v>55</v>
      </c>
      <c r="D87" t="s">
        <v>56</v>
      </c>
      <c r="E87">
        <v>0.40513110000000002</v>
      </c>
      <c r="F87" t="s">
        <v>57</v>
      </c>
      <c r="G87" t="s">
        <v>58</v>
      </c>
      <c r="H87">
        <v>41764968</v>
      </c>
      <c r="I87" t="s">
        <v>59</v>
      </c>
      <c r="J87">
        <v>0.62994939999999999</v>
      </c>
      <c r="L87">
        <v>143.3113228</v>
      </c>
      <c r="O87">
        <v>143.3113228</v>
      </c>
      <c r="Q87">
        <f t="shared" si="9"/>
        <v>2010</v>
      </c>
      <c r="R87" t="e">
        <f t="shared" si="19"/>
        <v>#VALUE!</v>
      </c>
    </row>
    <row r="88" spans="1:18" x14ac:dyDescent="0.2">
      <c r="B88" t="s">
        <v>60</v>
      </c>
      <c r="C88" t="s">
        <v>61</v>
      </c>
      <c r="D88" t="s">
        <v>61</v>
      </c>
      <c r="E88" t="s">
        <v>62</v>
      </c>
      <c r="F88" t="s">
        <v>63</v>
      </c>
      <c r="G88" t="s">
        <v>61</v>
      </c>
      <c r="H88" t="s">
        <v>62</v>
      </c>
      <c r="I88" t="s">
        <v>63</v>
      </c>
      <c r="J88" t="s">
        <v>62</v>
      </c>
      <c r="L88" t="s">
        <v>64</v>
      </c>
    </row>
    <row r="92" spans="1:18" x14ac:dyDescent="0.2">
      <c r="B92" s="4"/>
      <c r="C92" t="s">
        <v>97</v>
      </c>
    </row>
    <row r="94" spans="1:18" x14ac:dyDescent="0.2">
      <c r="F94" t="s">
        <v>99</v>
      </c>
    </row>
    <row r="95" spans="1:18" x14ac:dyDescent="0.2">
      <c r="A95" t="s">
        <v>98</v>
      </c>
      <c r="B95">
        <f>SUM(B37:B49)</f>
        <v>2254</v>
      </c>
      <c r="C95">
        <f>SUM(C37:C49)</f>
        <v>1671</v>
      </c>
      <c r="D95">
        <f>SUM(D37:D49)</f>
        <v>497</v>
      </c>
      <c r="E95">
        <f>SUM(E37:E49)</f>
        <v>1284</v>
      </c>
      <c r="F95">
        <f>SUM(B95:E95)</f>
        <v>5706</v>
      </c>
    </row>
    <row r="96" spans="1:18" x14ac:dyDescent="0.2">
      <c r="A96" t="s">
        <v>100</v>
      </c>
      <c r="B96">
        <f>B95/$F95</f>
        <v>0.39502278303540134</v>
      </c>
      <c r="C96">
        <f>C95/$F95</f>
        <v>0.29284963196635122</v>
      </c>
      <c r="D96">
        <f>D95/$F95</f>
        <v>8.7101296880476686E-2</v>
      </c>
      <c r="E96">
        <f>E95/$F95</f>
        <v>0.22502628811777076</v>
      </c>
    </row>
    <row r="98" spans="1:6" x14ac:dyDescent="0.2">
      <c r="A98" t="s">
        <v>101</v>
      </c>
      <c r="B98">
        <f>SUM(B2:B36)</f>
        <v>1573</v>
      </c>
      <c r="C98">
        <f>SUM(C2:C36)</f>
        <v>1467</v>
      </c>
      <c r="D98">
        <f>SUM(D2:D36)</f>
        <v>224</v>
      </c>
      <c r="E98">
        <f>SUM(E2:E36)</f>
        <v>752</v>
      </c>
      <c r="F98">
        <f>SUM(B98:E98)</f>
        <v>4016</v>
      </c>
    </row>
    <row r="99" spans="1:6" x14ac:dyDescent="0.2">
      <c r="A99" t="s">
        <v>100</v>
      </c>
      <c r="B99">
        <f>B98/$F98</f>
        <v>0.3916832669322709</v>
      </c>
      <c r="C99">
        <f>C98/$F98</f>
        <v>0.36528884462151395</v>
      </c>
      <c r="D99">
        <f>D98/$F98</f>
        <v>5.5776892430278883E-2</v>
      </c>
      <c r="E99">
        <f>E98/$F98</f>
        <v>0.18725099601593626</v>
      </c>
    </row>
    <row r="101" spans="1:6" x14ac:dyDescent="0.2">
      <c r="A101">
        <v>1925</v>
      </c>
      <c r="B101">
        <f t="shared" ref="B101:E102" si="23">B2/$S2</f>
        <v>0.41249999999999998</v>
      </c>
      <c r="C101">
        <f t="shared" si="23"/>
        <v>0.38750000000000001</v>
      </c>
      <c r="D101">
        <f t="shared" si="23"/>
        <v>5.8750000000000004E-2</v>
      </c>
      <c r="E101">
        <f t="shared" si="23"/>
        <v>0.2</v>
      </c>
      <c r="F101">
        <f>SUM(B2:E2)</f>
        <v>169.4</v>
      </c>
    </row>
    <row r="102" spans="1:6" x14ac:dyDescent="0.2">
      <c r="A102">
        <f>A101+1</f>
        <v>1926</v>
      </c>
      <c r="B102">
        <f t="shared" si="23"/>
        <v>0.41447368421052633</v>
      </c>
      <c r="C102">
        <f t="shared" si="23"/>
        <v>0.38815789473684209</v>
      </c>
      <c r="D102">
        <f t="shared" si="23"/>
        <v>5.921052631578947E-2</v>
      </c>
      <c r="E102">
        <f t="shared" si="23"/>
        <v>0.19736842105263158</v>
      </c>
      <c r="F102">
        <f t="shared" ref="F102:F132" si="24">SUM(B3:E3)</f>
        <v>161</v>
      </c>
    </row>
    <row r="103" spans="1:6" x14ac:dyDescent="0.2">
      <c r="A103">
        <f t="shared" ref="A103:A132" si="25">A102+1</f>
        <v>1927</v>
      </c>
      <c r="B103">
        <f>B4/$S4</f>
        <v>0.41549295774647887</v>
      </c>
      <c r="C103">
        <f>C4/$S4</f>
        <v>0.38732394366197181</v>
      </c>
      <c r="D103">
        <f>D4/$S4</f>
        <v>6.0563380281690136E-2</v>
      </c>
      <c r="E103">
        <f>E4/$S4</f>
        <v>0.19718309859154928</v>
      </c>
      <c r="F103">
        <f t="shared" si="24"/>
        <v>150.6</v>
      </c>
    </row>
    <row r="104" spans="1:6" x14ac:dyDescent="0.2">
      <c r="A104">
        <f t="shared" si="25"/>
        <v>1928</v>
      </c>
      <c r="B104">
        <f t="shared" ref="B104:E135" si="26">B5/$S5</f>
        <v>0.41249999999999998</v>
      </c>
      <c r="C104">
        <f t="shared" si="26"/>
        <v>0.38750000000000001</v>
      </c>
      <c r="D104">
        <f t="shared" si="26"/>
        <v>5.8750000000000004E-2</v>
      </c>
      <c r="E104">
        <f t="shared" si="26"/>
        <v>0.2</v>
      </c>
      <c r="F104">
        <f t="shared" si="24"/>
        <v>169.4</v>
      </c>
    </row>
    <row r="105" spans="1:6" x14ac:dyDescent="0.2">
      <c r="A105">
        <f t="shared" si="25"/>
        <v>1929</v>
      </c>
      <c r="B105">
        <f t="shared" si="26"/>
        <v>0.41358024691358025</v>
      </c>
      <c r="C105">
        <f t="shared" si="26"/>
        <v>0.3888888888888889</v>
      </c>
      <c r="D105">
        <f t="shared" si="26"/>
        <v>5.8024691358024696E-2</v>
      </c>
      <c r="E105">
        <f t="shared" si="26"/>
        <v>0.19753086419753085</v>
      </c>
      <c r="F105">
        <f t="shared" si="24"/>
        <v>171.4</v>
      </c>
    </row>
    <row r="106" spans="1:6" x14ac:dyDescent="0.2">
      <c r="A106">
        <f t="shared" si="25"/>
        <v>1930</v>
      </c>
      <c r="B106">
        <f t="shared" si="26"/>
        <v>0.41414141414141414</v>
      </c>
      <c r="C106">
        <f t="shared" si="26"/>
        <v>0.38383838383838381</v>
      </c>
      <c r="D106">
        <f t="shared" si="26"/>
        <v>5.8585858585858581E-2</v>
      </c>
      <c r="E106">
        <f t="shared" si="26"/>
        <v>0.20202020202020202</v>
      </c>
      <c r="F106">
        <f t="shared" si="24"/>
        <v>104.8</v>
      </c>
    </row>
    <row r="107" spans="1:6" x14ac:dyDescent="0.2">
      <c r="A107">
        <f t="shared" si="25"/>
        <v>1931</v>
      </c>
      <c r="B107">
        <f t="shared" si="26"/>
        <v>0.42</v>
      </c>
      <c r="C107">
        <f t="shared" si="26"/>
        <v>0.38</v>
      </c>
      <c r="D107">
        <f t="shared" si="26"/>
        <v>5.4000000000000006E-2</v>
      </c>
      <c r="E107">
        <f t="shared" si="26"/>
        <v>0.2</v>
      </c>
      <c r="F107">
        <f t="shared" si="24"/>
        <v>52.7</v>
      </c>
    </row>
    <row r="108" spans="1:6" x14ac:dyDescent="0.2">
      <c r="A108">
        <f t="shared" si="25"/>
        <v>1932</v>
      </c>
      <c r="B108">
        <f t="shared" si="26"/>
        <v>0.41666666666666669</v>
      </c>
      <c r="C108">
        <f t="shared" si="26"/>
        <v>0.375</v>
      </c>
      <c r="D108">
        <f t="shared" si="26"/>
        <v>5.8333333333333327E-2</v>
      </c>
      <c r="E108">
        <f t="shared" si="26"/>
        <v>0.20833333333333334</v>
      </c>
      <c r="F108">
        <f t="shared" si="24"/>
        <v>25.4</v>
      </c>
    </row>
    <row r="109" spans="1:6" x14ac:dyDescent="0.2">
      <c r="A109">
        <f t="shared" si="25"/>
        <v>1933</v>
      </c>
      <c r="B109">
        <f t="shared" si="26"/>
        <v>0.39130434782608697</v>
      </c>
      <c r="C109">
        <f t="shared" si="26"/>
        <v>0.39130434782608697</v>
      </c>
      <c r="D109">
        <f t="shared" si="26"/>
        <v>6.08695652173913E-2</v>
      </c>
      <c r="E109">
        <f t="shared" si="26"/>
        <v>0.21739130434782608</v>
      </c>
      <c r="F109">
        <f t="shared" si="24"/>
        <v>24.4</v>
      </c>
    </row>
    <row r="110" spans="1:6" x14ac:dyDescent="0.2">
      <c r="A110">
        <f t="shared" si="25"/>
        <v>1934</v>
      </c>
      <c r="B110">
        <f t="shared" si="26"/>
        <v>0.41379310344827586</v>
      </c>
      <c r="C110">
        <f t="shared" si="26"/>
        <v>0.37931034482758619</v>
      </c>
      <c r="D110">
        <f t="shared" si="26"/>
        <v>6.2068965517241378E-2</v>
      </c>
      <c r="E110">
        <f t="shared" si="26"/>
        <v>0.20689655172413793</v>
      </c>
      <c r="F110">
        <f t="shared" si="24"/>
        <v>30.8</v>
      </c>
    </row>
    <row r="111" spans="1:6" x14ac:dyDescent="0.2">
      <c r="A111">
        <f t="shared" si="25"/>
        <v>1935</v>
      </c>
      <c r="B111">
        <f t="shared" si="26"/>
        <v>0.41176470588235292</v>
      </c>
      <c r="C111">
        <f t="shared" si="26"/>
        <v>0.38235294117647056</v>
      </c>
      <c r="D111">
        <f t="shared" si="26"/>
        <v>6.7647058823529407E-2</v>
      </c>
      <c r="E111">
        <f t="shared" si="26"/>
        <v>0.20588235294117646</v>
      </c>
      <c r="F111">
        <f t="shared" si="24"/>
        <v>36.299999999999997</v>
      </c>
    </row>
    <row r="112" spans="1:6" x14ac:dyDescent="0.2">
      <c r="A112">
        <f t="shared" si="25"/>
        <v>1936</v>
      </c>
      <c r="B112">
        <f t="shared" si="26"/>
        <v>0.41176470588235292</v>
      </c>
      <c r="C112">
        <f t="shared" si="26"/>
        <v>0.38235294117647056</v>
      </c>
      <c r="D112">
        <f t="shared" si="26"/>
        <v>6.0294117647058817E-2</v>
      </c>
      <c r="E112">
        <f t="shared" si="26"/>
        <v>0.20588235294117646</v>
      </c>
      <c r="F112">
        <f t="shared" si="24"/>
        <v>72.099999999999994</v>
      </c>
    </row>
    <row r="113" spans="1:6" x14ac:dyDescent="0.2">
      <c r="A113">
        <f t="shared" si="25"/>
        <v>1937</v>
      </c>
      <c r="B113">
        <f t="shared" si="26"/>
        <v>0.41791044776119401</v>
      </c>
      <c r="C113">
        <f t="shared" si="26"/>
        <v>0.38805970149253732</v>
      </c>
      <c r="D113">
        <f t="shared" si="26"/>
        <v>6.1194029850746262E-2</v>
      </c>
      <c r="E113">
        <f t="shared" si="26"/>
        <v>0.19402985074626866</v>
      </c>
      <c r="F113">
        <f t="shared" si="24"/>
        <v>71.099999999999994</v>
      </c>
    </row>
    <row r="114" spans="1:6" x14ac:dyDescent="0.2">
      <c r="A114">
        <f t="shared" si="25"/>
        <v>1938</v>
      </c>
      <c r="B114">
        <f t="shared" si="26"/>
        <v>0.40909090909090912</v>
      </c>
      <c r="C114">
        <f t="shared" si="26"/>
        <v>0.38636363636363635</v>
      </c>
      <c r="D114">
        <f t="shared" si="26"/>
        <v>6.136363636363637E-2</v>
      </c>
      <c r="E114">
        <f t="shared" si="26"/>
        <v>0.20454545454545456</v>
      </c>
      <c r="F114">
        <f t="shared" si="24"/>
        <v>46.7</v>
      </c>
    </row>
    <row r="115" spans="1:6" x14ac:dyDescent="0.2">
      <c r="A115">
        <f t="shared" si="25"/>
        <v>1939</v>
      </c>
      <c r="B115">
        <f t="shared" si="26"/>
        <v>0.41176470588235292</v>
      </c>
      <c r="C115">
        <f t="shared" si="26"/>
        <v>0.39215686274509803</v>
      </c>
      <c r="D115">
        <f t="shared" si="26"/>
        <v>6.2745098039215685E-2</v>
      </c>
      <c r="E115">
        <f t="shared" si="26"/>
        <v>0.19607843137254902</v>
      </c>
      <c r="F115">
        <f t="shared" si="24"/>
        <v>54.2</v>
      </c>
    </row>
    <row r="116" spans="1:6" x14ac:dyDescent="0.2">
      <c r="A116">
        <f t="shared" si="25"/>
        <v>1940</v>
      </c>
      <c r="B116">
        <f t="shared" si="26"/>
        <v>0.41428571428571431</v>
      </c>
      <c r="C116">
        <f t="shared" si="26"/>
        <v>0.38571428571428573</v>
      </c>
      <c r="D116">
        <f t="shared" si="26"/>
        <v>5.8571428571428566E-2</v>
      </c>
      <c r="E116">
        <f t="shared" si="26"/>
        <v>0.2</v>
      </c>
      <c r="F116">
        <f t="shared" si="24"/>
        <v>74.099999999999994</v>
      </c>
    </row>
    <row r="117" spans="1:6" x14ac:dyDescent="0.2">
      <c r="A117">
        <f t="shared" si="25"/>
        <v>1941</v>
      </c>
      <c r="B117">
        <f t="shared" si="26"/>
        <v>0.4144144144144144</v>
      </c>
      <c r="C117">
        <f t="shared" si="26"/>
        <v>0.38738738738738737</v>
      </c>
      <c r="D117">
        <f t="shared" si="26"/>
        <v>5.6756756756756753E-2</v>
      </c>
      <c r="E117">
        <f t="shared" si="26"/>
        <v>0.1981981981981982</v>
      </c>
      <c r="F117">
        <f t="shared" si="24"/>
        <v>117.3</v>
      </c>
    </row>
    <row r="118" spans="1:6" x14ac:dyDescent="0.2">
      <c r="A118">
        <f t="shared" si="25"/>
        <v>1942</v>
      </c>
      <c r="B118">
        <f t="shared" si="26"/>
        <v>0.41176470588235292</v>
      </c>
      <c r="C118">
        <f t="shared" si="26"/>
        <v>0.38823529411764707</v>
      </c>
      <c r="D118">
        <f t="shared" si="26"/>
        <v>5.7647058823529419E-2</v>
      </c>
      <c r="E118">
        <f t="shared" si="26"/>
        <v>0.2</v>
      </c>
      <c r="F118">
        <f t="shared" si="24"/>
        <v>89.9</v>
      </c>
    </row>
    <row r="119" spans="1:6" x14ac:dyDescent="0.2">
      <c r="A119">
        <f t="shared" si="25"/>
        <v>1943</v>
      </c>
      <c r="B119">
        <f t="shared" si="26"/>
        <v>0.42</v>
      </c>
      <c r="C119">
        <f t="shared" si="26"/>
        <v>0.38</v>
      </c>
      <c r="D119">
        <f t="shared" si="26"/>
        <v>6.4000000000000001E-2</v>
      </c>
      <c r="E119">
        <f t="shared" si="26"/>
        <v>0.2</v>
      </c>
      <c r="F119">
        <f t="shared" si="24"/>
        <v>53.2</v>
      </c>
    </row>
    <row r="120" spans="1:6" x14ac:dyDescent="0.2">
      <c r="A120">
        <f t="shared" si="25"/>
        <v>1944</v>
      </c>
      <c r="B120">
        <f t="shared" si="26"/>
        <v>0.41666666666666669</v>
      </c>
      <c r="C120">
        <f t="shared" si="26"/>
        <v>0.41666666666666669</v>
      </c>
      <c r="D120">
        <f t="shared" si="26"/>
        <v>7.4999999999999997E-2</v>
      </c>
      <c r="E120">
        <f t="shared" si="26"/>
        <v>0.16666666666666666</v>
      </c>
      <c r="F120">
        <f t="shared" si="24"/>
        <v>12.9</v>
      </c>
    </row>
    <row r="121" spans="1:6" x14ac:dyDescent="0.2">
      <c r="A121">
        <f t="shared" si="25"/>
        <v>1945</v>
      </c>
      <c r="B121">
        <f t="shared" si="26"/>
        <v>0.41333333333333333</v>
      </c>
      <c r="C121">
        <f t="shared" si="26"/>
        <v>0.38666666666666666</v>
      </c>
      <c r="D121">
        <f t="shared" si="26"/>
        <v>0.06</v>
      </c>
      <c r="E121">
        <f t="shared" si="26"/>
        <v>0.2</v>
      </c>
      <c r="F121">
        <f t="shared" si="24"/>
        <v>79.5</v>
      </c>
    </row>
    <row r="122" spans="1:6" x14ac:dyDescent="0.2">
      <c r="A122">
        <f t="shared" si="25"/>
        <v>1946</v>
      </c>
      <c r="B122">
        <f t="shared" si="26"/>
        <v>0.41666666666666669</v>
      </c>
      <c r="C122">
        <f t="shared" si="26"/>
        <v>0.38636363636363635</v>
      </c>
      <c r="D122">
        <f t="shared" si="26"/>
        <v>5.8333333333333334E-2</v>
      </c>
      <c r="E122">
        <f t="shared" si="26"/>
        <v>0.19696969696969696</v>
      </c>
      <c r="F122">
        <f t="shared" si="24"/>
        <v>139.69999999999999</v>
      </c>
    </row>
    <row r="123" spans="1:6" x14ac:dyDescent="0.2">
      <c r="A123">
        <f t="shared" si="25"/>
        <v>1947</v>
      </c>
      <c r="B123">
        <f t="shared" si="26"/>
        <v>0.41584158415841582</v>
      </c>
      <c r="C123">
        <f t="shared" si="26"/>
        <v>0.38613861386138615</v>
      </c>
      <c r="D123">
        <f t="shared" si="26"/>
        <v>5.7425742574257421E-2</v>
      </c>
      <c r="E123">
        <f t="shared" si="26"/>
        <v>0.19801980198019803</v>
      </c>
      <c r="F123">
        <f t="shared" si="24"/>
        <v>106.8</v>
      </c>
    </row>
    <row r="124" spans="1:6" x14ac:dyDescent="0.2">
      <c r="A124">
        <f t="shared" si="25"/>
        <v>1948</v>
      </c>
      <c r="B124">
        <f t="shared" si="26"/>
        <v>0.41509433962264153</v>
      </c>
      <c r="C124">
        <f t="shared" si="26"/>
        <v>0.3867924528301887</v>
      </c>
      <c r="D124">
        <f t="shared" si="26"/>
        <v>5.9433962264150944E-2</v>
      </c>
      <c r="E124">
        <f t="shared" si="26"/>
        <v>0.19811320754716982</v>
      </c>
      <c r="F124">
        <f t="shared" si="24"/>
        <v>112.3</v>
      </c>
    </row>
    <row r="125" spans="1:6" x14ac:dyDescent="0.2">
      <c r="A125">
        <f t="shared" si="25"/>
        <v>1949</v>
      </c>
      <c r="B125">
        <f t="shared" si="26"/>
        <v>0.41304347826086957</v>
      </c>
      <c r="C125">
        <f t="shared" si="26"/>
        <v>0.39130434782608697</v>
      </c>
      <c r="D125">
        <f t="shared" si="26"/>
        <v>5.8695652173913045E-2</v>
      </c>
      <c r="E125">
        <f t="shared" si="26"/>
        <v>0.19565217391304349</v>
      </c>
      <c r="F125">
        <f t="shared" si="24"/>
        <v>97.4</v>
      </c>
    </row>
    <row r="126" spans="1:6" x14ac:dyDescent="0.2">
      <c r="A126">
        <f t="shared" si="25"/>
        <v>1950</v>
      </c>
      <c r="B126">
        <f t="shared" si="26"/>
        <v>0.41666666666666669</v>
      </c>
      <c r="C126">
        <f t="shared" si="26"/>
        <v>0.38636363636363635</v>
      </c>
      <c r="D126">
        <f t="shared" si="26"/>
        <v>5.8333333333333334E-2</v>
      </c>
      <c r="E126">
        <f t="shared" si="26"/>
        <v>0.19696969696969696</v>
      </c>
      <c r="F126">
        <f t="shared" si="24"/>
        <v>139.69999999999999</v>
      </c>
    </row>
    <row r="127" spans="1:6" x14ac:dyDescent="0.2">
      <c r="A127">
        <f t="shared" si="25"/>
        <v>1951</v>
      </c>
      <c r="B127">
        <f t="shared" si="26"/>
        <v>0.42045454545454547</v>
      </c>
      <c r="C127">
        <f t="shared" si="26"/>
        <v>0.38636363636363635</v>
      </c>
      <c r="D127">
        <f t="shared" si="26"/>
        <v>6.136363636363637E-2</v>
      </c>
      <c r="E127">
        <f t="shared" si="26"/>
        <v>0.19318181818181818</v>
      </c>
      <c r="F127">
        <f t="shared" si="24"/>
        <v>93.4</v>
      </c>
    </row>
    <row r="128" spans="1:6" x14ac:dyDescent="0.2">
      <c r="A128">
        <f t="shared" si="25"/>
        <v>1952</v>
      </c>
      <c r="B128">
        <f t="shared" si="26"/>
        <v>0.41747572815533979</v>
      </c>
      <c r="C128">
        <f t="shared" si="26"/>
        <v>0.38834951456310679</v>
      </c>
      <c r="D128">
        <f t="shared" si="26"/>
        <v>5.6310679611650483E-2</v>
      </c>
      <c r="E128">
        <f t="shared" si="26"/>
        <v>0.1941747572815534</v>
      </c>
      <c r="F128">
        <f t="shared" si="24"/>
        <v>108.8</v>
      </c>
    </row>
    <row r="129" spans="1:6" x14ac:dyDescent="0.2">
      <c r="A129">
        <f t="shared" si="25"/>
        <v>1953</v>
      </c>
      <c r="B129">
        <f t="shared" si="26"/>
        <v>0.41666666666666669</v>
      </c>
      <c r="C129">
        <f t="shared" si="26"/>
        <v>0.38636363636363635</v>
      </c>
      <c r="D129">
        <f t="shared" si="26"/>
        <v>5.8333333333333334E-2</v>
      </c>
      <c r="E129">
        <f t="shared" si="26"/>
        <v>0.19696969696969696</v>
      </c>
      <c r="F129">
        <f t="shared" si="24"/>
        <v>139.69999999999999</v>
      </c>
    </row>
    <row r="130" spans="1:6" x14ac:dyDescent="0.2">
      <c r="A130">
        <f t="shared" si="25"/>
        <v>1954</v>
      </c>
      <c r="B130">
        <f t="shared" si="26"/>
        <v>0.41333333333333333</v>
      </c>
      <c r="C130">
        <f t="shared" si="26"/>
        <v>0.38666666666666666</v>
      </c>
      <c r="D130">
        <f t="shared" si="26"/>
        <v>0.06</v>
      </c>
      <c r="E130">
        <f t="shared" si="26"/>
        <v>0.2</v>
      </c>
      <c r="F130">
        <f t="shared" si="24"/>
        <v>159</v>
      </c>
    </row>
    <row r="131" spans="1:6" x14ac:dyDescent="0.2">
      <c r="A131">
        <f t="shared" si="25"/>
        <v>1955</v>
      </c>
      <c r="B131">
        <f t="shared" si="26"/>
        <v>0.41489361702127658</v>
      </c>
      <c r="C131">
        <f t="shared" si="26"/>
        <v>0.38829787234042551</v>
      </c>
      <c r="D131">
        <f t="shared" si="26"/>
        <v>6.0106382978723408E-2</v>
      </c>
      <c r="E131">
        <f t="shared" si="26"/>
        <v>0.19680851063829788</v>
      </c>
      <c r="F131">
        <f t="shared" si="24"/>
        <v>199.3</v>
      </c>
    </row>
    <row r="132" spans="1:6" x14ac:dyDescent="0.2">
      <c r="A132">
        <f t="shared" si="25"/>
        <v>1956</v>
      </c>
      <c r="B132">
        <f t="shared" si="26"/>
        <v>0.41474654377880182</v>
      </c>
      <c r="C132">
        <f t="shared" si="26"/>
        <v>0.38709677419354838</v>
      </c>
      <c r="D132">
        <f t="shared" si="26"/>
        <v>5.8064516129032254E-2</v>
      </c>
      <c r="E132">
        <f t="shared" si="26"/>
        <v>0.19815668202764977</v>
      </c>
      <c r="F132">
        <f t="shared" si="24"/>
        <v>229.6</v>
      </c>
    </row>
    <row r="133" spans="1:6" x14ac:dyDescent="0.2">
      <c r="A133">
        <f>A132+1</f>
        <v>1957</v>
      </c>
      <c r="B133">
        <f t="shared" si="26"/>
        <v>0.41474654377880182</v>
      </c>
      <c r="C133">
        <f t="shared" si="26"/>
        <v>0.38709677419354838</v>
      </c>
      <c r="D133">
        <f t="shared" si="26"/>
        <v>5.8064516129032254E-2</v>
      </c>
      <c r="E133">
        <f t="shared" si="26"/>
        <v>0.19815668202764977</v>
      </c>
      <c r="F133">
        <f>SUM(B34:E34)</f>
        <v>229.6</v>
      </c>
    </row>
    <row r="134" spans="1:6" x14ac:dyDescent="0.2">
      <c r="A134">
        <f>A133+1</f>
        <v>1958</v>
      </c>
      <c r="B134">
        <f t="shared" si="26"/>
        <v>0.41666666666666669</v>
      </c>
      <c r="C134">
        <f t="shared" si="26"/>
        <v>0.38425925925925924</v>
      </c>
      <c r="D134">
        <f t="shared" si="26"/>
        <v>5.8333333333333334E-2</v>
      </c>
      <c r="E134">
        <f t="shared" si="26"/>
        <v>0.19907407407407407</v>
      </c>
      <c r="F134">
        <f>SUM(B35:E35)</f>
        <v>228.6</v>
      </c>
    </row>
    <row r="135" spans="1:6" x14ac:dyDescent="0.2">
      <c r="A135">
        <f>A134+1</f>
        <v>1959</v>
      </c>
      <c r="B135">
        <f t="shared" si="26"/>
        <v>0.41599999999999998</v>
      </c>
      <c r="C135">
        <f t="shared" si="26"/>
        <v>0.38800000000000001</v>
      </c>
      <c r="D135">
        <f t="shared" si="26"/>
        <v>5.96E-2</v>
      </c>
      <c r="E135">
        <f t="shared" si="26"/>
        <v>0.19600000000000001</v>
      </c>
      <c r="F135">
        <f>SUM(B36:E36)</f>
        <v>264.89999999999998</v>
      </c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Charts</vt:lpstr>
      </vt:variant>
      <vt:variant>
        <vt:i4>1</vt:i4>
      </vt:variant>
    </vt:vector>
  </HeadingPairs>
  <TitlesOfParts>
    <vt:vector size="13" baseType="lpstr">
      <vt:lpstr>NEMS_Logistic (current) </vt:lpstr>
      <vt:lpstr>New Floorspace_plot</vt:lpstr>
      <vt:lpstr>Dodge_Revised</vt:lpstr>
      <vt:lpstr>Dodge_to_CBECS</vt:lpstr>
      <vt:lpstr>2003 CBECS</vt:lpstr>
      <vt:lpstr>Hist_Stat</vt:lpstr>
      <vt:lpstr>West_inflation</vt:lpstr>
      <vt:lpstr>Hist_Stat_Adj</vt:lpstr>
      <vt:lpstr>DODCompareOld</vt:lpstr>
      <vt:lpstr>DODRevOld</vt:lpstr>
      <vt:lpstr>Dodge_to_CBECSOld</vt:lpstr>
      <vt:lpstr>SAUS2002</vt:lpstr>
      <vt:lpstr>Floor Space Graph</vt:lpstr>
    </vt:vector>
  </TitlesOfParts>
  <Company>Pacific Northwest National Laboratory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Spreadsheet to analyze survival curves for commercial floor space</dc:subject>
  <dc:creator>David Belzer</dc:creator>
  <cp:lastModifiedBy>David</cp:lastModifiedBy>
  <cp:lastPrinted>2005-11-02T23:08:47Z</cp:lastPrinted>
  <dcterms:created xsi:type="dcterms:W3CDTF">2002-02-27T22:28:05Z</dcterms:created>
  <dcterms:modified xsi:type="dcterms:W3CDTF">2020-02-13T03:25:18Z</dcterms:modified>
</cp:coreProperties>
</file>